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Importer" sheetId="1" r:id="rId3"/>
    <sheet state="hidden" name="API Grabber" sheetId="2" r:id="rId4"/>
    <sheet state="visible" name="Minion Checker" sheetId="3" r:id="rId5"/>
    <sheet state="visible" name="Minion Sales" sheetId="4" r:id="rId6"/>
    <sheet state="visible" name="Minion Optimizer" sheetId="5" r:id="rId7"/>
    <sheet state="visible" name="Bazaar" sheetId="6" r:id="rId8"/>
    <sheet state="visible" name="Pot Costs" sheetId="7" r:id="rId9"/>
    <sheet state="visible" name="Item Costs" sheetId="8" r:id="rId10"/>
    <sheet state="visible" name="Minion Skills" sheetId="9" r:id="rId11"/>
    <sheet state="visible" name="Minion Storage" sheetId="10" r:id="rId12"/>
    <sheet state="visible" name="Minion Signature" sheetId="11" r:id="rId13"/>
    <sheet state="visible" name="Minion Tiers" sheetId="12" r:id="rId14"/>
    <sheet state="visible" name="Tier Viewer" sheetId="13" r:id="rId15"/>
  </sheets>
  <definedNames>
    <definedName name="version">'Minion Checker'!$K$2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6">
      <text>
        <t xml:space="preserve">The visual bug on profiles if using MatDoesDev is known. I cannot fix it.</t>
      </text>
    </comment>
    <comment authorId="0" ref="E7">
      <text>
        <t xml:space="preserve">Probably works. If it doesn't, delete and re-type username manually.</t>
      </text>
    </comment>
  </commentList>
</comments>
</file>

<file path=xl/comments2.xml><?xml version="1.0" encoding="utf-8"?>
<comments xmlns:r="http://schemas.openxmlformats.org/officeDocument/2006/relationships" xmlns="http://schemas.openxmlformats.org/spreadsheetml/2006/main">
  <authors>
    <author/>
  </authors>
  <commentList>
    <comment authorId="0" ref="E2">
      <text>
        <t xml:space="preserve">SKIPPED TIERS NOT CURRENTLY INCLUDED.
Only highest minion tier is used. Skipped ones will not lower this number.</t>
      </text>
    </comment>
    <comment authorId="0" ref="K2">
      <text>
        <t xml:space="preserve">Changelog:
v1.771 - Ghost update, just improved Bazaar formatting
v1.77 - Fixed Mithril appearing as a ? in Minion Sales due to a bug. How did nobody yell at me before because of this? lol
v1.76 - Added Mithril to Bazaar. Probably works, but the API is down so it's untested.
v1.75 - Finished adding Mithril everywhere except Bazaar.
v1.74 - Added reload checkbox to API Importer. Added the visual (not the useful part) of tier 12 and Mithril. For example, Minion Signature now includes Mithril, but is missing the mithril minion head texture.
Updating the rest of the sheet with the math for each tier will be a pain in the ass.
Also partially added Tier 12 stuff, at least so dropdowns stop annoying you.
v1.73 - Added important Credits message to Importer. Greatly improved profile list connection by allowing it to use a backup importer if the main one fails.
v1.72 - Added E-fermented spider eye to Bazaar tab, prices for t11 cave spider minion should now properly show up in Minion Checker
v1.71 - Added the new minion fuels to Minion Optimizer
v1.7 - Added the much requested sky.shiiyu.moe API importer option to Minion Checker and Bazaar tabs and made it default.
v1.696 - Fixed Eyes of Ender in Bazaar.
- Fixed Fishing Minion in Minion Storage and Minion Sales (it now accounts for making 1 fish per action, not 2. It must be correct now, but means it now says it makes 2x as much).
- Some other bugfix that I forgot.
v1.691 - Removed outdated "I have no pc message" that I forgot to remove earlier, sorry for that.
v1.69 - Finished Minion Skills tab. Added a sorter to it. Minor spacing changes to the rest of the sheet. Fixed old link in API Importer and disabled error msg if the username is empty. Also 69 lol.
v1.689 - Added Minion Skills (EXP) tab. It's still WIP, please test/help finish it.
v1.683 - Fixed naming glitches when changing importers on Bazaar. You should see way less bugs on bazaar prices now.
v1.682 - Fixed Minion Optimizer always assuming you had Enchanted Egg upgrade even when it wasn't selected. I also fixed some bazaar stuff secretly in the last days.
v1.681 - Mostly fixed Bazaar. Might not be 100% fixed.
v1.68 - Just bugfixes
v1.67 - Had to remove the Bazaar "Last Refreshed" cell. It as not only buggy by itself, but it was also glitching the API Importer profile list. I think it's impossible to have a "Last Refresh" directly saved on the spreadsheet without depending on a website.
v1.66 part 2 - Fixed Pot Costs redstone/glowstone dropdowns sometimes picking the wrong type of redstone/glowstone
v1.66 - Fixed redstone costs being wrong in Pot Costs for some reason. Also added/fixed MF/Spirit/True Res pot material costs. Plus minor improvements to Pot Costs tab.
v1.65 - Added new bazaar products (and improved formulas using them)
Sheet now import bazaar prices from sky.lea.moe (prices will be slightly different, for better or worse), will readd matdoes importer later
v1.64 - Bunch of random improvements to 1.63
v1.63 - Set Sugar Cane minion production to 1 as it seems to be bugged and only make 1 per action while offline.
- Added a new tab.
- Added "Bazaar failed to load" warnings.
- Added ∅ to dropdowns so you don't have to press del to select "tier 0"
v1.62 - Added Item Costs to "Item Times" and renamed it to that. Fixes and improvements to Item Costs and Bazaar.
v1.61 - Fixed Minion Optimizer's minion delay being entirely wrong, sorry for that.
Also improved the layout
v1.6 - Added a new tab, Minion Optimizer. Also added Dia Spreading and Super Compactor to Minion Storage. There you go, you maniacs!
v1.56 - Some bazaar price fixes, one typo fix
v1.55 - Formulas by almistr999: 
Minion Sales now uses COMPENSATED ENCHANTED ITEM PRICE (enchanted item/160 and etc) for more accurate sell prices with Super Compactor. Chicken Minion Sales now include Eggs from the upgrade. Also fixed Tier Viewer, probably
v1.54+ - Fixed Snow Price in Bazaar for sales
v1.54 - Fixed Tarantula Tier 5+ Bazaar Price (used to be 128x highe than it should because of a typo)
Major fix on Minion Sales, used to not account Minion Amount
v1.53 - Small fixes, added Reload Bazaar checkbox
v1.52 -Fixed ugly ass stuff everywhere in Minion Checker, Tarantula Minion upgrade price now accounts for Viscera properly, rev and tara now say x7 instead of x8, fixed even more images that the goddamn wiki broke. I no longer use any wiki links. I was very sleepy when I did v1.50
v1.51 - Ice Minion Speed is now the same as the Wiki says it is
v1.50 - REVAMPED almost the entire Minion Checker and Minion Sales tab to support the new Bazaar tab. This is the big bazaar update that took me many hours!
Tell me if you find bugs!
v1.48 WIP - Bazaar
v1.47 - (small update, no bazaar yet) Fixed Seed sell price, fixed Melon amount in Minion Storage, fixed formatting on a single cell
v1.46 - Fixed more gdamn broken wiki images and replaced almost all assets with imgur links now, lazy to do the last 15 images
v1.45 - Updated bugs, updated dia spreading field, fixed wheat minion requirements, fixed fishing minion requirements
v1.44 - Added a variant of Fastest Upgrades that won't show minion upgrades that you can buy from NPCs. You can access this using the new dropdown in the Fastest Upgrades title cell.
v1.43 - Added Budget Upgrades to the corner of Minion Checker
v1.42 - Recoded the whole API Importer and replaced Direct API Grabber (due to bugs and performance) with a Sky.Lea.Moe grabber. This means it will be easier to import your stats and have a better uptime.
v1.41 - Changed Slime Minion to 1.8 slimeball per slime, updated Rabbit to 0.35 hide and foot per rabbit
v1.4 - Added API Key support to API Importer, the sheet is now cabale of working even when Mat's site is down. Minor changes to formatting and text. Also you guys won, Minion Sales now uses highest minion tiers instead of flat default text.
v1.312 - Fixed accidentally deleting the Rabbit Foot cost from NPCs a few updates ago, causing rabbit upgrades to never pop up. Oops, me dumb
v1.311 - Bugfixes to Minion Sales and Minion Storage
v1.310 - Added Snow Minion. Fixed Ender Pearls stacking to 64 in Minion Storage. Finished remaking half of the internal part of the spreadsheet like in v.1309.
Improved Minion Signature customization.
v1.309 WIP - Changed Magma Cube minion's Magma Cream per mob to ~1.8 from 1. Sorry if the old values were inaccurate for such an important minion, tell me if you find anything still wrong!
   Also made Minion Checker, Sales and Storage tabs internally bulkier so it doesn't break when I add Snow Minion and future minions.
   Also fixed a bug with the API checkbox
v1.308 - Fixed Minion Signature sorting
v1.307 - Improved a bunch of NPC sell prices in the Tier Viewer tab for Potential-Coins spent.
Also added iron to the Tarantula Minion production calculation in Minion Sales
v1.306 sneakyfix - Minion Storage can now grab API values
v1.306 - Small value fixes to Minion Checker + the stuff stealth-added in v1.305
v1.305 still - Slightly stealth-adjusted Tarantula minion's String drop chance based on info given by Minikloon.
v1.305 - Me and Mat fixed a bug with profile list not displaying if you only had one profile.
Also fixed Rev/Tarantula minion costs.
v1.304 - Yet another bugfix to API Importer because I suck :S
v.1303 - Fixed about 3 things that were breaking API Importer, hopefully
v1.302 - Fixed a big whoopsie in API Importer
v1.301 - Fixed Melon Minion amount in Minion Sales, and improved debugging in API Importer a bit since v1.3
v1.3 - You can now import your minion tiers directly from the game's API (grabbed from Mat's website, thx!) instead of typing them one by one!
v1.293 - Fixed Fastest Upgrades being broken after I added Fuel Bonus to Minion Checker. Shh, you saw nothing
v1.292 - Turns out Potato and Carrot minions actually produce 3 potatoes/carrots per action on average instead of 2, sorry for that. Updated those all over the sheet. Still not sure if the average is 3 or 2.7 tbh
v1.291 - Fixed End Stone ETA in Minion Checker, fixed Update Checker, added Fuel Bonus input to Minion Checker
v1.29 - Confirmed Tarantula drop rates and added Tarantula Head texture to Minion Signature
v1.28 - Better formatting for easier reading everywhere.
Added some info about the two new minions. This update was sponsor by Technoblade (no, not literally)
v1.27 - SkyBlock 0.7.2 update, only missing the two new minions
v1.262 - Updated all block images to 1.14 textures (except Melon, I hate that texture), and reuploaded all images to imgur so the images stop breaking when people edit the wiki. Still gotta do it for items eventually
v1.261 - Google Sheets corrupted Minion Signature but I fixed it
v1.26 - Fixed a bug affecting rich people in Minion Signature and added a thing that lets you see the total amount of potential coins you spent upgrading a minion.
v1.252 - Updated ghast/sheep/clay/blaze minion prices after stealth changes.
v1.251 - Fixed some broken images because wiki pages got deleted and I should have expected that but used crappy wiki links to fetch the image from now I have to deal with it
v1.25 - Lots of stuff everywhere. Moved End Stone Minion from the end to it's proper place in all sheets (and probably broke something in the process). Huge update to Minion Signature to include full customization. Added End Stone Sword to Item Times. And maybe more stuff that I forgot because this update took like 6 hours.
v1.22 - Added the Minion Signature tab.
v1.21 - Added Diamond Spreading count for Minion Sales. Fixed a bug with Magma Cream on Item Times. Also made some tweaks to some minions to increase accuracy in Minion Sales.
v1.20-1 - Changed Dandelion and Poppy amount in flower minion from 20% of the flower to 33% as I was told this was the correct amount.
v1.20 - Added the option to upgrade Quartz Minion using Quarz Blocks.
v1.19-4 - Fixed the speed on high tier Flower minions, I think.
v1.19-3 - Ice and Clay changes from the v0.7.1 SkyBlock patch
v1.19-2 - Added T11 Flower Minion cost thanks to TimeDeo lol
v1.19 - Fixed the upgrade estimates for Tier V-XI Rabbit Minion. Old values forgot to include how much rarer Feet/Hide are.
v1.18 - Added Ice cost from Builder NPC. Added the redstone cost for C3K in Item Times.
v1.17 and older - Mostly bugfixes, and new features previously added have been announced in the Hypixel forums thread.</t>
      </text>
    </comment>
    <comment authorId="0" ref="O2">
      <text>
        <t xml:space="preserve">Slot formulas by doej134567
You can also check how many unique upgrades you need for next minion slot in-game under Collection &gt; Crafted Minions</t>
      </text>
    </comment>
    <comment authorId="0" ref="Z2">
      <text>
        <t xml:space="preserve">Currently (April 2021) saving money to pay for the computer I barely managed to buy. Any donation is welcome.</t>
      </text>
    </comment>
    <comment authorId="0" ref="AF2">
      <text>
        <t xml:space="preserve">Thanks to the legend who bought me MVP Rank
Also thanks a lot to whoever bought me MVP+ rank</t>
      </text>
    </comment>
    <comment authorId="0" ref="K4">
      <text>
        <t xml:space="preserve">1. Flint Shovel and Auto Smelter prevent Catalyst from working
2. Some Minion Storages might work while you are online
3. (semi-confirmed) Enchanted Blaze Rods give no skill xp
4. (not tested recently) Enchanted Raw Rabbit still gives no skill xp
5. Cactus and Sugar Cane minions might still work slower while offline</t>
      </text>
    </comment>
    <comment authorId="0" ref="Q5">
      <text>
        <t xml:space="preserve">&lt;-- Use the dropdown to filter!</t>
      </text>
    </comment>
    <comment authorId="0" ref="F6">
      <text>
        <t xml:space="preserve">Write the minon tier you want to compare below!
If this says "Now Using API Values", this means the sheet is using your max minion tiers from API Importer and you cannot edit them without disabling the API checkbox.
Accepts both Roman and Arabic numbers.</t>
      </text>
    </comment>
    <comment authorId="0" ref="K6">
      <text>
        <t xml:space="preserve">Estimated time for a single minion to be able to upgrade itself with no fuel or bonuses.</t>
      </text>
    </comment>
    <comment authorId="0" ref="X6">
      <text>
        <t xml:space="preserve">Estimated time for a single minion to be able to upgrade itself with no fuel or bonuses.</t>
      </text>
    </comment>
    <comment authorId="0" ref="AI6">
      <text>
        <t xml:space="preserve">This means the amount of coins you'd save by placing the minion down instead of buying the materials to upgrade it. Someone requested it.
If this number is high, you'll want to upgrade these minions using themselves.
If this number is low, you might want to buy the materials to upgrade them from NPCs/Bazaar.
Note that using high-profit minions to get coins and buying materials to upgrade the minion from NPCs/AH/Bazaar might still be the best option.</t>
      </text>
    </comment>
    <comment authorId="0" ref="G7">
      <text>
        <t xml:space="preserve">Catalyst = 200%
Hyper Catalyst = 300%
Minion Expander = +~5%
Flycatcher = +~20%</t>
      </text>
    </comment>
    <comment authorId="0" ref="K10">
      <text>
        <t xml:space="preserve">If you're upgrading this using coins, remember to buy Gravel/Flint at Pat in the Graveyard.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E2">
      <text>
        <t xml:space="preserve">Write the minon tier you want to check below!
Accepts both Roman and Arabic numbers.</t>
      </text>
    </comment>
    <comment authorId="0" ref="I2">
      <text>
        <t xml:space="preserve">This assumes Diamond Spreading has a 10% chance to produce a diamond per action.</t>
      </text>
    </comment>
    <comment authorId="0" ref="AH2">
      <text>
        <t xml:space="preserve">Might not be 100% accurate</t>
      </text>
    </comment>
    <comment authorId="0" ref="H3">
      <text>
        <t xml:space="preserve">Catalyst = 200%
Hyper Catalyst = 300%
Minion Expander = +~5%
Flycatcher = +~20%</t>
      </text>
    </comment>
    <comment authorId="0" ref="Z6">
      <text>
        <t xml:space="preserve">Uses e-flint price / 160</t>
      </text>
    </comment>
    <comment authorId="0" ref="U30">
      <text>
        <t xml:space="preserve">Estimated average between all drops</t>
      </text>
    </comment>
    <comment authorId="0" ref="U31">
      <text>
        <t xml:space="preserve">Estimated average between all drops</t>
      </text>
    </comment>
    <comment authorId="0" ref="Z46">
      <text>
        <t xml:space="preserve">Assumes Enchanted Egg upgrade is on!</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Credit: idea inspired on drabart/Irthorb's prototype</t>
      </text>
    </comment>
    <comment authorId="0" ref="E4">
      <text>
        <t xml:space="preserve">Write the minon tier you want to check below!
Accepts both Roman and Arabic numbers.</t>
      </text>
    </comment>
    <comment authorId="0" ref="L4">
      <text>
        <t xml:space="preserve">Using additive formula rn, lazy to check in game, will do later</t>
      </text>
    </comment>
    <comment authorId="0" ref="G7">
      <text>
        <t xml:space="preserve">This includes Diamond Spreading.
The field below this one only includes the actual minion's items</t>
      </text>
    </comment>
    <comment authorId="0" ref="B30">
      <text>
        <t xml:space="preserve">No Dia Spreading included.</t>
      </text>
    </comment>
    <comment authorId="0" ref="F31">
      <text>
        <t xml:space="preserve">Flyswatter not included*</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This checkbox is for viewing, not clicking</t>
      </text>
    </comment>
    <comment authorId="0" ref="E1">
      <text>
        <t xml:space="preserve">This is (mainly?) used for Minion Checker's upgrade cost</t>
      </text>
    </comment>
    <comment authorId="0" ref="I1">
      <text>
        <t xml:space="preserve">"Value" is something between the buy and sell prices</t>
      </text>
    </comment>
    <comment authorId="0" ref="E55">
      <text>
        <t xml:space="preserve">This is used in Minion Sales and some other places
Note: BASED ON COMPENSATED ENCHANTED ITEMS PRICE (Ench Price/160)</t>
      </text>
    </comment>
    <comment authorId="0" ref="L55">
      <text>
        <t xml:space="preserve">Toggle off and on to reload</t>
      </text>
    </comment>
    <comment authorId="0" ref="O55">
      <text>
        <t xml:space="preserve">Toggle off and on to reload</t>
      </text>
    </comment>
    <comment authorId="0" ref="S58">
      <text>
        <t xml:space="preserve">This excludes resells that give negative profit, of course</t>
      </text>
    </comment>
  </commentList>
</comments>
</file>

<file path=xl/comments6.xml><?xml version="1.0" encoding="utf-8"?>
<comments xmlns:r="http://schemas.openxmlformats.org/officeDocument/2006/relationships" xmlns="http://schemas.openxmlformats.org/spreadsheetml/2006/main">
  <authors>
    <author/>
  </authors>
  <commentList>
    <comment authorId="0" ref="A2">
      <text>
        <t xml:space="preserve">Credit: idea by ian</t>
      </text>
    </comment>
    <comment authorId="0" ref="C23">
      <text>
        <t xml:space="preserve">There's 7 skill boost pots. Most other potions are useless.</t>
      </text>
    </comment>
    <comment authorId="0" ref="J29">
      <text>
        <t xml:space="preserve">Catalyst = 200%
Minion Expander = +~5%
Flycatcher = +~20%</t>
      </text>
    </comment>
    <comment authorId="0" ref="G30">
      <text>
        <t xml:space="preserve">Requires Enchanted Egg upgrade</t>
      </text>
    </comment>
    <comment authorId="0" ref="C47">
      <text>
        <t xml:space="preserve">There's 7 skill boost pots. Most other potions are useless.</t>
      </text>
    </comment>
  </commentList>
</comments>
</file>

<file path=xl/comments7.xml><?xml version="1.0" encoding="utf-8"?>
<comments xmlns:r="http://schemas.openxmlformats.org/officeDocument/2006/relationships" xmlns="http://schemas.openxmlformats.org/spreadsheetml/2006/main">
  <authors>
    <author/>
  </authors>
  <commentList>
    <comment authorId="0" ref="E2">
      <text>
        <t xml:space="preserve">Write the minon tier you want to check below!
Accepts both Roman and Arabic numbers.</t>
      </text>
    </comment>
    <comment authorId="0" ref="H3">
      <text>
        <t xml:space="preserve">Catalyst = 200%
Minion Expander = +~5%
Flycatcher = +~20%</t>
      </text>
    </comment>
  </commentList>
</comments>
</file>

<file path=xl/comments8.xml><?xml version="1.0" encoding="utf-8"?>
<comments xmlns:r="http://schemas.openxmlformats.org/officeDocument/2006/relationships" xmlns="http://schemas.openxmlformats.org/spreadsheetml/2006/main">
  <authors>
    <author/>
  </authors>
  <commentList>
    <comment authorId="0" ref="E3">
      <text>
        <t xml:space="preserve">Write the minon tier you want to check below!
Accepts both Roman and Arabic numbers.</t>
      </text>
    </comment>
    <comment authorId="0" ref="I3">
      <text>
        <t xml:space="preserve">This assumes Diamond Spreading has a 10% chance to produce a diamond per action.</t>
      </text>
    </comment>
    <comment authorId="0" ref="H4">
      <text>
        <t xml:space="preserve">Catalyst = 200%
Minion Expander = +~5%
Flycatcher = +~20%</t>
      </text>
    </comment>
    <comment authorId="0" ref="Q32">
      <text>
        <t xml:space="preserve">ESTIMATED average, will do more testing later</t>
      </text>
    </comment>
    <comment authorId="0" ref="AC32">
      <text>
        <t xml:space="preserve">ESTIMATED average, will do more testing later</t>
      </text>
    </comment>
    <comment authorId="0" ref="AE32">
      <text>
        <t xml:space="preserve">ESTIMATED average, will do more testing later</t>
      </text>
    </comment>
  </commentList>
</comments>
</file>

<file path=xl/comments9.xml><?xml version="1.0" encoding="utf-8"?>
<comments xmlns:r="http://schemas.openxmlformats.org/officeDocument/2006/relationships" xmlns="http://schemas.openxmlformats.org/spreadsheetml/2006/main">
  <authors>
    <author/>
  </authors>
  <commentList>
    <comment authorId="0" ref="D2">
      <text>
        <t xml:space="preserve">Write the minon tier you want to check below!
Accepts both Roman and Arabic numbers.</t>
      </text>
    </comment>
    <comment authorId="0" ref="P2">
      <text>
        <t xml:space="preserve">Minions that produce multiple types of resources will use a rough estimate!</t>
      </text>
    </comment>
    <comment authorId="0" ref="Q2">
      <text>
        <t xml:space="preserve">Might be off by large amounts! Use only for basic reference! This is here just so people stop asking for it! Please let my mom go now!</t>
      </text>
    </comment>
    <comment authorId="0" ref="F3">
      <text>
        <t xml:space="preserve">Catalyst = 200%
Minion Expander = +~5%
Flycatcher = +~20%</t>
      </text>
    </comment>
    <comment authorId="0" ref="N20">
      <text>
        <t xml:space="preserve">Improvised average storage amount</t>
      </text>
    </comment>
    <comment authorId="0" ref="P31">
      <text>
        <t xml:space="preserve">I'm pretty sure the minion takes longer to fill in-game, just not sure why. Please tell me if you know what's wrong.</t>
      </text>
    </comment>
    <comment authorId="0" ref="N46">
      <text>
        <t xml:space="preserve">Might be off if using Enchanted Egg upgrade cause those only stack to 16 per slot instead of 64, reducing the final minion storage amount</t>
      </text>
    </comment>
  </commentList>
</comments>
</file>

<file path=xl/comments10.xml><?xml version="1.0" encoding="utf-8"?>
<comments xmlns:r="http://schemas.openxmlformats.org/officeDocument/2006/relationships" xmlns="http://schemas.openxmlformats.org/spreadsheetml/2006/main">
  <authors>
    <author/>
  </authors>
  <commentList>
    <comment authorId="0" ref="J2">
      <text>
        <t xml:space="preserve">Estimated time for a single minion to be able to upgrade itself with no fuel or bonuses.</t>
      </text>
    </comment>
    <comment authorId="0" ref="T2">
      <text>
        <t xml:space="preserve">Estimated time for a single minion to be able to upgrade itself with no fuel or bonuses.</t>
      </text>
    </comment>
    <comment authorId="0" ref="J15">
      <text>
        <t xml:space="preserve">Estimated time for a single minion to be able to upgrade itself with no fuel or bonuses.</t>
      </text>
    </comment>
    <comment authorId="0" ref="T15">
      <text>
        <t xml:space="preserve">Estimated time for a single minion to be able to upgrade itself with no fuel or bonuses.</t>
      </text>
    </comment>
    <comment authorId="0" ref="J28">
      <text>
        <t xml:space="preserve">Estimated time for a single minion to be able to upgrade itself with no fuel or bonuses.</t>
      </text>
    </comment>
    <comment authorId="0" ref="T28">
      <text>
        <t xml:space="preserve">Estimated time for a single minion to be able to upgrade itself with no fuel or bonuses.</t>
      </text>
    </comment>
    <comment authorId="0" ref="J41">
      <text>
        <t xml:space="preserve">Estimated time for a single minion to be able to upgrade itself with no fuel or bonuses.</t>
      </text>
    </comment>
    <comment authorId="0" ref="T41">
      <text>
        <t xml:space="preserve">Estimated time for a single minion to be able to upgrade itself with no fuel or bonuses.</t>
      </text>
    </comment>
    <comment authorId="0" ref="J54">
      <text>
        <t xml:space="preserve">Estimated time for a single minion to be able to upgrade itself with no fuel or bonuses.</t>
      </text>
    </comment>
    <comment authorId="0" ref="T54">
      <text>
        <t xml:space="preserve">Estimated time for a single minion to be able to upgrade itself with no fuel or bonuses.</t>
      </text>
    </comment>
    <comment authorId="0" ref="J67">
      <text>
        <t xml:space="preserve">Estimated time for a single minion to be able to upgrade itself with no fuel or bonuses.</t>
      </text>
    </comment>
    <comment authorId="0" ref="T67">
      <text>
        <t xml:space="preserve">Estimated time for a single minion to be able to upgrade itself with no fuel or bonuses.</t>
      </text>
    </comment>
    <comment authorId="0" ref="J80">
      <text>
        <t xml:space="preserve">Estimated time for a single minion to be able to upgrade itself with no fuel or bonuses.</t>
      </text>
    </comment>
    <comment authorId="0" ref="T80">
      <text>
        <t xml:space="preserve">Estimated time for a single minion to be able to upgrade itself with no fuel or bonuses.</t>
      </text>
    </comment>
    <comment authorId="0" ref="J93">
      <text>
        <t xml:space="preserve">Estimated time for a single minion to be able to upgrade itself with no fuel or bonuses.</t>
      </text>
    </comment>
    <comment authorId="0" ref="T93">
      <text>
        <t xml:space="preserve">Estimated time for a single minion to be able to upgrade itself with no fuel or bonuses.</t>
      </text>
    </comment>
    <comment authorId="0" ref="J106">
      <text>
        <t xml:space="preserve">Estimated time for a single minion to be able to upgrade itself with no fuel or bonuses.</t>
      </text>
    </comment>
    <comment authorId="0" ref="T106">
      <text>
        <t xml:space="preserve">Estimated time for a single minion to be able to upgrade itself with no fuel or bonuses.</t>
      </text>
    </comment>
    <comment authorId="0" ref="J119">
      <text>
        <t xml:space="preserve">Estimated time for a single minion to be able to upgrade itself with no fuel or bonuses.</t>
      </text>
    </comment>
    <comment authorId="0" ref="T119">
      <text>
        <t xml:space="preserve">Estimated time for a single minion to be able to upgrade itself with no fuel or bonuses.</t>
      </text>
    </comment>
    <comment authorId="0" ref="J132">
      <text>
        <t xml:space="preserve">Estimated time for a single minion to be able to upgrade itself with no fuel or bonuses.</t>
      </text>
    </comment>
    <comment authorId="0" ref="T132">
      <text>
        <t xml:space="preserve">Estimated time for a single minion to be able to upgrade itself with no fuel or bonuses.</t>
      </text>
    </comment>
    <comment authorId="0" ref="J145">
      <text>
        <t xml:space="preserve">Estimated time for a single minion to be able to upgrade itself with no fuel or bonuses.</t>
      </text>
    </comment>
    <comment authorId="0" ref="T145">
      <text>
        <t xml:space="preserve">Estimated time for a single minion to be able to upgrade itself with no fuel or bonuses.</t>
      </text>
    </comment>
    <comment authorId="0" ref="J158">
      <text>
        <t xml:space="preserve">Estimated time for a single minion to be able to upgrade itself with no fuel or bonuses.</t>
      </text>
    </comment>
    <comment authorId="0" ref="T158">
      <text>
        <t xml:space="preserve">Estimated time for a single minion to be able to upgrade itself with no fuel or bonuses.</t>
      </text>
    </comment>
    <comment authorId="0" ref="J171">
      <text>
        <t xml:space="preserve">Estimated time for a single minion to be able to upgrade itself with no fuel or bonuses.</t>
      </text>
    </comment>
    <comment authorId="0" ref="T171">
      <text>
        <t xml:space="preserve">Estimated time for a single minion to be able to upgrade itself with no fuel or bonuses.</t>
      </text>
    </comment>
    <comment authorId="0" ref="J184">
      <text>
        <t xml:space="preserve">Estimated time for a single minion to be able to upgrade itself with no fuel or bonuses.</t>
      </text>
    </comment>
    <comment authorId="0" ref="T184">
      <text>
        <t xml:space="preserve">Estimated time for a single minion to be able to upgrade itself with no fuel or bonuses.</t>
      </text>
    </comment>
    <comment authorId="0" ref="J197">
      <text>
        <t xml:space="preserve">Estimated time for a single minion to be able to upgrade itself with no fuel or bonuses.</t>
      </text>
    </comment>
    <comment authorId="0" ref="T197">
      <text>
        <t xml:space="preserve">Estimated time for a single minion to be able to upgrade itself with no fuel or bonuses.</t>
      </text>
    </comment>
    <comment authorId="0" ref="J210">
      <text>
        <t xml:space="preserve">Estimated time for a single minion to be able to upgrade itself with no fuel or bonuses.</t>
      </text>
    </comment>
    <comment authorId="0" ref="T210">
      <text>
        <t xml:space="preserve">Estimated time for a single minion to be able to upgrade itself with no fuel or bonuses.</t>
      </text>
    </comment>
    <comment authorId="0" ref="J223">
      <text>
        <t xml:space="preserve">Estimated time for a single minion to be able to upgrade itself with no fuel or bonuses.</t>
      </text>
    </comment>
    <comment authorId="0" ref="T223">
      <text>
        <t xml:space="preserve">Estimated time for a single minion to be able to upgrade itself with no fuel or bonuses.</t>
      </text>
    </comment>
    <comment authorId="0" ref="J236">
      <text>
        <t xml:space="preserve">Estimated time for a single minion to be able to upgrade itself with no fuel or bonuses.</t>
      </text>
    </comment>
    <comment authorId="0" ref="T236">
      <text>
        <t xml:space="preserve">Estimated time for a single minion to be able to upgrade itself with no fuel or bonuses.</t>
      </text>
    </comment>
    <comment authorId="0" ref="J249">
      <text>
        <t xml:space="preserve">Estimated time for a single minion to be able to upgrade itself with no fuel or bonuses.</t>
      </text>
    </comment>
    <comment authorId="0" ref="T249">
      <text>
        <t xml:space="preserve">Estimated time for a single minion to be able to upgrade itself with no fuel or bonuses.</t>
      </text>
    </comment>
    <comment authorId="0" ref="J262">
      <text>
        <t xml:space="preserve">Estimated time for a single minion to be able to upgrade itself with no fuel or bonuses.</t>
      </text>
    </comment>
    <comment authorId="0" ref="T262">
      <text>
        <t xml:space="preserve">Estimated time for a single minion to be able to upgrade itself with no fuel or bonuses.</t>
      </text>
    </comment>
    <comment authorId="0" ref="J275">
      <text>
        <t xml:space="preserve">Estimated time for a single minion to be able to upgrade itself with no fuel or bonuses.</t>
      </text>
    </comment>
    <comment authorId="0" ref="T275">
      <text>
        <t xml:space="preserve">Estimated time for a single minion to be able to upgrade itself with no fuel or bonuses.</t>
      </text>
    </comment>
    <comment authorId="0" ref="J288">
      <text>
        <t xml:space="preserve">Estimated time for a single minion to be able to upgrade itself with no fuel or bonuses.</t>
      </text>
    </comment>
    <comment authorId="0" ref="T288">
      <text>
        <t xml:space="preserve">Estimated time for a single minion to be able to upgrade itself with no fuel or bonuses.</t>
      </text>
    </comment>
    <comment authorId="0" ref="J301">
      <text>
        <t xml:space="preserve">Estimated time for a single minion to be able to upgrade itself with no fuel or bonuses.</t>
      </text>
    </comment>
    <comment authorId="0" ref="J314">
      <text>
        <t xml:space="preserve">Estimated time for a single minion to be able to upgrade itself with no fuel or bonuses.</t>
      </text>
    </comment>
    <comment authorId="0" ref="J327">
      <text>
        <t xml:space="preserve">Estimated time for a single minion to be able to upgrade itself with no fuel or bonuses.</t>
      </text>
    </comment>
    <comment authorId="0" ref="J340">
      <text>
        <t xml:space="preserve">Estimated time for a single minion to be able to upgrade itself with no fuel or bonuses.</t>
      </text>
    </comment>
    <comment authorId="0" ref="J353">
      <text>
        <t xml:space="preserve">Estimated time for a single minion to be able to upgrade itself with no fuel or bonuses.</t>
      </text>
    </comment>
    <comment authorId="0" ref="J363">
      <text>
        <t xml:space="preserve">This assumes Poppies are as common as Dandelions</t>
      </text>
    </comment>
    <comment authorId="0" ref="J366">
      <text>
        <t xml:space="preserve">Estimated time for a single minion to be able to upgrade itself with no fuel or bonuses.</t>
      </text>
    </comment>
    <comment authorId="0" ref="J379">
      <text>
        <t xml:space="preserve">Estimated time for a single minion to be able to upgrade itself with no fuel or bonuses.</t>
      </text>
    </comment>
  </commentList>
</comments>
</file>

<file path=xl/comments11.xml><?xml version="1.0" encoding="utf-8"?>
<comments xmlns:r="http://schemas.openxmlformats.org/officeDocument/2006/relationships" xmlns="http://schemas.openxmlformats.org/spreadsheetml/2006/main">
  <authors>
    <author/>
  </authors>
  <commentList>
    <comment authorId="0" ref="AL2">
      <text>
        <t xml:space="preserve">ROUGH ESTIMATE</t>
      </text>
    </comment>
    <comment authorId="0" ref="AP3">
      <text>
        <t xml:space="preserve">The amount of coins you would have gained if you sold all these resources instead of using them to upgrade your minion.
-&gt; Note: minons that take different materials to upgrade will use rough estimates. Cow/rabbit/etc minions might be off by up to 30% in potential-coins at some tiers.
-&gt; MIGHT BE QUITE OFF due to the above</t>
      </text>
    </comment>
    <comment authorId="0" ref="S45">
      <text>
        <t xml:space="preserve">Slightly off (too cheap) for T10/11 cost, I'm lazy to fix bc it's complicated</t>
      </text>
    </comment>
    <comment authorId="0" ref="S49">
      <text>
        <t xml:space="preserve">Slightly off (too expensive) for tiers 1-4 cost, I'm lazy to fix bc it's complicated</t>
      </text>
    </comment>
  </commentList>
</comments>
</file>

<file path=xl/sharedStrings.xml><?xml version="1.0" encoding="utf-8"?>
<sst xmlns="http://schemas.openxmlformats.org/spreadsheetml/2006/main" count="3782" uniqueCount="607">
  <si>
    <t>How to use</t>
  </si>
  <si>
    <t>This tab will let you import your minion tiers for Minion Checker directly from the
Hypixel API by accessing Mat's or Lea's websites.
To use it, simply type a Minecraft Username below, pick a profile
from the dropdown and the minions should appear.
Deleting and re-typing username will refresh data.
Once you do that and enable the checkbox, the spreadsheet will start using the minion tiers
from the API instead of the ones you wrote in Minion Checker.</t>
  </si>
  <si>
    <t>Credits</t>
  </si>
  <si>
    <t>Spreadsheet made by TBlazeWarriorT. Do not remove this message.
You are free to modify, update and redistribute this spreadsheet as long as proper credit is given.</t>
  </si>
  <si>
    <t>Import Stats From</t>
  </si>
  <si>
    <t>sky.shiiyu.moe</t>
  </si>
  <si>
    <t>Toggle to Refresh Stats</t>
  </si>
  <si>
    <t>MC Username
(Write here!)</t>
  </si>
  <si>
    <t>SkyBlock
Profile</t>
  </si>
  <si>
    <t>Use Minion Tiers from the API in Minion Checker
(disables manually editing them!)</t>
  </si>
  <si>
    <t>CreepyMino</t>
  </si>
  <si>
    <t>Cucumber</t>
  </si>
  <si>
    <t>Profiles</t>
  </si>
  <si>
    <t>Members</t>
  </si>
  <si>
    <t>Minions</t>
  </si>
  <si>
    <t>Max Tier</t>
  </si>
  <si>
    <t>This importer is powered by</t>
  </si>
  <si>
    <t>Connection Status:</t>
  </si>
  <si>
    <t>Click the Minion Checker tab below for more.
There's nothing else here! Go away!</t>
  </si>
  <si>
    <t>VIEW-ONLY TAB! Don't edit anything here</t>
  </si>
  <si>
    <t>USERNAME</t>
  </si>
  <si>
    <t>PROFILE</t>
  </si>
  <si>
    <t>skyblock.matdoes.dev</t>
  </si>
  <si>
    <t>Connection Status</t>
  </si>
  <si>
    <t>Profile List</t>
  </si>
  <si>
    <t>Formatted Profile List</t>
  </si>
  <si>
    <t>Imported Minions (Raw)</t>
  </si>
  <si>
    <t>Raw Names</t>
  </si>
  <si>
    <t>Imported Minions</t>
  </si>
  <si>
    <t>Cobblestone</t>
  </si>
  <si>
    <t>Obsidian</t>
  </si>
  <si>
    <t>Glowstone</t>
  </si>
  <si>
    <t>Gravel</t>
  </si>
  <si>
    <t>Sand</t>
  </si>
  <si>
    <t>Clay</t>
  </si>
  <si>
    <t>Ice</t>
  </si>
  <si>
    <t>Snow</t>
  </si>
  <si>
    <t>Coal</t>
  </si>
  <si>
    <t>Iron</t>
  </si>
  <si>
    <t>Gold</t>
  </si>
  <si>
    <t>Diamond</t>
  </si>
  <si>
    <t>Lapis</t>
  </si>
  <si>
    <t>Redstone</t>
  </si>
  <si>
    <t>Emerald</t>
  </si>
  <si>
    <t>Quartz</t>
  </si>
  <si>
    <t>Ender Stone</t>
  </si>
  <si>
    <t>Ender_Stone</t>
  </si>
  <si>
    <t>Wheat</t>
  </si>
  <si>
    <t>Melon</t>
  </si>
  <si>
    <t>Pumpkin</t>
  </si>
  <si>
    <t>Carrot</t>
  </si>
  <si>
    <t>Potato</t>
  </si>
  <si>
    <t>Mushroom</t>
  </si>
  <si>
    <t>Cactus</t>
  </si>
  <si>
    <t>Cocoa</t>
  </si>
  <si>
    <t>Sugar Cane</t>
  </si>
  <si>
    <t>Sugar_Cane</t>
  </si>
  <si>
    <t>Nether Warts</t>
  </si>
  <si>
    <t>Nether_Warts</t>
  </si>
  <si>
    <t>Flower</t>
  </si>
  <si>
    <t>Fishing</t>
  </si>
  <si>
    <t>Zombie</t>
  </si>
  <si>
    <t>Revenant</t>
  </si>
  <si>
    <t>Skeleton</t>
  </si>
  <si>
    <t>Creeper</t>
  </si>
  <si>
    <t>Spider</t>
  </si>
  <si>
    <t>Tarantula</t>
  </si>
  <si>
    <t>CaveSpider</t>
  </si>
  <si>
    <t>Blaze</t>
  </si>
  <si>
    <t>Magma Cube</t>
  </si>
  <si>
    <t>Magma_Cube</t>
  </si>
  <si>
    <t>Enderman</t>
  </si>
  <si>
    <t>Ghast</t>
  </si>
  <si>
    <t>Slime</t>
  </si>
  <si>
    <t>Cow</t>
  </si>
  <si>
    <t>Pig</t>
  </si>
  <si>
    <t>Chicken</t>
  </si>
  <si>
    <t>Sheep</t>
  </si>
  <si>
    <t>Rabbit</t>
  </si>
  <si>
    <t>Oak</t>
  </si>
  <si>
    <t>Spruce</t>
  </si>
  <si>
    <t>Birch</t>
  </si>
  <si>
    <t>Dark Oak</t>
  </si>
  <si>
    <t>Dark_Oak</t>
  </si>
  <si>
    <t>Acacia</t>
  </si>
  <si>
    <t>Jungle</t>
  </si>
  <si>
    <t>Mithril</t>
  </si>
  <si>
    <t>USE API?</t>
  </si>
  <si>
    <t>Your Unique Tiers</t>
  </si>
  <si>
    <t>Max Total
Unique Tiers</t>
  </si>
  <si>
    <t>Progress%</t>
  </si>
  <si>
    <t>Current Minion Slots</t>
  </si>
  <si>
    <t>Upgrades Until Next Slot</t>
  </si>
  <si>
    <t>Cheapest Advertisement</t>
  </si>
  <si>
    <t>Another Ad Because I made a Bank Loan</t>
  </si>
  <si>
    <t>Hover over me for
known in-game bugs</t>
  </si>
  <si>
    <t>BAZAAR?</t>
  </si>
  <si>
    <t>All Minions</t>
  </si>
  <si>
    <t>Fastest Upgrades</t>
  </si>
  <si>
    <t>Cheapest Upgrades</t>
  </si>
  <si>
    <t>Budget Upgrades</t>
  </si>
  <si>
    <t>Minion</t>
  </si>
  <si>
    <t>Fuel Bonus
(Write here!)</t>
  </si>
  <si>
    <t>Arabic</t>
  </si>
  <si>
    <t>Your Tier</t>
  </si>
  <si>
    <t>Upgrade Cost</t>
  </si>
  <si>
    <t>ETA to
Self-Upgrade</t>
  </si>
  <si>
    <t>NPC Buy Price</t>
  </si>
  <si>
    <t>Bazaar Avg. Price</t>
  </si>
  <si>
    <t>Your Tier (Raw)</t>
  </si>
  <si>
    <t>Your Tier (Arabic)</t>
  </si>
  <si>
    <t>Coins "Saved"
Per Hour</t>
  </si>
  <si>
    <t>∅</t>
  </si>
  <si>
    <t/>
  </si>
  <si>
    <t>X</t>
  </si>
  <si>
    <t>Cocoa Beans</t>
  </si>
  <si>
    <t>Nether Wart</t>
  </si>
  <si>
    <t>End Stone</t>
  </si>
  <si>
    <t>Cave Spider</t>
  </si>
  <si>
    <t>Fish</t>
  </si>
  <si>
    <t>N/A</t>
  </si>
  <si>
    <t>Resource</t>
  </si>
  <si>
    <t>Your Minions' Tiers
(Write here!)</t>
  </si>
  <si>
    <t>Minions Amount
(Write here!)</t>
  </si>
  <si>
    <t>Diamond Spreading</t>
  </si>
  <si>
    <t>Base Minion Delay</t>
  </si>
  <si>
    <t>Final Minion Delay</t>
  </si>
  <si>
    <t>Item 1
Amount</t>
  </si>
  <si>
    <t>Item 2
Amount</t>
  </si>
  <si>
    <t>Item 3
Amount</t>
  </si>
  <si>
    <t>Main Res./h</t>
  </si>
  <si>
    <t>Items/h</t>
  </si>
  <si>
    <t>Your Production
(Based on Offline minions!)</t>
  </si>
  <si>
    <t>Item 1
NPC Val.</t>
  </si>
  <si>
    <t>Item 2
NPC Val.</t>
  </si>
  <si>
    <t>Item 3
NPC Val.</t>
  </si>
  <si>
    <t>NPC Coins
/Action</t>
  </si>
  <si>
    <t>Actions/h</t>
  </si>
  <si>
    <t>Coins Per Hour
If Sold to NPC</t>
  </si>
  <si>
    <t>Main Drops' Avg.
Bazaar Price</t>
  </si>
  <si>
    <t>Bazaar Coins
/Action</t>
  </si>
  <si>
    <t>Coins Per Hour
If Sold on Bazaar</t>
  </si>
  <si>
    <t>Best Seller Minions</t>
  </si>
  <si>
    <t>Glowstone Dust</t>
  </si>
  <si>
    <t>Flint</t>
  </si>
  <si>
    <t>Snowballs</t>
  </si>
  <si>
    <t>Melon Slice</t>
  </si>
  <si>
    <t>Rotten Flesh</t>
  </si>
  <si>
    <t>Bone</t>
  </si>
  <si>
    <t>Gunpowder</t>
  </si>
  <si>
    <t>String</t>
  </si>
  <si>
    <t>Spider Eye</t>
  </si>
  <si>
    <t>Blaze Rod</t>
  </si>
  <si>
    <t>Magma Cream</t>
  </si>
  <si>
    <t>Ender Pearl</t>
  </si>
  <si>
    <t>Ghast Tear</t>
  </si>
  <si>
    <t>Slimeball</t>
  </si>
  <si>
    <t>Raw Beef</t>
  </si>
  <si>
    <t>Raw Porkchop</t>
  </si>
  <si>
    <t>Raw Chicken</t>
  </si>
  <si>
    <t>Raw Mutton</t>
  </si>
  <si>
    <t>Raw Rabbit</t>
  </si>
  <si>
    <t>Oak Wood</t>
  </si>
  <si>
    <t>Spruce Wood</t>
  </si>
  <si>
    <t>Birch Wood</t>
  </si>
  <si>
    <t>Dark Oak Wood</t>
  </si>
  <si>
    <t>Acacia Wood</t>
  </si>
  <si>
    <t>Jungle Wood</t>
  </si>
  <si>
    <t>This is a more advanced spreadsheet tab for maximizing the profits of a particular minion.
By filling the green fields below, you should be able to pinpoint what fuel and upgrades give you the most profit for each minion.</t>
  </si>
  <si>
    <t>Minion ID</t>
  </si>
  <si>
    <t>Minion Tier</t>
  </si>
  <si>
    <t>Fuel</t>
  </si>
  <si>
    <t>Upgrade 1</t>
  </si>
  <si>
    <t>Upgrade 2</t>
  </si>
  <si>
    <r>
      <rPr>
        <rFont val="Roboto"/>
        <b/>
      </rPr>
      <t xml:space="preserve">Final Speed Boost
</t>
    </r>
    <r>
      <rPr>
        <rFont val="Roboto"/>
        <b/>
        <sz val="6.0"/>
      </rPr>
      <t>(might be wrong)</t>
    </r>
  </si>
  <si>
    <t>XI</t>
  </si>
  <si>
    <t>Enchanted Lava Bucket</t>
  </si>
  <si>
    <t>Flycatcher</t>
  </si>
  <si>
    <t>Total Items/h</t>
  </si>
  <si>
    <t>NPC
Coins/Action</t>
  </si>
  <si>
    <t>Coins/h If Sold
to NPC</t>
  </si>
  <si>
    <t>Bazaar
Coins/Action</t>
  </si>
  <si>
    <t>Coins/h If Sold
on Bazaar</t>
  </si>
  <si>
    <t>Fuel Boost</t>
  </si>
  <si>
    <t>Fuel Cost/h</t>
  </si>
  <si>
    <t>Your Production</t>
  </si>
  <si>
    <t>Coins/day
If Sold to NPC</t>
  </si>
  <si>
    <t>Coins/day
If Sold on Bazaar</t>
  </si>
  <si>
    <t>Item 1
Bazaar Val.</t>
  </si>
  <si>
    <t>Item 2
Bazaar Val.</t>
  </si>
  <si>
    <t>Item 3
Bazaar Val.</t>
  </si>
  <si>
    <t>Data Table</t>
  </si>
  <si>
    <t>Eff. Boost</t>
  </si>
  <si>
    <t>Duration (h)</t>
  </si>
  <si>
    <t>Price on bazaar</t>
  </si>
  <si>
    <t>Price/h</t>
  </si>
  <si>
    <t>Upgrades</t>
  </si>
  <si>
    <t>Option 1</t>
  </si>
  <si>
    <t>Option 2</t>
  </si>
  <si>
    <t>I might add an "AFK Grinder?" checkbox
to this tab later, probably</t>
  </si>
  <si>
    <t>Block of Coal</t>
  </si>
  <si>
    <t>Enchanted Egg</t>
  </si>
  <si>
    <t>Fuel ID</t>
  </si>
  <si>
    <t>Enchanted Bread</t>
  </si>
  <si>
    <t>Expander</t>
  </si>
  <si>
    <t>Enchanted Coal</t>
  </si>
  <si>
    <t>Enchanted Charcoal</t>
  </si>
  <si>
    <t>Any Other</t>
  </si>
  <si>
    <t>Tier ID 1</t>
  </si>
  <si>
    <t>Solar Panel</t>
  </si>
  <si>
    <t>Upgrade</t>
  </si>
  <si>
    <t>Equipped</t>
  </si>
  <si>
    <t>Diamond Value</t>
  </si>
  <si>
    <t>Hamster Wheel</t>
  </si>
  <si>
    <t>Speed Boost</t>
  </si>
  <si>
    <t>Tier ID 2</t>
  </si>
  <si>
    <t>Foul Flesh</t>
  </si>
  <si>
    <t>Catalyst</t>
  </si>
  <si>
    <t>Hyper Catalyst</t>
  </si>
  <si>
    <t>Magma Bucket</t>
  </si>
  <si>
    <t>-</t>
  </si>
  <si>
    <t>Plasma Bucket</t>
  </si>
  <si>
    <t>~Price on bazaar</t>
  </si>
  <si>
    <t>Minion Expander</t>
  </si>
  <si>
    <t>Bazaar API Averages</t>
  </si>
  <si>
    <t>NPC Buy Cost 1</t>
  </si>
  <si>
    <t>NPC Buy Cost 2</t>
  </si>
  <si>
    <t>Bazaar Value 1</t>
  </si>
  <si>
    <t>Bazaar Value 2</t>
  </si>
  <si>
    <t>Bazaar Value 3</t>
  </si>
  <si>
    <t>Bazaar vs NPC Values</t>
  </si>
  <si>
    <t>Coins from 10 stack resell at Bazaar</t>
  </si>
  <si>
    <t>Enchanted Cobblestone</t>
  </si>
  <si>
    <t>Enchanted Obsidian</t>
  </si>
  <si>
    <t>E. Obsidian</t>
  </si>
  <si>
    <t>Enchanted Glowstone Dust</t>
  </si>
  <si>
    <t>E. Glowstone Dust</t>
  </si>
  <si>
    <t>Enchanted Glowstone</t>
  </si>
  <si>
    <t>E. Glowstone</t>
  </si>
  <si>
    <t>Enchanted Flint</t>
  </si>
  <si>
    <t>E. Flint</t>
  </si>
  <si>
    <t>Enchanted Sand</t>
  </si>
  <si>
    <t>E. Sand</t>
  </si>
  <si>
    <t>Clay Ball</t>
  </si>
  <si>
    <t>Enchanted Clay</t>
  </si>
  <si>
    <t>E. Clay</t>
  </si>
  <si>
    <t>Packed Ice</t>
  </si>
  <si>
    <t>Enchanted Ice</t>
  </si>
  <si>
    <t>E. Ice</t>
  </si>
  <si>
    <t>Snowball</t>
  </si>
  <si>
    <t>Snow Block</t>
  </si>
  <si>
    <t>Enchanted Snow Block</t>
  </si>
  <si>
    <t>E. Snow Block</t>
  </si>
  <si>
    <t>E. Coal</t>
  </si>
  <si>
    <t>E. Block of Coal</t>
  </si>
  <si>
    <t>Iron Ingot</t>
  </si>
  <si>
    <t>E. Iron</t>
  </si>
  <si>
    <t>Enchanted Iron Block</t>
  </si>
  <si>
    <t>E. Iron Block</t>
  </si>
  <si>
    <t>Gold Ingot</t>
  </si>
  <si>
    <t>E. Gold</t>
  </si>
  <si>
    <t>Enchanted Gold Block</t>
  </si>
  <si>
    <t>E. Gold Block</t>
  </si>
  <si>
    <t>Enchanted Diamond</t>
  </si>
  <si>
    <t>E. Diamond</t>
  </si>
  <si>
    <t>Enchanted Diamond Block</t>
  </si>
  <si>
    <t>E. Diamond Block</t>
  </si>
  <si>
    <t>Lapis Lazuli</t>
  </si>
  <si>
    <t>Enchanted Lapis Lazuli</t>
  </si>
  <si>
    <t>E. Lapis Lazuli</t>
  </si>
  <si>
    <t>Enchanted Lapis Block</t>
  </si>
  <si>
    <t>E. Lapis Block</t>
  </si>
  <si>
    <t>Enchanted Redstone</t>
  </si>
  <si>
    <t>E. Redstone</t>
  </si>
  <si>
    <t>Enchanted Redstone Block</t>
  </si>
  <si>
    <t>E. Redstone Block</t>
  </si>
  <si>
    <t>Enchanted Emerald</t>
  </si>
  <si>
    <t>E. Emerald</t>
  </si>
  <si>
    <t>Enchanted Emerald Block</t>
  </si>
  <si>
    <t>E. Emerald Block</t>
  </si>
  <si>
    <t>Quartz Block</t>
  </si>
  <si>
    <t>Nether Quartz</t>
  </si>
  <si>
    <t>Enchanted Quartz</t>
  </si>
  <si>
    <t>E. Quartz</t>
  </si>
  <si>
    <t>Enchanted Quartz Block</t>
  </si>
  <si>
    <t>E. Quartz Block</t>
  </si>
  <si>
    <t>Enchanted End Stone</t>
  </si>
  <si>
    <t>E. End Stone</t>
  </si>
  <si>
    <t>Hay Bale</t>
  </si>
  <si>
    <t>E. Hay Bale</t>
  </si>
  <si>
    <t>E. Melon</t>
  </si>
  <si>
    <t>Enchanted Melon Block</t>
  </si>
  <si>
    <t>E. Melon Block</t>
  </si>
  <si>
    <t>Enchanted Pumpkin</t>
  </si>
  <si>
    <t>E. Pumpkin</t>
  </si>
  <si>
    <t>Enchanted Carrot</t>
  </si>
  <si>
    <t>E. Carrot</t>
  </si>
  <si>
    <t>Enchanted Golden Carrot</t>
  </si>
  <si>
    <t>E. Golden Carrot</t>
  </si>
  <si>
    <t>Enchanted Potato</t>
  </si>
  <si>
    <t>E. Potato</t>
  </si>
  <si>
    <t>Enchanted Baked Potato</t>
  </si>
  <si>
    <t>E. Baked Potato</t>
  </si>
  <si>
    <t>Red Mushroom</t>
  </si>
  <si>
    <t>Enchanted Red Mushroom</t>
  </si>
  <si>
    <t>E. Red Mushroom</t>
  </si>
  <si>
    <t>Enchanted Red Mushroom Block</t>
  </si>
  <si>
    <t>E. Red Mushroom Block</t>
  </si>
  <si>
    <t>E. Cactus Green</t>
  </si>
  <si>
    <t>Enchanted Cactus</t>
  </si>
  <si>
    <t>E. Cactus</t>
  </si>
  <si>
    <t>Enchanted Cocoa Beans</t>
  </si>
  <si>
    <t>E. Cocoa Beans</t>
  </si>
  <si>
    <t>Enchanted Sugar</t>
  </si>
  <si>
    <t>E. Sugar</t>
  </si>
  <si>
    <t>Enchanted Sugar Cane</t>
  </si>
  <si>
    <t>E. Sugar Cane</t>
  </si>
  <si>
    <t>Enchanted Nether Wart</t>
  </si>
  <si>
    <t>E. Nether Wart</t>
  </si>
  <si>
    <t>Flowers</t>
  </si>
  <si>
    <t>Cod</t>
  </si>
  <si>
    <t>Raw Fish</t>
  </si>
  <si>
    <t>E. Raw Fish</t>
  </si>
  <si>
    <t>Enchanted Cooked Fish</t>
  </si>
  <si>
    <t>E. Cooked Fish</t>
  </si>
  <si>
    <t>Enchanted Rotten Flesh</t>
  </si>
  <si>
    <t>E. Rotten Flesh</t>
  </si>
  <si>
    <t>Revenant Flesh</t>
  </si>
  <si>
    <t>Revenant Viscera</t>
  </si>
  <si>
    <t>Enchanted Bone</t>
  </si>
  <si>
    <t>E. Bone</t>
  </si>
  <si>
    <t>Enchanted Gunpowder</t>
  </si>
  <si>
    <t>E. Gunpowder</t>
  </si>
  <si>
    <t>Enchanted Firework Rocket</t>
  </si>
  <si>
    <t>E. Firework Rocket</t>
  </si>
  <si>
    <t>Enchanted String</t>
  </si>
  <si>
    <t>E. String</t>
  </si>
  <si>
    <t>Tarantula Web</t>
  </si>
  <si>
    <t>Tarantula Silk</t>
  </si>
  <si>
    <t>Enchanted Spider Eye</t>
  </si>
  <si>
    <t>E. Spider Eye</t>
  </si>
  <si>
    <t>Enchanted Fermented Spider Eye</t>
  </si>
  <si>
    <t>E. Fermented Spider Eye</t>
  </si>
  <si>
    <t>Enchanted Blaze Powder</t>
  </si>
  <si>
    <t>E. Blaze Powder</t>
  </si>
  <si>
    <t>Enchanted Blaze Rod</t>
  </si>
  <si>
    <t>E. Blaze Rod</t>
  </si>
  <si>
    <t>Enchanted Magma Cream</t>
  </si>
  <si>
    <t>E. Magma Cream</t>
  </si>
  <si>
    <t>Enchanted Ender Pearl</t>
  </si>
  <si>
    <t>E. Ender Pearl</t>
  </si>
  <si>
    <t>E. Eye of Ender</t>
  </si>
  <si>
    <t>Enchanted Ghast Tear</t>
  </si>
  <si>
    <t>E. Ghast Tear</t>
  </si>
  <si>
    <t>Slime Ball</t>
  </si>
  <si>
    <t>E. Slimeball</t>
  </si>
  <si>
    <t>Enchanted Slime Block</t>
  </si>
  <si>
    <t>E. Slime Block</t>
  </si>
  <si>
    <t>Beef</t>
  </si>
  <si>
    <t>E. Raw Beef</t>
  </si>
  <si>
    <t>Enchanted Leather</t>
  </si>
  <si>
    <t>E. Leather</t>
  </si>
  <si>
    <t>Porkchop</t>
  </si>
  <si>
    <t>Enchanted Pork</t>
  </si>
  <si>
    <t>E. Pork</t>
  </si>
  <si>
    <t>Enchanted Cooked Pork</t>
  </si>
  <si>
    <t>E. Cooked Pork</t>
  </si>
  <si>
    <t>E. Raw Chicken</t>
  </si>
  <si>
    <t>Mutton</t>
  </si>
  <si>
    <t>Enchanted Mutton</t>
  </si>
  <si>
    <t>E. Mutton</t>
  </si>
  <si>
    <t>Enchanted Cooked Mutton</t>
  </si>
  <si>
    <t>E. Cooked Mutton</t>
  </si>
  <si>
    <t>Rabbit's Foot</t>
  </si>
  <si>
    <t>Enchanted Rabbit Foot</t>
  </si>
  <si>
    <t>E. Rabbit Foot</t>
  </si>
  <si>
    <t>Enchanted Rabbit Hide</t>
  </si>
  <si>
    <t>E. Rabbit Hide</t>
  </si>
  <si>
    <t>E. Oak Wood</t>
  </si>
  <si>
    <t>E. Spruce Wood</t>
  </si>
  <si>
    <t>E. Birch Wood</t>
  </si>
  <si>
    <t>E. Dark Oak Wood</t>
  </si>
  <si>
    <t>E. Acacia Wood</t>
  </si>
  <si>
    <t>E. Jungle Wood</t>
  </si>
  <si>
    <t>Enchanted Mithril</t>
  </si>
  <si>
    <t>E. Mithril</t>
  </si>
  <si>
    <t>Refined Mithril</t>
  </si>
  <si>
    <t>Coal (4.5 Coins)</t>
  </si>
  <si>
    <t>Minion Resource 1</t>
  </si>
  <si>
    <t>Minion Resource 2</t>
  </si>
  <si>
    <t>Minion Resource 3</t>
  </si>
  <si>
    <t>Reload Bazaar</t>
  </si>
  <si>
    <t>Iron (5.5 Coins)</t>
  </si>
  <si>
    <t>Import Prices From</t>
  </si>
  <si>
    <t>Gold (6 coins)</t>
  </si>
  <si>
    <t>Total:</t>
  </si>
  <si>
    <t>Brown Mushroom</t>
  </si>
  <si>
    <t>Leather</t>
  </si>
  <si>
    <t>Feather</t>
  </si>
  <si>
    <t>Egg</t>
  </si>
  <si>
    <t>Rabbit Hide</t>
  </si>
  <si>
    <t>This spreadsheet tab has the goal of letting you calculate god splash potion costs, from either buying from bazaar or grinding the materials using minions.</t>
  </si>
  <si>
    <t>Potion</t>
  </si>
  <si>
    <t>Main Material</t>
  </si>
  <si>
    <t>Base Tier</t>
  </si>
  <si>
    <t>Final Potion Tier</t>
  </si>
  <si>
    <t>Mat Cost</t>
  </si>
  <si>
    <t>Glowstone Cost</t>
  </si>
  <si>
    <t>Redstone Cost</t>
  </si>
  <si>
    <t>Final Pot Cost</t>
  </si>
  <si>
    <t>Pot ID</t>
  </si>
  <si>
    <t>Pot Base ID</t>
  </si>
  <si>
    <t>Pot Tier ID</t>
  </si>
  <si>
    <t>Bazaar Cost</t>
  </si>
  <si>
    <t>Base Mat</t>
  </si>
  <si>
    <t>Mat</t>
  </si>
  <si>
    <t>Adrenaline</t>
  </si>
  <si>
    <t>V</t>
  </si>
  <si>
    <t>E. Redstone Lamp</t>
  </si>
  <si>
    <t>Agility</t>
  </si>
  <si>
    <t>I</t>
  </si>
  <si>
    <t>Archery</t>
  </si>
  <si>
    <t>E. Glowstone Block</t>
  </si>
  <si>
    <t>Critical</t>
  </si>
  <si>
    <t>Experience</t>
  </si>
  <si>
    <t>None</t>
  </si>
  <si>
    <t>Enchanted Cookie</t>
  </si>
  <si>
    <t>Fire Resistance</t>
  </si>
  <si>
    <t>Haste</t>
  </si>
  <si>
    <t>Jump Boost</t>
  </si>
  <si>
    <t>Magic Find</t>
  </si>
  <si>
    <t>---</t>
  </si>
  <si>
    <t>Enchanted Cake</t>
  </si>
  <si>
    <t>III</t>
  </si>
  <si>
    <t>Regeneration</t>
  </si>
  <si>
    <t>Resistance</t>
  </si>
  <si>
    <t>Speed</t>
  </si>
  <si>
    <t>Spirit</t>
  </si>
  <si>
    <t>Strength</t>
  </si>
  <si>
    <t>True Resistance</t>
  </si>
  <si>
    <t>Water Breathing</t>
  </si>
  <si>
    <t>Other Potions</t>
  </si>
  <si>
    <t>Amount</t>
  </si>
  <si>
    <t>Total Glowstone Cost</t>
  </si>
  <si>
    <t>Total Redstone Cost</t>
  </si>
  <si>
    <t>Total 3-Potion Brew Cost</t>
  </si>
  <si>
    <t>Total Cost per Splash</t>
  </si>
  <si>
    <t>Minions Amount</t>
  </si>
  <si>
    <t>ETA for Main
Potion Material</t>
  </si>
  <si>
    <t>Minion Amount</t>
  </si>
  <si>
    <t>Rabbit Foot</t>
  </si>
  <si>
    <t>Blaze Powder</t>
  </si>
  <si>
    <t>Pots</t>
  </si>
  <si>
    <t>Resource Cost</t>
  </si>
  <si>
    <t>ETA for
Glow/Redstone</t>
  </si>
  <si>
    <t>Minion Slots Used</t>
  </si>
  <si>
    <t>Total Main Materials ETA</t>
  </si>
  <si>
    <t>Total Glowstone ETA</t>
  </si>
  <si>
    <t>Total Redstone ETA</t>
  </si>
  <si>
    <t>Total 3-Potion Brew ETA</t>
  </si>
  <si>
    <t>Total 1-Splash ETA</t>
  </si>
  <si>
    <t>Enchanted Cactus Green</t>
  </si>
  <si>
    <t>True Essence</t>
  </si>
  <si>
    <t>Pufferfish</t>
  </si>
  <si>
    <t>Item/Set</t>
  </si>
  <si>
    <t>Item's Cost</t>
  </si>
  <si>
    <t>Base Minion
Delay</t>
  </si>
  <si>
    <t>Internal Production</t>
  </si>
  <si>
    <t>ETA for crafting</t>
  </si>
  <si>
    <t>Mats Cost
From Bazaar</t>
  </si>
  <si>
    <t>Silver Fang</t>
  </si>
  <si>
    <t>Aspect of the End</t>
  </si>
  <si>
    <t>End Stone Sword</t>
  </si>
  <si>
    <t>Emerald Blade</t>
  </si>
  <si>
    <t>Zombie Sword</t>
  </si>
  <si>
    <t>Scorpion Foil (Acacia Wood)</t>
  </si>
  <si>
    <t>Scorpion Foil (Tarantula Silk's Flint)</t>
  </si>
  <si>
    <t>Leaping Sword</t>
  </si>
  <si>
    <t>Reaper Falchion (Hearts' Rotten Flesh)</t>
  </si>
  <si>
    <t>Pigman Sword</t>
  </si>
  <si>
    <t>Reaper Scythe (Hearts' Rotten Flesh)</t>
  </si>
  <si>
    <t>Frozen Scythe</t>
  </si>
  <si>
    <t>Auger Rod</t>
  </si>
  <si>
    <t>Yeti Sword (Iron)</t>
  </si>
  <si>
    <t>Yeti Sword (Ice)</t>
  </si>
  <si>
    <t>Magma Bow</t>
  </si>
  <si>
    <t>Hurricane Bow</t>
  </si>
  <si>
    <t>Explosive Bow</t>
  </si>
  <si>
    <t>Runaan's Bow (String)</t>
  </si>
  <si>
    <t>Slime Bow</t>
  </si>
  <si>
    <t>Mosquito Bow (Tarantula Silk's Flint)</t>
  </si>
  <si>
    <t>Miner's Outfit</t>
  </si>
  <si>
    <t>Hard. Diamond Armor</t>
  </si>
  <si>
    <t>Farm Armor</t>
  </si>
  <si>
    <t>Creeper Pants</t>
  </si>
  <si>
    <t>Golem Armor</t>
  </si>
  <si>
    <t>Armor of Magma</t>
  </si>
  <si>
    <t>Spider's Boots</t>
  </si>
  <si>
    <t>Pack Armor (Mutton)</t>
  </si>
  <si>
    <t>Pack Armor (Teeth's Gold)</t>
  </si>
  <si>
    <t>Tarantula Armor (Tarantula Silk's Flint)</t>
  </si>
  <si>
    <t>Tarantula Armor (Iron)</t>
  </si>
  <si>
    <t>Growth Armor</t>
  </si>
  <si>
    <t>Zombie Armor</t>
  </si>
  <si>
    <t>Emerald Armor</t>
  </si>
  <si>
    <t>Speedster Armor</t>
  </si>
  <si>
    <t>Blaze Armor</t>
  </si>
  <si>
    <t>Perfect Armor</t>
  </si>
  <si>
    <t>Reaper Mask (String + Visceras' String)</t>
  </si>
  <si>
    <t>Tier 12 Perfect Armor</t>
  </si>
  <si>
    <t>Frozen Blaze Armor (Ice)</t>
  </si>
  <si>
    <t>Medium Backpack</t>
  </si>
  <si>
    <t>Grand Experience Bottle</t>
  </si>
  <si>
    <t>Piggy Bank</t>
  </si>
  <si>
    <t>Large Backpack</t>
  </si>
  <si>
    <t>Farm Crystal</t>
  </si>
  <si>
    <t>Greater Backpack</t>
  </si>
  <si>
    <t>Feather Artifact</t>
  </si>
  <si>
    <t>Hot Potato Book</t>
  </si>
  <si>
    <t>Potion Affinity Artifact</t>
  </si>
  <si>
    <t>Large Storage</t>
  </si>
  <si>
    <t>Crystallized Heart (Diamonds)</t>
  </si>
  <si>
    <t>Lava Bucket (Coal)</t>
  </si>
  <si>
    <t>Super Compactor 3000 (Cobblestone)</t>
  </si>
  <si>
    <t>Super Compactor 3000 (Redstone)</t>
  </si>
  <si>
    <t>Enchanted Hopper</t>
  </si>
  <si>
    <t>Titanic Experience Bottle</t>
  </si>
  <si>
    <t>Mana Flux Power Orb (Lapis Lazuli)</t>
  </si>
  <si>
    <t>Mana Flux Power Orb (Teeth's Gold)</t>
  </si>
  <si>
    <t>Spider Artifact (Tarantula Silk's Flint)</t>
  </si>
  <si>
    <t>Devour Ring (Visceras' String)</t>
  </si>
  <si>
    <t>Experience Artifact</t>
  </si>
  <si>
    <t>Revived Heart (Rotten Flesh)</t>
  </si>
  <si>
    <t>Global Skill XP Bonus</t>
  </si>
  <si>
    <t>Potion Skill XP Bonus</t>
  </si>
  <si>
    <t>Pet Skill XP Bonus</t>
  </si>
  <si>
    <t>Final XP Bonus</t>
  </si>
  <si>
    <t>Diamond
Amount</t>
  </si>
  <si>
    <t>Item 1
XP</t>
  </si>
  <si>
    <t>Item 2
XP</t>
  </si>
  <si>
    <t>Item 3
XP</t>
  </si>
  <si>
    <t>Skills
(internal)</t>
  </si>
  <si>
    <t>Skill XP/Action</t>
  </si>
  <si>
    <t>Skill XP/h
(internal)</t>
  </si>
  <si>
    <t>Skill XP/h</t>
  </si>
  <si>
    <t>Skill XP/day</t>
  </si>
  <si>
    <t>Skill</t>
  </si>
  <si>
    <t>Mining</t>
  </si>
  <si>
    <t>Farming</t>
  </si>
  <si>
    <t>Alchemy</t>
  </si>
  <si>
    <t>Foraging</t>
  </si>
  <si>
    <t>Combat</t>
  </si>
  <si>
    <t>Storage Chest</t>
  </si>
  <si>
    <t>Storage Amount</t>
  </si>
  <si>
    <t>Compactor Upgrade</t>
  </si>
  <si>
    <t>Minion Storage</t>
  </si>
  <si>
    <t>Total Minion Storage</t>
  </si>
  <si>
    <t>~Time until Full Storage</t>
  </si>
  <si>
    <t>VERY ROUGH Estimated
Time with Super Compactor</t>
  </si>
  <si>
    <t>Medium</t>
  </si>
  <si>
    <r>
      <rPr>
        <rFont val="Roboto"/>
        <sz val="12.0"/>
      </rPr>
      <t xml:space="preserve">This tab will automatically fill in with your minion tiers from Minion Checker. Once that happens, you can simply screenshot this and crop then upload to some site like imgur to use in your forums signature.
Using the BG color as "Forum's White" will make the background look transparent there
</t>
    </r>
    <r>
      <rPr>
        <rFont val="Roboto"/>
        <sz val="9.0"/>
      </rPr>
      <t xml:space="preserve">
If some images don't load, you can try messing with their links in Tier Viewer, like changing "https" to "http" or ".png" to ".jpg". This seems to be some caching and/or connection bug
</t>
    </r>
    <r>
      <rPr>
        <rFont val="Roboto"/>
        <i/>
        <sz val="9.0"/>
      </rPr>
      <t>For a higher quality screenshot, you can export this sheet as a .pdf (via File &gt; Download) and screenshot or convert that instead.</t>
    </r>
  </si>
  <si>
    <t>Customization</t>
  </si>
  <si>
    <t>BG</t>
  </si>
  <si>
    <t>Forum's White</t>
  </si>
  <si>
    <t>STYLE</t>
  </si>
  <si>
    <t>Heads</t>
  </si>
  <si>
    <t>SORT</t>
  </si>
  <si>
    <t>Tier</t>
  </si>
  <si>
    <t>DATE</t>
  </si>
  <si>
    <t>Bottom</t>
  </si>
  <si>
    <t>PROG.</t>
  </si>
  <si>
    <t>Number</t>
  </si>
  <si>
    <t>PROG.%</t>
  </si>
  <si>
    <t>Show</t>
  </si>
  <si>
    <t>SLOTS</t>
  </si>
  <si>
    <t>Hide</t>
  </si>
  <si>
    <t>Hypixel SkyBlock Minions</t>
  </si>
  <si>
    <t>Cost per slot</t>
  </si>
  <si>
    <t>Internal Name</t>
  </si>
  <si>
    <t>Total Tier Cost</t>
  </si>
  <si>
    <t>Delay</t>
  </si>
  <si>
    <t>ETA of Self-Upgrade</t>
  </si>
  <si>
    <t>II</t>
  </si>
  <si>
    <t>IV</t>
  </si>
  <si>
    <t>VI</t>
  </si>
  <si>
    <t>VII</t>
  </si>
  <si>
    <t>VIII</t>
  </si>
  <si>
    <t>IX</t>
  </si>
  <si>
    <t>Enchanted F. Spider Eye</t>
  </si>
  <si>
    <t>Enchanted Eye of Ender</t>
  </si>
  <si>
    <t>Enchanted Raw Pork</t>
  </si>
  <si>
    <t>Enchanted Grilled Pork</t>
  </si>
  <si>
    <t>Enchanted Rabbit's Foot</t>
  </si>
  <si>
    <t>Melon Block</t>
  </si>
  <si>
    <t>ETA of Self-Upgrade
(@x0.33 Dandelion/Harvest)</t>
  </si>
  <si>
    <t>Dandelion</t>
  </si>
  <si>
    <t>Enchanted Poppy</t>
  </si>
  <si>
    <t>Poppy</t>
  </si>
  <si>
    <t>ETA of Self-Upgrade
(@x0.5 Raw Fish/Harvest)</t>
  </si>
  <si>
    <t>Tiers Achieved</t>
  </si>
  <si>
    <t>ID</t>
  </si>
  <si>
    <t>Res. Invested</t>
  </si>
  <si>
    <t>Potential-Coins
Spent</t>
  </si>
  <si>
    <t>Tiers Achieved (Sorted by highest)</t>
  </si>
  <si>
    <t>T</t>
  </si>
  <si>
    <t>Resources
Invested</t>
  </si>
  <si>
    <t>✗</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</si>
</sst>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0.0"/>
    <numFmt numFmtId="165" formatCode="\v#,##0.0###"/>
    <numFmt numFmtId="166" formatCode="#,##0.0\h"/>
    <numFmt numFmtId="167" formatCode="#,##0\ \C\o\i\n\s"/>
    <numFmt numFmtId="168" formatCode="#,##0.0\s"/>
    <numFmt numFmtId="169" formatCode="0.0\s"/>
    <numFmt numFmtId="170" formatCode="#,##0.0#"/>
    <numFmt numFmtId="171" formatCode="0.0%"/>
    <numFmt numFmtId="172" formatCode="#,##0\*"/>
    <numFmt numFmtId="173" formatCode="#,##0%"/>
    <numFmt numFmtId="174" formatCode="#,##0.0#\h"/>
    <numFmt numFmtId="175" formatCode="#,##0.000"/>
    <numFmt numFmtId="176" formatCode="#,##0.0#\m"/>
    <numFmt numFmtId="177" formatCode="#,##0.0#\d"/>
    <numFmt numFmtId="178" formatCode="#,##0.00\ \X\P\/\h"/>
    <numFmt numFmtId="179" formatCode="#,##0.0\d"/>
    <numFmt numFmtId="180" formatCode="#,##0\s"/>
  </numFmts>
  <fonts count="48">
    <font>
      <sz val="10.0"/>
      <color rgb="FF000000"/>
      <name val="Arial"/>
    </font>
    <font/>
    <font>
      <b/>
      <sz val="15.0"/>
      <name val="Righteous"/>
    </font>
    <font>
      <sz val="11.0"/>
      <name val="Roboto"/>
    </font>
    <font>
      <b/>
      <sz val="13.0"/>
      <name val="Righteous"/>
    </font>
    <font>
      <i/>
      <sz val="11.0"/>
      <name val="Roboto"/>
    </font>
    <font>
      <i/>
      <u/>
      <color rgb="FF0C343D"/>
      <name val="Roboto"/>
    </font>
    <font>
      <b/>
      <name val="Roboto"/>
    </font>
    <font>
      <name val="Roboto"/>
    </font>
    <font>
      <b/>
      <i/>
      <color rgb="FF999999"/>
      <name val="Roboto"/>
    </font>
    <font>
      <u/>
      <color rgb="FF6D9EEB"/>
      <name val="Roboto"/>
    </font>
    <font>
      <u/>
      <color rgb="FF6D9EEB"/>
      <name val="Roboto"/>
    </font>
    <font>
      <b/>
      <i/>
      <color rgb="FF38761D"/>
      <name val="Roboto"/>
    </font>
    <font>
      <b/>
      <sz val="12.0"/>
      <color rgb="FFEFEFEF"/>
      <name val="Roboto"/>
    </font>
    <font>
      <b/>
      <sz val="12.0"/>
      <name val="Roboto"/>
    </font>
    <font>
      <b/>
      <color rgb="FFEFEFEF"/>
      <name val="Roboto"/>
    </font>
    <font>
      <color rgb="FFEFEFEF"/>
      <name val="Roboto"/>
    </font>
    <font>
      <sz val="10.0"/>
      <name val="Roboto"/>
    </font>
    <font>
      <b/>
      <sz val="9.0"/>
      <name val="Roboto"/>
    </font>
    <font>
      <b/>
      <i/>
      <name val="Roboto"/>
    </font>
    <font>
      <color rgb="FFCC0000"/>
      <name val="Roboto"/>
    </font>
    <font>
      <b/>
      <sz val="11.0"/>
      <name val="Roboto"/>
    </font>
    <font>
      <sz val="9.0"/>
      <name val="Roboto"/>
    </font>
    <font>
      <b/>
      <u/>
      <sz val="11.0"/>
      <color rgb="FF0000FF"/>
      <name val="Roboto"/>
    </font>
    <font>
      <i/>
      <u/>
      <color rgb="FF0C343D"/>
      <name val="Roboto"/>
    </font>
    <font>
      <i/>
      <color rgb="FF666666"/>
      <name val="Roboto"/>
    </font>
    <font>
      <color rgb="FF980000"/>
      <name val="Roboto"/>
    </font>
    <font>
      <b/>
      <sz val="10.0"/>
      <name val="Roboto"/>
    </font>
    <font>
      <name val="Arial"/>
    </font>
    <font>
      <b/>
      <sz val="9.0"/>
      <color rgb="FF990000"/>
      <name val="Roboto"/>
    </font>
    <font>
      <i/>
      <sz val="9.0"/>
      <color rgb="FFDD7E6B"/>
      <name val="Roboto"/>
    </font>
    <font>
      <color rgb="FF4C7E37"/>
      <name val="Roboto"/>
    </font>
    <font>
      <sz val="12.0"/>
      <name val="Roboto"/>
    </font>
    <font>
      <b/>
      <color rgb="FF980000"/>
      <name val="Roboto"/>
    </font>
    <font>
      <i/>
      <sz val="9.0"/>
      <color rgb="FF999999"/>
      <name val="Roboto"/>
    </font>
    <font>
      <b/>
      <sz val="8.0"/>
      <name val="Roboto"/>
    </font>
    <font>
      <sz val="8.0"/>
      <name val="Roboto"/>
    </font>
    <font>
      <sz val="9.0"/>
      <name val="Archivo Narrow"/>
    </font>
    <font>
      <b/>
      <color rgb="FFCC0000"/>
      <name val="Roboto"/>
    </font>
    <font>
      <i/>
      <color rgb="FF999999"/>
      <name val="Roboto"/>
    </font>
    <font>
      <b/>
      <sz val="14.0"/>
      <name val="Roboto"/>
    </font>
    <font>
      <b/>
      <sz val="12.0"/>
      <name val="Permanent Marker"/>
    </font>
    <font>
      <i/>
      <sz val="9.0"/>
      <name val="Righteous"/>
    </font>
    <font>
      <b/>
      <i/>
      <sz val="15.0"/>
      <name val="Righteous"/>
    </font>
    <font>
      <b/>
      <sz val="14.0"/>
      <name val="Permanent Marker"/>
    </font>
    <font>
      <sz val="12.0"/>
      <name val="Arial"/>
    </font>
    <font>
      <color rgb="FFD9D9D9"/>
      <name val="Roboto"/>
    </font>
    <font>
      <color rgb="FFCCCCCC"/>
      <name val="Roboto"/>
    </font>
  </fonts>
  <fills count="23">
    <fill>
      <patternFill patternType="none"/>
    </fill>
    <fill>
      <patternFill patternType="lightGray"/>
    </fill>
    <fill>
      <patternFill patternType="solid">
        <fgColor rgb="FFD9D9D9"/>
        <bgColor rgb="FFD9D9D9"/>
      </patternFill>
    </fill>
    <fill>
      <patternFill patternType="solid">
        <fgColor rgb="FF76A5AF"/>
        <bgColor rgb="FF76A5AF"/>
      </patternFill>
    </fill>
    <fill>
      <patternFill patternType="solid">
        <fgColor rgb="FFA2C4C9"/>
        <bgColor rgb="FFA2C4C9"/>
      </patternFill>
    </fill>
    <fill>
      <patternFill patternType="solid">
        <fgColor rgb="FF9FC5E8"/>
        <bgColor rgb="FF9FC5E8"/>
      </patternFill>
    </fill>
    <fill>
      <patternFill patternType="solid">
        <fgColor rgb="FFD9EAD3"/>
        <bgColor rgb="FFD9EAD3"/>
      </patternFill>
    </fill>
    <fill>
      <patternFill patternType="solid">
        <fgColor rgb="FFCFE2F3"/>
        <bgColor rgb="FFCFE2F3"/>
      </patternFill>
    </fill>
    <fill>
      <patternFill patternType="solid">
        <fgColor rgb="FFC5D8E8"/>
        <bgColor rgb="FFC5D8E8"/>
      </patternFill>
    </fill>
    <fill>
      <patternFill patternType="solid">
        <fgColor rgb="FFC9DAF8"/>
        <bgColor rgb="FFC9DAF8"/>
      </patternFill>
    </fill>
    <fill>
      <patternFill patternType="solid">
        <fgColor rgb="FFB7B7B7"/>
        <bgColor rgb="FFB7B7B7"/>
      </patternFill>
    </fill>
    <fill>
      <patternFill patternType="solid">
        <fgColor rgb="FF434343"/>
        <bgColor rgb="FF434343"/>
      </patternFill>
    </fill>
    <fill>
      <patternFill patternType="solid">
        <fgColor rgb="FFA6145D"/>
        <bgColor rgb="FFA6145D"/>
      </patternFill>
    </fill>
    <fill>
      <patternFill patternType="solid">
        <fgColor rgb="FF6AA84F"/>
        <bgColor rgb="FF6AA84F"/>
      </patternFill>
    </fill>
    <fill>
      <patternFill patternType="solid">
        <fgColor rgb="FFB6D7A8"/>
        <bgColor rgb="FFB6D7A8"/>
      </patternFill>
    </fill>
    <fill>
      <patternFill patternType="solid">
        <fgColor rgb="FF6FA8DC"/>
        <bgColor rgb="FF6FA8DC"/>
      </patternFill>
    </fill>
    <fill>
      <patternFill patternType="solid">
        <fgColor rgb="FFCEDEC8"/>
        <bgColor rgb="FFCEDEC8"/>
      </patternFill>
    </fill>
    <fill>
      <patternFill patternType="solid">
        <fgColor rgb="FFA4C2F4"/>
        <bgColor rgb="FFA4C2F4"/>
      </patternFill>
    </fill>
    <fill>
      <patternFill patternType="solid">
        <fgColor rgb="FFFAFAFA"/>
        <bgColor rgb="FFFAFAFA"/>
      </patternFill>
    </fill>
    <fill>
      <patternFill patternType="solid">
        <fgColor rgb="FFCCCCCC"/>
        <bgColor rgb="FFCCCCCC"/>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647">
    <xf borderId="0" fillId="0" fontId="0" numFmtId="0" xfId="0" applyAlignment="1" applyFont="1">
      <alignment readingOrder="0" shrinkToFit="0" vertical="bottom" wrapText="0"/>
    </xf>
    <xf borderId="0" fillId="2" fontId="1" numFmtId="0" xfId="0" applyAlignment="1" applyFill="1" applyFont="1">
      <alignment readingOrder="0" vertical="center"/>
    </xf>
    <xf borderId="1" fillId="3" fontId="2" numFmtId="0" xfId="0" applyAlignment="1" applyBorder="1" applyFill="1" applyFont="1">
      <alignment horizontal="center" vertical="center"/>
    </xf>
    <xf borderId="2" fillId="0" fontId="1" numFmtId="0" xfId="0" applyBorder="1" applyFont="1"/>
    <xf borderId="3" fillId="0" fontId="1" numFmtId="0" xfId="0" applyBorder="1" applyFont="1"/>
    <xf borderId="4" fillId="4" fontId="3" numFmtId="0" xfId="0" applyAlignment="1" applyBorder="1" applyFill="1" applyFont="1">
      <alignment horizontal="center" readingOrder="0" shrinkToFit="0" vertical="center" wrapText="1"/>
    </xf>
    <xf borderId="5" fillId="0" fontId="1" numFmtId="0" xfId="0" applyBorder="1" applyFont="1"/>
    <xf borderId="6" fillId="0" fontId="1" numFmtId="0" xfId="0" applyBorder="1" applyFont="1"/>
    <xf borderId="1" fillId="3" fontId="4" numFmtId="0" xfId="0" applyAlignment="1" applyBorder="1" applyFont="1">
      <alignment horizontal="center" readingOrder="0" vertical="center"/>
    </xf>
    <xf borderId="4" fillId="4" fontId="5" numFmtId="0" xfId="0" applyAlignment="1" applyBorder="1" applyFont="1">
      <alignment horizontal="center" readingOrder="0" shrinkToFit="0" vertical="center" wrapText="1"/>
    </xf>
    <xf borderId="5" fillId="2" fontId="6" numFmtId="0" xfId="0" applyAlignment="1" applyBorder="1" applyFont="1">
      <alignment horizontal="center" shrinkToFit="0" vertical="center" wrapText="1"/>
    </xf>
    <xf borderId="7" fillId="5" fontId="7" numFmtId="0" xfId="0" applyAlignment="1" applyBorder="1" applyFill="1" applyFont="1">
      <alignment horizontal="center" shrinkToFit="0" vertical="center" wrapText="1"/>
    </xf>
    <xf borderId="8" fillId="0" fontId="1" numFmtId="0" xfId="0" applyBorder="1" applyFont="1"/>
    <xf borderId="3" fillId="6" fontId="8" numFmtId="0" xfId="0" applyAlignment="1" applyBorder="1" applyFill="1" applyFont="1">
      <alignment horizontal="center" readingOrder="0" shrinkToFit="0" vertical="center" wrapText="1"/>
    </xf>
    <xf borderId="4" fillId="5" fontId="7" numFmtId="0" xfId="0" applyAlignment="1" applyBorder="1" applyFont="1">
      <alignment horizontal="center" readingOrder="0" shrinkToFit="0" vertical="center" wrapText="1"/>
    </xf>
    <xf borderId="6" fillId="6" fontId="8" numFmtId="0" xfId="0" applyAlignment="1" applyBorder="1" applyFont="1">
      <alignment horizontal="center" readingOrder="0" shrinkToFit="0" vertical="center" wrapText="1"/>
    </xf>
    <xf borderId="9" fillId="5" fontId="7" numFmtId="0" xfId="0" applyAlignment="1" applyBorder="1" applyFont="1">
      <alignment horizontal="center" readingOrder="0" shrinkToFit="0" vertical="center" wrapText="1"/>
    </xf>
    <xf borderId="10" fillId="0" fontId="1" numFmtId="0" xfId="0" applyBorder="1" applyFont="1"/>
    <xf borderId="10" fillId="5" fontId="7" numFmtId="0" xfId="0" applyAlignment="1" applyBorder="1" applyFont="1">
      <alignment horizontal="center" readingOrder="0" shrinkToFit="0" vertical="center" wrapText="1"/>
    </xf>
    <xf borderId="11" fillId="5" fontId="7" numFmtId="0" xfId="0" applyAlignment="1" applyBorder="1" applyFont="1">
      <alignment horizontal="center" readingOrder="0" shrinkToFit="0" vertical="center" wrapText="1"/>
    </xf>
    <xf borderId="4" fillId="6" fontId="8" numFmtId="49" xfId="0" applyAlignment="1" applyBorder="1" applyFont="1" applyNumberFormat="1">
      <alignment horizontal="center" readingOrder="0" shrinkToFit="0" vertical="center" wrapText="1"/>
    </xf>
    <xf borderId="5" fillId="6" fontId="8" numFmtId="0" xfId="0" applyAlignment="1" applyBorder="1" applyFont="1">
      <alignment horizontal="center" readingOrder="0" shrinkToFit="0" vertical="center" wrapText="0"/>
    </xf>
    <xf borderId="11" fillId="0" fontId="1" numFmtId="0" xfId="0" applyBorder="1" applyFont="1"/>
    <xf borderId="1" fillId="7" fontId="8" numFmtId="0" xfId="0" applyAlignment="1" applyBorder="1" applyFill="1" applyFont="1">
      <alignment horizontal="center" vertical="center"/>
    </xf>
    <xf borderId="2" fillId="7" fontId="8" numFmtId="0" xfId="0" applyAlignment="1" applyBorder="1" applyFont="1">
      <alignment shrinkToFit="0" vertical="center" wrapText="1"/>
    </xf>
    <xf borderId="7" fillId="8" fontId="8" numFmtId="0" xfId="0" applyAlignment="1" applyBorder="1" applyFill="1" applyFont="1">
      <alignment horizontal="center" readingOrder="0" shrinkToFit="0" vertical="center" wrapText="1"/>
    </xf>
    <xf borderId="0" fillId="8" fontId="8" numFmtId="0" xfId="0" applyAlignment="1" applyFont="1">
      <alignment horizontal="left" readingOrder="0" shrinkToFit="0" vertical="center" wrapText="1"/>
    </xf>
    <xf borderId="7" fillId="7" fontId="8" numFmtId="0" xfId="0" applyAlignment="1" applyBorder="1" applyFont="1">
      <alignment horizontal="center" readingOrder="0" shrinkToFit="0" vertical="center" wrapText="1"/>
    </xf>
    <xf borderId="0" fillId="7" fontId="8" numFmtId="0" xfId="0" applyAlignment="1" applyFont="1">
      <alignment horizontal="left" readingOrder="0" shrinkToFit="0" vertical="center" wrapText="1"/>
    </xf>
    <xf borderId="4" fillId="9" fontId="8" numFmtId="0" xfId="0" applyAlignment="1" applyBorder="1" applyFill="1" applyFont="1">
      <alignment horizontal="center" readingOrder="0" vertical="center"/>
    </xf>
    <xf borderId="5" fillId="9" fontId="8" numFmtId="0" xfId="0" applyAlignment="1" applyBorder="1" applyFont="1">
      <alignment readingOrder="0" vertical="center"/>
    </xf>
    <xf borderId="0" fillId="2" fontId="1" numFmtId="0" xfId="0" applyAlignment="1" applyFont="1">
      <alignment vertical="center"/>
    </xf>
    <xf borderId="7" fillId="2" fontId="9" numFmtId="0" xfId="0" applyAlignment="1" applyBorder="1" applyFont="1">
      <alignment horizontal="center" shrinkToFit="0" vertical="center" wrapText="1"/>
    </xf>
    <xf borderId="1" fillId="7" fontId="8" numFmtId="0" xfId="0" applyAlignment="1" applyBorder="1" applyFont="1">
      <alignment horizontal="center" readingOrder="0" shrinkToFit="0" vertical="center" wrapText="1"/>
    </xf>
    <xf borderId="0" fillId="7" fontId="8" numFmtId="0" xfId="0" applyAlignment="1" applyFont="1">
      <alignment horizontal="center" readingOrder="0" shrinkToFit="0" vertical="center" wrapText="1"/>
    </xf>
    <xf borderId="8" fillId="7" fontId="8" numFmtId="0" xfId="0" applyAlignment="1" applyBorder="1" applyFont="1">
      <alignment horizontal="center" readingOrder="0" shrinkToFit="0" vertical="center" wrapText="1"/>
    </xf>
    <xf borderId="7" fillId="2" fontId="10" numFmtId="0" xfId="0" applyAlignment="1" applyBorder="1" applyFont="1">
      <alignment horizontal="center" shrinkToFit="0" vertical="center" wrapText="1"/>
    </xf>
    <xf borderId="0" fillId="8" fontId="8" numFmtId="0" xfId="0" applyAlignment="1" applyFont="1">
      <alignment horizontal="center" readingOrder="0" shrinkToFit="0" vertical="center" wrapText="1"/>
    </xf>
    <xf borderId="8" fillId="8" fontId="8" numFmtId="0" xfId="0" applyAlignment="1" applyBorder="1" applyFont="1">
      <alignment horizontal="center" readingOrder="0" shrinkToFit="0" vertical="center" wrapText="1"/>
    </xf>
    <xf borderId="7" fillId="2" fontId="11" numFmtId="0" xfId="0" applyAlignment="1" applyBorder="1" applyFont="1">
      <alignment horizontal="center" readingOrder="0" shrinkToFit="0" vertical="center" wrapText="1"/>
    </xf>
    <xf borderId="0" fillId="2" fontId="8" numFmtId="0" xfId="0" applyAlignment="1" applyFont="1">
      <alignment horizontal="center" readingOrder="0" shrinkToFit="0" vertical="center" wrapText="1"/>
    </xf>
    <xf borderId="7" fillId="2" fontId="9" numFmtId="0" xfId="0" applyAlignment="1" applyBorder="1" applyFont="1">
      <alignment horizontal="center" shrinkToFit="0" vertical="center" wrapText="1"/>
    </xf>
    <xf borderId="7" fillId="2" fontId="12" numFmtId="0" xfId="0" applyAlignment="1" applyBorder="1" applyFont="1">
      <alignment horizontal="center" shrinkToFit="0" vertical="center" wrapText="1"/>
    </xf>
    <xf borderId="7" fillId="9" fontId="8" numFmtId="0" xfId="0" applyAlignment="1" applyBorder="1" applyFont="1">
      <alignment horizontal="center" readingOrder="0" shrinkToFit="0" vertical="center" wrapText="1"/>
    </xf>
    <xf borderId="0" fillId="9" fontId="8" numFmtId="0" xfId="0" applyAlignment="1" applyFont="1">
      <alignment horizontal="center" readingOrder="0" shrinkToFit="0" vertical="center" wrapText="1"/>
    </xf>
    <xf borderId="8" fillId="9" fontId="8" numFmtId="0" xfId="0" applyAlignment="1" applyBorder="1" applyFont="1">
      <alignment horizontal="center" readingOrder="0" shrinkToFit="0" vertical="center" wrapText="1"/>
    </xf>
    <xf borderId="4" fillId="9" fontId="8" numFmtId="0" xfId="0" applyAlignment="1" applyBorder="1" applyFont="1">
      <alignment horizontal="center" readingOrder="0" shrinkToFit="0" vertical="center" wrapText="1"/>
    </xf>
    <xf borderId="5" fillId="9" fontId="8" numFmtId="0" xfId="0" applyAlignment="1" applyBorder="1" applyFont="1">
      <alignment horizontal="center" readingOrder="0" shrinkToFit="0" vertical="center" wrapText="1"/>
    </xf>
    <xf borderId="6" fillId="9" fontId="8" numFmtId="0" xfId="0" applyAlignment="1" applyBorder="1" applyFont="1">
      <alignment horizontal="center" readingOrder="0" shrinkToFit="0" vertical="center" wrapText="1"/>
    </xf>
    <xf borderId="10" fillId="10" fontId="7" numFmtId="0" xfId="0" applyAlignment="1" applyBorder="1" applyFill="1" applyFont="1">
      <alignment horizontal="center" readingOrder="0" shrinkToFit="0" vertical="center" wrapText="1"/>
    </xf>
    <xf borderId="0" fillId="2" fontId="7" numFmtId="0" xfId="0" applyAlignment="1" applyFont="1">
      <alignment horizontal="center" readingOrder="0" shrinkToFit="0" vertical="center" wrapText="1"/>
    </xf>
    <xf borderId="0" fillId="2" fontId="7" numFmtId="49" xfId="0" applyAlignment="1" applyFont="1" applyNumberFormat="1">
      <alignment horizontal="center" readingOrder="0" shrinkToFit="0" vertical="center" wrapText="1"/>
    </xf>
    <xf borderId="0" fillId="2" fontId="7" numFmtId="0" xfId="0" applyAlignment="1" applyFont="1">
      <alignment horizontal="center" shrinkToFit="0" vertical="center" wrapText="1"/>
    </xf>
    <xf borderId="2" fillId="11" fontId="13" numFmtId="0" xfId="0" applyAlignment="1" applyBorder="1" applyFill="1" applyFont="1">
      <alignment horizontal="center" readingOrder="0" shrinkToFit="0" vertical="center" wrapText="1"/>
    </xf>
    <xf borderId="1" fillId="12" fontId="14" numFmtId="0" xfId="0" applyAlignment="1" applyBorder="1" applyFill="1" applyFont="1">
      <alignment horizontal="center" readingOrder="0" shrinkToFit="0" vertical="center" wrapText="1"/>
    </xf>
    <xf borderId="2" fillId="11" fontId="15" numFmtId="0" xfId="0" applyAlignment="1" applyBorder="1" applyFont="1">
      <alignment horizontal="center" readingOrder="0" shrinkToFit="0" wrapText="1"/>
    </xf>
    <xf borderId="1" fillId="12" fontId="7" numFmtId="0" xfId="0" applyAlignment="1" applyBorder="1" applyFont="1">
      <alignment horizontal="center" readingOrder="0" shrinkToFit="0" wrapText="1"/>
    </xf>
    <xf borderId="5" fillId="11" fontId="15" numFmtId="0" xfId="0" applyAlignment="1" applyBorder="1" applyFont="1">
      <alignment horizontal="center" readingOrder="0" shrinkToFit="0" vertical="center" wrapText="1"/>
    </xf>
    <xf borderId="4" fillId="12" fontId="7" numFmtId="0" xfId="0" applyAlignment="1" applyBorder="1" applyFont="1">
      <alignment horizontal="center" readingOrder="0" shrinkToFit="0" vertical="center" wrapText="1"/>
    </xf>
    <xf borderId="0" fillId="11" fontId="16" numFmtId="0" xfId="0" applyAlignment="1" applyFont="1">
      <alignment horizontal="left" shrinkToFit="0" vertical="center" wrapText="0"/>
    </xf>
    <xf borderId="7" fillId="12" fontId="8" numFmtId="0" xfId="0" applyAlignment="1" applyBorder="1" applyFont="1">
      <alignment horizontal="center" shrinkToFit="0" vertical="center" wrapText="0"/>
    </xf>
    <xf borderId="0" fillId="12" fontId="8" numFmtId="0" xfId="0" applyAlignment="1" applyFont="1">
      <alignment horizontal="center" shrinkToFit="0" vertical="center" wrapText="1"/>
    </xf>
    <xf borderId="0" fillId="12" fontId="8" numFmtId="0" xfId="0" applyAlignment="1" applyFont="1">
      <alignment horizontal="left" shrinkToFit="0" vertical="center" wrapText="0"/>
    </xf>
    <xf borderId="5" fillId="11" fontId="16" numFmtId="0" xfId="0" applyAlignment="1" applyBorder="1" applyFont="1">
      <alignment horizontal="left" shrinkToFit="0" vertical="center" wrapText="0"/>
    </xf>
    <xf borderId="4" fillId="12" fontId="8" numFmtId="0" xfId="0" applyAlignment="1" applyBorder="1" applyFont="1">
      <alignment horizontal="center" shrinkToFit="0" vertical="center" wrapText="0"/>
    </xf>
    <xf borderId="5" fillId="12" fontId="8" numFmtId="0" xfId="0" applyAlignment="1" applyBorder="1" applyFont="1">
      <alignment horizontal="center" shrinkToFit="0" vertical="center" wrapText="1"/>
    </xf>
    <xf borderId="5" fillId="12" fontId="8" numFmtId="0" xfId="0" applyAlignment="1" applyBorder="1" applyFont="1">
      <alignment horizontal="left" shrinkToFit="0" vertical="center" wrapText="0"/>
    </xf>
    <xf borderId="0" fillId="11" fontId="16" numFmtId="0" xfId="0" applyAlignment="1" applyFont="1">
      <alignment horizontal="left" shrinkToFit="0" vertical="center" wrapText="1"/>
    </xf>
    <xf borderId="5" fillId="11" fontId="16" numFmtId="0" xfId="0" applyAlignment="1" applyBorder="1" applyFont="1">
      <alignment horizontal="left" shrinkToFit="0" vertical="center" wrapText="1"/>
    </xf>
    <xf borderId="6" fillId="11" fontId="15" numFmtId="0" xfId="0" applyAlignment="1" applyBorder="1" applyFont="1">
      <alignment horizontal="center" readingOrder="0" shrinkToFit="0" vertical="center" wrapText="1"/>
    </xf>
    <xf borderId="5" fillId="12" fontId="7" numFmtId="0" xfId="0" applyAlignment="1" applyBorder="1" applyFont="1">
      <alignment horizontal="center" readingOrder="0" shrinkToFit="0" vertical="center" wrapText="1"/>
    </xf>
    <xf borderId="0" fillId="11" fontId="16" numFmtId="0" xfId="0" applyAlignment="1" applyFont="1">
      <alignment horizontal="center" shrinkToFit="0" vertical="center" wrapText="0"/>
    </xf>
    <xf borderId="0" fillId="11" fontId="16" numFmtId="0" xfId="0" applyAlignment="1" applyFont="1">
      <alignment horizontal="center" shrinkToFit="0" vertical="center" wrapText="1"/>
    </xf>
    <xf borderId="8" fillId="11" fontId="16" numFmtId="0" xfId="0" applyAlignment="1" applyBorder="1" applyFont="1">
      <alignment horizontal="center" readingOrder="0" shrinkToFit="0" vertical="center" wrapText="1"/>
    </xf>
    <xf borderId="7" fillId="12" fontId="17" numFmtId="0" xfId="0" applyAlignment="1" applyBorder="1" applyFont="1">
      <alignment horizontal="center" shrinkToFit="0" vertical="center" wrapText="0"/>
    </xf>
    <xf borderId="7" fillId="12" fontId="8" numFmtId="0" xfId="0" applyAlignment="1" applyBorder="1" applyFont="1">
      <alignment horizontal="center" shrinkToFit="0" vertical="center" wrapText="1"/>
    </xf>
    <xf borderId="8" fillId="12" fontId="8" numFmtId="0" xfId="0" applyAlignment="1" applyBorder="1" applyFont="1">
      <alignment horizontal="center" shrinkToFit="0" vertical="center" wrapText="1"/>
    </xf>
    <xf borderId="8" fillId="11" fontId="16" numFmtId="0" xfId="0" applyAlignment="1" applyBorder="1" applyFont="1">
      <alignment horizontal="center" readingOrder="0" shrinkToFit="0" vertical="center" wrapText="1"/>
    </xf>
    <xf borderId="0" fillId="11" fontId="16" numFmtId="0" xfId="0" applyAlignment="1" applyFont="1">
      <alignment horizontal="center" readingOrder="0" shrinkToFit="0" vertical="center" wrapText="1"/>
    </xf>
    <xf borderId="0" fillId="12" fontId="8" numFmtId="0" xfId="0" applyAlignment="1" applyFont="1">
      <alignment horizontal="center" readingOrder="0" shrinkToFit="0" vertical="center" wrapText="1"/>
    </xf>
    <xf borderId="0" fillId="2" fontId="8" numFmtId="0" xfId="0" applyAlignment="1" applyFont="1">
      <alignment horizontal="center" shrinkToFit="0" vertical="center" wrapText="1"/>
    </xf>
    <xf borderId="0" fillId="2" fontId="8" numFmtId="164" xfId="0" applyAlignment="1" applyFont="1" applyNumberFormat="1">
      <alignment horizontal="center" readingOrder="0" shrinkToFit="0" vertical="center" wrapText="1"/>
    </xf>
    <xf borderId="0" fillId="2" fontId="18" numFmtId="0" xfId="0" applyAlignment="1" applyFont="1">
      <alignment horizontal="center" readingOrder="0" shrinkToFit="0" vertical="center" wrapText="0"/>
    </xf>
    <xf borderId="12" fillId="5" fontId="7" numFmtId="0" xfId="0" applyAlignment="1" applyBorder="1" applyFont="1">
      <alignment horizontal="center" readingOrder="0" shrinkToFit="0" vertical="center" wrapText="1"/>
    </xf>
    <xf borderId="0" fillId="2" fontId="19" numFmtId="165" xfId="0" applyAlignment="1" applyFont="1" applyNumberFormat="1">
      <alignment horizontal="center" readingOrder="0" shrinkToFit="0" vertical="center" wrapText="1"/>
    </xf>
    <xf borderId="0" fillId="2" fontId="20" numFmtId="0" xfId="0" applyAlignment="1" applyFont="1">
      <alignment horizontal="center" readingOrder="0" shrinkToFit="0" vertical="center" wrapText="1"/>
    </xf>
    <xf borderId="9" fillId="13" fontId="21" numFmtId="0" xfId="0" applyAlignment="1" applyBorder="1" applyFill="1" applyFont="1">
      <alignment horizontal="center" readingOrder="0" shrinkToFit="0" vertical="center" wrapText="1"/>
    </xf>
    <xf borderId="4" fillId="7" fontId="8" numFmtId="0" xfId="0" applyAlignment="1" applyBorder="1" applyFont="1">
      <alignment horizontal="center" readingOrder="0" shrinkToFit="0" vertical="center" wrapText="1"/>
    </xf>
    <xf borderId="5" fillId="7" fontId="8" numFmtId="0" xfId="0" applyAlignment="1" applyBorder="1" applyFont="1">
      <alignment horizontal="center" readingOrder="0" shrinkToFit="0" vertical="center" wrapText="1"/>
    </xf>
    <xf borderId="5" fillId="7" fontId="8" numFmtId="10" xfId="0" applyAlignment="1" applyBorder="1" applyFont="1" applyNumberFormat="1">
      <alignment horizontal="center" readingOrder="0" shrinkToFit="0" vertical="center" wrapText="1"/>
    </xf>
    <xf borderId="13" fillId="7" fontId="8" numFmtId="0" xfId="0" applyAlignment="1" applyBorder="1" applyFont="1">
      <alignment horizontal="center" readingOrder="0" shrinkToFit="0" vertical="center" wrapText="1"/>
    </xf>
    <xf borderId="13" fillId="7" fontId="22" numFmtId="0" xfId="0" applyAlignment="1" applyBorder="1" applyFont="1">
      <alignment horizontal="center" readingOrder="0" shrinkToFit="0" vertical="center" wrapText="1"/>
    </xf>
    <xf borderId="9" fillId="14" fontId="23" numFmtId="0" xfId="0" applyAlignment="1" applyBorder="1" applyFill="1" applyFont="1">
      <alignment horizontal="center" readingOrder="0" shrinkToFit="0" vertical="center" wrapText="1"/>
    </xf>
    <xf borderId="0" fillId="2" fontId="24" numFmtId="0" xfId="0" applyAlignment="1" applyFont="1">
      <alignment horizontal="center" readingOrder="0" shrinkToFit="0" vertical="center" wrapText="1"/>
    </xf>
    <xf borderId="0" fillId="2" fontId="25" numFmtId="0" xfId="0" applyAlignment="1" applyFont="1">
      <alignment horizontal="center" readingOrder="0" shrinkToFit="0" vertical="center" wrapText="1"/>
    </xf>
    <xf borderId="0" fillId="2" fontId="26" numFmtId="0" xfId="0" applyAlignment="1" applyFont="1">
      <alignment horizontal="center" readingOrder="0" shrinkToFit="0" vertical="center" wrapText="1"/>
    </xf>
    <xf borderId="9" fillId="15" fontId="7" numFmtId="0" xfId="0" applyAlignment="1" applyBorder="1" applyFill="1" applyFont="1">
      <alignment horizontal="center" readingOrder="0" shrinkToFit="0" vertical="center" wrapText="1"/>
    </xf>
    <xf borderId="9" fillId="15" fontId="7" numFmtId="164" xfId="0" applyAlignment="1" applyBorder="1" applyFont="1" applyNumberFormat="1">
      <alignment horizontal="center" readingOrder="0" shrinkToFit="0" vertical="center" wrapText="1"/>
    </xf>
    <xf borderId="0" fillId="2" fontId="8" numFmtId="164" xfId="0" applyAlignment="1" applyFont="1" applyNumberFormat="1">
      <alignment horizontal="center" shrinkToFit="0" vertical="center" wrapText="1"/>
    </xf>
    <xf borderId="9" fillId="5" fontId="21" numFmtId="0" xfId="0" applyAlignment="1" applyBorder="1" applyFont="1">
      <alignment horizontal="center" readingOrder="0" shrinkToFit="0" vertical="center" wrapText="1"/>
    </xf>
    <xf borderId="10" fillId="5" fontId="27" numFmtId="0" xfId="0" applyAlignment="1" applyBorder="1" applyFont="1">
      <alignment horizontal="center" readingOrder="0" shrinkToFit="0" vertical="center" wrapText="1"/>
    </xf>
    <xf borderId="10" fillId="5" fontId="21" numFmtId="0" xfId="0" applyAlignment="1" applyBorder="1" applyFont="1">
      <alignment horizontal="center" readingOrder="0" shrinkToFit="0" vertical="center" wrapText="1"/>
    </xf>
    <xf borderId="11" fillId="5" fontId="27" numFmtId="0" xfId="0" applyAlignment="1" applyBorder="1" applyFont="1">
      <alignment horizontal="center" readingOrder="0" shrinkToFit="0" vertical="center" wrapText="1"/>
    </xf>
    <xf borderId="12" fillId="5" fontId="7" numFmtId="164" xfId="0" applyAlignment="1" applyBorder="1" applyFont="1" applyNumberFormat="1">
      <alignment horizontal="center" readingOrder="0" shrinkToFit="0" vertical="center" wrapText="1"/>
    </xf>
    <xf borderId="0" fillId="6" fontId="8" numFmtId="0" xfId="0" applyAlignment="1" applyFont="1">
      <alignment horizontal="center" readingOrder="0" shrinkToFit="0" vertical="center" wrapText="1"/>
    </xf>
    <xf borderId="0" fillId="6" fontId="8" numFmtId="9" xfId="0" applyAlignment="1" applyFont="1" applyNumberFormat="1">
      <alignment horizontal="center" readingOrder="0" shrinkToFit="0" vertical="center" wrapText="1"/>
    </xf>
    <xf borderId="2" fillId="7" fontId="8" numFmtId="0" xfId="0" applyAlignment="1" applyBorder="1" applyFont="1">
      <alignment horizontal="center" shrinkToFit="0" wrapText="1"/>
    </xf>
    <xf borderId="3" fillId="7" fontId="8" numFmtId="166" xfId="0" applyAlignment="1" applyBorder="1" applyFont="1" applyNumberFormat="1">
      <alignment horizontal="center" shrinkToFit="0" wrapText="1"/>
    </xf>
    <xf borderId="0" fillId="7" fontId="8" numFmtId="164" xfId="0" applyAlignment="1" applyFont="1" applyNumberFormat="1">
      <alignment horizontal="center" readingOrder="0" shrinkToFit="0" vertical="center" wrapText="1"/>
    </xf>
    <xf borderId="3" fillId="7" fontId="8" numFmtId="164" xfId="0" applyAlignment="1" applyBorder="1" applyFont="1" applyNumberFormat="1">
      <alignment horizontal="center" shrinkToFit="0" wrapText="1"/>
    </xf>
    <xf borderId="14" fillId="7" fontId="8" numFmtId="167" xfId="0" applyAlignment="1" applyBorder="1" applyFont="1" applyNumberFormat="1">
      <alignment horizontal="center" shrinkToFit="0" wrapText="1"/>
    </xf>
    <xf borderId="0" fillId="7" fontId="8" numFmtId="0" xfId="0" applyAlignment="1" applyFont="1">
      <alignment horizontal="center" shrinkToFit="0" vertical="center" wrapText="1"/>
    </xf>
    <xf borderId="0" fillId="7" fontId="8" numFmtId="9" xfId="0" applyAlignment="1" applyFont="1" applyNumberFormat="1">
      <alignment horizontal="center" shrinkToFit="0" vertical="center" wrapText="1"/>
    </xf>
    <xf borderId="8" fillId="7" fontId="8" numFmtId="166" xfId="0" applyAlignment="1" applyBorder="1" applyFont="1" applyNumberFormat="1">
      <alignment horizontal="center" shrinkToFit="0" vertical="center" wrapText="1"/>
    </xf>
    <xf borderId="1" fillId="7" fontId="8" numFmtId="166" xfId="0" applyAlignment="1" applyBorder="1" applyFont="1" applyNumberFormat="1">
      <alignment horizontal="center" shrinkToFit="0" vertical="center" wrapText="1"/>
    </xf>
    <xf borderId="2" fillId="7" fontId="8" numFmtId="166" xfId="0" applyAlignment="1" applyBorder="1" applyFont="1" applyNumberFormat="1">
      <alignment horizontal="center" shrinkToFit="0" vertical="center" wrapText="1"/>
    </xf>
    <xf borderId="3" fillId="7" fontId="8" numFmtId="167" xfId="0" applyAlignment="1" applyBorder="1" applyFont="1" applyNumberFormat="1">
      <alignment horizontal="center" shrinkToFit="0" vertical="center" wrapText="1"/>
    </xf>
    <xf borderId="14" fillId="7" fontId="8" numFmtId="164" xfId="0" applyAlignment="1" applyBorder="1" applyFont="1" applyNumberFormat="1">
      <alignment horizontal="center" shrinkToFit="0" vertical="center" wrapText="1"/>
    </xf>
    <xf borderId="0" fillId="16" fontId="8" numFmtId="0" xfId="0" applyAlignment="1" applyFill="1" applyFont="1">
      <alignment horizontal="center" readingOrder="0" shrinkToFit="0" vertical="center" wrapText="1"/>
    </xf>
    <xf borderId="0" fillId="16" fontId="8" numFmtId="9" xfId="0" applyAlignment="1" applyFont="1" applyNumberFormat="1">
      <alignment horizontal="center" readingOrder="0" shrinkToFit="0" vertical="center" wrapText="1"/>
    </xf>
    <xf borderId="0" fillId="9" fontId="8" numFmtId="0" xfId="0" applyAlignment="1" applyFont="1">
      <alignment horizontal="center" shrinkToFit="0" wrapText="1"/>
    </xf>
    <xf borderId="8" fillId="8" fontId="8" numFmtId="166" xfId="0" applyAlignment="1" applyBorder="1" applyFont="1" applyNumberFormat="1">
      <alignment horizontal="center" shrinkToFit="0" wrapText="1"/>
    </xf>
    <xf borderId="0" fillId="8" fontId="8" numFmtId="164" xfId="0" applyAlignment="1" applyFont="1" applyNumberFormat="1">
      <alignment horizontal="center" readingOrder="0" shrinkToFit="0" vertical="center" wrapText="1"/>
    </xf>
    <xf borderId="8" fillId="8" fontId="8" numFmtId="164" xfId="0" applyAlignment="1" applyBorder="1" applyFont="1" applyNumberFormat="1">
      <alignment horizontal="center" shrinkToFit="0" wrapText="1"/>
    </xf>
    <xf borderId="15" fillId="8" fontId="8" numFmtId="167" xfId="0" applyAlignment="1" applyBorder="1" applyFont="1" applyNumberFormat="1">
      <alignment horizontal="center" shrinkToFit="0" wrapText="1"/>
    </xf>
    <xf borderId="0" fillId="8" fontId="8" numFmtId="0" xfId="0" applyAlignment="1" applyFont="1">
      <alignment horizontal="center" shrinkToFit="0" vertical="center" wrapText="1"/>
    </xf>
    <xf borderId="0" fillId="8" fontId="8" numFmtId="9" xfId="0" applyAlignment="1" applyFont="1" applyNumberFormat="1">
      <alignment horizontal="center" shrinkToFit="0" vertical="center" wrapText="1"/>
    </xf>
    <xf borderId="8" fillId="8" fontId="8" numFmtId="166" xfId="0" applyAlignment="1" applyBorder="1" applyFont="1" applyNumberFormat="1">
      <alignment horizontal="center" shrinkToFit="0" vertical="center" wrapText="1"/>
    </xf>
    <xf borderId="7" fillId="8" fontId="8" numFmtId="166" xfId="0" applyAlignment="1" applyBorder="1" applyFont="1" applyNumberFormat="1">
      <alignment horizontal="center" shrinkToFit="0" vertical="center" wrapText="1"/>
    </xf>
    <xf borderId="0" fillId="8" fontId="8" numFmtId="166" xfId="0" applyAlignment="1" applyFont="1" applyNumberFormat="1">
      <alignment horizontal="center" shrinkToFit="0" vertical="center" wrapText="1"/>
    </xf>
    <xf borderId="8" fillId="8" fontId="8" numFmtId="167" xfId="0" applyAlignment="1" applyBorder="1" applyFont="1" applyNumberFormat="1">
      <alignment horizontal="center" shrinkToFit="0" vertical="center" wrapText="1"/>
    </xf>
    <xf borderId="15" fillId="8" fontId="8" numFmtId="164" xfId="0" applyAlignment="1" applyBorder="1" applyFont="1" applyNumberFormat="1">
      <alignment horizontal="center" shrinkToFit="0" vertical="center" wrapText="1"/>
    </xf>
    <xf borderId="0" fillId="7" fontId="8" numFmtId="0" xfId="0" applyAlignment="1" applyFont="1">
      <alignment horizontal="center" shrinkToFit="0" wrapText="1"/>
    </xf>
    <xf borderId="8" fillId="7" fontId="8" numFmtId="166" xfId="0" applyAlignment="1" applyBorder="1" applyFont="1" applyNumberFormat="1">
      <alignment horizontal="center" shrinkToFit="0" wrapText="1"/>
    </xf>
    <xf borderId="8" fillId="7" fontId="8" numFmtId="164" xfId="0" applyAlignment="1" applyBorder="1" applyFont="1" applyNumberFormat="1">
      <alignment horizontal="center" shrinkToFit="0" wrapText="1"/>
    </xf>
    <xf borderId="15" fillId="7" fontId="8" numFmtId="167" xfId="0" applyAlignment="1" applyBorder="1" applyFont="1" applyNumberFormat="1">
      <alignment horizontal="center" shrinkToFit="0" wrapText="1"/>
    </xf>
    <xf borderId="7" fillId="7" fontId="8" numFmtId="0" xfId="0" applyAlignment="1" applyBorder="1" applyFont="1">
      <alignment horizontal="center" shrinkToFit="0" vertical="center" wrapText="1"/>
    </xf>
    <xf borderId="7" fillId="7" fontId="8" numFmtId="166" xfId="0" applyAlignment="1" applyBorder="1" applyFont="1" applyNumberFormat="1">
      <alignment horizontal="center" shrinkToFit="0" vertical="center" wrapText="1"/>
    </xf>
    <xf borderId="0" fillId="7" fontId="8" numFmtId="166" xfId="0" applyAlignment="1" applyFont="1" applyNumberFormat="1">
      <alignment horizontal="center" shrinkToFit="0" vertical="center" wrapText="1"/>
    </xf>
    <xf borderId="8" fillId="7" fontId="8" numFmtId="167" xfId="0" applyAlignment="1" applyBorder="1" applyFont="1" applyNumberFormat="1">
      <alignment horizontal="center" shrinkToFit="0" vertical="center" wrapText="1"/>
    </xf>
    <xf borderId="15" fillId="7" fontId="8" numFmtId="164" xfId="0" applyAlignment="1" applyBorder="1" applyFont="1" applyNumberFormat="1">
      <alignment horizontal="center" shrinkToFit="0" vertical="center" wrapText="1"/>
    </xf>
    <xf borderId="0" fillId="8" fontId="8" numFmtId="0" xfId="0" applyAlignment="1" applyFont="1">
      <alignment horizontal="center" shrinkToFit="0" wrapText="1"/>
    </xf>
    <xf borderId="7" fillId="8" fontId="8" numFmtId="0" xfId="0" applyAlignment="1" applyBorder="1" applyFont="1">
      <alignment horizontal="center" shrinkToFit="0" vertical="center" wrapText="1"/>
    </xf>
    <xf borderId="8" fillId="7" fontId="8" numFmtId="164" xfId="0" applyAlignment="1" applyBorder="1" applyFont="1" applyNumberFormat="1">
      <alignment horizontal="center" shrinkToFit="0" vertical="center" wrapText="1"/>
    </xf>
    <xf borderId="15" fillId="7" fontId="8" numFmtId="167" xfId="0" applyAlignment="1" applyBorder="1" applyFont="1" applyNumberFormat="1">
      <alignment horizontal="center" shrinkToFit="0" vertical="center" wrapText="1"/>
    </xf>
    <xf borderId="7" fillId="8" fontId="28" numFmtId="166" xfId="0" applyBorder="1" applyFont="1" applyNumberFormat="1"/>
    <xf borderId="0" fillId="8" fontId="8" numFmtId="166" xfId="0" applyAlignment="1" applyFont="1" applyNumberFormat="1">
      <alignment horizontal="center" shrinkToFit="0" wrapText="1"/>
    </xf>
    <xf borderId="8" fillId="8" fontId="8" numFmtId="167" xfId="0" applyAlignment="1" applyBorder="1" applyFont="1" applyNumberFormat="1">
      <alignment horizontal="center" shrinkToFit="0" wrapText="1"/>
    </xf>
    <xf borderId="15" fillId="8" fontId="8" numFmtId="164" xfId="0" applyAlignment="1" applyBorder="1" applyFont="1" applyNumberFormat="1">
      <alignment horizontal="center" shrinkToFit="0" wrapText="1"/>
    </xf>
    <xf borderId="7" fillId="7" fontId="28" numFmtId="166" xfId="0" applyBorder="1" applyFont="1" applyNumberFormat="1"/>
    <xf borderId="0" fillId="7" fontId="8" numFmtId="166" xfId="0" applyAlignment="1" applyFont="1" applyNumberFormat="1">
      <alignment horizontal="center" shrinkToFit="0" wrapText="1"/>
    </xf>
    <xf borderId="8" fillId="7" fontId="8" numFmtId="167" xfId="0" applyAlignment="1" applyBorder="1" applyFont="1" applyNumberFormat="1">
      <alignment horizontal="center" shrinkToFit="0" wrapText="1"/>
    </xf>
    <xf borderId="15" fillId="7" fontId="8" numFmtId="164" xfId="0" applyAlignment="1" applyBorder="1" applyFont="1" applyNumberFormat="1">
      <alignment horizontal="center" shrinkToFit="0" wrapText="1"/>
    </xf>
    <xf borderId="15" fillId="9" fontId="8" numFmtId="164" xfId="0" applyAlignment="1" applyBorder="1" applyFont="1" applyNumberFormat="1">
      <alignment horizontal="center" shrinkToFit="0" wrapText="1"/>
    </xf>
    <xf borderId="7" fillId="8" fontId="28" numFmtId="166" xfId="0" applyAlignment="1" applyBorder="1" applyFont="1" applyNumberFormat="1">
      <alignment vertical="bottom"/>
    </xf>
    <xf borderId="0" fillId="8" fontId="8" numFmtId="166" xfId="0" applyAlignment="1" applyFont="1" applyNumberFormat="1">
      <alignment horizontal="center" shrinkToFit="0" vertical="bottom" wrapText="1"/>
    </xf>
    <xf borderId="8" fillId="8" fontId="8" numFmtId="167" xfId="0" applyAlignment="1" applyBorder="1" applyFont="1" applyNumberFormat="1">
      <alignment horizontal="center" shrinkToFit="0" vertical="bottom" wrapText="1"/>
    </xf>
    <xf borderId="7" fillId="7" fontId="28" numFmtId="166" xfId="0" applyAlignment="1" applyBorder="1" applyFont="1" applyNumberFormat="1">
      <alignment vertical="bottom"/>
    </xf>
    <xf borderId="0" fillId="7" fontId="8" numFmtId="166" xfId="0" applyAlignment="1" applyFont="1" applyNumberFormat="1">
      <alignment horizontal="center" shrinkToFit="0" vertical="bottom" wrapText="1"/>
    </xf>
    <xf borderId="8" fillId="7" fontId="8" numFmtId="167" xfId="0" applyAlignment="1" applyBorder="1" applyFont="1" applyNumberFormat="1">
      <alignment horizontal="center" shrinkToFit="0" vertical="bottom" wrapText="1"/>
    </xf>
    <xf borderId="7" fillId="9" fontId="28" numFmtId="166" xfId="0" applyAlignment="1" applyBorder="1" applyFont="1" applyNumberFormat="1">
      <alignment vertical="bottom"/>
    </xf>
    <xf borderId="0" fillId="9" fontId="8" numFmtId="166" xfId="0" applyAlignment="1" applyFont="1" applyNumberFormat="1">
      <alignment horizontal="center" shrinkToFit="0" vertical="bottom" wrapText="1"/>
    </xf>
    <xf borderId="8" fillId="9" fontId="8" numFmtId="167" xfId="0" applyAlignment="1" applyBorder="1" applyFont="1" applyNumberFormat="1">
      <alignment horizontal="center" shrinkToFit="0" vertical="bottom" wrapText="1"/>
    </xf>
    <xf borderId="7" fillId="9" fontId="8" numFmtId="0" xfId="0" applyAlignment="1" applyBorder="1" applyFont="1">
      <alignment horizontal="center" shrinkToFit="0" vertical="center" wrapText="1"/>
    </xf>
    <xf borderId="0" fillId="9" fontId="8" numFmtId="0" xfId="0" applyAlignment="1" applyFont="1">
      <alignment horizontal="center" shrinkToFit="0" vertical="center" wrapText="1"/>
    </xf>
    <xf borderId="0" fillId="9" fontId="8" numFmtId="9" xfId="0" applyAlignment="1" applyFont="1" applyNumberFormat="1">
      <alignment horizontal="center" shrinkToFit="0" vertical="center" wrapText="1"/>
    </xf>
    <xf borderId="8" fillId="9" fontId="8" numFmtId="166" xfId="0" applyAlignment="1" applyBorder="1" applyFont="1" applyNumberFormat="1">
      <alignment horizontal="center" shrinkToFit="0" vertical="center" wrapText="1"/>
    </xf>
    <xf borderId="13" fillId="9" fontId="8" numFmtId="164" xfId="0" applyAlignment="1" applyBorder="1" applyFont="1" applyNumberFormat="1">
      <alignment horizontal="center" shrinkToFit="0" wrapText="1"/>
    </xf>
    <xf borderId="8" fillId="7" fontId="8" numFmtId="164" xfId="0" applyAlignment="1" applyBorder="1" applyFont="1" applyNumberFormat="1">
      <alignment horizontal="center" readingOrder="0" shrinkToFit="0" wrapText="1"/>
    </xf>
    <xf borderId="4" fillId="9" fontId="28" numFmtId="166" xfId="0" applyAlignment="1" applyBorder="1" applyFont="1" applyNumberFormat="1">
      <alignment vertical="bottom"/>
    </xf>
    <xf borderId="5" fillId="9" fontId="8" numFmtId="166" xfId="0" applyAlignment="1" applyBorder="1" applyFont="1" applyNumberFormat="1">
      <alignment horizontal="center" shrinkToFit="0" vertical="bottom" wrapText="1"/>
    </xf>
    <xf borderId="6" fillId="9" fontId="8" numFmtId="167" xfId="0" applyAlignment="1" applyBorder="1" applyFont="1" applyNumberFormat="1">
      <alignment horizontal="center" shrinkToFit="0" vertical="bottom" wrapText="1"/>
    </xf>
    <xf borderId="0" fillId="9" fontId="8" numFmtId="164" xfId="0" applyAlignment="1" applyFont="1" applyNumberFormat="1">
      <alignment horizontal="center" shrinkToFit="0" wrapText="1"/>
    </xf>
    <xf borderId="2" fillId="2" fontId="8" numFmtId="0" xfId="0" applyAlignment="1" applyBorder="1" applyFont="1">
      <alignment horizontal="center" readingOrder="0" shrinkToFit="0" vertical="center" wrapText="1"/>
    </xf>
    <xf borderId="2" fillId="2" fontId="8" numFmtId="0" xfId="0" applyAlignment="1" applyBorder="1" applyFont="1">
      <alignment horizontal="center" shrinkToFit="0" vertical="center" wrapText="1"/>
    </xf>
    <xf borderId="0" fillId="2" fontId="29" numFmtId="0" xfId="0" applyAlignment="1" applyFont="1">
      <alignment horizontal="center" readingOrder="0" shrinkToFit="0" vertical="center" wrapText="1"/>
    </xf>
    <xf borderId="0" fillId="2" fontId="30" numFmtId="0" xfId="0" applyAlignment="1" applyFont="1">
      <alignment horizontal="center" readingOrder="0" shrinkToFit="0" vertical="center" wrapText="1"/>
    </xf>
    <xf borderId="10" fillId="5" fontId="7" numFmtId="164" xfId="0" applyAlignment="1" applyBorder="1" applyFont="1" applyNumberFormat="1">
      <alignment horizontal="center" readingOrder="0" shrinkToFit="0" vertical="center" wrapText="1"/>
    </xf>
    <xf borderId="9" fillId="5" fontId="18" numFmtId="0" xfId="0" applyAlignment="1" applyBorder="1" applyFont="1">
      <alignment horizontal="center" readingOrder="0" shrinkToFit="0" vertical="center" wrapText="1"/>
    </xf>
    <xf borderId="10" fillId="5" fontId="18" numFmtId="164" xfId="0" applyAlignment="1" applyBorder="1" applyFont="1" applyNumberFormat="1">
      <alignment horizontal="center" readingOrder="0" shrinkToFit="0" vertical="center" wrapText="1"/>
    </xf>
    <xf borderId="7" fillId="6" fontId="8" numFmtId="0" xfId="0" applyAlignment="1" applyBorder="1" applyFont="1">
      <alignment horizontal="center" readingOrder="0" shrinkToFit="0" vertical="center" wrapText="1"/>
    </xf>
    <xf borderId="0" fillId="6" fontId="8" numFmtId="9" xfId="0" applyAlignment="1" applyFont="1" applyNumberFormat="1">
      <alignment horizontal="center" readingOrder="0" shrinkToFit="0" vertical="center" wrapText="1"/>
    </xf>
    <xf borderId="0" fillId="6" fontId="31" numFmtId="0" xfId="0" applyAlignment="1" applyFont="1">
      <alignment horizontal="center" readingOrder="0" shrinkToFit="0" vertical="center" wrapText="1"/>
    </xf>
    <xf borderId="2" fillId="7" fontId="8" numFmtId="168" xfId="0" applyAlignment="1" applyBorder="1" applyFont="1" applyNumberFormat="1">
      <alignment horizontal="center" shrinkToFit="0" wrapText="1"/>
    </xf>
    <xf borderId="7" fillId="7" fontId="8" numFmtId="169" xfId="0" applyAlignment="1" applyBorder="1" applyFont="1" applyNumberFormat="1">
      <alignment horizontal="center" readingOrder="0" shrinkToFit="0" vertical="center" wrapText="1"/>
    </xf>
    <xf borderId="0" fillId="7" fontId="8" numFmtId="170" xfId="0" applyAlignment="1" applyFont="1" applyNumberFormat="1">
      <alignment horizontal="center" readingOrder="0" shrinkToFit="0" vertical="center" wrapText="1"/>
    </xf>
    <xf borderId="8" fillId="7" fontId="8" numFmtId="4" xfId="0" applyAlignment="1" applyBorder="1" applyFont="1" applyNumberFormat="1">
      <alignment horizontal="center" shrinkToFit="0" vertical="center" wrapText="1"/>
    </xf>
    <xf borderId="0" fillId="7" fontId="8" numFmtId="3" xfId="0" applyAlignment="1" applyFont="1" applyNumberFormat="1">
      <alignment horizontal="center" readingOrder="0" shrinkToFit="0" vertical="center" wrapText="1"/>
    </xf>
    <xf borderId="0" fillId="7" fontId="8" numFmtId="3" xfId="0" applyAlignment="1" applyFont="1" applyNumberFormat="1">
      <alignment horizontal="center" shrinkToFit="0" vertical="center" wrapText="1"/>
    </xf>
    <xf borderId="7" fillId="7" fontId="8" numFmtId="170" xfId="0" applyAlignment="1" applyBorder="1" applyFont="1" applyNumberFormat="1">
      <alignment horizontal="center" shrinkToFit="0" vertical="center" wrapText="1"/>
    </xf>
    <xf borderId="0" fillId="7" fontId="8" numFmtId="170" xfId="0" applyAlignment="1" applyFont="1" applyNumberFormat="1">
      <alignment horizontal="center" shrinkToFit="0" vertical="center" wrapText="1"/>
    </xf>
    <xf borderId="8" fillId="7" fontId="8" numFmtId="3" xfId="0" applyAlignment="1" applyBorder="1" applyFont="1" applyNumberFormat="1">
      <alignment horizontal="center" shrinkToFit="0" vertical="center" wrapText="1"/>
    </xf>
    <xf borderId="7" fillId="16" fontId="8" numFmtId="0" xfId="0" applyAlignment="1" applyBorder="1" applyFont="1">
      <alignment horizontal="center" readingOrder="0" shrinkToFit="0" vertical="center" wrapText="1"/>
    </xf>
    <xf borderId="0" fillId="16" fontId="8" numFmtId="0" xfId="0" applyAlignment="1" applyFont="1">
      <alignment horizontal="center" readingOrder="0" shrinkToFit="0" vertical="center" wrapText="1"/>
    </xf>
    <xf borderId="0" fillId="16" fontId="8" numFmtId="9" xfId="0" applyAlignment="1" applyFont="1" applyNumberFormat="1">
      <alignment horizontal="center" readingOrder="0" shrinkToFit="0" vertical="center" wrapText="1"/>
    </xf>
    <xf borderId="0" fillId="16" fontId="31" numFmtId="0" xfId="0" applyAlignment="1" applyFont="1">
      <alignment horizontal="center" readingOrder="0" shrinkToFit="0" vertical="center" wrapText="1"/>
    </xf>
    <xf borderId="0" fillId="8" fontId="8" numFmtId="168" xfId="0" applyAlignment="1" applyFont="1" applyNumberFormat="1">
      <alignment horizontal="center" shrinkToFit="0" wrapText="1"/>
    </xf>
    <xf borderId="7" fillId="8" fontId="8" numFmtId="169" xfId="0" applyAlignment="1" applyBorder="1" applyFont="1" applyNumberFormat="1">
      <alignment horizontal="center" readingOrder="0" shrinkToFit="0" vertical="center" wrapText="1"/>
    </xf>
    <xf borderId="0" fillId="8" fontId="8" numFmtId="170" xfId="0" applyAlignment="1" applyFont="1" applyNumberFormat="1">
      <alignment horizontal="center" readingOrder="0" shrinkToFit="0" vertical="center" wrapText="1"/>
    </xf>
    <xf borderId="8" fillId="8" fontId="8" numFmtId="4" xfId="0" applyAlignment="1" applyBorder="1" applyFont="1" applyNumberFormat="1">
      <alignment horizontal="center" shrinkToFit="0" vertical="center" wrapText="1"/>
    </xf>
    <xf borderId="0" fillId="8" fontId="8" numFmtId="3" xfId="0" applyAlignment="1" applyFont="1" applyNumberFormat="1">
      <alignment horizontal="center" readingOrder="0" shrinkToFit="0" vertical="center" wrapText="1"/>
    </xf>
    <xf borderId="0" fillId="8" fontId="8" numFmtId="3" xfId="0" applyAlignment="1" applyFont="1" applyNumberFormat="1">
      <alignment horizontal="center" shrinkToFit="0" vertical="center" wrapText="1"/>
    </xf>
    <xf borderId="7" fillId="8" fontId="8" numFmtId="170" xfId="0" applyAlignment="1" applyBorder="1" applyFont="1" applyNumberFormat="1">
      <alignment horizontal="center" shrinkToFit="0" vertical="center" wrapText="1"/>
    </xf>
    <xf borderId="0" fillId="8" fontId="8" numFmtId="170" xfId="0" applyAlignment="1" applyFont="1" applyNumberFormat="1">
      <alignment horizontal="center" shrinkToFit="0" vertical="center" wrapText="1"/>
    </xf>
    <xf borderId="8" fillId="8" fontId="8" numFmtId="3" xfId="0" applyAlignment="1" applyBorder="1" applyFont="1" applyNumberFormat="1">
      <alignment horizontal="center" shrinkToFit="0" vertical="center" wrapText="1"/>
    </xf>
    <xf borderId="0" fillId="6" fontId="8" numFmtId="0" xfId="0" applyAlignment="1" applyFont="1">
      <alignment horizontal="center" readingOrder="0" shrinkToFit="0" vertical="center" wrapText="1"/>
    </xf>
    <xf borderId="0" fillId="6" fontId="31" numFmtId="0" xfId="0" applyAlignment="1" applyFont="1">
      <alignment horizontal="center" readingOrder="0" shrinkToFit="0" vertical="center" wrapText="1"/>
    </xf>
    <xf borderId="0" fillId="7" fontId="8" numFmtId="168" xfId="0" applyAlignment="1" applyFont="1" applyNumberFormat="1">
      <alignment horizontal="center" shrinkToFit="0" wrapText="1"/>
    </xf>
    <xf borderId="0" fillId="16" fontId="31" numFmtId="0" xfId="0" applyAlignment="1" applyFont="1">
      <alignment horizontal="center" readingOrder="0" shrinkToFit="0" vertical="center" wrapText="1"/>
    </xf>
    <xf borderId="7" fillId="8" fontId="28" numFmtId="0" xfId="0" applyAlignment="1" applyBorder="1" applyFont="1">
      <alignment horizontal="center"/>
    </xf>
    <xf borderId="0" fillId="8" fontId="8" numFmtId="0" xfId="0" applyAlignment="1" applyFont="1">
      <alignment horizontal="center" shrinkToFit="0" wrapText="1"/>
    </xf>
    <xf borderId="8" fillId="8" fontId="8" numFmtId="3" xfId="0" applyAlignment="1" applyBorder="1" applyFont="1" applyNumberFormat="1">
      <alignment horizontal="center" shrinkToFit="0" wrapText="1"/>
    </xf>
    <xf borderId="7" fillId="7" fontId="28" numFmtId="0" xfId="0" applyAlignment="1" applyBorder="1" applyFont="1">
      <alignment horizontal="center"/>
    </xf>
    <xf borderId="0" fillId="7" fontId="8" numFmtId="0" xfId="0" applyAlignment="1" applyFont="1">
      <alignment horizontal="center" shrinkToFit="0" wrapText="1"/>
    </xf>
    <xf borderId="8" fillId="7" fontId="8" numFmtId="3" xfId="0" applyAlignment="1" applyBorder="1" applyFont="1" applyNumberFormat="1">
      <alignment horizontal="center" shrinkToFit="0" wrapText="1"/>
    </xf>
    <xf borderId="8" fillId="8" fontId="8" numFmtId="4" xfId="0" applyAlignment="1" applyBorder="1" applyFont="1" applyNumberFormat="1">
      <alignment horizontal="center" readingOrder="0" shrinkToFit="0" vertical="center" wrapText="1"/>
    </xf>
    <xf borderId="7" fillId="8" fontId="8" numFmtId="170" xfId="0" applyAlignment="1" applyBorder="1" applyFont="1" applyNumberFormat="1">
      <alignment horizontal="center" readingOrder="0" shrinkToFit="0" vertical="center" wrapText="1"/>
    </xf>
    <xf borderId="8" fillId="8" fontId="8" numFmtId="3" xfId="0" applyAlignment="1" applyBorder="1" applyFont="1" applyNumberFormat="1">
      <alignment horizontal="center" readingOrder="0" shrinkToFit="0" vertical="center" wrapText="1"/>
    </xf>
    <xf borderId="0" fillId="8" fontId="8" numFmtId="4" xfId="0" applyAlignment="1" applyFont="1" applyNumberFormat="1">
      <alignment horizontal="center" readingOrder="0" shrinkToFit="0" vertical="center" wrapText="1"/>
    </xf>
    <xf borderId="0" fillId="7" fontId="8" numFmtId="4" xfId="0" applyAlignment="1" applyFont="1" applyNumberFormat="1">
      <alignment horizontal="center" readingOrder="0" shrinkToFit="0" vertical="center" wrapText="1"/>
    </xf>
    <xf borderId="0" fillId="9" fontId="8" numFmtId="168" xfId="0" applyAlignment="1" applyFont="1" applyNumberFormat="1">
      <alignment horizontal="center" shrinkToFit="0" wrapText="1"/>
    </xf>
    <xf borderId="7" fillId="9" fontId="8" numFmtId="169" xfId="0" applyAlignment="1" applyBorder="1" applyFont="1" applyNumberFormat="1">
      <alignment horizontal="center" readingOrder="0" shrinkToFit="0" vertical="center" wrapText="1"/>
    </xf>
    <xf borderId="0" fillId="9" fontId="8" numFmtId="164" xfId="0" applyAlignment="1" applyFont="1" applyNumberFormat="1">
      <alignment horizontal="center" readingOrder="0" shrinkToFit="0" vertical="center" wrapText="1"/>
    </xf>
    <xf borderId="0" fillId="9" fontId="8" numFmtId="170" xfId="0" applyAlignment="1" applyFont="1" applyNumberFormat="1">
      <alignment horizontal="center" readingOrder="0" shrinkToFit="0" vertical="center" wrapText="1"/>
    </xf>
    <xf borderId="8" fillId="9" fontId="8" numFmtId="4" xfId="0" applyAlignment="1" applyBorder="1" applyFont="1" applyNumberFormat="1">
      <alignment horizontal="center" shrinkToFit="0" vertical="center" wrapText="1"/>
    </xf>
    <xf borderId="0" fillId="9" fontId="8" numFmtId="3" xfId="0" applyAlignment="1" applyFont="1" applyNumberFormat="1">
      <alignment horizontal="center" readingOrder="0" shrinkToFit="0" vertical="center" wrapText="1"/>
    </xf>
    <xf borderId="0" fillId="9" fontId="8" numFmtId="3" xfId="0" applyAlignment="1" applyFont="1" applyNumberFormat="1">
      <alignment horizontal="center" shrinkToFit="0" vertical="center" wrapText="1"/>
    </xf>
    <xf borderId="7" fillId="9" fontId="8" numFmtId="170" xfId="0" applyAlignment="1" applyBorder="1" applyFont="1" applyNumberFormat="1">
      <alignment horizontal="center" shrinkToFit="0" vertical="center" wrapText="1"/>
    </xf>
    <xf borderId="0" fillId="9" fontId="8" numFmtId="170" xfId="0" applyAlignment="1" applyFont="1" applyNumberFormat="1">
      <alignment horizontal="center" shrinkToFit="0" vertical="center" wrapText="1"/>
    </xf>
    <xf borderId="8" fillId="9" fontId="8" numFmtId="3" xfId="0" applyAlignment="1" applyBorder="1" applyFont="1" applyNumberFormat="1">
      <alignment horizontal="center" shrinkToFit="0" vertical="center" wrapText="1"/>
    </xf>
    <xf borderId="6" fillId="7" fontId="8" numFmtId="3" xfId="0" applyAlignment="1" applyBorder="1" applyFont="1" applyNumberFormat="1">
      <alignment horizontal="center" shrinkToFit="0" vertical="center" wrapText="1"/>
    </xf>
    <xf borderId="0" fillId="3" fontId="2" numFmtId="0" xfId="0" applyAlignment="1" applyFont="1">
      <alignment horizontal="center" readingOrder="0" vertical="center"/>
    </xf>
    <xf borderId="5" fillId="4" fontId="32" numFmtId="0" xfId="0" applyAlignment="1" applyBorder="1" applyFont="1">
      <alignment horizontal="center" readingOrder="0" shrinkToFit="0" vertical="center" wrapText="1"/>
    </xf>
    <xf borderId="0" fillId="2" fontId="33" numFmtId="0" xfId="0" applyAlignment="1" applyFont="1">
      <alignment horizontal="center" vertical="center"/>
    </xf>
    <xf borderId="10" fillId="5" fontId="7" numFmtId="0" xfId="0" applyAlignment="1" applyBorder="1" applyFont="1">
      <alignment horizontal="center" readingOrder="0" shrinkToFit="0" vertical="center" wrapText="0"/>
    </xf>
    <xf borderId="9" fillId="5" fontId="7" numFmtId="0" xfId="0" applyAlignment="1" applyBorder="1" applyFont="1">
      <alignment horizontal="center" readingOrder="0" shrinkToFit="0" vertical="center" wrapText="0"/>
    </xf>
    <xf borderId="4" fillId="6" fontId="8" numFmtId="0" xfId="0" applyAlignment="1" applyBorder="1" applyFont="1">
      <alignment horizontal="center" readingOrder="0" shrinkToFit="0" vertical="center" wrapText="1"/>
    </xf>
    <xf borderId="11" fillId="6" fontId="8" numFmtId="0" xfId="0" applyAlignment="1" applyBorder="1" applyFont="1">
      <alignment horizontal="center" readingOrder="0" shrinkToFit="0" vertical="center" wrapText="1"/>
    </xf>
    <xf borderId="4" fillId="6" fontId="8" numFmtId="0" xfId="0" applyAlignment="1" applyBorder="1" applyFont="1">
      <alignment horizontal="center" readingOrder="0" shrinkToFit="0" vertical="center" wrapText="0"/>
    </xf>
    <xf borderId="4" fillId="9" fontId="8" numFmtId="171" xfId="0" applyAlignment="1" applyBorder="1" applyFont="1" applyNumberFormat="1">
      <alignment horizontal="center" readingOrder="0" shrinkToFit="0" vertical="center" wrapText="1"/>
    </xf>
    <xf borderId="11" fillId="7" fontId="8" numFmtId="3" xfId="0" applyAlignment="1" applyBorder="1" applyFont="1" applyNumberFormat="1">
      <alignment horizontal="center" readingOrder="0" shrinkToFit="0" vertical="center" wrapText="1"/>
    </xf>
    <xf borderId="9" fillId="7" fontId="8" numFmtId="164" xfId="0" applyAlignment="1" applyBorder="1" applyFont="1" applyNumberFormat="1">
      <alignment horizontal="center" readingOrder="0" shrinkToFit="0" vertical="center" wrapText="1"/>
    </xf>
    <xf borderId="10" fillId="7" fontId="8" numFmtId="164" xfId="0" applyAlignment="1" applyBorder="1" applyFont="1" applyNumberFormat="1">
      <alignment horizontal="center" readingOrder="0" shrinkToFit="0" vertical="center" wrapText="1"/>
    </xf>
    <xf borderId="11" fillId="7" fontId="8" numFmtId="164" xfId="0" applyAlignment="1" applyBorder="1" applyFont="1" applyNumberFormat="1">
      <alignment horizontal="center" readingOrder="0" shrinkToFit="0" vertical="center" wrapText="1"/>
    </xf>
    <xf borderId="3" fillId="5" fontId="7" numFmtId="0" xfId="0" applyAlignment="1" applyBorder="1" applyFont="1">
      <alignment horizontal="center" readingOrder="0" shrinkToFit="0" vertical="center" wrapText="1"/>
    </xf>
    <xf borderId="9" fillId="5" fontId="7" numFmtId="164" xfId="0" applyAlignment="1" applyBorder="1" applyFont="1" applyNumberFormat="1">
      <alignment horizontal="center" readingOrder="0" shrinkToFit="0" vertical="center" wrapText="1"/>
    </xf>
    <xf borderId="9" fillId="5" fontId="27" numFmtId="164" xfId="0" applyAlignment="1" applyBorder="1" applyFont="1" applyNumberFormat="1">
      <alignment horizontal="center" readingOrder="0" shrinkToFit="0" vertical="center" wrapText="1"/>
    </xf>
    <xf borderId="11" fillId="5" fontId="7" numFmtId="164" xfId="0" applyAlignment="1" applyBorder="1" applyFont="1" applyNumberFormat="1">
      <alignment horizontal="center" readingOrder="0" shrinkToFit="0" vertical="center" wrapText="1"/>
    </xf>
    <xf borderId="13" fillId="7" fontId="8" numFmtId="0" xfId="0" applyAlignment="1" applyBorder="1" applyFont="1">
      <alignment horizontal="center" readingOrder="0" shrinkToFit="0" vertical="center" wrapText="0"/>
    </xf>
    <xf borderId="9" fillId="7" fontId="8" numFmtId="168" xfId="0" applyAlignment="1" applyBorder="1" applyFont="1" applyNumberFormat="1">
      <alignment horizontal="center" shrinkToFit="0" vertical="center" wrapText="1"/>
    </xf>
    <xf borderId="10" fillId="7" fontId="8" numFmtId="169" xfId="0" applyAlignment="1" applyBorder="1" applyFont="1" applyNumberFormat="1">
      <alignment horizontal="center" readingOrder="0" shrinkToFit="0" vertical="center" wrapText="1"/>
    </xf>
    <xf borderId="9" fillId="7" fontId="8" numFmtId="170" xfId="0" applyAlignment="1" applyBorder="1" applyFont="1" applyNumberFormat="1">
      <alignment horizontal="center" readingOrder="0" shrinkToFit="0" vertical="center" wrapText="1"/>
    </xf>
    <xf borderId="11" fillId="7" fontId="8" numFmtId="170" xfId="0" applyAlignment="1" applyBorder="1" applyFont="1" applyNumberFormat="1">
      <alignment horizontal="center" readingOrder="0" shrinkToFit="0" vertical="center" wrapText="1"/>
    </xf>
    <xf borderId="10" fillId="7" fontId="8" numFmtId="3" xfId="0" applyAlignment="1" applyBorder="1" applyFont="1" applyNumberFormat="1">
      <alignment horizontal="center" shrinkToFit="0" vertical="center" wrapText="1"/>
    </xf>
    <xf borderId="9" fillId="7" fontId="8" numFmtId="170" xfId="0" applyAlignment="1" applyBorder="1" applyFont="1" applyNumberFormat="1">
      <alignment horizontal="center" shrinkToFit="0" vertical="center" wrapText="1"/>
    </xf>
    <xf borderId="11" fillId="7" fontId="8" numFmtId="3" xfId="0" applyAlignment="1" applyBorder="1" applyFont="1" applyNumberFormat="1">
      <alignment horizontal="center" shrinkToFit="0" vertical="center" wrapText="1"/>
    </xf>
    <xf borderId="10" fillId="7" fontId="8" numFmtId="170" xfId="0" applyAlignment="1" applyBorder="1" applyFont="1" applyNumberFormat="1">
      <alignment horizontal="center" readingOrder="0" shrinkToFit="0" vertical="center" wrapText="1"/>
    </xf>
    <xf borderId="9" fillId="5" fontId="27" numFmtId="0" xfId="0" applyAlignment="1" applyBorder="1" applyFont="1">
      <alignment horizontal="center" readingOrder="0" shrinkToFit="0" vertical="center" wrapText="1"/>
    </xf>
    <xf borderId="4" fillId="9" fontId="8" numFmtId="9" xfId="0" applyAlignment="1" applyBorder="1" applyFont="1" applyNumberFormat="1">
      <alignment horizontal="center" readingOrder="0" shrinkToFit="0" vertical="center" wrapText="1"/>
    </xf>
    <xf borderId="5" fillId="5" fontId="1" numFmtId="0" xfId="0" applyBorder="1" applyFont="1"/>
    <xf borderId="6" fillId="9" fontId="8" numFmtId="3" xfId="0" applyAlignment="1" applyBorder="1" applyFont="1" applyNumberFormat="1">
      <alignment horizontal="center" readingOrder="0" shrinkToFit="0" vertical="center" wrapText="1"/>
    </xf>
    <xf borderId="9" fillId="7" fontId="8" numFmtId="4" xfId="0" applyAlignment="1" applyBorder="1" applyFont="1" applyNumberFormat="1">
      <alignment horizontal="center" shrinkToFit="0" vertical="center" wrapText="0"/>
    </xf>
    <xf borderId="11" fillId="5" fontId="1" numFmtId="0" xfId="0" applyBorder="1" applyFont="1"/>
    <xf borderId="12" fillId="7" fontId="8" numFmtId="3" xfId="0" applyAlignment="1" applyBorder="1" applyFont="1" applyNumberFormat="1">
      <alignment horizontal="center" shrinkToFit="0" vertical="center" wrapText="1"/>
    </xf>
    <xf borderId="10" fillId="9" fontId="1" numFmtId="0" xfId="0" applyBorder="1" applyFont="1"/>
    <xf borderId="11" fillId="9" fontId="1" numFmtId="0" xfId="0" applyBorder="1" applyFont="1"/>
    <xf borderId="9" fillId="17" fontId="7" numFmtId="0" xfId="0" applyAlignment="1" applyBorder="1" applyFill="1" applyFont="1">
      <alignment horizontal="right" readingOrder="0" vertical="center"/>
    </xf>
    <xf borderId="10" fillId="7" fontId="1" numFmtId="0" xfId="0" applyBorder="1" applyFont="1"/>
    <xf borderId="10" fillId="17" fontId="7" numFmtId="0" xfId="0" applyAlignment="1" applyBorder="1" applyFont="1">
      <alignment horizontal="center" readingOrder="0" vertical="center"/>
    </xf>
    <xf borderId="11" fillId="17" fontId="7" numFmtId="0" xfId="0" applyAlignment="1" applyBorder="1" applyFont="1">
      <alignment horizontal="center" readingOrder="0" vertical="center"/>
    </xf>
    <xf borderId="11" fillId="5" fontId="7" numFmtId="0" xfId="0" applyAlignment="1" applyBorder="1" applyFont="1">
      <alignment horizontal="center" readingOrder="0" shrinkToFit="0" vertical="center" wrapText="0"/>
    </xf>
    <xf borderId="0" fillId="2" fontId="34" numFmtId="0" xfId="0" applyAlignment="1" applyFont="1">
      <alignment horizontal="center" readingOrder="0" shrinkToFit="0" vertical="center" wrapText="1"/>
    </xf>
    <xf borderId="13" fillId="9" fontId="8" numFmtId="0" xfId="0" applyAlignment="1" applyBorder="1" applyFont="1">
      <alignment horizontal="center" readingOrder="0" shrinkToFit="0" vertical="center" wrapText="1"/>
    </xf>
    <xf borderId="7" fillId="9" fontId="8" numFmtId="0" xfId="0" applyAlignment="1" applyBorder="1" applyFont="1">
      <alignment horizontal="right" readingOrder="0" vertical="center"/>
    </xf>
    <xf borderId="0" fillId="9" fontId="8" numFmtId="9" xfId="0" applyAlignment="1" applyFont="1" applyNumberFormat="1">
      <alignment horizontal="center" readingOrder="0" vertical="center"/>
    </xf>
    <xf borderId="0" fillId="9" fontId="8" numFmtId="0" xfId="0" applyAlignment="1" applyFont="1">
      <alignment horizontal="center" readingOrder="0" vertical="center"/>
    </xf>
    <xf borderId="0" fillId="9" fontId="8" numFmtId="3" xfId="0" applyAlignment="1" applyFont="1" applyNumberFormat="1">
      <alignment horizontal="center" vertical="center"/>
    </xf>
    <xf borderId="8" fillId="9" fontId="8" numFmtId="3" xfId="0" applyAlignment="1" applyBorder="1" applyFont="1" applyNumberFormat="1">
      <alignment horizontal="center" vertical="center"/>
    </xf>
    <xf borderId="0" fillId="7" fontId="8" numFmtId="0" xfId="0" applyAlignment="1" applyFont="1">
      <alignment horizontal="left" readingOrder="0" shrinkToFit="0" vertical="center" wrapText="0"/>
    </xf>
    <xf borderId="8" fillId="7" fontId="8" numFmtId="3" xfId="0" applyAlignment="1" applyBorder="1" applyFont="1" applyNumberFormat="1">
      <alignment vertical="center"/>
    </xf>
    <xf borderId="7" fillId="7" fontId="8" numFmtId="0" xfId="0" applyAlignment="1" applyBorder="1" applyFont="1">
      <alignment horizontal="right" readingOrder="0" vertical="center"/>
    </xf>
    <xf borderId="0" fillId="7" fontId="8" numFmtId="9" xfId="0" applyAlignment="1" applyFont="1" applyNumberFormat="1">
      <alignment horizontal="center" readingOrder="0" vertical="center"/>
    </xf>
    <xf borderId="0" fillId="7" fontId="8" numFmtId="0" xfId="0" applyAlignment="1" applyFont="1">
      <alignment horizontal="center" readingOrder="0" vertical="center"/>
    </xf>
    <xf borderId="0" fillId="7" fontId="8" numFmtId="3" xfId="0" applyAlignment="1" applyFont="1" applyNumberFormat="1">
      <alignment horizontal="center" vertical="center"/>
    </xf>
    <xf borderId="8" fillId="7" fontId="8" numFmtId="3" xfId="0" applyAlignment="1" applyBorder="1" applyFont="1" applyNumberFormat="1">
      <alignment horizontal="center" vertical="center"/>
    </xf>
    <xf borderId="0" fillId="9" fontId="8" numFmtId="0" xfId="0" applyAlignment="1" applyFont="1">
      <alignment horizontal="left" readingOrder="0" shrinkToFit="0" vertical="center" wrapText="0"/>
    </xf>
    <xf borderId="8" fillId="9" fontId="8" numFmtId="3" xfId="0" applyAlignment="1" applyBorder="1" applyFont="1" applyNumberFormat="1">
      <alignment vertical="center"/>
    </xf>
    <xf borderId="5" fillId="7" fontId="8" numFmtId="0" xfId="0" applyAlignment="1" applyBorder="1" applyFont="1">
      <alignment horizontal="left" readingOrder="0" shrinkToFit="0" vertical="center" wrapText="0"/>
    </xf>
    <xf borderId="6" fillId="7" fontId="8" numFmtId="3" xfId="0" applyAlignment="1" applyBorder="1" applyFont="1" applyNumberFormat="1">
      <alignment vertical="center"/>
    </xf>
    <xf borderId="0" fillId="7" fontId="8" numFmtId="171" xfId="0" applyAlignment="1" applyFont="1" applyNumberFormat="1">
      <alignment horizontal="center" readingOrder="0" vertical="center"/>
    </xf>
    <xf borderId="12" fillId="5" fontId="7" numFmtId="0" xfId="0" applyAlignment="1" applyBorder="1" applyFont="1">
      <alignment horizontal="center" readingOrder="0" shrinkToFit="0" vertical="center" wrapText="0"/>
    </xf>
    <xf borderId="0" fillId="7" fontId="8" numFmtId="3" xfId="0" applyAlignment="1" applyFont="1" applyNumberFormat="1">
      <alignment vertical="center"/>
    </xf>
    <xf borderId="13" fillId="7" fontId="8" numFmtId="4" xfId="0" applyAlignment="1" applyBorder="1" applyFont="1" applyNumberFormat="1">
      <alignment horizontal="center" vertical="center"/>
    </xf>
    <xf borderId="0" fillId="9" fontId="8" numFmtId="3" xfId="0" applyAlignment="1" applyFont="1" applyNumberFormat="1">
      <alignment vertical="center"/>
    </xf>
    <xf borderId="13" fillId="5" fontId="7" numFmtId="0" xfId="0" applyAlignment="1" applyBorder="1" applyFont="1">
      <alignment horizontal="center" readingOrder="0" shrinkToFit="0" vertical="center" wrapText="0"/>
    </xf>
    <xf borderId="15" fillId="7" fontId="8" numFmtId="9" xfId="0" applyAlignment="1" applyBorder="1" applyFont="1" applyNumberFormat="1">
      <alignment horizontal="center" vertical="center"/>
    </xf>
    <xf borderId="5" fillId="9" fontId="8" numFmtId="3" xfId="0" applyAlignment="1" applyBorder="1" applyFont="1" applyNumberFormat="1">
      <alignment horizontal="center" vertical="center"/>
    </xf>
    <xf borderId="13" fillId="9" fontId="8" numFmtId="9" xfId="0" applyAlignment="1" applyBorder="1" applyFont="1" applyNumberFormat="1">
      <alignment horizontal="center" vertical="center"/>
    </xf>
    <xf borderId="0" fillId="2" fontId="8" numFmtId="0" xfId="0" applyAlignment="1" applyFont="1">
      <alignment horizontal="center" readingOrder="0" shrinkToFit="0" vertical="center" wrapText="0"/>
    </xf>
    <xf borderId="0" fillId="7" fontId="8" numFmtId="3" xfId="0" applyAlignment="1" applyFont="1" applyNumberFormat="1">
      <alignment horizontal="center" readingOrder="0" vertical="center"/>
    </xf>
    <xf borderId="4" fillId="9" fontId="8" numFmtId="0" xfId="0" applyAlignment="1" applyBorder="1" applyFont="1">
      <alignment horizontal="right" readingOrder="0" vertical="center"/>
    </xf>
    <xf borderId="5" fillId="9" fontId="1" numFmtId="0" xfId="0" applyBorder="1" applyFont="1"/>
    <xf borderId="5" fillId="9" fontId="8" numFmtId="9" xfId="0" applyAlignment="1" applyBorder="1" applyFont="1" applyNumberFormat="1">
      <alignment horizontal="center" readingOrder="0" vertical="center"/>
    </xf>
    <xf borderId="5" fillId="9" fontId="8" numFmtId="0" xfId="0" applyAlignment="1" applyBorder="1" applyFont="1">
      <alignment horizontal="center" readingOrder="0" vertical="center"/>
    </xf>
    <xf borderId="5" fillId="9" fontId="8" numFmtId="3" xfId="0" applyAlignment="1" applyBorder="1" applyFont="1" applyNumberFormat="1">
      <alignment horizontal="center" readingOrder="0" vertical="center"/>
    </xf>
    <xf borderId="6" fillId="9" fontId="8" numFmtId="3" xfId="0" applyAlignment="1" applyBorder="1" applyFont="1" applyNumberFormat="1">
      <alignment horizontal="center" vertical="center"/>
    </xf>
    <xf borderId="0" fillId="7" fontId="8" numFmtId="0" xfId="0" applyAlignment="1" applyFont="1">
      <alignment horizontal="right" readingOrder="0" vertical="center"/>
    </xf>
    <xf borderId="0" fillId="2" fontId="8" numFmtId="0" xfId="0" applyAlignment="1" applyFont="1">
      <alignment horizontal="right" readingOrder="0" shrinkToFit="0" vertical="center" wrapText="1"/>
    </xf>
    <xf borderId="9" fillId="5" fontId="7" numFmtId="0" xfId="0" applyAlignment="1" applyBorder="1" applyFont="1">
      <alignment horizontal="right" readingOrder="0" vertical="center"/>
    </xf>
    <xf borderId="10" fillId="5" fontId="1" numFmtId="0" xfId="0" applyBorder="1" applyFont="1"/>
    <xf borderId="10" fillId="5" fontId="7" numFmtId="0" xfId="0" applyAlignment="1" applyBorder="1" applyFont="1">
      <alignment horizontal="center" readingOrder="0" vertical="center"/>
    </xf>
    <xf borderId="11" fillId="5" fontId="7" numFmtId="0" xfId="0" applyAlignment="1" applyBorder="1" applyFont="1">
      <alignment horizontal="center" readingOrder="0" vertical="center"/>
    </xf>
    <xf borderId="12" fillId="7" fontId="8" numFmtId="170" xfId="0" applyAlignment="1" applyBorder="1" applyFont="1" applyNumberFormat="1">
      <alignment horizontal="center" readingOrder="0" shrinkToFit="0" vertical="center" wrapText="1"/>
    </xf>
    <xf borderId="8" fillId="7" fontId="8" numFmtId="3" xfId="0" applyAlignment="1" applyBorder="1" applyFont="1" applyNumberFormat="1">
      <alignment horizontal="center" readingOrder="0" vertical="center"/>
    </xf>
    <xf borderId="6" fillId="9" fontId="8" numFmtId="172" xfId="0" applyAlignment="1" applyBorder="1" applyFont="1" applyNumberFormat="1">
      <alignment horizontal="center" readingOrder="0" vertical="center"/>
    </xf>
    <xf borderId="5" fillId="5" fontId="21" numFmtId="0" xfId="0" applyAlignment="1" applyBorder="1" applyFont="1">
      <alignment horizontal="center" readingOrder="0" shrinkToFit="0" vertical="center" wrapText="0"/>
    </xf>
    <xf borderId="5" fillId="5" fontId="21" numFmtId="164" xfId="0" applyAlignment="1" applyBorder="1" applyFont="1" applyNumberFormat="1">
      <alignment horizontal="center" readingOrder="0" shrinkToFit="0" vertical="center" wrapText="0"/>
    </xf>
    <xf borderId="9" fillId="5" fontId="35" numFmtId="0" xfId="0" applyAlignment="1" applyBorder="1" applyFont="1">
      <alignment horizontal="center" readingOrder="0" shrinkToFit="0" vertical="center" wrapText="1"/>
    </xf>
    <xf borderId="5" fillId="5" fontId="21" numFmtId="0" xfId="0" applyAlignment="1" applyBorder="1" applyFont="1">
      <alignment horizontal="center" readingOrder="0" shrinkToFit="0" vertical="center" wrapText="0"/>
    </xf>
    <xf borderId="4" fillId="5" fontId="21" numFmtId="0" xfId="0" applyAlignment="1" applyBorder="1" applyFont="1">
      <alignment horizontal="center" readingOrder="0" shrinkToFit="0" vertical="center" wrapText="0"/>
    </xf>
    <xf borderId="0" fillId="2" fontId="1" numFmtId="0" xfId="0" applyAlignment="1" applyFont="1">
      <alignment horizontal="center" shrinkToFit="0" vertical="center" wrapText="0"/>
    </xf>
    <xf borderId="9" fillId="5" fontId="21" numFmtId="0" xfId="0" applyAlignment="1" applyBorder="1" applyFont="1">
      <alignment horizontal="center" readingOrder="0" shrinkToFit="0" vertical="center" wrapText="0"/>
    </xf>
    <xf borderId="0" fillId="7" fontId="8" numFmtId="0" xfId="0" applyAlignment="1" applyFont="1">
      <alignment horizontal="center" readingOrder="0" shrinkToFit="0" vertical="center" wrapText="1"/>
    </xf>
    <xf borderId="0" fillId="7" fontId="8" numFmtId="164" xfId="0" applyAlignment="1" applyFont="1" applyNumberFormat="1">
      <alignment horizontal="center" readingOrder="0" shrinkToFit="0" vertical="center" wrapText="0"/>
    </xf>
    <xf borderId="7" fillId="7" fontId="8" numFmtId="0" xfId="0" applyAlignment="1" applyBorder="1" applyFont="1">
      <alignment horizontal="center" readingOrder="0" shrinkToFit="0" vertical="center" wrapText="0"/>
    </xf>
    <xf borderId="0" fillId="7" fontId="8" numFmtId="0" xfId="0" applyAlignment="1" applyFont="1">
      <alignment horizontal="center" readingOrder="0" shrinkToFit="0" vertical="center" wrapText="0"/>
    </xf>
    <xf borderId="0" fillId="7" fontId="8" numFmtId="3" xfId="0" applyAlignment="1" applyFont="1" applyNumberFormat="1">
      <alignment horizontal="center" readingOrder="0" shrinkToFit="0" vertical="center" wrapText="0"/>
    </xf>
    <xf borderId="8" fillId="7" fontId="8" numFmtId="170" xfId="0" applyAlignment="1" applyBorder="1" applyFont="1" applyNumberFormat="1">
      <alignment horizontal="center" readingOrder="0" shrinkToFit="0" vertical="center" wrapText="0"/>
    </xf>
    <xf borderId="0" fillId="7" fontId="8" numFmtId="164" xfId="0" applyAlignment="1" applyFont="1" applyNumberFormat="1">
      <alignment horizontal="center" readingOrder="0" shrinkToFit="0" vertical="center" wrapText="0"/>
    </xf>
    <xf borderId="8" fillId="7" fontId="8" numFmtId="3" xfId="0" applyAlignment="1" applyBorder="1" applyFont="1" applyNumberFormat="1">
      <alignment horizontal="center" readingOrder="0" shrinkToFit="0" vertical="center" wrapText="0"/>
    </xf>
    <xf borderId="8" fillId="7" fontId="8" numFmtId="173" xfId="0" applyAlignment="1" applyBorder="1" applyFont="1" applyNumberFormat="1">
      <alignment horizontal="center" readingOrder="0" shrinkToFit="0" vertical="center" wrapText="0"/>
    </xf>
    <xf borderId="0" fillId="8" fontId="8" numFmtId="0" xfId="0" applyAlignment="1" applyFont="1">
      <alignment horizontal="center" readingOrder="0" shrinkToFit="0" vertical="center" wrapText="0"/>
    </xf>
    <xf borderId="0" fillId="8" fontId="8" numFmtId="164" xfId="0" applyAlignment="1" applyFont="1" applyNumberFormat="1">
      <alignment horizontal="center" readingOrder="0" shrinkToFit="0" vertical="center" wrapText="0"/>
    </xf>
    <xf borderId="7" fillId="8" fontId="8" numFmtId="0" xfId="0" applyAlignment="1" applyBorder="1" applyFont="1">
      <alignment horizontal="center" readingOrder="0" shrinkToFit="0" vertical="center" wrapText="0"/>
    </xf>
    <xf borderId="0" fillId="8" fontId="8" numFmtId="0" xfId="0" applyAlignment="1" applyFont="1">
      <alignment horizontal="center" readingOrder="0" shrinkToFit="0" vertical="center" wrapText="0"/>
    </xf>
    <xf borderId="0" fillId="8" fontId="8" numFmtId="3" xfId="0" applyAlignment="1" applyFont="1" applyNumberFormat="1">
      <alignment horizontal="center" readingOrder="0" shrinkToFit="0" vertical="center" wrapText="0"/>
    </xf>
    <xf borderId="8" fillId="8" fontId="8" numFmtId="170" xfId="0" applyAlignment="1" applyBorder="1" applyFont="1" applyNumberFormat="1">
      <alignment horizontal="center" readingOrder="0" shrinkToFit="0" vertical="center" wrapText="0"/>
    </xf>
    <xf borderId="0" fillId="8" fontId="8" numFmtId="164" xfId="0" applyAlignment="1" applyFont="1" applyNumberFormat="1">
      <alignment horizontal="center" readingOrder="0" shrinkToFit="0" vertical="center" wrapText="0"/>
    </xf>
    <xf borderId="8" fillId="8" fontId="8" numFmtId="3" xfId="0" applyAlignment="1" applyBorder="1" applyFont="1" applyNumberFormat="1">
      <alignment horizontal="center" readingOrder="0" shrinkToFit="0" vertical="center" wrapText="0"/>
    </xf>
    <xf borderId="8" fillId="8" fontId="8" numFmtId="173" xfId="0" applyAlignment="1" applyBorder="1" applyFont="1" applyNumberFormat="1">
      <alignment horizontal="center" readingOrder="0" shrinkToFit="0" vertical="center" wrapText="0"/>
    </xf>
    <xf borderId="0" fillId="7" fontId="8" numFmtId="0" xfId="0" applyAlignment="1" applyFont="1">
      <alignment horizontal="center" readingOrder="0" shrinkToFit="0" vertical="center" wrapText="0"/>
    </xf>
    <xf borderId="0" fillId="8" fontId="8" numFmtId="4" xfId="0" applyAlignment="1" applyFont="1" applyNumberFormat="1">
      <alignment horizontal="center" readingOrder="0" shrinkToFit="0" vertical="center" wrapText="0"/>
    </xf>
    <xf borderId="0" fillId="7" fontId="8" numFmtId="170" xfId="0" applyAlignment="1" applyFont="1" applyNumberFormat="1">
      <alignment horizontal="center" readingOrder="0" shrinkToFit="0" vertical="center" wrapText="0"/>
    </xf>
    <xf borderId="0" fillId="8" fontId="8" numFmtId="170" xfId="0" applyAlignment="1" applyFont="1" applyNumberFormat="1">
      <alignment horizontal="center" readingOrder="0" shrinkToFit="0" vertical="center" wrapText="0"/>
    </xf>
    <xf borderId="8" fillId="8" fontId="8" numFmtId="164" xfId="0" applyAlignment="1" applyBorder="1" applyFont="1" applyNumberFormat="1">
      <alignment horizontal="center" readingOrder="0" shrinkToFit="0" vertical="center" wrapText="0"/>
    </xf>
    <xf borderId="8" fillId="7" fontId="8" numFmtId="164" xfId="0" applyAlignment="1" applyBorder="1" applyFont="1" applyNumberFormat="1">
      <alignment horizontal="center" readingOrder="0" shrinkToFit="0" vertical="center" wrapText="0"/>
    </xf>
    <xf borderId="0" fillId="8" fontId="36" numFmtId="0" xfId="0" applyAlignment="1" applyFont="1">
      <alignment horizontal="center" readingOrder="0" shrinkToFit="0" vertical="center" wrapText="0"/>
    </xf>
    <xf borderId="0" fillId="9" fontId="8" numFmtId="0" xfId="0" applyAlignment="1" applyFont="1">
      <alignment horizontal="center" readingOrder="0" shrinkToFit="0" vertical="center" wrapText="0"/>
    </xf>
    <xf borderId="8" fillId="9" fontId="8" numFmtId="164" xfId="0" applyAlignment="1" applyBorder="1" applyFont="1" applyNumberFormat="1">
      <alignment horizontal="center" readingOrder="0" shrinkToFit="0" vertical="center" wrapText="0"/>
    </xf>
    <xf borderId="10" fillId="5" fontId="21" numFmtId="0" xfId="0" applyAlignment="1" applyBorder="1" applyFont="1">
      <alignment horizontal="center" readingOrder="0" shrinkToFit="0" vertical="center" wrapText="0"/>
    </xf>
    <xf borderId="2" fillId="2" fontId="1" numFmtId="0" xfId="0" applyAlignment="1" applyBorder="1" applyFont="1">
      <alignment horizontal="center" shrinkToFit="0" vertical="center" wrapText="0"/>
    </xf>
    <xf borderId="1" fillId="5" fontId="21" numFmtId="0" xfId="0" applyAlignment="1" applyBorder="1" applyFont="1">
      <alignment horizontal="center"/>
    </xf>
    <xf borderId="1" fillId="6" fontId="28" numFmtId="170" xfId="0" applyAlignment="1" applyBorder="1" applyFont="1" applyNumberFormat="1">
      <alignment readingOrder="0"/>
    </xf>
    <xf borderId="8" fillId="7" fontId="8" numFmtId="170" xfId="0" applyAlignment="1" applyBorder="1" applyFont="1" applyNumberFormat="1">
      <alignment horizontal="center" readingOrder="0" shrinkToFit="0" vertical="center" wrapText="0"/>
    </xf>
    <xf borderId="4" fillId="5" fontId="7" numFmtId="0" xfId="0" applyAlignment="1" applyBorder="1" applyFont="1">
      <alignment horizontal="center" shrinkToFit="0" wrapText="1"/>
    </xf>
    <xf borderId="4" fillId="6" fontId="36" numFmtId="0" xfId="0" applyAlignment="1" applyBorder="1" applyFont="1">
      <alignment horizontal="center" readingOrder="0" shrinkToFit="0" vertical="center" wrapText="1"/>
    </xf>
    <xf borderId="8" fillId="8" fontId="8" numFmtId="170" xfId="0" applyAlignment="1" applyBorder="1" applyFont="1" applyNumberFormat="1">
      <alignment horizontal="center" readingOrder="0" shrinkToFit="0" vertical="center" wrapText="0"/>
    </xf>
    <xf borderId="4" fillId="8" fontId="8" numFmtId="0" xfId="0" applyAlignment="1" applyBorder="1" applyFont="1">
      <alignment horizontal="center" readingOrder="0" shrinkToFit="0" vertical="center" wrapText="0"/>
    </xf>
    <xf borderId="6" fillId="8" fontId="8" numFmtId="173" xfId="0" applyAlignment="1" applyBorder="1" applyFont="1" applyNumberFormat="1">
      <alignment horizontal="center" readingOrder="0" shrinkToFit="0" vertical="center" wrapText="0"/>
    </xf>
    <xf borderId="6" fillId="8" fontId="8" numFmtId="3" xfId="0" applyAlignment="1" applyBorder="1" applyFont="1" applyNumberFormat="1">
      <alignment horizontal="center" readingOrder="0" shrinkToFit="0" vertical="center" wrapText="0"/>
    </xf>
    <xf borderId="13" fillId="5" fontId="7" numFmtId="0" xfId="0" applyAlignment="1" applyBorder="1" applyFont="1">
      <alignment horizontal="center" readingOrder="0" shrinkToFit="0" vertical="center" wrapText="0"/>
    </xf>
    <xf borderId="11" fillId="5" fontId="7" numFmtId="3" xfId="0" applyAlignment="1" applyBorder="1" applyFont="1" applyNumberFormat="1">
      <alignment horizontal="center" readingOrder="0" shrinkToFit="0" vertical="center" wrapText="0"/>
    </xf>
    <xf borderId="0" fillId="8" fontId="8" numFmtId="0" xfId="0" applyAlignment="1" applyFont="1">
      <alignment horizontal="center" shrinkToFit="0" vertical="center" wrapText="0"/>
    </xf>
    <xf borderId="8" fillId="8" fontId="8" numFmtId="164" xfId="0" applyAlignment="1" applyBorder="1" applyFont="1" applyNumberFormat="1">
      <alignment horizontal="center" shrinkToFit="0" vertical="center" wrapText="0"/>
    </xf>
    <xf borderId="0" fillId="7" fontId="8" numFmtId="0" xfId="0" applyAlignment="1" applyFont="1">
      <alignment horizontal="center" shrinkToFit="0" vertical="center" wrapText="0"/>
    </xf>
    <xf borderId="8" fillId="7" fontId="8" numFmtId="164" xfId="0" applyAlignment="1" applyBorder="1" applyFont="1" applyNumberFormat="1">
      <alignment horizontal="center" shrinkToFit="0" vertical="center" wrapText="0"/>
    </xf>
    <xf borderId="7" fillId="7" fontId="22" numFmtId="0" xfId="0" applyAlignment="1" applyBorder="1" applyFont="1">
      <alignment horizontal="center" readingOrder="0" shrinkToFit="0" vertical="center" wrapText="0"/>
    </xf>
    <xf borderId="4" fillId="7" fontId="8" numFmtId="0" xfId="0" applyAlignment="1" applyBorder="1" applyFont="1">
      <alignment horizontal="center" readingOrder="0" shrinkToFit="0" vertical="center" wrapText="0"/>
    </xf>
    <xf borderId="5" fillId="7" fontId="8" numFmtId="0" xfId="0" applyAlignment="1" applyBorder="1" applyFont="1">
      <alignment horizontal="center" readingOrder="0" shrinkToFit="0" vertical="center" wrapText="0"/>
    </xf>
    <xf borderId="5" fillId="7" fontId="8" numFmtId="170" xfId="0" applyAlignment="1" applyBorder="1" applyFont="1" applyNumberFormat="1">
      <alignment horizontal="center" readingOrder="0" shrinkToFit="0" vertical="center" wrapText="0"/>
    </xf>
    <xf borderId="6" fillId="7" fontId="8" numFmtId="170" xfId="0" applyAlignment="1" applyBorder="1" applyFont="1" applyNumberFormat="1">
      <alignment horizontal="center" readingOrder="0" shrinkToFit="0" vertical="center" wrapText="0"/>
    </xf>
    <xf borderId="7" fillId="2" fontId="1" numFmtId="0" xfId="0" applyAlignment="1" applyBorder="1" applyFont="1">
      <alignment horizontal="center" shrinkToFit="0" vertical="center" wrapText="0"/>
    </xf>
    <xf borderId="7" fillId="0" fontId="1" numFmtId="0" xfId="0" applyBorder="1" applyFont="1"/>
    <xf borderId="0" fillId="8" fontId="8" numFmtId="164" xfId="0" applyAlignment="1" applyFont="1" applyNumberFormat="1">
      <alignment horizontal="center" shrinkToFit="0" vertical="center" wrapText="0"/>
    </xf>
    <xf borderId="0" fillId="2" fontId="8" numFmtId="0" xfId="0" applyAlignment="1" applyFont="1">
      <alignment horizontal="center" vertical="center"/>
    </xf>
    <xf borderId="0" fillId="2" fontId="33" numFmtId="0" xfId="0" applyAlignment="1" applyFont="1">
      <alignment horizontal="center" vertical="center"/>
    </xf>
    <xf borderId="9" fillId="5" fontId="27" numFmtId="0" xfId="0" applyAlignment="1" applyBorder="1" applyFont="1">
      <alignment horizontal="center" readingOrder="0" shrinkToFit="0" vertical="center" wrapText="0"/>
    </xf>
    <xf borderId="10" fillId="5" fontId="27" numFmtId="0" xfId="0" applyAlignment="1" applyBorder="1" applyFont="1">
      <alignment horizontal="center" readingOrder="0" shrinkToFit="0" vertical="center" wrapText="0"/>
    </xf>
    <xf borderId="11" fillId="5" fontId="27" numFmtId="0" xfId="0" applyAlignment="1" applyBorder="1" applyFont="1">
      <alignment horizontal="center" readingOrder="0" shrinkToFit="0" vertical="center" wrapText="0"/>
    </xf>
    <xf borderId="11" fillId="5" fontId="21" numFmtId="0" xfId="0" applyAlignment="1" applyBorder="1" applyFont="1">
      <alignment horizontal="center" readingOrder="0" shrinkToFit="0" vertical="center" wrapText="0"/>
    </xf>
    <xf borderId="0" fillId="7" fontId="8" numFmtId="164" xfId="0" applyAlignment="1" applyFont="1" applyNumberFormat="1">
      <alignment horizontal="center" readingOrder="0" vertical="center"/>
    </xf>
    <xf borderId="7" fillId="6" fontId="8" numFmtId="0" xfId="0" applyAlignment="1" applyBorder="1" applyFont="1">
      <alignment horizontal="center" readingOrder="0" vertical="center"/>
    </xf>
    <xf borderId="0" fillId="6" fontId="37" numFmtId="0" xfId="0" applyAlignment="1" applyFont="1">
      <alignment horizontal="center" readingOrder="0" vertical="center"/>
    </xf>
    <xf borderId="7" fillId="7" fontId="8" numFmtId="3" xfId="0" applyAlignment="1" applyBorder="1" applyFont="1" applyNumberFormat="1">
      <alignment horizontal="center" readingOrder="0" vertical="center"/>
    </xf>
    <xf borderId="0" fillId="7" fontId="8" numFmtId="164" xfId="0" applyAlignment="1" applyFont="1" applyNumberFormat="1">
      <alignment horizontal="center" vertical="center"/>
    </xf>
    <xf borderId="7" fillId="7" fontId="8" numFmtId="0" xfId="0" applyAlignment="1" applyBorder="1" applyFont="1">
      <alignment horizontal="center" readingOrder="0" vertical="center"/>
    </xf>
    <xf borderId="8" fillId="7" fontId="8" numFmtId="0" xfId="0" applyAlignment="1" applyBorder="1" applyFont="1">
      <alignment horizontal="center" readingOrder="0" vertical="center"/>
    </xf>
    <xf borderId="8" fillId="7" fontId="8" numFmtId="164" xfId="0" applyAlignment="1" applyBorder="1" applyFont="1" applyNumberFormat="1">
      <alignment horizontal="center" readingOrder="0" vertical="center"/>
    </xf>
    <xf borderId="8" fillId="7" fontId="8" numFmtId="164" xfId="0" applyAlignment="1" applyBorder="1" applyFont="1" applyNumberFormat="1">
      <alignment horizontal="center" vertical="center"/>
    </xf>
    <xf borderId="1" fillId="7" fontId="8" numFmtId="0" xfId="0" applyAlignment="1" applyBorder="1" applyFont="1">
      <alignment horizontal="center" readingOrder="0" vertical="center"/>
    </xf>
    <xf borderId="3" fillId="7" fontId="8" numFmtId="164" xfId="0" applyAlignment="1" applyBorder="1" applyFont="1" applyNumberFormat="1">
      <alignment horizontal="center" readingOrder="0" vertical="center"/>
    </xf>
    <xf borderId="4" fillId="7" fontId="8" numFmtId="0" xfId="0" applyAlignment="1" applyBorder="1" applyFont="1">
      <alignment horizontal="center" readingOrder="0" vertical="center"/>
    </xf>
    <xf borderId="6" fillId="7" fontId="8" numFmtId="3" xfId="0" applyAlignment="1" applyBorder="1" applyFont="1" applyNumberFormat="1">
      <alignment horizontal="center" vertical="center"/>
    </xf>
    <xf borderId="4" fillId="0" fontId="1" numFmtId="0" xfId="0" applyBorder="1" applyFont="1"/>
    <xf borderId="5" fillId="7" fontId="8" numFmtId="0" xfId="0" applyAlignment="1" applyBorder="1" applyFont="1">
      <alignment horizontal="center" readingOrder="0" vertical="center"/>
    </xf>
    <xf borderId="5" fillId="7" fontId="8" numFmtId="3" xfId="0" applyAlignment="1" applyBorder="1" applyFont="1" applyNumberFormat="1">
      <alignment horizontal="center" vertical="center"/>
    </xf>
    <xf borderId="5" fillId="7" fontId="8" numFmtId="3" xfId="0" applyAlignment="1" applyBorder="1" applyFont="1" applyNumberFormat="1">
      <alignment horizontal="center" readingOrder="0" vertical="center"/>
    </xf>
    <xf borderId="6" fillId="7" fontId="8" numFmtId="0" xfId="0" applyAlignment="1" applyBorder="1" applyFont="1">
      <alignment horizontal="center" readingOrder="0" vertical="center"/>
    </xf>
    <xf borderId="10" fillId="5" fontId="27" numFmtId="164" xfId="0" applyAlignment="1" applyBorder="1" applyFont="1" applyNumberFormat="1">
      <alignment horizontal="center" readingOrder="0" shrinkToFit="0" vertical="center" wrapText="0"/>
    </xf>
    <xf borderId="1" fillId="5" fontId="27" numFmtId="0" xfId="0" applyAlignment="1" applyBorder="1" applyFont="1">
      <alignment horizontal="center" readingOrder="0" shrinkToFit="0" vertical="center" wrapText="0"/>
    </xf>
    <xf borderId="2" fillId="5" fontId="27" numFmtId="164" xfId="0" applyAlignment="1" applyBorder="1" applyFont="1" applyNumberFormat="1">
      <alignment horizontal="center" readingOrder="0" shrinkToFit="0" vertical="center" wrapText="0"/>
    </xf>
    <xf borderId="11" fillId="5" fontId="27" numFmtId="164" xfId="0" applyAlignment="1" applyBorder="1" applyFont="1" applyNumberFormat="1">
      <alignment horizontal="center" readingOrder="0" shrinkToFit="0" vertical="center" wrapText="0"/>
    </xf>
    <xf borderId="5" fillId="7" fontId="8" numFmtId="164" xfId="0" applyAlignment="1" applyBorder="1" applyFont="1" applyNumberFormat="1">
      <alignment horizontal="center" readingOrder="0" vertical="center"/>
    </xf>
    <xf borderId="4" fillId="6" fontId="8" numFmtId="0" xfId="0" applyAlignment="1" applyBorder="1" applyFont="1">
      <alignment horizontal="center" readingOrder="0" vertical="center"/>
    </xf>
    <xf borderId="5" fillId="6" fontId="37" numFmtId="0" xfId="0" applyAlignment="1" applyBorder="1" applyFont="1">
      <alignment horizontal="center" vertical="center"/>
    </xf>
    <xf borderId="9" fillId="7" fontId="8" numFmtId="3" xfId="0" applyAlignment="1" applyBorder="1" applyFont="1" applyNumberFormat="1">
      <alignment horizontal="center" readingOrder="0" vertical="center"/>
    </xf>
    <xf borderId="10" fillId="7" fontId="8" numFmtId="164" xfId="0" applyAlignment="1" applyBorder="1" applyFont="1" applyNumberFormat="1">
      <alignment horizontal="center" vertical="center"/>
    </xf>
    <xf borderId="5" fillId="7" fontId="8" numFmtId="164" xfId="0" applyAlignment="1" applyBorder="1" applyFont="1" applyNumberFormat="1">
      <alignment horizontal="center" vertical="center"/>
    </xf>
    <xf borderId="0" fillId="2" fontId="8" numFmtId="0" xfId="0" applyAlignment="1" applyFont="1">
      <alignment horizontal="center" readingOrder="0" vertical="center"/>
    </xf>
    <xf borderId="4" fillId="7" fontId="8" numFmtId="164" xfId="0" applyAlignment="1" applyBorder="1" applyFont="1" applyNumberFormat="1">
      <alignment horizontal="center" vertical="center"/>
    </xf>
    <xf borderId="4" fillId="7" fontId="8" numFmtId="3" xfId="0" applyAlignment="1" applyBorder="1" applyFont="1" applyNumberFormat="1">
      <alignment horizontal="center" vertical="center"/>
    </xf>
    <xf borderId="0" fillId="6" fontId="8" numFmtId="0" xfId="0" applyAlignment="1" applyFont="1">
      <alignment horizontal="center" readingOrder="0" vertical="center"/>
    </xf>
    <xf borderId="0" fillId="6" fontId="37" numFmtId="0" xfId="0" applyAlignment="1" applyFont="1">
      <alignment horizontal="center" vertical="center"/>
    </xf>
    <xf borderId="7" fillId="6" fontId="8" numFmtId="0" xfId="0" applyAlignment="1" applyBorder="1" applyFont="1">
      <alignment horizontal="center" shrinkToFit="0" vertical="center" wrapText="1"/>
    </xf>
    <xf borderId="8" fillId="7" fontId="8" numFmtId="174" xfId="0" applyAlignment="1" applyBorder="1" applyFont="1" applyNumberFormat="1">
      <alignment horizontal="center" shrinkToFit="0" vertical="center" wrapText="1"/>
    </xf>
    <xf borderId="8" fillId="7" fontId="8" numFmtId="3" xfId="0" applyAlignment="1" applyBorder="1" applyFont="1" applyNumberFormat="1">
      <alignment horizontal="center" readingOrder="0" shrinkToFit="0" vertical="center" wrapText="1"/>
    </xf>
    <xf borderId="8" fillId="7" fontId="8" numFmtId="164" xfId="0" applyAlignment="1" applyBorder="1" applyFont="1" applyNumberFormat="1">
      <alignment horizontal="center" readingOrder="0" shrinkToFit="0" vertical="center" wrapText="1"/>
    </xf>
    <xf borderId="8" fillId="7" fontId="8" numFmtId="4" xfId="0" applyAlignment="1" applyBorder="1" applyFont="1" applyNumberFormat="1">
      <alignment horizontal="center" readingOrder="0" shrinkToFit="0" vertical="center" wrapText="1"/>
    </xf>
    <xf borderId="8" fillId="7" fontId="8" numFmtId="174" xfId="0" applyAlignment="1" applyBorder="1" applyFont="1" applyNumberFormat="1">
      <alignment horizontal="center" readingOrder="0" shrinkToFit="0" vertical="center" wrapText="1"/>
    </xf>
    <xf borderId="4" fillId="7" fontId="8" numFmtId="169" xfId="0" applyAlignment="1" applyBorder="1" applyFont="1" applyNumberFormat="1">
      <alignment horizontal="center" readingOrder="0" shrinkToFit="0" vertical="center" wrapText="1"/>
    </xf>
    <xf borderId="6" fillId="7" fontId="8" numFmtId="175" xfId="0" applyAlignment="1" applyBorder="1" applyFont="1" applyNumberFormat="1">
      <alignment horizontal="center" readingOrder="0" shrinkToFit="0" vertical="center" wrapText="1"/>
    </xf>
    <xf borderId="9" fillId="5" fontId="27" numFmtId="0" xfId="0" applyAlignment="1" applyBorder="1" applyFont="1">
      <alignment horizontal="center"/>
    </xf>
    <xf borderId="10" fillId="5" fontId="27" numFmtId="164" xfId="0" applyAlignment="1" applyBorder="1" applyFont="1" applyNumberFormat="1">
      <alignment horizontal="center"/>
    </xf>
    <xf borderId="9" fillId="5" fontId="27" numFmtId="0" xfId="0" applyAlignment="1" applyBorder="1" applyFont="1">
      <alignment horizontal="center" readingOrder="0"/>
    </xf>
    <xf borderId="10" fillId="5" fontId="27" numFmtId="0" xfId="0" applyAlignment="1" applyBorder="1" applyFont="1">
      <alignment horizontal="center"/>
    </xf>
    <xf borderId="11" fillId="5" fontId="27" numFmtId="0" xfId="0" applyAlignment="1" applyBorder="1" applyFont="1">
      <alignment horizontal="center"/>
    </xf>
    <xf borderId="12" fillId="5" fontId="27" numFmtId="164" xfId="0" applyAlignment="1" applyBorder="1" applyFont="1" applyNumberFormat="1">
      <alignment horizontal="center"/>
    </xf>
    <xf borderId="9" fillId="5" fontId="27" numFmtId="164" xfId="0" applyAlignment="1" applyBorder="1" applyFont="1" applyNumberFormat="1">
      <alignment horizontal="center"/>
    </xf>
    <xf borderId="11" fillId="5" fontId="27" numFmtId="164" xfId="0" applyAlignment="1" applyBorder="1" applyFont="1" applyNumberFormat="1">
      <alignment horizontal="center"/>
    </xf>
    <xf borderId="9" fillId="7" fontId="8" numFmtId="0" xfId="0" applyAlignment="1" applyBorder="1" applyFont="1">
      <alignment horizontal="center"/>
    </xf>
    <xf borderId="10" fillId="7" fontId="8" numFmtId="164" xfId="0" applyAlignment="1" applyBorder="1" applyFont="1" applyNumberFormat="1">
      <alignment horizontal="center"/>
    </xf>
    <xf borderId="9" fillId="6" fontId="8" numFmtId="0" xfId="0" applyAlignment="1" applyBorder="1" applyFont="1">
      <alignment horizontal="center"/>
    </xf>
    <xf borderId="9" fillId="7" fontId="8" numFmtId="3" xfId="0" applyAlignment="1" applyBorder="1" applyFont="1" applyNumberFormat="1">
      <alignment horizontal="center"/>
    </xf>
    <xf borderId="12" fillId="7" fontId="8" numFmtId="164" xfId="0" applyAlignment="1" applyBorder="1" applyFont="1" applyNumberFormat="1">
      <alignment horizontal="center"/>
    </xf>
    <xf borderId="9" fillId="7" fontId="8" numFmtId="164" xfId="0" applyAlignment="1" applyBorder="1" applyFont="1" applyNumberFormat="1">
      <alignment horizontal="center"/>
    </xf>
    <xf borderId="11" fillId="7" fontId="8" numFmtId="164" xfId="0" applyAlignment="1" applyBorder="1" applyFont="1" applyNumberFormat="1">
      <alignment horizontal="center"/>
    </xf>
    <xf borderId="5" fillId="5" fontId="21" numFmtId="0" xfId="0" applyAlignment="1" applyBorder="1" applyFont="1">
      <alignment horizontal="center" readingOrder="0" shrinkToFit="0" vertical="center" wrapText="1"/>
    </xf>
    <xf borderId="4" fillId="5" fontId="27" numFmtId="0" xfId="0" applyAlignment="1" applyBorder="1" applyFont="1">
      <alignment horizontal="center" readingOrder="0" shrinkToFit="0" vertical="center" wrapText="1"/>
    </xf>
    <xf borderId="5" fillId="5" fontId="27" numFmtId="0" xfId="0" applyAlignment="1" applyBorder="1" applyFont="1">
      <alignment horizontal="center" readingOrder="0" shrinkToFit="0" vertical="center" wrapText="1"/>
    </xf>
    <xf borderId="6" fillId="5" fontId="27" numFmtId="0" xfId="0" applyAlignment="1" applyBorder="1" applyFont="1">
      <alignment horizontal="center" readingOrder="0" shrinkToFit="0" vertical="center" wrapText="1"/>
    </xf>
    <xf borderId="2" fillId="7" fontId="8" numFmtId="0" xfId="0" applyAlignment="1" applyBorder="1" applyFont="1">
      <alignment horizontal="center" readingOrder="0" vertical="center"/>
    </xf>
    <xf borderId="1" fillId="6" fontId="8" numFmtId="0" xfId="0" applyAlignment="1" applyBorder="1" applyFont="1">
      <alignment horizontal="center" readingOrder="0" shrinkToFit="0" vertical="center" wrapText="1"/>
    </xf>
    <xf borderId="8" fillId="7" fontId="8" numFmtId="176" xfId="0" applyAlignment="1" applyBorder="1" applyFont="1" applyNumberFormat="1">
      <alignment horizontal="center" shrinkToFit="0" vertical="center" wrapText="1"/>
    </xf>
    <xf borderId="1" fillId="7" fontId="8" numFmtId="3" xfId="0" applyAlignment="1" applyBorder="1" applyFont="1" applyNumberFormat="1">
      <alignment horizontal="center" readingOrder="0" vertical="center"/>
    </xf>
    <xf borderId="3" fillId="7" fontId="8" numFmtId="0" xfId="0" applyAlignment="1" applyBorder="1" applyFont="1">
      <alignment horizontal="center" readingOrder="0" vertical="center"/>
    </xf>
    <xf borderId="1" fillId="7" fontId="8" numFmtId="169" xfId="0" applyAlignment="1" applyBorder="1" applyFont="1" applyNumberFormat="1">
      <alignment horizontal="center" readingOrder="0" shrinkToFit="0" vertical="center" wrapText="1"/>
    </xf>
    <xf borderId="3" fillId="7" fontId="8" numFmtId="164" xfId="0" applyAlignment="1" applyBorder="1" applyFont="1" applyNumberFormat="1">
      <alignment horizontal="center" readingOrder="0" shrinkToFit="0" vertical="center" wrapText="1"/>
    </xf>
    <xf borderId="2" fillId="6" fontId="8" numFmtId="0" xfId="0" applyAlignment="1" applyBorder="1" applyFont="1">
      <alignment horizontal="center" readingOrder="0" shrinkToFit="0" vertical="center" wrapText="1"/>
    </xf>
    <xf borderId="2" fillId="6" fontId="8" numFmtId="9" xfId="0" applyAlignment="1" applyBorder="1" applyFont="1" applyNumberFormat="1">
      <alignment horizontal="center" readingOrder="0" shrinkToFit="0" vertical="center" wrapText="1"/>
    </xf>
    <xf borderId="3" fillId="7" fontId="8" numFmtId="176" xfId="0" applyAlignment="1" applyBorder="1" applyFont="1" applyNumberFormat="1">
      <alignment horizontal="center" shrinkToFit="0" vertical="center" wrapText="1"/>
    </xf>
    <xf borderId="4" fillId="7" fontId="8" numFmtId="3" xfId="0" applyAlignment="1" applyBorder="1" applyFont="1" applyNumberFormat="1">
      <alignment horizontal="center" readingOrder="0" vertical="center"/>
    </xf>
    <xf borderId="8" fillId="7" fontId="8" numFmtId="0" xfId="0" applyAlignment="1" applyBorder="1" applyFont="1">
      <alignment horizontal="center" readingOrder="0" vertical="center"/>
    </xf>
    <xf borderId="6" fillId="7" fontId="8" numFmtId="166" xfId="0" applyAlignment="1" applyBorder="1" applyFont="1" applyNumberFormat="1">
      <alignment horizontal="center" shrinkToFit="0" vertical="center" wrapText="1"/>
    </xf>
    <xf borderId="14" fillId="5" fontId="21" numFmtId="0" xfId="0" applyAlignment="1" applyBorder="1" applyFont="1">
      <alignment horizontal="center" vertical="center"/>
    </xf>
    <xf borderId="9" fillId="5" fontId="21" numFmtId="0" xfId="0" applyAlignment="1" applyBorder="1" applyFont="1">
      <alignment horizontal="center"/>
    </xf>
    <xf borderId="10" fillId="5" fontId="21" numFmtId="0" xfId="0" applyAlignment="1" applyBorder="1" applyFont="1">
      <alignment horizontal="center"/>
    </xf>
    <xf borderId="14" fillId="7" fontId="8" numFmtId="3" xfId="0" applyAlignment="1" applyBorder="1" applyFont="1" applyNumberFormat="1">
      <alignment horizontal="center" vertical="center"/>
    </xf>
    <xf borderId="1" fillId="7" fontId="8" numFmtId="174" xfId="0" applyAlignment="1" applyBorder="1" applyFont="1" applyNumberFormat="1">
      <alignment horizontal="center"/>
    </xf>
    <xf borderId="2" fillId="7" fontId="8" numFmtId="174" xfId="0" applyAlignment="1" applyBorder="1" applyFont="1" applyNumberFormat="1">
      <alignment horizontal="center"/>
    </xf>
    <xf borderId="1" fillId="7" fontId="8" numFmtId="174" xfId="0" applyAlignment="1" applyBorder="1" applyFont="1" applyNumberFormat="1">
      <alignment horizontal="center"/>
    </xf>
    <xf borderId="13" fillId="0" fontId="1" numFmtId="0" xfId="0" applyBorder="1" applyFont="1"/>
    <xf borderId="4" fillId="7" fontId="8" numFmtId="177" xfId="0" applyAlignment="1" applyBorder="1" applyFont="1" applyNumberFormat="1">
      <alignment horizontal="center"/>
    </xf>
    <xf borderId="5" fillId="7" fontId="8" numFmtId="177" xfId="0" applyAlignment="1" applyBorder="1" applyFont="1" applyNumberFormat="1">
      <alignment horizontal="center"/>
    </xf>
    <xf borderId="0" fillId="2" fontId="8" numFmtId="3" xfId="0" applyAlignment="1" applyFont="1" applyNumberFormat="1">
      <alignment horizontal="center" readingOrder="0" shrinkToFit="0" vertical="center" wrapText="1"/>
    </xf>
    <xf borderId="11" fillId="5" fontId="7" numFmtId="3" xfId="0" applyAlignment="1" applyBorder="1" applyFont="1" applyNumberFormat="1">
      <alignment horizontal="center" readingOrder="0" shrinkToFit="0" vertical="center" wrapText="1"/>
    </xf>
    <xf borderId="0" fillId="7" fontId="8" numFmtId="169" xfId="0" applyAlignment="1" applyFont="1" applyNumberFormat="1">
      <alignment horizontal="center" readingOrder="0" shrinkToFit="0" vertical="center" wrapText="1"/>
    </xf>
    <xf borderId="0" fillId="7" fontId="8" numFmtId="4" xfId="0" applyAlignment="1" applyFont="1" applyNumberFormat="1">
      <alignment horizontal="center" shrinkToFit="0" vertical="center" wrapText="1"/>
    </xf>
    <xf borderId="0" fillId="7" fontId="8" numFmtId="174" xfId="0" applyAlignment="1" applyFont="1" applyNumberFormat="1">
      <alignment horizontal="center" shrinkToFit="0" vertical="center" wrapText="1"/>
    </xf>
    <xf borderId="3" fillId="7" fontId="8" numFmtId="3" xfId="0" applyAlignment="1" applyBorder="1" applyFont="1" applyNumberFormat="1">
      <alignment horizontal="center" readingOrder="0" shrinkToFit="0" vertical="center" wrapText="1"/>
    </xf>
    <xf borderId="0" fillId="8" fontId="8" numFmtId="169" xfId="0" applyAlignment="1" applyFont="1" applyNumberFormat="1">
      <alignment horizontal="center" readingOrder="0" shrinkToFit="0" vertical="center" wrapText="1"/>
    </xf>
    <xf borderId="0" fillId="8" fontId="8" numFmtId="4" xfId="0" applyAlignment="1" applyFont="1" applyNumberFormat="1">
      <alignment horizontal="center" shrinkToFit="0" vertical="center" wrapText="1"/>
    </xf>
    <xf borderId="0" fillId="8" fontId="8" numFmtId="174" xfId="0" applyAlignment="1" applyFont="1" applyNumberFormat="1">
      <alignment horizontal="center" shrinkToFit="0" vertical="center" wrapText="1"/>
    </xf>
    <xf borderId="0" fillId="9" fontId="8" numFmtId="169" xfId="0" applyAlignment="1" applyFont="1" applyNumberFormat="1">
      <alignment horizontal="center" readingOrder="0" shrinkToFit="0" vertical="center" wrapText="1"/>
    </xf>
    <xf borderId="0" fillId="9" fontId="8" numFmtId="4" xfId="0" applyAlignment="1" applyFont="1" applyNumberFormat="1">
      <alignment horizontal="center" readingOrder="0" shrinkToFit="0" vertical="center" wrapText="1"/>
    </xf>
    <xf borderId="0" fillId="9" fontId="8" numFmtId="4" xfId="0" applyAlignment="1" applyFont="1" applyNumberFormat="1">
      <alignment horizontal="center" shrinkToFit="0" vertical="center" wrapText="1"/>
    </xf>
    <xf borderId="0" fillId="9" fontId="8" numFmtId="174" xfId="0" applyAlignment="1" applyFont="1" applyNumberFormat="1">
      <alignment horizontal="center" shrinkToFit="0" vertical="center" wrapText="1"/>
    </xf>
    <xf borderId="5" fillId="7" fontId="8" numFmtId="3" xfId="0" applyAlignment="1" applyBorder="1" applyFont="1" applyNumberFormat="1">
      <alignment horizontal="center" readingOrder="0" shrinkToFit="0" vertical="center" wrapText="1"/>
    </xf>
    <xf borderId="5" fillId="6" fontId="8" numFmtId="0" xfId="0" applyAlignment="1" applyBorder="1" applyFont="1">
      <alignment horizontal="center" readingOrder="0" shrinkToFit="0" vertical="center" wrapText="1"/>
    </xf>
    <xf borderId="5" fillId="6" fontId="8" numFmtId="9" xfId="0" applyAlignment="1" applyBorder="1" applyFont="1" applyNumberFormat="1">
      <alignment horizontal="center" readingOrder="0" shrinkToFit="0" vertical="center" wrapText="1"/>
    </xf>
    <xf borderId="5" fillId="7" fontId="8" numFmtId="169" xfId="0" applyAlignment="1" applyBorder="1" applyFont="1" applyNumberFormat="1">
      <alignment horizontal="center" readingOrder="0" shrinkToFit="0" vertical="center" wrapText="1"/>
    </xf>
    <xf borderId="5" fillId="7" fontId="8" numFmtId="164" xfId="0" applyAlignment="1" applyBorder="1" applyFont="1" applyNumberFormat="1">
      <alignment horizontal="center" readingOrder="0" shrinkToFit="0" vertical="center" wrapText="1"/>
    </xf>
    <xf borderId="5" fillId="7" fontId="8" numFmtId="4" xfId="0" applyAlignment="1" applyBorder="1" applyFont="1" applyNumberFormat="1">
      <alignment horizontal="center" readingOrder="0" shrinkToFit="0" vertical="center" wrapText="1"/>
    </xf>
    <xf borderId="5" fillId="7" fontId="8" numFmtId="4" xfId="0" applyAlignment="1" applyBorder="1" applyFont="1" applyNumberFormat="1">
      <alignment horizontal="center" shrinkToFit="0" vertical="center" wrapText="1"/>
    </xf>
    <xf borderId="5" fillId="7" fontId="8" numFmtId="174" xfId="0" applyAlignment="1" applyBorder="1" applyFont="1" applyNumberFormat="1">
      <alignment horizontal="center" shrinkToFit="0" vertical="center" wrapText="1"/>
    </xf>
    <xf borderId="10" fillId="2" fontId="8" numFmtId="0" xfId="0" applyAlignment="1" applyBorder="1" applyFont="1">
      <alignment horizontal="center" shrinkToFit="0" vertical="center" wrapText="1"/>
    </xf>
    <xf borderId="3" fillId="7" fontId="8" numFmtId="3" xfId="0" applyAlignment="1" applyBorder="1" applyFont="1" applyNumberFormat="1">
      <alignment horizontal="center" shrinkToFit="0" vertical="center" wrapText="1"/>
    </xf>
    <xf borderId="6" fillId="8" fontId="8" numFmtId="3" xfId="0" applyAlignment="1" applyBorder="1" applyFont="1" applyNumberFormat="1">
      <alignment horizontal="center" shrinkToFit="0" vertical="center" wrapText="1"/>
    </xf>
    <xf borderId="2" fillId="7" fontId="8" numFmtId="3" xfId="0" applyAlignment="1" applyBorder="1" applyFont="1" applyNumberFormat="1">
      <alignment horizontal="center" readingOrder="0" shrinkToFit="0" vertical="center" wrapText="1"/>
    </xf>
    <xf borderId="2" fillId="7" fontId="8" numFmtId="0" xfId="0" applyAlignment="1" applyBorder="1" applyFont="1">
      <alignment horizontal="center" readingOrder="0" shrinkToFit="0" vertical="center" wrapText="1"/>
    </xf>
    <xf borderId="2" fillId="6" fontId="8" numFmtId="0" xfId="0" applyAlignment="1" applyBorder="1" applyFont="1">
      <alignment horizontal="center" readingOrder="0" shrinkToFit="0" vertical="center" wrapText="1"/>
    </xf>
    <xf borderId="2" fillId="7" fontId="8" numFmtId="169" xfId="0" applyAlignment="1" applyBorder="1" applyFont="1" applyNumberFormat="1">
      <alignment horizontal="center" readingOrder="0" shrinkToFit="0" vertical="center" wrapText="1"/>
    </xf>
    <xf borderId="2" fillId="7" fontId="8" numFmtId="164" xfId="0" applyAlignment="1" applyBorder="1" applyFont="1" applyNumberFormat="1">
      <alignment horizontal="center" readingOrder="0" shrinkToFit="0" vertical="center" wrapText="1"/>
    </xf>
    <xf borderId="2" fillId="7" fontId="8" numFmtId="4" xfId="0" applyAlignment="1" applyBorder="1" applyFont="1" applyNumberFormat="1">
      <alignment horizontal="center" readingOrder="0" shrinkToFit="0" vertical="center" wrapText="1"/>
    </xf>
    <xf borderId="2" fillId="7" fontId="8" numFmtId="4" xfId="0" applyAlignment="1" applyBorder="1" applyFont="1" applyNumberFormat="1">
      <alignment horizontal="center" shrinkToFit="0" vertical="center" wrapText="1"/>
    </xf>
    <xf borderId="2" fillId="7" fontId="8" numFmtId="174" xfId="0" applyAlignment="1" applyBorder="1" applyFont="1" applyNumberFormat="1">
      <alignment horizontal="center" shrinkToFit="0" vertical="center" wrapText="1"/>
    </xf>
    <xf borderId="5" fillId="6" fontId="8" numFmtId="0" xfId="0" applyAlignment="1" applyBorder="1" applyFont="1">
      <alignment horizontal="center" readingOrder="0" shrinkToFit="0" vertical="center" wrapText="1"/>
    </xf>
    <xf borderId="0" fillId="2" fontId="38" numFmtId="0" xfId="0" applyAlignment="1" applyFont="1">
      <alignment horizontal="center" readingOrder="0" shrinkToFit="0" vertical="center" wrapText="1"/>
    </xf>
    <xf borderId="14" fillId="6" fontId="8" numFmtId="9" xfId="0" applyAlignment="1" applyBorder="1" applyFont="1" applyNumberFormat="1">
      <alignment horizontal="center" readingOrder="0" shrinkToFit="0" vertical="center" wrapText="1"/>
    </xf>
    <xf borderId="14" fillId="6" fontId="8" numFmtId="171" xfId="0" applyAlignment="1" applyBorder="1" applyFont="1" applyNumberFormat="1">
      <alignment horizontal="center" readingOrder="0" shrinkToFit="0" vertical="center" wrapText="1"/>
    </xf>
    <xf borderId="14" fillId="7" fontId="8" numFmtId="171" xfId="0" applyAlignment="1" applyBorder="1" applyFont="1" applyNumberFormat="1">
      <alignment horizontal="center" readingOrder="0" shrinkToFit="0" vertical="center" wrapText="1"/>
    </xf>
    <xf borderId="11" fillId="5" fontId="18" numFmtId="0" xfId="0" applyAlignment="1" applyBorder="1" applyFont="1">
      <alignment horizontal="center" readingOrder="0" shrinkToFit="0" vertical="center" wrapText="0"/>
    </xf>
    <xf borderId="10" fillId="5" fontId="27" numFmtId="0" xfId="0" applyAlignment="1" applyBorder="1" applyFont="1">
      <alignment horizontal="center" readingOrder="0" shrinkToFit="0" vertical="center" wrapText="0"/>
    </xf>
    <xf borderId="12" fillId="6" fontId="21" numFmtId="0" xfId="0" applyAlignment="1" applyBorder="1" applyFont="1">
      <alignment horizontal="center" readingOrder="0" shrinkToFit="0" vertical="center" wrapText="1"/>
    </xf>
    <xf borderId="7" fillId="7" fontId="8" numFmtId="164" xfId="0" applyAlignment="1" applyBorder="1" applyFont="1" applyNumberFormat="1">
      <alignment horizontal="center" readingOrder="0" shrinkToFit="0" vertical="center" wrapText="1"/>
    </xf>
    <xf borderId="7" fillId="7" fontId="8" numFmtId="170" xfId="0" applyAlignment="1" applyBorder="1" applyFont="1" applyNumberFormat="1">
      <alignment horizontal="center" readingOrder="0" shrinkToFit="0" vertical="center" wrapText="1"/>
    </xf>
    <xf borderId="0" fillId="7" fontId="36" numFmtId="170" xfId="0" applyAlignment="1" applyFont="1" applyNumberFormat="1">
      <alignment horizontal="center" readingOrder="0" shrinkToFit="0" vertical="center" wrapText="1"/>
    </xf>
    <xf borderId="0" fillId="7" fontId="8" numFmtId="170" xfId="0" applyAlignment="1" applyFont="1" applyNumberFormat="1">
      <alignment horizontal="center" readingOrder="0" shrinkToFit="0" vertical="center" wrapText="1"/>
    </xf>
    <xf borderId="0" fillId="7" fontId="17" numFmtId="170" xfId="0" applyAlignment="1" applyFont="1" applyNumberFormat="1">
      <alignment horizontal="center" readingOrder="0" shrinkToFit="0" vertical="center" wrapText="1"/>
    </xf>
    <xf borderId="7" fillId="7" fontId="8" numFmtId="170" xfId="0" applyAlignment="1" applyBorder="1" applyFont="1" applyNumberFormat="1">
      <alignment horizontal="center" readingOrder="0" shrinkToFit="0" vertical="center" wrapText="1"/>
    </xf>
    <xf borderId="8" fillId="7" fontId="8" numFmtId="170" xfId="0" applyAlignment="1" applyBorder="1" applyFont="1" applyNumberFormat="1">
      <alignment horizontal="center" readingOrder="0" shrinkToFit="0" vertical="center" wrapText="1"/>
    </xf>
    <xf borderId="7" fillId="7" fontId="22" numFmtId="164" xfId="0" applyAlignment="1" applyBorder="1" applyFont="1" applyNumberFormat="1">
      <alignment horizontal="center" readingOrder="0" shrinkToFit="0" vertical="center" wrapText="1"/>
    </xf>
    <xf borderId="8" fillId="7" fontId="22" numFmtId="164" xfId="0" applyAlignment="1" applyBorder="1" applyFont="1" applyNumberFormat="1">
      <alignment horizontal="center" readingOrder="0" shrinkToFit="0" vertical="center" wrapText="1"/>
    </xf>
    <xf borderId="8" fillId="7" fontId="8" numFmtId="178" xfId="0" applyAlignment="1" applyBorder="1" applyFont="1" applyNumberFormat="1">
      <alignment horizontal="center" readingOrder="0" shrinkToFit="0" vertical="center" wrapText="1"/>
    </xf>
    <xf borderId="7" fillId="8" fontId="8" numFmtId="164" xfId="0" applyAlignment="1" applyBorder="1" applyFont="1" applyNumberFormat="1">
      <alignment horizontal="center" readingOrder="0" shrinkToFit="0" vertical="center" wrapText="1"/>
    </xf>
    <xf borderId="8" fillId="8" fontId="8" numFmtId="164" xfId="0" applyAlignment="1" applyBorder="1" applyFont="1" applyNumberFormat="1">
      <alignment horizontal="center" readingOrder="0" shrinkToFit="0" vertical="center" wrapText="1"/>
    </xf>
    <xf borderId="7" fillId="8" fontId="8" numFmtId="170" xfId="0" applyAlignment="1" applyBorder="1" applyFont="1" applyNumberFormat="1">
      <alignment horizontal="center" readingOrder="0" shrinkToFit="0" vertical="center" wrapText="1"/>
    </xf>
    <xf borderId="0" fillId="8" fontId="36" numFmtId="170" xfId="0" applyAlignment="1" applyFont="1" applyNumberFormat="1">
      <alignment horizontal="center" readingOrder="0" shrinkToFit="0" vertical="center" wrapText="1"/>
    </xf>
    <xf borderId="0" fillId="8" fontId="8" numFmtId="170" xfId="0" applyAlignment="1" applyFont="1" applyNumberFormat="1">
      <alignment horizontal="center" readingOrder="0" shrinkToFit="0" vertical="center" wrapText="1"/>
    </xf>
    <xf borderId="0" fillId="8" fontId="17" numFmtId="170" xfId="0" applyAlignment="1" applyFont="1" applyNumberFormat="1">
      <alignment horizontal="center" readingOrder="0" shrinkToFit="0" vertical="center" wrapText="1"/>
    </xf>
    <xf borderId="8" fillId="8" fontId="8" numFmtId="170" xfId="0" applyAlignment="1" applyBorder="1" applyFont="1" applyNumberFormat="1">
      <alignment horizontal="center" readingOrder="0" shrinkToFit="0" vertical="center" wrapText="1"/>
    </xf>
    <xf borderId="7" fillId="8" fontId="22" numFmtId="164" xfId="0" applyAlignment="1" applyBorder="1" applyFont="1" applyNumberFormat="1">
      <alignment horizontal="center" readingOrder="0" shrinkToFit="0" vertical="center" wrapText="1"/>
    </xf>
    <xf borderId="8" fillId="8" fontId="22" numFmtId="164" xfId="0" applyAlignment="1" applyBorder="1" applyFont="1" applyNumberFormat="1">
      <alignment horizontal="center" readingOrder="0" shrinkToFit="0" vertical="center" wrapText="1"/>
    </xf>
    <xf borderId="8" fillId="8" fontId="8" numFmtId="178" xfId="0" applyAlignment="1" applyBorder="1" applyFont="1" applyNumberFormat="1">
      <alignment horizontal="center" readingOrder="0" shrinkToFit="0" vertical="center" wrapText="1"/>
    </xf>
    <xf borderId="7" fillId="8" fontId="8" numFmtId="4" xfId="0" applyAlignment="1" applyBorder="1" applyFont="1" applyNumberFormat="1">
      <alignment horizontal="center" readingOrder="0" shrinkToFit="0" vertical="center" wrapText="1"/>
    </xf>
    <xf borderId="7" fillId="8" fontId="22" numFmtId="4" xfId="0" applyAlignment="1" applyBorder="1" applyFont="1" applyNumberFormat="1">
      <alignment horizontal="center" readingOrder="0" shrinkToFit="0" vertical="center" wrapText="1"/>
    </xf>
    <xf borderId="8" fillId="8" fontId="22" numFmtId="4" xfId="0" applyAlignment="1" applyBorder="1" applyFont="1" applyNumberFormat="1">
      <alignment horizontal="center" readingOrder="0" shrinkToFit="0" vertical="center" wrapText="1"/>
    </xf>
    <xf borderId="7" fillId="7" fontId="8" numFmtId="4" xfId="0" applyAlignment="1" applyBorder="1" applyFont="1" applyNumberFormat="1">
      <alignment horizontal="center" readingOrder="0" shrinkToFit="0" vertical="center" wrapText="1"/>
    </xf>
    <xf borderId="7" fillId="9" fontId="8" numFmtId="164" xfId="0" applyAlignment="1" applyBorder="1" applyFont="1" applyNumberFormat="1">
      <alignment horizontal="center" readingOrder="0" shrinkToFit="0" vertical="center" wrapText="1"/>
    </xf>
    <xf borderId="8" fillId="9" fontId="8" numFmtId="164" xfId="0" applyAlignment="1" applyBorder="1" applyFont="1" applyNumberFormat="1">
      <alignment horizontal="center" readingOrder="0" shrinkToFit="0" vertical="center" wrapText="1"/>
    </xf>
    <xf borderId="7" fillId="9" fontId="8" numFmtId="170" xfId="0" applyAlignment="1" applyBorder="1" applyFont="1" applyNumberFormat="1">
      <alignment horizontal="center" readingOrder="0" shrinkToFit="0" vertical="center" wrapText="1"/>
    </xf>
    <xf borderId="0" fillId="9" fontId="36" numFmtId="170" xfId="0" applyAlignment="1" applyFont="1" applyNumberFormat="1">
      <alignment horizontal="center" readingOrder="0" shrinkToFit="0" vertical="center" wrapText="1"/>
    </xf>
    <xf borderId="0" fillId="9" fontId="8" numFmtId="170" xfId="0" applyAlignment="1" applyFont="1" applyNumberFormat="1">
      <alignment horizontal="center" readingOrder="0" shrinkToFit="0" vertical="center" wrapText="1"/>
    </xf>
    <xf borderId="0" fillId="9" fontId="17" numFmtId="170" xfId="0" applyAlignment="1" applyFont="1" applyNumberFormat="1">
      <alignment horizontal="center" readingOrder="0" shrinkToFit="0" vertical="center" wrapText="1"/>
    </xf>
    <xf borderId="7" fillId="9" fontId="8" numFmtId="170" xfId="0" applyAlignment="1" applyBorder="1" applyFont="1" applyNumberFormat="1">
      <alignment horizontal="center" readingOrder="0" shrinkToFit="0" vertical="center" wrapText="1"/>
    </xf>
    <xf borderId="8" fillId="9" fontId="8" numFmtId="170" xfId="0" applyAlignment="1" applyBorder="1" applyFont="1" applyNumberFormat="1">
      <alignment horizontal="center" readingOrder="0" shrinkToFit="0" vertical="center" wrapText="1"/>
    </xf>
    <xf borderId="7" fillId="9" fontId="22" numFmtId="164" xfId="0" applyAlignment="1" applyBorder="1" applyFont="1" applyNumberFormat="1">
      <alignment horizontal="center" readingOrder="0" shrinkToFit="0" vertical="center" wrapText="1"/>
    </xf>
    <xf borderId="8" fillId="9" fontId="22" numFmtId="164" xfId="0" applyAlignment="1" applyBorder="1" applyFont="1" applyNumberFormat="1">
      <alignment horizontal="center" readingOrder="0" shrinkToFit="0" vertical="center" wrapText="1"/>
    </xf>
    <xf borderId="8" fillId="9" fontId="8" numFmtId="178" xfId="0" applyAlignment="1" applyBorder="1" applyFont="1" applyNumberFormat="1">
      <alignment horizontal="center" readingOrder="0" shrinkToFit="0" vertical="center" wrapText="1"/>
    </xf>
    <xf borderId="4" fillId="9" fontId="8" numFmtId="164" xfId="0" applyAlignment="1" applyBorder="1" applyFont="1" applyNumberFormat="1">
      <alignment horizontal="center" readingOrder="0" shrinkToFit="0" vertical="center" wrapText="1"/>
    </xf>
    <xf borderId="5" fillId="9" fontId="8" numFmtId="164" xfId="0" applyAlignment="1" applyBorder="1" applyFont="1" applyNumberFormat="1">
      <alignment horizontal="center" readingOrder="0" shrinkToFit="0" vertical="center" wrapText="1"/>
    </xf>
    <xf borderId="6" fillId="9" fontId="8" numFmtId="178" xfId="0" applyAlignment="1" applyBorder="1" applyFont="1" applyNumberFormat="1">
      <alignment horizontal="center" readingOrder="0" shrinkToFit="0" vertical="center" wrapText="1"/>
    </xf>
    <xf borderId="2" fillId="2" fontId="39" numFmtId="0" xfId="0" applyAlignment="1" applyBorder="1" applyFont="1">
      <alignment horizontal="center" readingOrder="0" shrinkToFit="0" vertical="center" wrapText="1"/>
    </xf>
    <xf borderId="0" fillId="2" fontId="39" numFmtId="0" xfId="0" applyAlignment="1" applyFont="1">
      <alignment horizontal="center" readingOrder="0" shrinkToFit="0" vertical="center" wrapText="1"/>
    </xf>
    <xf borderId="10" fillId="5" fontId="27" numFmtId="0" xfId="0" applyAlignment="1" applyBorder="1" applyFont="1">
      <alignment horizontal="center" shrinkToFit="0" vertical="center" wrapText="1"/>
    </xf>
    <xf borderId="10" fillId="5" fontId="7" numFmtId="0" xfId="0" applyAlignment="1" applyBorder="1" applyFont="1">
      <alignment horizontal="center" shrinkToFit="0" vertical="center" wrapText="1"/>
    </xf>
    <xf borderId="0" fillId="6" fontId="8" numFmtId="0" xfId="0" applyAlignment="1" applyFont="1">
      <alignment horizontal="right" readingOrder="0" shrinkToFit="0" vertical="center" wrapText="1"/>
    </xf>
    <xf borderId="0" fillId="6" fontId="8" numFmtId="3" xfId="0" applyAlignment="1" applyFont="1" applyNumberFormat="1">
      <alignment horizontal="center" readingOrder="0" shrinkToFit="0" vertical="center" wrapText="1"/>
    </xf>
    <xf borderId="0" fillId="6" fontId="31" numFmtId="3" xfId="0" applyAlignment="1" applyFont="1" applyNumberFormat="1">
      <alignment horizontal="center" readingOrder="0" shrinkToFit="0" vertical="center" wrapText="1"/>
    </xf>
    <xf borderId="0" fillId="6" fontId="28" numFmtId="3" xfId="0" applyAlignment="1" applyFont="1" applyNumberFormat="1">
      <alignment vertical="center"/>
    </xf>
    <xf borderId="2" fillId="7" fontId="8" numFmtId="168" xfId="0" applyAlignment="1" applyBorder="1" applyFont="1" applyNumberFormat="1">
      <alignment horizontal="center" shrinkToFit="0" vertical="center" wrapText="1"/>
    </xf>
    <xf borderId="2" fillId="7" fontId="8" numFmtId="3" xfId="0" applyAlignment="1" applyBorder="1" applyFont="1" applyNumberFormat="1">
      <alignment horizontal="center" shrinkToFit="0" wrapText="1"/>
    </xf>
    <xf borderId="0" fillId="7" fontId="8" numFmtId="174" xfId="0" applyAlignment="1" applyFont="1" applyNumberFormat="1">
      <alignment horizontal="center" shrinkToFit="0" vertical="center" wrapText="1"/>
    </xf>
    <xf borderId="8" fillId="7" fontId="8" numFmtId="179" xfId="0" applyAlignment="1" applyBorder="1" applyFont="1" applyNumberFormat="1">
      <alignment horizontal="center" shrinkToFit="0" vertical="center" wrapText="1"/>
    </xf>
    <xf borderId="0" fillId="16" fontId="8" numFmtId="0" xfId="0" applyAlignment="1" applyFont="1">
      <alignment horizontal="right" readingOrder="0" shrinkToFit="0" vertical="center" wrapText="1"/>
    </xf>
    <xf borderId="0" fillId="16" fontId="8" numFmtId="3" xfId="0" applyAlignment="1" applyFont="1" applyNumberFormat="1">
      <alignment horizontal="center" readingOrder="0" shrinkToFit="0" vertical="center" wrapText="1"/>
    </xf>
    <xf borderId="0" fillId="16" fontId="31" numFmtId="3" xfId="0" applyAlignment="1" applyFont="1" applyNumberFormat="1">
      <alignment horizontal="center" readingOrder="0" shrinkToFit="0" vertical="center" wrapText="1"/>
    </xf>
    <xf borderId="0" fillId="16" fontId="28" numFmtId="3" xfId="0" applyAlignment="1" applyFont="1" applyNumberFormat="1">
      <alignment vertical="center"/>
    </xf>
    <xf borderId="0" fillId="8" fontId="8" numFmtId="168" xfId="0" applyAlignment="1" applyFont="1" applyNumberFormat="1">
      <alignment horizontal="center" shrinkToFit="0" vertical="center" wrapText="1"/>
    </xf>
    <xf borderId="0" fillId="8" fontId="8" numFmtId="3" xfId="0" applyAlignment="1" applyFont="1" applyNumberFormat="1">
      <alignment horizontal="center" shrinkToFit="0" wrapText="1"/>
    </xf>
    <xf borderId="0" fillId="8" fontId="8" numFmtId="174" xfId="0" applyAlignment="1" applyFont="1" applyNumberFormat="1">
      <alignment horizontal="center" shrinkToFit="0" vertical="center" wrapText="1"/>
    </xf>
    <xf borderId="8" fillId="8" fontId="8" numFmtId="179" xfId="0" applyAlignment="1" applyBorder="1" applyFont="1" applyNumberFormat="1">
      <alignment horizontal="center" shrinkToFit="0" vertical="center" wrapText="1"/>
    </xf>
    <xf borderId="0" fillId="7" fontId="8" numFmtId="168" xfId="0" applyAlignment="1" applyFont="1" applyNumberFormat="1">
      <alignment horizontal="center" shrinkToFit="0" vertical="center" wrapText="1"/>
    </xf>
    <xf borderId="0" fillId="7" fontId="8" numFmtId="3" xfId="0" applyAlignment="1" applyFont="1" applyNumberFormat="1">
      <alignment horizontal="center" shrinkToFit="0" wrapText="1"/>
    </xf>
    <xf borderId="0" fillId="8" fontId="8" numFmtId="174" xfId="0" applyAlignment="1" applyFont="1" applyNumberFormat="1">
      <alignment horizontal="center" readingOrder="0" shrinkToFit="0" vertical="center" wrapText="1"/>
    </xf>
    <xf borderId="8" fillId="8" fontId="8" numFmtId="179" xfId="0" applyAlignment="1" applyBorder="1" applyFont="1" applyNumberFormat="1">
      <alignment horizontal="center" readingOrder="0" shrinkToFit="0" vertical="center" wrapText="1"/>
    </xf>
    <xf borderId="0" fillId="4" fontId="32" numFmtId="0" xfId="0" applyAlignment="1" applyFont="1">
      <alignment horizontal="center" readingOrder="0" shrinkToFit="0" vertical="center" wrapText="1"/>
    </xf>
    <xf borderId="0" fillId="18" fontId="40" numFmtId="0" xfId="0" applyAlignment="1" applyFill="1" applyFont="1">
      <alignment horizontal="center" readingOrder="0" vertical="center"/>
    </xf>
    <xf borderId="0" fillId="4" fontId="2" numFmtId="0" xfId="0" applyAlignment="1" applyFont="1">
      <alignment horizontal="center" readingOrder="0" vertical="center"/>
    </xf>
    <xf borderId="0" fillId="4" fontId="2" numFmtId="0" xfId="0" applyAlignment="1" applyFont="1">
      <alignment horizontal="right" readingOrder="0" vertical="center"/>
    </xf>
    <xf borderId="0" fillId="4" fontId="17" numFmtId="0" xfId="0" applyAlignment="1" applyFont="1">
      <alignment horizontal="center" readingOrder="0" vertical="center"/>
    </xf>
    <xf borderId="0" fillId="4" fontId="41" numFmtId="0" xfId="0" applyAlignment="1" applyFont="1">
      <alignment horizontal="center" vertical="center"/>
    </xf>
    <xf borderId="0" fillId="4" fontId="41" numFmtId="0" xfId="0" applyAlignment="1" applyFont="1">
      <alignment horizontal="center" readingOrder="0" vertical="center"/>
    </xf>
    <xf borderId="0" fillId="4" fontId="41" numFmtId="0" xfId="0" applyAlignment="1" applyFont="1">
      <alignment horizontal="center" readingOrder="0" vertical="center"/>
    </xf>
    <xf borderId="0" fillId="19" fontId="40" numFmtId="0" xfId="0" applyAlignment="1" applyFill="1" applyFont="1">
      <alignment horizontal="center" readingOrder="0" vertical="center"/>
    </xf>
    <xf borderId="0" fillId="4" fontId="42" numFmtId="0" xfId="0" applyAlignment="1" applyFont="1">
      <alignment horizontal="left" readingOrder="0" vertical="bottom"/>
    </xf>
    <xf borderId="0" fillId="4" fontId="43" numFmtId="0" xfId="0" applyAlignment="1" applyFont="1">
      <alignment horizontal="right" readingOrder="0" vertical="center"/>
    </xf>
    <xf borderId="0" fillId="4" fontId="44" numFmtId="0" xfId="0" applyAlignment="1" applyFont="1">
      <alignment horizontal="center" vertical="center"/>
    </xf>
    <xf borderId="0" fillId="4" fontId="41" numFmtId="0" xfId="0" applyAlignment="1" applyFont="1">
      <alignment horizontal="center"/>
    </xf>
    <xf borderId="0" fillId="4" fontId="45" numFmtId="0" xfId="0" applyFont="1"/>
    <xf borderId="0" fillId="4" fontId="42" numFmtId="0" xfId="0" applyAlignment="1" applyFont="1">
      <alignment horizontal="center"/>
    </xf>
    <xf borderId="0" fillId="2" fontId="8" numFmtId="3" xfId="0" applyAlignment="1" applyFont="1" applyNumberFormat="1">
      <alignment horizontal="center" shrinkToFit="0" vertical="center" wrapText="1"/>
    </xf>
    <xf borderId="14" fillId="7" fontId="28" numFmtId="3" xfId="0" applyAlignment="1" applyBorder="1" applyFont="1" applyNumberFormat="1">
      <alignment vertical="center"/>
    </xf>
    <xf borderId="11" fillId="5" fontId="7" numFmtId="3" xfId="0" applyAlignment="1" applyBorder="1" applyFont="1" applyNumberFormat="1">
      <alignment horizontal="center" shrinkToFit="0" vertical="center" wrapText="1"/>
    </xf>
    <xf borderId="9" fillId="5" fontId="7" numFmtId="3" xfId="0" applyAlignment="1" applyBorder="1" applyFont="1" applyNumberFormat="1">
      <alignment horizontal="center" readingOrder="0" shrinkToFit="0" vertical="center" wrapText="1"/>
    </xf>
    <xf borderId="10" fillId="5" fontId="7" numFmtId="3" xfId="0" applyAlignment="1" applyBorder="1" applyFont="1" applyNumberFormat="1">
      <alignment horizontal="center" readingOrder="0" shrinkToFit="0" vertical="center" wrapText="1"/>
    </xf>
    <xf borderId="1" fillId="7" fontId="8" numFmtId="3" xfId="0" applyAlignment="1" applyBorder="1" applyFont="1" applyNumberFormat="1">
      <alignment horizontal="center" shrinkToFit="0" vertical="center" wrapText="1"/>
    </xf>
    <xf borderId="7" fillId="7" fontId="8" numFmtId="3" xfId="0" applyAlignment="1" applyBorder="1" applyFont="1" applyNumberFormat="1">
      <alignment horizontal="center" shrinkToFit="0" vertical="center" wrapText="1"/>
    </xf>
    <xf borderId="7" fillId="20" fontId="8" numFmtId="3" xfId="0" applyAlignment="1" applyBorder="1" applyFill="1" applyFont="1" applyNumberFormat="1">
      <alignment horizontal="center" readingOrder="0" shrinkToFit="0" vertical="center" wrapText="1"/>
    </xf>
    <xf borderId="0" fillId="20" fontId="8" numFmtId="3" xfId="0" applyAlignment="1" applyFont="1" applyNumberFormat="1">
      <alignment horizontal="center" readingOrder="0" shrinkToFit="0" vertical="center" wrapText="1"/>
    </xf>
    <xf borderId="7" fillId="7" fontId="8" numFmtId="180" xfId="0" applyAlignment="1" applyBorder="1" applyFont="1" applyNumberFormat="1">
      <alignment horizontal="center" readingOrder="0" shrinkToFit="0" vertical="center" wrapText="1"/>
    </xf>
    <xf borderId="8" fillId="7" fontId="8" numFmtId="166" xfId="0" applyAlignment="1" applyBorder="1" applyFont="1" applyNumberFormat="1">
      <alignment horizontal="center" readingOrder="0" shrinkToFit="0" vertical="center" wrapText="1"/>
    </xf>
    <xf borderId="7" fillId="21" fontId="8" numFmtId="3" xfId="0" applyAlignment="1" applyBorder="1" applyFill="1" applyFont="1" applyNumberFormat="1">
      <alignment horizontal="center" readingOrder="0" shrinkToFit="0" vertical="center" wrapText="1"/>
    </xf>
    <xf borderId="0" fillId="21" fontId="8" numFmtId="3" xfId="0" applyAlignment="1" applyFont="1" applyNumberFormat="1">
      <alignment horizontal="center" readingOrder="0" shrinkToFit="0" vertical="center" wrapText="1"/>
    </xf>
    <xf borderId="7" fillId="7" fontId="8" numFmtId="168" xfId="0" applyAlignment="1" applyBorder="1" applyFont="1" applyNumberFormat="1">
      <alignment horizontal="center" readingOrder="0" shrinkToFit="0" vertical="center" wrapText="1"/>
    </xf>
    <xf borderId="4" fillId="21" fontId="8" numFmtId="3" xfId="0" applyAlignment="1" applyBorder="1" applyFont="1" applyNumberFormat="1">
      <alignment horizontal="center" readingOrder="0" shrinkToFit="0" vertical="center" wrapText="1"/>
    </xf>
    <xf borderId="5" fillId="21" fontId="8" numFmtId="3" xfId="0" applyAlignment="1" applyBorder="1" applyFont="1" applyNumberFormat="1">
      <alignment horizontal="center" readingOrder="0" shrinkToFit="0" vertical="center" wrapText="1"/>
    </xf>
    <xf borderId="5" fillId="7" fontId="8" numFmtId="3" xfId="0" applyAlignment="1" applyBorder="1" applyFont="1" applyNumberFormat="1">
      <alignment horizontal="center" shrinkToFit="0" vertical="center" wrapText="1"/>
    </xf>
    <xf borderId="4" fillId="7" fontId="8" numFmtId="180" xfId="0" applyAlignment="1" applyBorder="1" applyFont="1" applyNumberFormat="1">
      <alignment horizontal="center" readingOrder="0" shrinkToFit="0" vertical="center" wrapText="1"/>
    </xf>
    <xf borderId="6" fillId="7" fontId="8" numFmtId="166" xfId="0" applyAlignment="1" applyBorder="1" applyFont="1" applyNumberFormat="1">
      <alignment horizontal="center" readingOrder="0" shrinkToFit="0" vertical="center" wrapText="1"/>
    </xf>
    <xf borderId="14" fillId="7" fontId="28" numFmtId="3" xfId="0" applyAlignment="1" applyBorder="1" applyFont="1" applyNumberFormat="1">
      <alignment horizontal="center"/>
    </xf>
    <xf borderId="0" fillId="22" fontId="8" numFmtId="3" xfId="0" applyAlignment="1" applyFill="1" applyFont="1" applyNumberFormat="1">
      <alignment horizontal="center" readingOrder="0" shrinkToFit="0" vertical="center" wrapText="1"/>
    </xf>
    <xf borderId="7" fillId="2" fontId="8" numFmtId="3" xfId="0" applyAlignment="1" applyBorder="1" applyFont="1" applyNumberFormat="1">
      <alignment horizontal="center" readingOrder="0" shrinkToFit="0" vertical="center" wrapText="1"/>
    </xf>
    <xf borderId="4" fillId="2" fontId="8" numFmtId="3" xfId="0" applyAlignment="1" applyBorder="1" applyFont="1" applyNumberFormat="1">
      <alignment horizontal="center" readingOrder="0" shrinkToFit="0" vertical="center" wrapText="1"/>
    </xf>
    <xf borderId="5" fillId="2" fontId="8" numFmtId="3" xfId="0" applyAlignment="1" applyBorder="1" applyFont="1" applyNumberFormat="1">
      <alignment horizontal="center" readingOrder="0" shrinkToFit="0" vertical="center" wrapText="1"/>
    </xf>
    <xf borderId="14" fillId="7" fontId="28" numFmtId="3" xfId="0" applyAlignment="1" applyBorder="1" applyFont="1" applyNumberFormat="1">
      <alignment vertical="bottom"/>
    </xf>
    <xf borderId="4" fillId="7" fontId="8" numFmtId="168" xfId="0" applyAlignment="1" applyBorder="1" applyFont="1" applyNumberFormat="1">
      <alignment horizontal="center" readingOrder="0" shrinkToFit="0" vertical="center" wrapText="1"/>
    </xf>
    <xf borderId="10" fillId="5" fontId="7" numFmtId="3" xfId="0" applyAlignment="1" applyBorder="1" applyFont="1" applyNumberFormat="1">
      <alignment horizontal="center" shrinkToFit="0" vertical="center" wrapText="1"/>
    </xf>
    <xf borderId="11" fillId="5" fontId="18" numFmtId="3" xfId="0" applyAlignment="1" applyBorder="1" applyFont="1" applyNumberFormat="1">
      <alignment horizontal="center" readingOrder="0" shrinkToFit="0" vertical="center" wrapText="1"/>
    </xf>
    <xf borderId="15" fillId="7" fontId="28" numFmtId="3" xfId="0" applyAlignment="1" applyBorder="1" applyFont="1" applyNumberFormat="1">
      <alignment vertical="center"/>
    </xf>
    <xf borderId="8" fillId="20" fontId="8" numFmtId="3" xfId="0" applyAlignment="1" applyBorder="1" applyFont="1" applyNumberFormat="1">
      <alignment horizontal="center" shrinkToFit="0" vertical="center" wrapText="1"/>
    </xf>
    <xf borderId="0" fillId="20" fontId="8" numFmtId="3" xfId="0" applyAlignment="1" applyFont="1" applyNumberFormat="1">
      <alignment horizontal="center" shrinkToFit="0" vertical="center" wrapText="1"/>
    </xf>
    <xf borderId="0" fillId="7" fontId="8" numFmtId="180" xfId="0" applyAlignment="1" applyFont="1" applyNumberFormat="1">
      <alignment horizontal="center" shrinkToFit="0" vertical="center" wrapText="1"/>
    </xf>
    <xf borderId="15" fillId="0" fontId="1" numFmtId="0" xfId="0" applyBorder="1" applyFont="1"/>
    <xf borderId="8" fillId="21" fontId="8" numFmtId="3" xfId="0" applyAlignment="1" applyBorder="1" applyFont="1" applyNumberFormat="1">
      <alignment horizontal="center" shrinkToFit="0" vertical="center" wrapText="1"/>
    </xf>
    <xf borderId="0" fillId="21" fontId="8" numFmtId="3" xfId="0" applyAlignment="1" applyFont="1" applyNumberFormat="1">
      <alignment horizontal="center" shrinkToFit="0" vertical="center" wrapText="1"/>
    </xf>
    <xf borderId="6" fillId="21" fontId="8" numFmtId="3" xfId="0" applyAlignment="1" applyBorder="1" applyFont="1" applyNumberFormat="1">
      <alignment horizontal="center" shrinkToFit="0" vertical="center" wrapText="1"/>
    </xf>
    <xf borderId="5" fillId="21" fontId="8" numFmtId="3" xfId="0" applyAlignment="1" applyBorder="1" applyFont="1" applyNumberFormat="1">
      <alignment horizontal="center" shrinkToFit="0" vertical="center" wrapText="1"/>
    </xf>
    <xf borderId="5" fillId="7" fontId="8" numFmtId="168" xfId="0" applyAlignment="1" applyBorder="1" applyFont="1" applyNumberFormat="1">
      <alignment horizontal="center" shrinkToFit="0" vertical="center" wrapText="1"/>
    </xf>
    <xf borderId="7" fillId="22" fontId="8" numFmtId="3" xfId="0" applyAlignment="1" applyBorder="1" applyFont="1" applyNumberFormat="1">
      <alignment horizontal="center" readingOrder="0" shrinkToFit="0" vertical="center" wrapText="1"/>
    </xf>
    <xf borderId="7" fillId="19" fontId="8" numFmtId="3" xfId="0" applyAlignment="1" applyBorder="1" applyFont="1" applyNumberFormat="1">
      <alignment horizontal="center" readingOrder="0" shrinkToFit="0" vertical="center" wrapText="1"/>
    </xf>
    <xf borderId="0" fillId="19" fontId="8" numFmtId="3" xfId="0" applyAlignment="1" applyFont="1" applyNumberFormat="1">
      <alignment horizontal="center" readingOrder="0" shrinkToFit="0" vertical="center" wrapText="1"/>
    </xf>
    <xf borderId="4" fillId="19" fontId="8" numFmtId="3" xfId="0" applyAlignment="1" applyBorder="1" applyFont="1" applyNumberFormat="1">
      <alignment horizontal="center" readingOrder="0" shrinkToFit="0" vertical="center" wrapText="1"/>
    </xf>
    <xf borderId="5" fillId="19" fontId="8" numFmtId="3" xfId="0" applyAlignment="1" applyBorder="1" applyFont="1" applyNumberFormat="1">
      <alignment horizontal="center" readingOrder="0" shrinkToFit="0" vertical="center" wrapText="1"/>
    </xf>
    <xf borderId="0" fillId="0" fontId="1" numFmtId="3" xfId="0" applyFont="1" applyNumberFormat="1"/>
    <xf borderId="1" fillId="5" fontId="21" numFmtId="0" xfId="0" applyAlignment="1" applyBorder="1" applyFont="1">
      <alignment horizontal="center" readingOrder="0" shrinkToFit="0" vertical="center" wrapText="1"/>
    </xf>
    <xf borderId="14" fillId="5" fontId="21" numFmtId="0" xfId="0" applyAlignment="1" applyBorder="1" applyFont="1">
      <alignment horizontal="center" readingOrder="0" shrinkToFit="0" vertical="center" wrapText="1"/>
    </xf>
    <xf borderId="6" fillId="5" fontId="21" numFmtId="0" xfId="0" applyAlignment="1" applyBorder="1" applyFont="1">
      <alignment horizontal="center" readingOrder="0" shrinkToFit="0" vertical="center" wrapText="1"/>
    </xf>
    <xf borderId="11" fillId="5" fontId="21" numFmtId="0" xfId="0" applyAlignment="1" applyBorder="1" applyFont="1">
      <alignment horizontal="center" readingOrder="0" shrinkToFit="0" vertical="center" wrapText="1"/>
    </xf>
    <xf borderId="14" fillId="7" fontId="8" numFmtId="0" xfId="0" applyAlignment="1" applyBorder="1" applyFont="1">
      <alignment horizontal="center" readingOrder="0" shrinkToFit="0" vertical="center" wrapText="1"/>
    </xf>
    <xf borderId="7" fillId="7" fontId="28" numFmtId="0" xfId="0" applyAlignment="1" applyBorder="1" applyFont="1">
      <alignment horizontal="center" vertical="center"/>
    </xf>
    <xf borderId="0" fillId="2" fontId="46" numFmtId="0" xfId="0" applyAlignment="1" applyFont="1">
      <alignment horizontal="center" shrinkToFit="0" vertical="center" wrapText="1"/>
    </xf>
    <xf borderId="8" fillId="2" fontId="46" numFmtId="0" xfId="0" applyAlignment="1" applyBorder="1" applyFont="1">
      <alignment horizontal="center" shrinkToFit="0" vertical="center" wrapText="1"/>
    </xf>
    <xf borderId="0" fillId="2" fontId="8" numFmtId="170" xfId="0" applyAlignment="1" applyFont="1" applyNumberFormat="1">
      <alignment horizontal="center" shrinkToFit="0" vertical="center" wrapText="1"/>
    </xf>
    <xf borderId="0" fillId="7" fontId="8" numFmtId="164" xfId="0" applyAlignment="1" applyFont="1" applyNumberFormat="1">
      <alignment horizontal="center" shrinkToFit="0" vertical="center" wrapText="1"/>
    </xf>
    <xf borderId="15" fillId="7" fontId="8" numFmtId="0" xfId="0" applyAlignment="1" applyBorder="1" applyFont="1">
      <alignment horizontal="center" readingOrder="0" shrinkToFit="0" vertical="center" wrapText="1"/>
    </xf>
    <xf borderId="0" fillId="19" fontId="47" numFmtId="0" xfId="0" applyAlignment="1" applyFont="1">
      <alignment horizontal="center" shrinkToFit="0" vertical="center" wrapText="1"/>
    </xf>
    <xf borderId="8" fillId="19" fontId="47" numFmtId="0" xfId="0" applyAlignment="1" applyBorder="1" applyFont="1">
      <alignment horizontal="center" shrinkToFit="0" vertical="center" wrapText="1"/>
    </xf>
    <xf borderId="0" fillId="8" fontId="8" numFmtId="164" xfId="0" applyAlignment="1" applyFont="1" applyNumberFormat="1">
      <alignment horizontal="center" shrinkToFit="0" vertical="center" wrapText="1"/>
    </xf>
    <xf borderId="7" fillId="8" fontId="28" numFmtId="0" xfId="0" applyAlignment="1" applyBorder="1" applyFont="1">
      <alignment horizontal="center" vertical="center"/>
    </xf>
    <xf borderId="0" fillId="8" fontId="8" numFmtId="0" xfId="0" applyAlignment="1" applyFont="1">
      <alignment horizontal="center" shrinkToFit="0" vertical="center" wrapText="1"/>
    </xf>
    <xf borderId="0" fillId="7" fontId="8" numFmtId="0" xfId="0" applyAlignment="1" applyFont="1">
      <alignment horizontal="center" shrinkToFit="0" vertical="center" wrapText="1"/>
    </xf>
    <xf borderId="0" fillId="2" fontId="8" numFmtId="170" xfId="0" applyAlignment="1" applyFont="1" applyNumberFormat="1">
      <alignment horizontal="center" readingOrder="0" shrinkToFit="0" vertical="center" wrapText="1"/>
    </xf>
    <xf borderId="7" fillId="7" fontId="28" numFmtId="0" xfId="0" applyAlignment="1" applyBorder="1" applyFont="1">
      <alignment horizontal="center" readingOrder="0" vertical="center"/>
    </xf>
    <xf borderId="15" fillId="7" fontId="28" numFmtId="0" xfId="0" applyAlignment="1" applyBorder="1" applyFont="1">
      <alignment horizontal="center" vertical="center"/>
    </xf>
    <xf borderId="13" fillId="7" fontId="28" numFmtId="0" xfId="0" applyAlignment="1" applyBorder="1" applyFont="1">
      <alignment horizontal="center" readingOrder="0" vertical="center"/>
    </xf>
    <xf borderId="5" fillId="2" fontId="46" numFmtId="0" xfId="0" applyAlignment="1" applyBorder="1" applyFont="1">
      <alignment horizontal="center" shrinkToFit="0" vertical="center" wrapText="1"/>
    </xf>
    <xf borderId="6" fillId="2" fontId="46" numFmtId="0" xfId="0" applyAlignment="1" applyBorder="1" applyFont="1">
      <alignment horizontal="center" shrinkToFit="0" vertical="center" wrapText="1"/>
    </xf>
  </cellXfs>
  <cellStyles count="1">
    <cellStyle xfId="0" name="Normal" builtinId="0"/>
  </cellStyles>
  <dxfs count="12">
    <dxf>
      <font>
        <color rgb="FF990000"/>
      </font>
      <fill>
        <patternFill patternType="none"/>
      </fill>
      <border/>
    </dxf>
    <dxf>
      <font>
        <b/>
      </font>
      <fill>
        <patternFill patternType="none"/>
      </fill>
      <border/>
    </dxf>
    <dxf>
      <font/>
      <fill>
        <patternFill patternType="solid">
          <fgColor rgb="FF0BCA51"/>
          <bgColor rgb="FF0BCA51"/>
        </patternFill>
      </fill>
      <border/>
    </dxf>
    <dxf>
      <font>
        <strike/>
      </font>
      <fill>
        <patternFill patternType="none"/>
      </fill>
      <border/>
    </dxf>
    <dxf>
      <font>
        <color rgb="FFCC0000"/>
      </font>
      <fill>
        <patternFill patternType="none"/>
      </fill>
      <border/>
    </dxf>
    <dxf>
      <font/>
      <fill>
        <patternFill patternType="none"/>
      </fill>
      <border/>
    </dxf>
    <dxf>
      <font/>
      <fill>
        <patternFill patternType="solid">
          <fgColor rgb="FF9FC5E8"/>
          <bgColor rgb="FF9FC5E8"/>
        </patternFill>
      </fill>
      <border/>
    </dxf>
    <dxf>
      <font/>
      <fill>
        <patternFill patternType="solid">
          <fgColor rgb="FFCFE2F3"/>
          <bgColor rgb="FFCFE2F3"/>
        </patternFill>
      </fill>
      <border/>
    </dxf>
    <dxf>
      <font/>
      <fill>
        <patternFill patternType="solid">
          <fgColor rgb="FFC5D8E8"/>
          <bgColor rgb="FFC5D8E8"/>
        </patternFill>
      </fill>
      <border/>
    </dxf>
    <dxf>
      <font/>
      <fill>
        <patternFill patternType="solid">
          <fgColor rgb="FFFEFEFE"/>
          <bgColor rgb="FFFEFEFE"/>
        </patternFill>
      </fill>
      <border/>
    </dxf>
    <dxf>
      <font>
        <color rgb="FFE9BB2E"/>
      </font>
      <fill>
        <patternFill patternType="solid">
          <fgColor rgb="FFFAFAFA"/>
          <bgColor rgb="FFFAFAFA"/>
        </patternFill>
      </fill>
      <border/>
    </dxf>
    <dxf>
      <font>
        <color rgb="FF6AA84F"/>
      </font>
      <fill>
        <patternFill patternType="solid">
          <fgColor rgb="FF6AA84F"/>
          <bgColor rgb="FF6AA84F"/>
        </patternFill>
      </fill>
      <border/>
    </dxf>
  </dxfs>
  <tableStyles count="1">
    <tableStyle count="3" pivot="0" name="Bazaar-style">
      <tableStyleElement dxfId="6" type="headerRow"/>
      <tableStyleElement dxfId="7"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1550" displayName="Table_1" name="Table_1" id="1">
  <tableColumns count="2">
    <tableColumn name="Column1" id="1"/>
    <tableColumn name="Column2" id="2"/>
  </tableColumns>
  <tableStyleInfo name="Bazaar-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 Id="rId5"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2.xml"/><Relationship Id="rId3"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3.xml"/><Relationship Id="rId3"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2" max="2" width="3.25"/>
    <col customWidth="1" min="5" max="5" width="52.63"/>
  </cols>
  <sheetData>
    <row r="1">
      <c r="A1" s="1"/>
      <c r="B1" s="2" t="s">
        <v>0</v>
      </c>
      <c r="C1" s="3"/>
      <c r="D1" s="3"/>
      <c r="E1" s="4"/>
      <c r="F1" s="1"/>
    </row>
    <row r="2">
      <c r="B2" s="5" t="s">
        <v>1</v>
      </c>
      <c r="C2" s="6"/>
      <c r="D2" s="6"/>
      <c r="E2" s="7"/>
    </row>
    <row r="3">
      <c r="B3" s="8" t="s">
        <v>2</v>
      </c>
      <c r="C3" s="3"/>
      <c r="D3" s="3"/>
      <c r="E3" s="4"/>
    </row>
    <row r="4">
      <c r="B4" s="9" t="s">
        <v>3</v>
      </c>
      <c r="C4" s="6"/>
      <c r="D4" s="6"/>
      <c r="E4" s="7"/>
    </row>
    <row r="5" ht="22.5" customHeight="1">
      <c r="B5" s="10" t="str">
        <f>HYPERLINK("https://docs.google.com/spreadsheets/d/1W8nGg2_x0Ne4HFKc5kLlCGSTcXlwUpJY_qvnVyiUpVw/copy","Use 'File &gt; Make a copy' or click this link to edit the sheet!")</f>
        <v>Use 'File &gt; Make a copy' or click this link to edit the sheet!</v>
      </c>
      <c r="C5" s="6"/>
      <c r="D5" s="6"/>
      <c r="E5" s="6"/>
    </row>
    <row r="6">
      <c r="B6" s="11" t="s">
        <v>4</v>
      </c>
      <c r="D6" s="12"/>
      <c r="E6" s="13" t="s">
        <v>5</v>
      </c>
    </row>
    <row r="7">
      <c r="B7" s="14" t="s">
        <v>6</v>
      </c>
      <c r="C7" s="6"/>
      <c r="D7" s="7"/>
      <c r="E7" s="15" t="b">
        <v>1</v>
      </c>
    </row>
    <row r="8">
      <c r="B8" s="16" t="s">
        <v>7</v>
      </c>
      <c r="C8" s="17"/>
      <c r="D8" s="18" t="s">
        <v>8</v>
      </c>
      <c r="E8" s="19" t="s">
        <v>9</v>
      </c>
    </row>
    <row r="9">
      <c r="B9" s="20" t="s">
        <v>10</v>
      </c>
      <c r="C9" s="6"/>
      <c r="D9" s="21" t="s">
        <v>11</v>
      </c>
      <c r="E9" s="15" t="b">
        <v>1</v>
      </c>
    </row>
    <row r="10">
      <c r="B10" s="1"/>
    </row>
    <row r="11">
      <c r="B11" s="16" t="s">
        <v>12</v>
      </c>
      <c r="C11" s="17"/>
      <c r="D11" s="18" t="s">
        <v>13</v>
      </c>
      <c r="E11" s="22"/>
    </row>
    <row r="12">
      <c r="B12" s="23" t="str">
        <f t="array" ref="B12:B18">IF($E$6&lt;&gt;"skyblock.matdoes.dev",IF('API Grabber'!A15&lt;&gt;"",'API Grabber'!A15:A21,'API Grabber'!F15:F21),'API Grabber'!A15:A21)</f>
        <v/>
      </c>
      <c r="C12" s="4"/>
      <c r="D12" s="24" t="str">
        <f t="array" ref="D12:D18">IF($B$9="","",IF($E$6&lt;&gt;"skyblock.matdoes.dev",IF('API Grabber'!A15&lt;&gt;"",'API Grabber'!B15:B21,'API Grabber'!G15:G21),'API Grabber'!B15:B21))</f>
        <v>Please wait. If this message persists, failed to connect or invalid username :c
Try manually writing your profile name above (like 'banana')</v>
      </c>
      <c r="E12" s="4"/>
    </row>
    <row r="13">
      <c r="B13" s="25"/>
      <c r="C13" s="12"/>
      <c r="D13" s="26"/>
      <c r="E13" s="12"/>
    </row>
    <row r="14">
      <c r="B14" s="27"/>
      <c r="C14" s="12"/>
      <c r="D14" s="28"/>
      <c r="E14" s="12"/>
    </row>
    <row r="15">
      <c r="B15" s="25"/>
      <c r="C15" s="12"/>
      <c r="D15" s="26"/>
      <c r="E15" s="12"/>
    </row>
    <row r="16">
      <c r="B16" s="27"/>
      <c r="C16" s="12"/>
      <c r="D16" s="28"/>
      <c r="E16" s="12"/>
    </row>
    <row r="17">
      <c r="B17" s="29"/>
      <c r="C17" s="7"/>
      <c r="D17" s="30"/>
      <c r="E17" s="7"/>
    </row>
    <row r="18">
      <c r="B18" s="31"/>
    </row>
    <row r="19">
      <c r="B19" s="16" t="s">
        <v>14</v>
      </c>
      <c r="C19" s="17"/>
      <c r="D19" s="19" t="s">
        <v>15</v>
      </c>
      <c r="E19" s="32" t="s">
        <v>16</v>
      </c>
    </row>
    <row r="20">
      <c r="B20" s="33" t="str">
        <f>'Minion Checker'!D7</f>
        <v/>
      </c>
      <c r="C20" s="34" t="str">
        <f>'Minion Checker'!E7</f>
        <v>Cobblestone</v>
      </c>
      <c r="D20" s="35">
        <f t="array" ref="D20:D79">IFERROR(IF($E$6="skyblock.matdoes.dev",'API Grabber'!E23:E72,'API Grabber'!J23:J72),"")</f>
        <v>0</v>
      </c>
      <c r="E20" s="36" t="str">
        <f>IF(AND($B$9&lt;&gt;"",$D$9&lt;&gt;""),"https://skyblock.matdoes.dev/profile/"&amp;$B$9&amp;"/"&amp;$D$9,"https://skyblock.matdoes.dev/")</f>
        <v>https://skyblock.matdoes.dev/profile/CreepyMino/Cucumber</v>
      </c>
    </row>
    <row r="21">
      <c r="B21" s="25" t="str">
        <f>'Minion Checker'!D8</f>
        <v/>
      </c>
      <c r="C21" s="37" t="str">
        <f>'Minion Checker'!E8</f>
        <v>Obsidian</v>
      </c>
      <c r="D21" s="38">
        <v>0.0</v>
      </c>
      <c r="E21" s="39" t="str">
        <f>IF(AND($B$9&lt;&gt;"",$D$9&lt;&gt;""),"https://sky.lea.moe/stats/"&amp;$B$9&amp;"/"&amp;$D$9,"https://sky.lea.moe/")</f>
        <v>https://sky.lea.moe/stats/CreepyMino/Cucumber</v>
      </c>
    </row>
    <row r="22">
      <c r="B22" s="27" t="str">
        <f>'Minion Checker'!D9</f>
        <v/>
      </c>
      <c r="C22" s="34" t="str">
        <f>'Minion Checker'!E9</f>
        <v>Glowstone</v>
      </c>
      <c r="D22" s="35">
        <v>0.0</v>
      </c>
      <c r="E22" s="39" t="str">
        <f>IF(AND($B$9&lt;&gt;"",$D$9&lt;&gt;""),"https://sky.shiiyu.moe/stats/"&amp;$B$9&amp;"/"&amp;$D$9,"https://sky.shiiyu.moe/")</f>
        <v>https://sky.shiiyu.moe/stats/CreepyMino/Cucumber</v>
      </c>
    </row>
    <row r="23">
      <c r="B23" s="25" t="str">
        <f>'Minion Checker'!D10</f>
        <v/>
      </c>
      <c r="C23" s="37" t="str">
        <f>'Minion Checker'!E10</f>
        <v>Gravel</v>
      </c>
      <c r="D23" s="38">
        <v>0.0</v>
      </c>
      <c r="E23" s="40"/>
    </row>
    <row r="24">
      <c r="B24" s="27" t="str">
        <f>'Minion Checker'!D11</f>
        <v/>
      </c>
      <c r="C24" s="34" t="str">
        <f>'Minion Checker'!E11</f>
        <v>Sand</v>
      </c>
      <c r="D24" s="35">
        <v>0.0</v>
      </c>
      <c r="E24" s="41" t="s">
        <v>17</v>
      </c>
    </row>
    <row r="25">
      <c r="B25" s="25" t="str">
        <f>'Minion Checker'!D12</f>
        <v/>
      </c>
      <c r="C25" s="37" t="str">
        <f>'Minion Checker'!E12</f>
        <v>Clay</v>
      </c>
      <c r="D25" s="38">
        <v>0.0</v>
      </c>
      <c r="E25" s="42" t="str">
        <f>"MatDoesDev: "&amp;'API Grabber'!A5</f>
        <v>MatDoesDev: Attempting to connect...</v>
      </c>
    </row>
    <row r="26">
      <c r="B26" s="27" t="str">
        <f>'Minion Checker'!D13</f>
        <v/>
      </c>
      <c r="C26" s="34" t="str">
        <f>'Minion Checker'!E13</f>
        <v>Ice</v>
      </c>
      <c r="D26" s="35">
        <v>0.0</v>
      </c>
      <c r="E26" s="42" t="str">
        <f>'API Grabber'!$F$3&amp;": "&amp;'API Grabber'!F5</f>
        <v>sky.shiiyu.moe: Probably Connected</v>
      </c>
    </row>
    <row r="27">
      <c r="B27" s="25" t="str">
        <f>'Minion Checker'!D14</f>
        <v/>
      </c>
      <c r="C27" s="37" t="str">
        <f>'Minion Checker'!E14</f>
        <v>Snow</v>
      </c>
      <c r="D27" s="38">
        <v>0.0</v>
      </c>
      <c r="E27" s="40" t="s">
        <v>18</v>
      </c>
    </row>
    <row r="28">
      <c r="B28" s="27" t="str">
        <f>'Minion Checker'!D15</f>
        <v/>
      </c>
      <c r="C28" s="34" t="str">
        <f>'Minion Checker'!E15</f>
        <v>Coal</v>
      </c>
      <c r="D28" s="35">
        <v>0.0</v>
      </c>
    </row>
    <row r="29">
      <c r="B29" s="25" t="str">
        <f>'Minion Checker'!D16</f>
        <v/>
      </c>
      <c r="C29" s="37" t="str">
        <f>'Minion Checker'!E16</f>
        <v>Iron</v>
      </c>
      <c r="D29" s="38">
        <v>0.0</v>
      </c>
    </row>
    <row r="30">
      <c r="B30" s="27" t="str">
        <f>'Minion Checker'!D17</f>
        <v/>
      </c>
      <c r="C30" s="34" t="str">
        <f>'Minion Checker'!E17</f>
        <v>Gold</v>
      </c>
      <c r="D30" s="35">
        <v>0.0</v>
      </c>
    </row>
    <row r="31">
      <c r="B31" s="25" t="str">
        <f>'Minion Checker'!D18</f>
        <v/>
      </c>
      <c r="C31" s="37" t="str">
        <f>'Minion Checker'!E18</f>
        <v>Diamond</v>
      </c>
      <c r="D31" s="38">
        <v>0.0</v>
      </c>
    </row>
    <row r="32">
      <c r="B32" s="27" t="str">
        <f>'Minion Checker'!D19</f>
        <v/>
      </c>
      <c r="C32" s="34" t="str">
        <f>'Minion Checker'!E19</f>
        <v>Lapis</v>
      </c>
      <c r="D32" s="35">
        <v>0.0</v>
      </c>
    </row>
    <row r="33">
      <c r="B33" s="25" t="str">
        <f>'Minion Checker'!D20</f>
        <v/>
      </c>
      <c r="C33" s="37" t="str">
        <f>'Minion Checker'!E20</f>
        <v>Redstone</v>
      </c>
      <c r="D33" s="38">
        <v>0.0</v>
      </c>
    </row>
    <row r="34">
      <c r="B34" s="27" t="str">
        <f>'Minion Checker'!D21</f>
        <v/>
      </c>
      <c r="C34" s="34" t="str">
        <f>'Minion Checker'!E21</f>
        <v>Emerald</v>
      </c>
      <c r="D34" s="35">
        <v>0.0</v>
      </c>
    </row>
    <row r="35">
      <c r="B35" s="25" t="str">
        <f>'Minion Checker'!D22</f>
        <v/>
      </c>
      <c r="C35" s="37" t="str">
        <f>'Minion Checker'!E22</f>
        <v>Quartz</v>
      </c>
      <c r="D35" s="38">
        <v>0.0</v>
      </c>
    </row>
    <row r="36">
      <c r="B36" s="27" t="str">
        <f>'Minion Checker'!D23</f>
        <v/>
      </c>
      <c r="C36" s="34" t="str">
        <f>'Minion Checker'!E23</f>
        <v>End Stone</v>
      </c>
      <c r="D36" s="35">
        <v>0.0</v>
      </c>
    </row>
    <row r="37">
      <c r="B37" s="25" t="str">
        <f>'Minion Checker'!D24</f>
        <v/>
      </c>
      <c r="C37" s="37" t="str">
        <f>'Minion Checker'!E24</f>
        <v>Wheat</v>
      </c>
      <c r="D37" s="38">
        <v>0.0</v>
      </c>
    </row>
    <row r="38">
      <c r="B38" s="27" t="str">
        <f>'Minion Checker'!D25</f>
        <v/>
      </c>
      <c r="C38" s="34" t="str">
        <f>'Minion Checker'!E25</f>
        <v>Melon</v>
      </c>
      <c r="D38" s="35">
        <v>0.0</v>
      </c>
    </row>
    <row r="39">
      <c r="B39" s="25" t="str">
        <f>'Minion Checker'!D26</f>
        <v/>
      </c>
      <c r="C39" s="37" t="str">
        <f>'Minion Checker'!E26</f>
        <v>Pumpkin</v>
      </c>
      <c r="D39" s="38">
        <v>0.0</v>
      </c>
    </row>
    <row r="40">
      <c r="B40" s="27" t="str">
        <f>'Minion Checker'!D27</f>
        <v/>
      </c>
      <c r="C40" s="34" t="str">
        <f>'Minion Checker'!E27</f>
        <v>Carrot</v>
      </c>
      <c r="D40" s="35">
        <v>0.0</v>
      </c>
    </row>
    <row r="41">
      <c r="B41" s="25" t="str">
        <f>'Minion Checker'!D28</f>
        <v/>
      </c>
      <c r="C41" s="37" t="str">
        <f>'Minion Checker'!E28</f>
        <v>Potato</v>
      </c>
      <c r="D41" s="38">
        <v>0.0</v>
      </c>
    </row>
    <row r="42">
      <c r="B42" s="27" t="str">
        <f>'Minion Checker'!D29</f>
        <v/>
      </c>
      <c r="C42" s="34" t="str">
        <f>'Minion Checker'!E29</f>
        <v>Mushroom</v>
      </c>
      <c r="D42" s="35">
        <v>0.0</v>
      </c>
    </row>
    <row r="43">
      <c r="B43" s="25" t="str">
        <f>'Minion Checker'!D30</f>
        <v/>
      </c>
      <c r="C43" s="37" t="str">
        <f>'Minion Checker'!E30</f>
        <v>Cactus</v>
      </c>
      <c r="D43" s="38">
        <v>0.0</v>
      </c>
    </row>
    <row r="44">
      <c r="B44" s="27" t="str">
        <f>'Minion Checker'!D31</f>
        <v/>
      </c>
      <c r="C44" s="34" t="str">
        <f>'Minion Checker'!E31</f>
        <v>Cocoa Beans</v>
      </c>
      <c r="D44" s="35">
        <v>0.0</v>
      </c>
    </row>
    <row r="45">
      <c r="B45" s="25" t="str">
        <f>'Minion Checker'!D32</f>
        <v/>
      </c>
      <c r="C45" s="37" t="str">
        <f>'Minion Checker'!E32</f>
        <v>Sugar Cane</v>
      </c>
      <c r="D45" s="38">
        <v>0.0</v>
      </c>
    </row>
    <row r="46">
      <c r="B46" s="27" t="str">
        <f>'Minion Checker'!D33</f>
        <v/>
      </c>
      <c r="C46" s="34" t="str">
        <f>'Minion Checker'!E33</f>
        <v>Nether Wart</v>
      </c>
      <c r="D46" s="35">
        <v>0.0</v>
      </c>
    </row>
    <row r="47">
      <c r="B47" s="25" t="str">
        <f>'Minion Checker'!D34</f>
        <v/>
      </c>
      <c r="C47" s="37" t="str">
        <f>'Minion Checker'!E34</f>
        <v>Flower</v>
      </c>
      <c r="D47" s="38">
        <v>0.0</v>
      </c>
    </row>
    <row r="48">
      <c r="B48" s="27" t="str">
        <f>'Minion Checker'!D35</f>
        <v/>
      </c>
      <c r="C48" s="34" t="str">
        <f>'Minion Checker'!E35</f>
        <v>Fish</v>
      </c>
      <c r="D48" s="35">
        <v>0.0</v>
      </c>
    </row>
    <row r="49">
      <c r="B49" s="25" t="str">
        <f>'Minion Checker'!D36</f>
        <v/>
      </c>
      <c r="C49" s="37" t="str">
        <f>'Minion Checker'!E36</f>
        <v>Zombie</v>
      </c>
      <c r="D49" s="38">
        <v>0.0</v>
      </c>
    </row>
    <row r="50">
      <c r="B50" s="27" t="str">
        <f>'Minion Checker'!D37</f>
        <v/>
      </c>
      <c r="C50" s="34" t="str">
        <f>'Minion Checker'!E37</f>
        <v>Revenant</v>
      </c>
      <c r="D50" s="35">
        <v>0.0</v>
      </c>
    </row>
    <row r="51">
      <c r="B51" s="25" t="str">
        <f>'Minion Checker'!D38</f>
        <v/>
      </c>
      <c r="C51" s="37" t="str">
        <f>'Minion Checker'!E38</f>
        <v>Skeleton</v>
      </c>
      <c r="D51" s="38">
        <v>0.0</v>
      </c>
    </row>
    <row r="52">
      <c r="B52" s="27" t="str">
        <f>'Minion Checker'!D39</f>
        <v/>
      </c>
      <c r="C52" s="34" t="str">
        <f>'Minion Checker'!E39</f>
        <v>Creeper</v>
      </c>
      <c r="D52" s="35">
        <v>0.0</v>
      </c>
    </row>
    <row r="53">
      <c r="B53" s="25" t="str">
        <f>'Minion Checker'!D40</f>
        <v/>
      </c>
      <c r="C53" s="37" t="str">
        <f>'Minion Checker'!E40</f>
        <v>Spider</v>
      </c>
      <c r="D53" s="38">
        <v>0.0</v>
      </c>
    </row>
    <row r="54">
      <c r="B54" s="27" t="str">
        <f>'Minion Checker'!D41</f>
        <v/>
      </c>
      <c r="C54" s="34" t="str">
        <f>'Minion Checker'!E41</f>
        <v>Tarantula</v>
      </c>
      <c r="D54" s="35">
        <v>0.0</v>
      </c>
    </row>
    <row r="55">
      <c r="B55" s="25" t="str">
        <f>'Minion Checker'!D42</f>
        <v/>
      </c>
      <c r="C55" s="37" t="str">
        <f>'Minion Checker'!E42</f>
        <v>Cave Spider</v>
      </c>
      <c r="D55" s="38">
        <v>0.0</v>
      </c>
    </row>
    <row r="56">
      <c r="B56" s="27" t="str">
        <f>'Minion Checker'!D43</f>
        <v/>
      </c>
      <c r="C56" s="34" t="str">
        <f>'Minion Checker'!E43</f>
        <v>Blaze</v>
      </c>
      <c r="D56" s="35">
        <v>0.0</v>
      </c>
    </row>
    <row r="57">
      <c r="B57" s="25" t="str">
        <f>'Minion Checker'!D44</f>
        <v/>
      </c>
      <c r="C57" s="37" t="str">
        <f>'Minion Checker'!E44</f>
        <v>Magma Cube</v>
      </c>
      <c r="D57" s="38">
        <v>0.0</v>
      </c>
    </row>
    <row r="58">
      <c r="B58" s="27" t="str">
        <f>'Minion Checker'!D45</f>
        <v/>
      </c>
      <c r="C58" s="34" t="str">
        <f>'Minion Checker'!E45</f>
        <v>Enderman</v>
      </c>
      <c r="D58" s="35">
        <v>0.0</v>
      </c>
    </row>
    <row r="59">
      <c r="B59" s="25" t="str">
        <f>'Minion Checker'!D46</f>
        <v/>
      </c>
      <c r="C59" s="37" t="str">
        <f>'Minion Checker'!E46</f>
        <v>Ghast</v>
      </c>
      <c r="D59" s="38">
        <v>0.0</v>
      </c>
    </row>
    <row r="60">
      <c r="B60" s="27" t="str">
        <f>'Minion Checker'!D47</f>
        <v/>
      </c>
      <c r="C60" s="34" t="str">
        <f>'Minion Checker'!E47</f>
        <v>Slime</v>
      </c>
      <c r="D60" s="35">
        <v>0.0</v>
      </c>
    </row>
    <row r="61">
      <c r="B61" s="25" t="str">
        <f>'Minion Checker'!D48</f>
        <v/>
      </c>
      <c r="C61" s="37" t="str">
        <f>'Minion Checker'!E48</f>
        <v>Cow</v>
      </c>
      <c r="D61" s="38">
        <v>0.0</v>
      </c>
    </row>
    <row r="62">
      <c r="B62" s="27" t="str">
        <f>'Minion Checker'!D49</f>
        <v/>
      </c>
      <c r="C62" s="34" t="str">
        <f>'Minion Checker'!E49</f>
        <v>Pig</v>
      </c>
      <c r="D62" s="35">
        <v>0.0</v>
      </c>
    </row>
    <row r="63">
      <c r="B63" s="25" t="str">
        <f>'Minion Checker'!D50</f>
        <v/>
      </c>
      <c r="C63" s="37" t="str">
        <f>'Minion Checker'!E50</f>
        <v>Chicken</v>
      </c>
      <c r="D63" s="38">
        <v>0.0</v>
      </c>
    </row>
    <row r="64">
      <c r="B64" s="27" t="str">
        <f>'Minion Checker'!D51</f>
        <v/>
      </c>
      <c r="C64" s="34" t="str">
        <f>'Minion Checker'!E51</f>
        <v>Sheep</v>
      </c>
      <c r="D64" s="35">
        <v>0.0</v>
      </c>
    </row>
    <row r="65">
      <c r="B65" s="25" t="str">
        <f>'Minion Checker'!D52</f>
        <v/>
      </c>
      <c r="C65" s="37" t="str">
        <f>'Minion Checker'!E52</f>
        <v>Rabbit</v>
      </c>
      <c r="D65" s="38">
        <v>0.0</v>
      </c>
    </row>
    <row r="66">
      <c r="B66" s="27" t="str">
        <f>'Minion Checker'!D53</f>
        <v/>
      </c>
      <c r="C66" s="34" t="str">
        <f>'Minion Checker'!E53</f>
        <v>Oak</v>
      </c>
      <c r="D66" s="35">
        <v>0.0</v>
      </c>
    </row>
    <row r="67">
      <c r="B67" s="25" t="str">
        <f>'Minion Checker'!D54</f>
        <v/>
      </c>
      <c r="C67" s="37" t="str">
        <f>'Minion Checker'!E54</f>
        <v>Spruce</v>
      </c>
      <c r="D67" s="38">
        <v>0.0</v>
      </c>
    </row>
    <row r="68">
      <c r="B68" s="27" t="str">
        <f>'Minion Checker'!D55</f>
        <v/>
      </c>
      <c r="C68" s="34" t="str">
        <f>'Minion Checker'!E55</f>
        <v>Birch</v>
      </c>
      <c r="D68" s="35">
        <v>0.0</v>
      </c>
    </row>
    <row r="69">
      <c r="B69" s="25" t="str">
        <f>'Minion Checker'!D56</f>
        <v/>
      </c>
      <c r="C69" s="37" t="str">
        <f>'Minion Checker'!E56</f>
        <v>Dark Oak</v>
      </c>
      <c r="D69" s="38">
        <v>0.0</v>
      </c>
    </row>
    <row r="70">
      <c r="B70" s="27" t="str">
        <f>'Minion Checker'!D57</f>
        <v/>
      </c>
      <c r="C70" s="34" t="str">
        <f>'Minion Checker'!E57</f>
        <v>Acacia</v>
      </c>
      <c r="D70" s="35">
        <v>0.0</v>
      </c>
    </row>
    <row r="71">
      <c r="B71" s="43" t="str">
        <f>'Minion Checker'!D58</f>
        <v/>
      </c>
      <c r="C71" s="44" t="str">
        <f>'Minion Checker'!E58</f>
        <v>Jungle</v>
      </c>
      <c r="D71" s="45">
        <v>0.0</v>
      </c>
    </row>
    <row r="72">
      <c r="B72" s="46" t="str">
        <f>'Minion Checker'!D59</f>
        <v/>
      </c>
      <c r="C72" s="47" t="str">
        <f>'Minion Checker'!E59</f>
        <v>Mithril</v>
      </c>
      <c r="D72" s="48">
        <v>0.0</v>
      </c>
    </row>
  </sheetData>
  <mergeCells count="29">
    <mergeCell ref="B10:E10"/>
    <mergeCell ref="B11:C11"/>
    <mergeCell ref="D11:E11"/>
    <mergeCell ref="B17:C17"/>
    <mergeCell ref="D17:E17"/>
    <mergeCell ref="B18:E18"/>
    <mergeCell ref="B19:C19"/>
    <mergeCell ref="A1:A72"/>
    <mergeCell ref="B1:E1"/>
    <mergeCell ref="F1:F72"/>
    <mergeCell ref="B2:E2"/>
    <mergeCell ref="B3:E3"/>
    <mergeCell ref="B4:E4"/>
    <mergeCell ref="B5:E5"/>
    <mergeCell ref="E27:E72"/>
    <mergeCell ref="B6:D6"/>
    <mergeCell ref="B7:D7"/>
    <mergeCell ref="B8:C8"/>
    <mergeCell ref="B9:C9"/>
    <mergeCell ref="B12:C12"/>
    <mergeCell ref="D12:E12"/>
    <mergeCell ref="B13:C13"/>
    <mergeCell ref="D13:E13"/>
    <mergeCell ref="B14:C14"/>
    <mergeCell ref="D14:E14"/>
    <mergeCell ref="B15:C15"/>
    <mergeCell ref="D15:E15"/>
    <mergeCell ref="B16:C16"/>
    <mergeCell ref="D16:E16"/>
  </mergeCells>
  <conditionalFormatting sqref="E25">
    <cfRule type="containsText" dxfId="0" priority="1" operator="containsText" text="offline">
      <formula>NOT(ISERROR(SEARCH(("offline"),(E25))))</formula>
    </cfRule>
  </conditionalFormatting>
  <conditionalFormatting sqref="B12:E17">
    <cfRule type="expression" dxfId="1" priority="2">
      <formula>$D$9=$B12</formula>
    </cfRule>
  </conditionalFormatting>
  <dataValidations>
    <dataValidation type="list" allowBlank="1" sqref="E6">
      <formula1>"sky.shiiyu.moe,sky.lea.moe,skyblock.matdoes.dev"</formula1>
    </dataValidation>
    <dataValidation type="list" allowBlank="1" showInputMessage="1" prompt="Pick or manually type a profile name here" sqref="D9">
      <formula1>'API Importer'!$B$12:$B$18</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145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2.5" customHeight="1">
      <c r="A1" s="49" t="s">
        <v>19</v>
      </c>
      <c r="B1" s="17"/>
      <c r="C1" s="17"/>
      <c r="D1" s="17"/>
      <c r="E1" s="17"/>
      <c r="F1" s="17"/>
      <c r="G1" s="17"/>
      <c r="H1" s="17"/>
      <c r="I1" s="17"/>
      <c r="J1" s="22"/>
    </row>
    <row r="2">
      <c r="A2" s="50" t="s">
        <v>20</v>
      </c>
      <c r="B2" s="51" t="str">
        <f>IF('API Importer'!$E$7=FALSE,"",'API Importer'!$B$9)</f>
        <v>CreepyMino</v>
      </c>
      <c r="C2" s="50" t="s">
        <v>21</v>
      </c>
      <c r="D2" s="50" t="str">
        <f>'API Importer'!$D$9</f>
        <v>Cucumber</v>
      </c>
      <c r="E2" s="50"/>
      <c r="F2" s="52"/>
      <c r="J2" s="12"/>
    </row>
    <row r="3" ht="22.5" customHeight="1">
      <c r="A3" s="53" t="s">
        <v>22</v>
      </c>
      <c r="B3" s="3"/>
      <c r="C3" s="3"/>
      <c r="D3" s="3"/>
      <c r="E3" s="3"/>
      <c r="F3" s="54" t="str">
        <f>IF('API Importer'!$E$6="sky.shiiyu.moe","sky.shiiyu.moe","sky.lea.moe")</f>
        <v>sky.shiiyu.moe</v>
      </c>
      <c r="G3" s="3"/>
      <c r="H3" s="3"/>
      <c r="I3" s="3"/>
      <c r="J3" s="4"/>
    </row>
    <row r="4">
      <c r="A4" s="55" t="s">
        <v>23</v>
      </c>
      <c r="B4" s="3"/>
      <c r="C4" s="3"/>
      <c r="D4" s="3"/>
      <c r="E4" s="3"/>
      <c r="F4" s="56" t="s">
        <v>23</v>
      </c>
      <c r="G4" s="3"/>
      <c r="H4" s="3"/>
      <c r="I4" s="3"/>
      <c r="J4" s="4"/>
    </row>
    <row r="5">
      <c r="A5" s="57" t="str">
        <f>IFERROR(__xludf.DUMMYFUNCTION("IFERROR(IF(LEFT(IMPORTHTML(""http://skyblock.matdoes.dev/profiles/TBlazeWarriorT?simple"",""list""))&lt;&gt;"""",""Probably Connected"",""Attempting to connect...""),""Attempting to connect..."")"),"Attempting to connect...")</f>
        <v>Attempting to connect...</v>
      </c>
      <c r="B5" s="6"/>
      <c r="C5" s="6"/>
      <c r="D5" s="6"/>
      <c r="E5" s="6"/>
      <c r="F5" s="58" t="str">
        <f>IFERROR(__xludf.DUMMYFUNCTION("IFERROR(IF(LEFT(IMPORTHTML(""https://""&amp;$F$3&amp;""/api/TBlazeWarriorT/profiles?html"",""table""))&lt;&gt;"""",""Probably Connected"",""Attempting to connect...""),""Attempting to connect..."")"),"Probably Connected")</f>
        <v>Probably Connected</v>
      </c>
      <c r="G5" s="6"/>
      <c r="H5" s="6"/>
      <c r="I5" s="6"/>
      <c r="J5" s="7"/>
    </row>
    <row r="6">
      <c r="A6" s="57" t="s">
        <v>24</v>
      </c>
      <c r="B6" s="6"/>
      <c r="C6" s="6"/>
      <c r="D6" s="6"/>
      <c r="E6" s="6"/>
      <c r="F6" s="58" t="s">
        <v>24</v>
      </c>
      <c r="G6" s="6"/>
      <c r="H6" s="6"/>
      <c r="I6" s="6"/>
      <c r="J6" s="7"/>
    </row>
    <row r="7">
      <c r="A7" s="59" t="str">
        <f>IFERROR(__xludf.DUMMYFUNCTION("IMPORTHTML(""https://skyblock.matdoes.dev/profiles/""&amp;$B$2&amp;""?simple"",""list"")"),"#N/A")</f>
        <v>#N/A</v>
      </c>
      <c r="F7" s="60" t="str">
        <f>IFERROR(__xludf.DUMMYFUNCTION("IMPORTHTML(""https://""&amp;$F$3&amp;""/api/""&amp;$B$2&amp;""/profiles?html"",""table"")"),"#N/A")</f>
        <v>#N/A</v>
      </c>
      <c r="G7" s="61"/>
      <c r="H7" s="62"/>
      <c r="J7" s="12"/>
    </row>
    <row r="8">
      <c r="A8" s="59"/>
      <c r="F8" s="60"/>
      <c r="G8" s="61"/>
      <c r="H8" s="62"/>
      <c r="J8" s="12"/>
    </row>
    <row r="9">
      <c r="A9" s="59"/>
      <c r="F9" s="60"/>
      <c r="G9" s="61"/>
      <c r="H9" s="62"/>
      <c r="J9" s="12"/>
    </row>
    <row r="10">
      <c r="A10" s="59"/>
      <c r="F10" s="60"/>
      <c r="G10" s="61"/>
      <c r="H10" s="62"/>
      <c r="J10" s="12"/>
    </row>
    <row r="11">
      <c r="A11" s="59"/>
      <c r="F11" s="60"/>
      <c r="G11" s="61"/>
      <c r="H11" s="62"/>
      <c r="J11" s="12"/>
    </row>
    <row r="12">
      <c r="A12" s="59"/>
      <c r="F12" s="60"/>
      <c r="G12" s="61"/>
      <c r="H12" s="62"/>
      <c r="J12" s="12"/>
    </row>
    <row r="13">
      <c r="A13" s="63"/>
      <c r="B13" s="6"/>
      <c r="C13" s="6"/>
      <c r="D13" s="6"/>
      <c r="E13" s="6"/>
      <c r="F13" s="64"/>
      <c r="G13" s="65"/>
      <c r="H13" s="66"/>
      <c r="I13" s="6"/>
      <c r="J13" s="7"/>
    </row>
    <row r="14">
      <c r="A14" s="57" t="s">
        <v>25</v>
      </c>
      <c r="B14" s="6"/>
      <c r="C14" s="6"/>
      <c r="D14" s="6"/>
      <c r="E14" s="6"/>
      <c r="F14" s="58" t="s">
        <v>25</v>
      </c>
      <c r="G14" s="6"/>
      <c r="H14" s="6"/>
      <c r="I14" s="6"/>
      <c r="J14" s="7"/>
    </row>
    <row r="15">
      <c r="A15" s="67" t="str">
        <f t="shared" ref="A15:A21" si="1">IFERROR(LEFT(A7,FIND(" ",A7)-1),"")</f>
        <v/>
      </c>
      <c r="B15" s="59" t="str">
        <f>IF(A7="","Please wait. If this message persists, failed to connect or invalid username :c
Try manually writing your profile name above (like 'banana')",IFERROR(SUBSTITUTE(SUBSTITUTE(A7,A15&amp;" ","")," ", ", "),""))</f>
        <v>#N/A</v>
      </c>
      <c r="F15" s="60" t="str">
        <f t="shared" ref="F15:F21" si="2">G7</f>
        <v/>
      </c>
      <c r="G15" s="62" t="str">
        <f>IF(H7="","Please wait. If this message persists, failed to connect or invalid username :c
Try manually writing your profile name above (like 'banana')",H7)</f>
        <v>Please wait. If this message persists, failed to connect or invalid username :c
Try manually writing your profile name above (like 'banana')</v>
      </c>
      <c r="J15" s="12"/>
    </row>
    <row r="16">
      <c r="A16" s="67" t="str">
        <f t="shared" si="1"/>
        <v/>
      </c>
      <c r="B16" s="59" t="str">
        <f t="shared" ref="B16:B21" si="3">IFERROR(SUBSTITUTE(SUBSTITUTE(A8,A16&amp;" ","")," ", ", "),"")</f>
        <v/>
      </c>
      <c r="F16" s="60" t="str">
        <f t="shared" si="2"/>
        <v/>
      </c>
      <c r="G16" s="62" t="str">
        <f t="shared" ref="G16:G21" si="4">H8</f>
        <v/>
      </c>
      <c r="J16" s="12"/>
    </row>
    <row r="17">
      <c r="A17" s="67" t="str">
        <f t="shared" si="1"/>
        <v/>
      </c>
      <c r="B17" s="59" t="str">
        <f t="shared" si="3"/>
        <v/>
      </c>
      <c r="F17" s="60" t="str">
        <f t="shared" si="2"/>
        <v/>
      </c>
      <c r="G17" s="62" t="str">
        <f t="shared" si="4"/>
        <v/>
      </c>
      <c r="J17" s="12"/>
    </row>
    <row r="18">
      <c r="A18" s="67" t="str">
        <f t="shared" si="1"/>
        <v/>
      </c>
      <c r="B18" s="59" t="str">
        <f t="shared" si="3"/>
        <v/>
      </c>
      <c r="F18" s="60" t="str">
        <f t="shared" si="2"/>
        <v/>
      </c>
      <c r="G18" s="62" t="str">
        <f t="shared" si="4"/>
        <v/>
      </c>
      <c r="J18" s="12"/>
    </row>
    <row r="19">
      <c r="A19" s="67" t="str">
        <f t="shared" si="1"/>
        <v/>
      </c>
      <c r="B19" s="59" t="str">
        <f t="shared" si="3"/>
        <v/>
      </c>
      <c r="F19" s="60" t="str">
        <f t="shared" si="2"/>
        <v/>
      </c>
      <c r="G19" s="62" t="str">
        <f t="shared" si="4"/>
        <v/>
      </c>
      <c r="J19" s="12"/>
    </row>
    <row r="20">
      <c r="A20" s="67" t="str">
        <f t="shared" si="1"/>
        <v/>
      </c>
      <c r="B20" s="59" t="str">
        <f t="shared" si="3"/>
        <v/>
      </c>
      <c r="F20" s="60" t="str">
        <f t="shared" si="2"/>
        <v/>
      </c>
      <c r="G20" s="62" t="str">
        <f t="shared" si="4"/>
        <v/>
      </c>
      <c r="J20" s="12"/>
    </row>
    <row r="21">
      <c r="A21" s="68" t="str">
        <f t="shared" si="1"/>
        <v/>
      </c>
      <c r="B21" s="63" t="str">
        <f t="shared" si="3"/>
        <v/>
      </c>
      <c r="C21" s="6"/>
      <c r="D21" s="6"/>
      <c r="E21" s="6"/>
      <c r="F21" s="64" t="str">
        <f t="shared" si="2"/>
        <v/>
      </c>
      <c r="G21" s="66" t="str">
        <f t="shared" si="4"/>
        <v/>
      </c>
      <c r="H21" s="6"/>
      <c r="I21" s="6"/>
      <c r="J21" s="7"/>
    </row>
    <row r="22">
      <c r="A22" s="57" t="s">
        <v>26</v>
      </c>
      <c r="B22" s="6"/>
      <c r="C22" s="69" t="s">
        <v>27</v>
      </c>
      <c r="D22" s="57" t="s">
        <v>28</v>
      </c>
      <c r="E22" s="6"/>
      <c r="F22" s="58" t="s">
        <v>26</v>
      </c>
      <c r="G22" s="6"/>
      <c r="H22" s="70" t="s">
        <v>27</v>
      </c>
      <c r="I22" s="58" t="s">
        <v>28</v>
      </c>
      <c r="J22" s="7"/>
    </row>
    <row r="23">
      <c r="A23" s="71" t="str">
        <f>IFERROR(__xludf.DUMMYFUNCTION("IFERROR(IMPORTHTML(""https://skyblock.matdoes.dev/profile/""&amp;$B$2&amp;""/""&amp;$D$2&amp;""?simple"",""table""),"""")"),"")</f>
        <v/>
      </c>
      <c r="B23" s="72"/>
      <c r="C23" s="73" t="s">
        <v>29</v>
      </c>
      <c r="D23" s="72" t="str">
        <f>'Minion Checker'!E7</f>
        <v>Cobblestone</v>
      </c>
      <c r="E23" s="72">
        <f t="array" ref="E23">JOIN("",IF(A$23:A82=C23,B$23:B82,""))*1</f>
        <v>0</v>
      </c>
      <c r="F23" s="74" t="str">
        <f>IFERROR(__xludf.DUMMYFUNCTION("IFERROR(IMPORTHTML(""https://""&amp;$F$3&amp;""/api/""&amp;$B$2&amp;""/""&amp;$D$2&amp;""/minions?html"",""table""),"""")"),"")</f>
        <v/>
      </c>
      <c r="G23" s="61"/>
      <c r="H23" s="61" t="s">
        <v>29</v>
      </c>
      <c r="I23" s="75" t="str">
        <f>'Minion Checker'!E7</f>
        <v>Cobblestone</v>
      </c>
      <c r="J23" s="76">
        <f t="array" ref="J23">JOIN("",IF(F$23:F82=H23,G$23:G82,""))*1</f>
        <v>0</v>
      </c>
    </row>
    <row r="24">
      <c r="A24" s="71"/>
      <c r="B24" s="72"/>
      <c r="C24" s="73" t="s">
        <v>30</v>
      </c>
      <c r="D24" s="72" t="str">
        <f>'Minion Checker'!E8</f>
        <v>Obsidian</v>
      </c>
      <c r="E24" s="72">
        <f t="array" ref="E24">JOIN("",IF(A$23:A82=C24,B$23:B82,""))*1</f>
        <v>0</v>
      </c>
      <c r="F24" s="74"/>
      <c r="G24" s="61"/>
      <c r="H24" s="61" t="s">
        <v>30</v>
      </c>
      <c r="I24" s="75" t="str">
        <f>'Minion Checker'!E8</f>
        <v>Obsidian</v>
      </c>
      <c r="J24" s="76">
        <f t="array" ref="J24">JOIN("",IF(F$23:F82=H24,G$23:G82,""))*1</f>
        <v>0</v>
      </c>
    </row>
    <row r="25">
      <c r="A25" s="71"/>
      <c r="B25" s="72"/>
      <c r="C25" s="73" t="s">
        <v>31</v>
      </c>
      <c r="D25" s="72" t="str">
        <f>'Minion Checker'!E9</f>
        <v>Glowstone</v>
      </c>
      <c r="E25" s="72">
        <f t="array" ref="E25">JOIN("",IF(A$23:A82=C25,B$23:B82,""))*1</f>
        <v>0</v>
      </c>
      <c r="F25" s="74"/>
      <c r="G25" s="61"/>
      <c r="H25" s="61" t="s">
        <v>31</v>
      </c>
      <c r="I25" s="75" t="str">
        <f>'Minion Checker'!E9</f>
        <v>Glowstone</v>
      </c>
      <c r="J25" s="76">
        <f t="array" ref="J25">JOIN("",IF(F$23:F82=H25,G$23:G82,""))*1</f>
        <v>0</v>
      </c>
    </row>
    <row r="26">
      <c r="A26" s="71"/>
      <c r="B26" s="72"/>
      <c r="C26" s="73" t="s">
        <v>32</v>
      </c>
      <c r="D26" s="72" t="str">
        <f>'Minion Checker'!E10</f>
        <v>Gravel</v>
      </c>
      <c r="E26" s="72">
        <f t="array" ref="E26">JOIN("",IF(A$23:A82=C26,B$23:B82,""))*1</f>
        <v>0</v>
      </c>
      <c r="F26" s="74"/>
      <c r="G26" s="61"/>
      <c r="H26" s="61" t="s">
        <v>32</v>
      </c>
      <c r="I26" s="75" t="str">
        <f>'Minion Checker'!E10</f>
        <v>Gravel</v>
      </c>
      <c r="J26" s="76">
        <f t="array" ref="J26">JOIN("",IF(F$23:F82=H26,G$23:G82,""))*1</f>
        <v>0</v>
      </c>
    </row>
    <row r="27">
      <c r="A27" s="71"/>
      <c r="B27" s="72"/>
      <c r="C27" s="73" t="s">
        <v>33</v>
      </c>
      <c r="D27" s="72" t="str">
        <f>'Minion Checker'!E11</f>
        <v>Sand</v>
      </c>
      <c r="E27" s="72">
        <f t="array" ref="E27">JOIN("",IF(A$23:A82=C27,B$23:B82,""))*1</f>
        <v>0</v>
      </c>
      <c r="F27" s="74"/>
      <c r="G27" s="61"/>
      <c r="H27" s="61" t="s">
        <v>33</v>
      </c>
      <c r="I27" s="75" t="str">
        <f>'Minion Checker'!E11</f>
        <v>Sand</v>
      </c>
      <c r="J27" s="76">
        <f t="array" ref="J27">JOIN("",IF(F$23:F82=H27,G$23:G82,""))*1</f>
        <v>0</v>
      </c>
    </row>
    <row r="28">
      <c r="A28" s="71"/>
      <c r="B28" s="72"/>
      <c r="C28" s="73" t="s">
        <v>34</v>
      </c>
      <c r="D28" s="72" t="str">
        <f>'Minion Checker'!E12</f>
        <v>Clay</v>
      </c>
      <c r="E28" s="72">
        <f t="array" ref="E28">JOIN("",IF(A$23:A82=C28,B$23:B82,""))*1</f>
        <v>0</v>
      </c>
      <c r="F28" s="74"/>
      <c r="G28" s="61"/>
      <c r="H28" s="61" t="s">
        <v>34</v>
      </c>
      <c r="I28" s="75" t="str">
        <f>'Minion Checker'!E12</f>
        <v>Clay</v>
      </c>
      <c r="J28" s="76">
        <f t="array" ref="J28">JOIN("",IF(F$23:F82=H28,G$23:G82,""))*1</f>
        <v>0</v>
      </c>
    </row>
    <row r="29">
      <c r="A29" s="71"/>
      <c r="B29" s="72"/>
      <c r="C29" s="73" t="s">
        <v>35</v>
      </c>
      <c r="D29" s="72" t="str">
        <f>'Minion Checker'!E13</f>
        <v>Ice</v>
      </c>
      <c r="E29" s="72">
        <f t="array" ref="E29">JOIN("",IF(A$23:A82=C29,B$23:B82,""))*1</f>
        <v>0</v>
      </c>
      <c r="F29" s="74"/>
      <c r="G29" s="61"/>
      <c r="H29" s="61" t="s">
        <v>35</v>
      </c>
      <c r="I29" s="75" t="str">
        <f>'Minion Checker'!E13</f>
        <v>Ice</v>
      </c>
      <c r="J29" s="76">
        <f t="array" ref="J29">JOIN("",IF(F$23:F82=H29,G$23:G82,""))*1</f>
        <v>0</v>
      </c>
    </row>
    <row r="30">
      <c r="A30" s="71"/>
      <c r="B30" s="72"/>
      <c r="C30" s="73" t="s">
        <v>36</v>
      </c>
      <c r="D30" s="72" t="str">
        <f>'Minion Checker'!E14</f>
        <v>Snow</v>
      </c>
      <c r="E30" s="72">
        <f t="array" ref="E30">JOIN("",IF(A$23:A82=C30,B$23:B82,""))*1</f>
        <v>0</v>
      </c>
      <c r="F30" s="74"/>
      <c r="G30" s="61"/>
      <c r="H30" s="61" t="s">
        <v>36</v>
      </c>
      <c r="I30" s="75" t="str">
        <f>'Minion Checker'!E14</f>
        <v>Snow</v>
      </c>
      <c r="J30" s="76">
        <f t="array" ref="J30">JOIN("",IF(F$23:F82=H30,G$23:G82,""))*1</f>
        <v>0</v>
      </c>
    </row>
    <row r="31">
      <c r="A31" s="71"/>
      <c r="B31" s="72"/>
      <c r="C31" s="73" t="s">
        <v>37</v>
      </c>
      <c r="D31" s="72" t="str">
        <f>'Minion Checker'!E15</f>
        <v>Coal</v>
      </c>
      <c r="E31" s="72">
        <f t="array" ref="E31">JOIN("",IF(A$23:A82=C31,B$23:B82,""))*1</f>
        <v>0</v>
      </c>
      <c r="F31" s="74"/>
      <c r="G31" s="61"/>
      <c r="H31" s="61" t="s">
        <v>37</v>
      </c>
      <c r="I31" s="75" t="str">
        <f>'Minion Checker'!E15</f>
        <v>Coal</v>
      </c>
      <c r="J31" s="76">
        <f t="array" ref="J31">JOIN("",IF(F$23:F82=H31,G$23:G82,""))*1</f>
        <v>0</v>
      </c>
    </row>
    <row r="32">
      <c r="A32" s="71"/>
      <c r="B32" s="72"/>
      <c r="C32" s="73" t="s">
        <v>38</v>
      </c>
      <c r="D32" s="72" t="str">
        <f>'Minion Checker'!E16</f>
        <v>Iron</v>
      </c>
      <c r="E32" s="72">
        <f t="array" ref="E32">JOIN("",IF(A$23:A82=C32,B$23:B82,""))*1</f>
        <v>0</v>
      </c>
      <c r="F32" s="74"/>
      <c r="G32" s="61"/>
      <c r="H32" s="61" t="s">
        <v>38</v>
      </c>
      <c r="I32" s="75" t="str">
        <f>'Minion Checker'!E16</f>
        <v>Iron</v>
      </c>
      <c r="J32" s="76">
        <f t="array" ref="J32">JOIN("",IF(F$23:F82=H32,G$23:G82,""))*1</f>
        <v>0</v>
      </c>
    </row>
    <row r="33">
      <c r="A33" s="71"/>
      <c r="B33" s="72"/>
      <c r="C33" s="73" t="s">
        <v>39</v>
      </c>
      <c r="D33" s="72" t="str">
        <f>'Minion Checker'!E17</f>
        <v>Gold</v>
      </c>
      <c r="E33" s="72">
        <f t="array" ref="E33">JOIN("",IF(A$23:A82=C33,B$23:B82,""))*1</f>
        <v>0</v>
      </c>
      <c r="F33" s="74"/>
      <c r="G33" s="61"/>
      <c r="H33" s="61" t="s">
        <v>39</v>
      </c>
      <c r="I33" s="75" t="str">
        <f>'Minion Checker'!E17</f>
        <v>Gold</v>
      </c>
      <c r="J33" s="76">
        <f t="array" ref="J33">JOIN("",IF(F$23:F82=H33,G$23:G82,""))*1</f>
        <v>0</v>
      </c>
    </row>
    <row r="34">
      <c r="A34" s="71"/>
      <c r="B34" s="72"/>
      <c r="C34" s="73" t="s">
        <v>40</v>
      </c>
      <c r="D34" s="72" t="str">
        <f>'Minion Checker'!E18</f>
        <v>Diamond</v>
      </c>
      <c r="E34" s="72">
        <f t="array" ref="E34">JOIN("",IF(A$23:A82=C34,B$23:B82,""))*1</f>
        <v>0</v>
      </c>
      <c r="F34" s="74"/>
      <c r="G34" s="61"/>
      <c r="H34" s="61" t="s">
        <v>40</v>
      </c>
      <c r="I34" s="75" t="str">
        <f>'Minion Checker'!E18</f>
        <v>Diamond</v>
      </c>
      <c r="J34" s="76">
        <f t="array" ref="J34">JOIN("",IF(F$23:F82=H34,G$23:G82,""))*1</f>
        <v>0</v>
      </c>
    </row>
    <row r="35">
      <c r="A35" s="71"/>
      <c r="B35" s="72"/>
      <c r="C35" s="73" t="s">
        <v>41</v>
      </c>
      <c r="D35" s="72" t="str">
        <f>'Minion Checker'!E19</f>
        <v>Lapis</v>
      </c>
      <c r="E35" s="72">
        <f t="array" ref="E35">JOIN("",IF(A$23:A82=C35,B$23:B82,""))*1</f>
        <v>0</v>
      </c>
      <c r="F35" s="74"/>
      <c r="G35" s="61"/>
      <c r="H35" s="61" t="s">
        <v>41</v>
      </c>
      <c r="I35" s="75" t="str">
        <f>'Minion Checker'!E19</f>
        <v>Lapis</v>
      </c>
      <c r="J35" s="76">
        <f t="array" ref="J35">JOIN("",IF(F$23:F82=H35,G$23:G82,""))*1</f>
        <v>0</v>
      </c>
    </row>
    <row r="36">
      <c r="A36" s="71"/>
      <c r="B36" s="72"/>
      <c r="C36" s="73" t="s">
        <v>42</v>
      </c>
      <c r="D36" s="72" t="str">
        <f>'Minion Checker'!E20</f>
        <v>Redstone</v>
      </c>
      <c r="E36" s="72">
        <f t="array" ref="E36">JOIN("",IF(A$23:A82=C36,B$23:B82,""))*1</f>
        <v>0</v>
      </c>
      <c r="F36" s="74"/>
      <c r="G36" s="61"/>
      <c r="H36" s="61" t="s">
        <v>42</v>
      </c>
      <c r="I36" s="75" t="str">
        <f>'Minion Checker'!E20</f>
        <v>Redstone</v>
      </c>
      <c r="J36" s="76">
        <f t="array" ref="J36">JOIN("",IF(F$23:F82=H36,G$23:G82,""))*1</f>
        <v>0</v>
      </c>
    </row>
    <row r="37">
      <c r="A37" s="71"/>
      <c r="B37" s="72"/>
      <c r="C37" s="73" t="s">
        <v>43</v>
      </c>
      <c r="D37" s="72" t="str">
        <f>'Minion Checker'!E21</f>
        <v>Emerald</v>
      </c>
      <c r="E37" s="72">
        <f t="array" ref="E37">JOIN("",IF(A$23:A82=C37,B$23:B82,""))*1</f>
        <v>0</v>
      </c>
      <c r="F37" s="74"/>
      <c r="G37" s="61"/>
      <c r="H37" s="61" t="s">
        <v>43</v>
      </c>
      <c r="I37" s="75" t="str">
        <f>'Minion Checker'!E21</f>
        <v>Emerald</v>
      </c>
      <c r="J37" s="76">
        <f t="array" ref="J37">JOIN("",IF(F$23:F82=H37,G$23:G82,""))*1</f>
        <v>0</v>
      </c>
    </row>
    <row r="38">
      <c r="A38" s="71"/>
      <c r="B38" s="72"/>
      <c r="C38" s="73" t="s">
        <v>44</v>
      </c>
      <c r="D38" s="72" t="str">
        <f>'Minion Checker'!E22</f>
        <v>Quartz</v>
      </c>
      <c r="E38" s="72">
        <f t="array" ref="E38">JOIN("",IF(A$23:A82=C38,B$23:B82,""))*1</f>
        <v>0</v>
      </c>
      <c r="F38" s="74"/>
      <c r="G38" s="61"/>
      <c r="H38" s="61" t="s">
        <v>44</v>
      </c>
      <c r="I38" s="75" t="str">
        <f>'Minion Checker'!E22</f>
        <v>Quartz</v>
      </c>
      <c r="J38" s="76">
        <f t="array" ref="J38">JOIN("",IF(F$23:F82=H38,G$23:G82,""))*1</f>
        <v>0</v>
      </c>
    </row>
    <row r="39">
      <c r="A39" s="71"/>
      <c r="B39" s="72"/>
      <c r="C39" s="73" t="s">
        <v>45</v>
      </c>
      <c r="D39" s="72" t="str">
        <f>'Minion Checker'!E23</f>
        <v>End Stone</v>
      </c>
      <c r="E39" s="72">
        <f t="array" ref="E39">JOIN("",IF(A$23:A82=C39,B$23:B82,""))*1</f>
        <v>0</v>
      </c>
      <c r="F39" s="74"/>
      <c r="G39" s="61"/>
      <c r="H39" s="61" t="s">
        <v>46</v>
      </c>
      <c r="I39" s="75" t="str">
        <f>'Minion Checker'!E23</f>
        <v>End Stone</v>
      </c>
      <c r="J39" s="76">
        <f t="array" ref="J39">JOIN("",IF(F$23:F82=H39,G$23:G82,""))*1</f>
        <v>0</v>
      </c>
    </row>
    <row r="40">
      <c r="A40" s="71"/>
      <c r="B40" s="72"/>
      <c r="C40" s="73" t="s">
        <v>47</v>
      </c>
      <c r="D40" s="72" t="str">
        <f>'Minion Checker'!E24</f>
        <v>Wheat</v>
      </c>
      <c r="E40" s="72">
        <f t="array" ref="E40">JOIN("",IF(A$23:A82=C40,B$23:B82,""))*1</f>
        <v>0</v>
      </c>
      <c r="F40" s="74"/>
      <c r="G40" s="61"/>
      <c r="H40" s="61" t="s">
        <v>47</v>
      </c>
      <c r="I40" s="75" t="str">
        <f>'Minion Checker'!E24</f>
        <v>Wheat</v>
      </c>
      <c r="J40" s="76">
        <f t="array" ref="J40">JOIN("",IF(F$23:F82=H40,G$23:G82,""))*1</f>
        <v>0</v>
      </c>
    </row>
    <row r="41">
      <c r="A41" s="71"/>
      <c r="B41" s="72"/>
      <c r="C41" s="73" t="s">
        <v>48</v>
      </c>
      <c r="D41" s="72" t="str">
        <f>'Minion Checker'!E25</f>
        <v>Melon</v>
      </c>
      <c r="E41" s="72">
        <f t="array" ref="E41">JOIN("",IF(A$23:A82=C41,B$23:B82,""))*1</f>
        <v>0</v>
      </c>
      <c r="F41" s="74"/>
      <c r="G41" s="61"/>
      <c r="H41" s="61" t="s">
        <v>48</v>
      </c>
      <c r="I41" s="75" t="str">
        <f>'Minion Checker'!E25</f>
        <v>Melon</v>
      </c>
      <c r="J41" s="76">
        <f t="array" ref="J41">JOIN("",IF(F$23:F82=H41,G$23:G82,""))*1</f>
        <v>0</v>
      </c>
    </row>
    <row r="42">
      <c r="A42" s="71"/>
      <c r="B42" s="72"/>
      <c r="C42" s="73" t="s">
        <v>49</v>
      </c>
      <c r="D42" s="72" t="str">
        <f>'Minion Checker'!E26</f>
        <v>Pumpkin</v>
      </c>
      <c r="E42" s="72">
        <f t="array" ref="E42">JOIN("",IF(A$23:A82=C42,B$23:B82,""))*1</f>
        <v>0</v>
      </c>
      <c r="F42" s="74"/>
      <c r="G42" s="61"/>
      <c r="H42" s="61" t="s">
        <v>49</v>
      </c>
      <c r="I42" s="75" t="str">
        <f>'Minion Checker'!E26</f>
        <v>Pumpkin</v>
      </c>
      <c r="J42" s="76">
        <f t="array" ref="J42">JOIN("",IF(F$23:F82=H42,G$23:G82,""))*1</f>
        <v>0</v>
      </c>
    </row>
    <row r="43">
      <c r="A43" s="71"/>
      <c r="B43" s="72"/>
      <c r="C43" s="73" t="s">
        <v>50</v>
      </c>
      <c r="D43" s="72" t="str">
        <f>'Minion Checker'!E27</f>
        <v>Carrot</v>
      </c>
      <c r="E43" s="72">
        <f t="array" ref="E43">JOIN("",IF(A$23:A82=C43,B$23:B82,""))*1</f>
        <v>0</v>
      </c>
      <c r="F43" s="74"/>
      <c r="G43" s="61"/>
      <c r="H43" s="61" t="s">
        <v>50</v>
      </c>
      <c r="I43" s="75" t="str">
        <f>'Minion Checker'!E27</f>
        <v>Carrot</v>
      </c>
      <c r="J43" s="76">
        <f t="array" ref="J43">JOIN("",IF(F$23:F82=H43,G$23:G82,""))*1</f>
        <v>0</v>
      </c>
    </row>
    <row r="44">
      <c r="A44" s="71"/>
      <c r="B44" s="72"/>
      <c r="C44" s="73" t="s">
        <v>51</v>
      </c>
      <c r="D44" s="72" t="str">
        <f>'Minion Checker'!E28</f>
        <v>Potato</v>
      </c>
      <c r="E44" s="72">
        <f t="array" ref="E44">JOIN("",IF(A$23:A82=C44,B$23:B82,""))*1</f>
        <v>0</v>
      </c>
      <c r="F44" s="74"/>
      <c r="G44" s="61"/>
      <c r="H44" s="61" t="s">
        <v>51</v>
      </c>
      <c r="I44" s="75" t="str">
        <f>'Minion Checker'!E28</f>
        <v>Potato</v>
      </c>
      <c r="J44" s="76">
        <f t="array" ref="J44">JOIN("",IF(F$23:F82=H44,G$23:G82,""))*1</f>
        <v>0</v>
      </c>
    </row>
    <row r="45">
      <c r="A45" s="71"/>
      <c r="B45" s="72"/>
      <c r="C45" s="73" t="s">
        <v>52</v>
      </c>
      <c r="D45" s="72" t="str">
        <f>'Minion Checker'!E29</f>
        <v>Mushroom</v>
      </c>
      <c r="E45" s="72">
        <f t="array" ref="E45">JOIN("",IF(A$23:A82=C45,B$23:B82,""))*1</f>
        <v>0</v>
      </c>
      <c r="F45" s="74"/>
      <c r="G45" s="61"/>
      <c r="H45" s="61" t="s">
        <v>52</v>
      </c>
      <c r="I45" s="75" t="str">
        <f>'Minion Checker'!E29</f>
        <v>Mushroom</v>
      </c>
      <c r="J45" s="76">
        <f t="array" ref="J45">JOIN("",IF(F$23:F82=H45,G$23:G82,""))*1</f>
        <v>0</v>
      </c>
    </row>
    <row r="46">
      <c r="A46" s="71"/>
      <c r="B46" s="72"/>
      <c r="C46" s="73" t="s">
        <v>53</v>
      </c>
      <c r="D46" s="72" t="str">
        <f>'Minion Checker'!E30</f>
        <v>Cactus</v>
      </c>
      <c r="E46" s="72">
        <f t="array" ref="E46">JOIN("",IF(A$23:A82=C46,B$23:B82,""))*1</f>
        <v>0</v>
      </c>
      <c r="F46" s="74"/>
      <c r="G46" s="61"/>
      <c r="H46" s="61" t="s">
        <v>53</v>
      </c>
      <c r="I46" s="75" t="str">
        <f>'Minion Checker'!E30</f>
        <v>Cactus</v>
      </c>
      <c r="J46" s="76">
        <f t="array" ref="J46">JOIN("",IF(F$23:F82=H46,G$23:G82,""))*1</f>
        <v>0</v>
      </c>
    </row>
    <row r="47">
      <c r="A47" s="71"/>
      <c r="B47" s="72"/>
      <c r="C47" s="73" t="s">
        <v>54</v>
      </c>
      <c r="D47" s="72" t="str">
        <f>'Minion Checker'!E31</f>
        <v>Cocoa Beans</v>
      </c>
      <c r="E47" s="72">
        <f t="array" ref="E47">JOIN("",IF(A$23:A82=C47,B$23:B82,""))*1</f>
        <v>0</v>
      </c>
      <c r="F47" s="74"/>
      <c r="G47" s="61"/>
      <c r="H47" s="61" t="s">
        <v>54</v>
      </c>
      <c r="I47" s="75" t="str">
        <f>'Minion Checker'!E31</f>
        <v>Cocoa Beans</v>
      </c>
      <c r="J47" s="76">
        <f t="array" ref="J47">JOIN("",IF(F$23:F82=H47,G$23:G82,""))*1</f>
        <v>0</v>
      </c>
    </row>
    <row r="48">
      <c r="A48" s="71"/>
      <c r="B48" s="72"/>
      <c r="C48" s="73" t="s">
        <v>55</v>
      </c>
      <c r="D48" s="72" t="str">
        <f>'Minion Checker'!E32</f>
        <v>Sugar Cane</v>
      </c>
      <c r="E48" s="72">
        <f t="array" ref="E48">JOIN("",IF(A$23:A82=C48,B$23:B82,""))*1</f>
        <v>0</v>
      </c>
      <c r="F48" s="74"/>
      <c r="G48" s="61"/>
      <c r="H48" s="61" t="s">
        <v>56</v>
      </c>
      <c r="I48" s="75" t="str">
        <f>'Minion Checker'!E32</f>
        <v>Sugar Cane</v>
      </c>
      <c r="J48" s="76">
        <f t="array" ref="J48">JOIN("",IF(F$23:F82=H48,G$23:G82,""))*1</f>
        <v>0</v>
      </c>
    </row>
    <row r="49">
      <c r="A49" s="71"/>
      <c r="B49" s="72"/>
      <c r="C49" s="73" t="s">
        <v>57</v>
      </c>
      <c r="D49" s="72" t="str">
        <f>'Minion Checker'!E33</f>
        <v>Nether Wart</v>
      </c>
      <c r="E49" s="72">
        <f t="array" ref="E49">JOIN("",IF(A$23:A82=C49,B$23:B82,""))*1</f>
        <v>0</v>
      </c>
      <c r="F49" s="74"/>
      <c r="G49" s="61"/>
      <c r="H49" s="61" t="s">
        <v>58</v>
      </c>
      <c r="I49" s="75" t="str">
        <f>'Minion Checker'!E33</f>
        <v>Nether Wart</v>
      </c>
      <c r="J49" s="76">
        <f t="array" ref="J49">JOIN("",IF(F$23:F82=H49,G$23:G82,""))*1</f>
        <v>0</v>
      </c>
    </row>
    <row r="50">
      <c r="A50" s="71"/>
      <c r="B50" s="72"/>
      <c r="C50" s="73" t="s">
        <v>59</v>
      </c>
      <c r="D50" s="72" t="str">
        <f>'Minion Checker'!E34</f>
        <v>Flower</v>
      </c>
      <c r="E50" s="72">
        <f t="array" ref="E50">JOIN("",IF(A$23:A82=C50,B$23:B82,""))*1</f>
        <v>0</v>
      </c>
      <c r="F50" s="74"/>
      <c r="G50" s="61"/>
      <c r="H50" s="61" t="s">
        <v>59</v>
      </c>
      <c r="I50" s="75" t="str">
        <f>'Minion Checker'!E34</f>
        <v>Flower</v>
      </c>
      <c r="J50" s="76">
        <f t="array" ref="J50">JOIN("",IF(F$23:F82=H50,G$23:G82,""))*1</f>
        <v>0</v>
      </c>
    </row>
    <row r="51">
      <c r="A51" s="71"/>
      <c r="B51" s="72"/>
      <c r="C51" s="73" t="s">
        <v>60</v>
      </c>
      <c r="D51" s="72" t="str">
        <f>'Minion Checker'!E35</f>
        <v>Fish</v>
      </c>
      <c r="E51" s="72">
        <f t="array" ref="E51">JOIN("",IF(A$23:A82=C51,B$23:B82,""))*1</f>
        <v>0</v>
      </c>
      <c r="F51" s="74"/>
      <c r="G51" s="61"/>
      <c r="H51" s="61" t="s">
        <v>60</v>
      </c>
      <c r="I51" s="75" t="str">
        <f>'Minion Checker'!E35</f>
        <v>Fish</v>
      </c>
      <c r="J51" s="76">
        <f t="array" ref="J51">JOIN("",IF(F$23:F82=H51,G$23:G82,""))*1</f>
        <v>0</v>
      </c>
    </row>
    <row r="52">
      <c r="A52" s="71"/>
      <c r="B52" s="72"/>
      <c r="C52" s="73" t="s">
        <v>61</v>
      </c>
      <c r="D52" s="72" t="str">
        <f>'Minion Checker'!E36</f>
        <v>Zombie</v>
      </c>
      <c r="E52" s="72">
        <f t="array" ref="E52">JOIN("",IF(A$23:A82=C52,B$23:B82,""))*1</f>
        <v>0</v>
      </c>
      <c r="F52" s="74"/>
      <c r="G52" s="61"/>
      <c r="H52" s="61" t="s">
        <v>61</v>
      </c>
      <c r="I52" s="75" t="str">
        <f>'Minion Checker'!E36</f>
        <v>Zombie</v>
      </c>
      <c r="J52" s="76">
        <f t="array" ref="J52">JOIN("",IF(F$23:F82=H52,G$23:G82,""))*1</f>
        <v>0</v>
      </c>
    </row>
    <row r="53">
      <c r="A53" s="71"/>
      <c r="B53" s="72"/>
      <c r="C53" s="73" t="s">
        <v>62</v>
      </c>
      <c r="D53" s="72" t="str">
        <f>'Minion Checker'!E37</f>
        <v>Revenant</v>
      </c>
      <c r="E53" s="72">
        <f t="array" ref="E53">JOIN("",IF(A$23:A82=C53,B$23:B82,""))*1</f>
        <v>0</v>
      </c>
      <c r="F53" s="74"/>
      <c r="G53" s="61"/>
      <c r="H53" s="61" t="s">
        <v>62</v>
      </c>
      <c r="I53" s="75" t="str">
        <f>'Minion Checker'!E37</f>
        <v>Revenant</v>
      </c>
      <c r="J53" s="76">
        <f t="array" ref="J53">JOIN("",IF(F$23:F82=H53,G$23:G82,""))*1</f>
        <v>0</v>
      </c>
    </row>
    <row r="54">
      <c r="A54" s="71"/>
      <c r="B54" s="72"/>
      <c r="C54" s="73" t="s">
        <v>63</v>
      </c>
      <c r="D54" s="72" t="str">
        <f>'Minion Checker'!E38</f>
        <v>Skeleton</v>
      </c>
      <c r="E54" s="72">
        <f t="array" ref="E54">JOIN("",IF(A$23:A82=C54,B$23:B82,""))*1</f>
        <v>0</v>
      </c>
      <c r="F54" s="74"/>
      <c r="G54" s="61"/>
      <c r="H54" s="61" t="s">
        <v>63</v>
      </c>
      <c r="I54" s="75" t="str">
        <f>'Minion Checker'!E38</f>
        <v>Skeleton</v>
      </c>
      <c r="J54" s="76">
        <f t="array" ref="J54">JOIN("",IF(F$23:F82=H54,G$23:G82,""))*1</f>
        <v>0</v>
      </c>
    </row>
    <row r="55">
      <c r="A55" s="71"/>
      <c r="B55" s="72"/>
      <c r="C55" s="73" t="s">
        <v>64</v>
      </c>
      <c r="D55" s="72" t="str">
        <f>'Minion Checker'!E39</f>
        <v>Creeper</v>
      </c>
      <c r="E55" s="72">
        <f t="array" ref="E55">JOIN("",IF(A$23:A82=C55,B$23:B82,""))*1</f>
        <v>0</v>
      </c>
      <c r="F55" s="74"/>
      <c r="G55" s="61"/>
      <c r="H55" s="61" t="s">
        <v>64</v>
      </c>
      <c r="I55" s="75" t="str">
        <f>'Minion Checker'!E39</f>
        <v>Creeper</v>
      </c>
      <c r="J55" s="76">
        <f t="array" ref="J55">JOIN("",IF(F$23:F82=H55,G$23:G82,""))*1</f>
        <v>0</v>
      </c>
    </row>
    <row r="56">
      <c r="A56" s="71"/>
      <c r="B56" s="72"/>
      <c r="C56" s="73" t="s">
        <v>65</v>
      </c>
      <c r="D56" s="72" t="str">
        <f>'Minion Checker'!E40</f>
        <v>Spider</v>
      </c>
      <c r="E56" s="72">
        <f t="array" ref="E56">JOIN("",IF(A$23:A82=C56,B$23:B82,""))*1</f>
        <v>0</v>
      </c>
      <c r="F56" s="74"/>
      <c r="G56" s="61"/>
      <c r="H56" s="61" t="s">
        <v>65</v>
      </c>
      <c r="I56" s="75" t="str">
        <f>'Minion Checker'!E40</f>
        <v>Spider</v>
      </c>
      <c r="J56" s="76">
        <f t="array" ref="J56">JOIN("",IF(F$23:F82=H56,G$23:G82,""))*1</f>
        <v>0</v>
      </c>
    </row>
    <row r="57">
      <c r="A57" s="71"/>
      <c r="B57" s="72"/>
      <c r="C57" s="73" t="s">
        <v>66</v>
      </c>
      <c r="D57" s="72" t="str">
        <f>'Minion Checker'!E41</f>
        <v>Tarantula</v>
      </c>
      <c r="E57" s="72">
        <f t="array" ref="E57">JOIN("",IF(A$23:A82=C57,B$23:B82,""))*1</f>
        <v>0</v>
      </c>
      <c r="F57" s="74"/>
      <c r="G57" s="61"/>
      <c r="H57" s="61" t="s">
        <v>66</v>
      </c>
      <c r="I57" s="75" t="str">
        <f>'Minion Checker'!E41</f>
        <v>Tarantula</v>
      </c>
      <c r="J57" s="76">
        <f t="array" ref="J57">JOIN("",IF(F$23:F82=H57,G$23:G82,""))*1</f>
        <v>0</v>
      </c>
    </row>
    <row r="58">
      <c r="A58" s="71"/>
      <c r="B58" s="72"/>
      <c r="C58" s="73" t="s">
        <v>67</v>
      </c>
      <c r="D58" s="72" t="str">
        <f>'Minion Checker'!E42</f>
        <v>Cave Spider</v>
      </c>
      <c r="E58" s="72">
        <f t="array" ref="E58">JOIN("",IF(A$23:A82=C58,B$23:B82,""))*1</f>
        <v>0</v>
      </c>
      <c r="F58" s="74"/>
      <c r="G58" s="61"/>
      <c r="H58" s="61" t="s">
        <v>67</v>
      </c>
      <c r="I58" s="75" t="str">
        <f>'Minion Checker'!E42</f>
        <v>Cave Spider</v>
      </c>
      <c r="J58" s="76">
        <f t="array" ref="J58">JOIN("",IF(F$23:F82=H58,G$23:G82,""))*1</f>
        <v>0</v>
      </c>
    </row>
    <row r="59">
      <c r="A59" s="71"/>
      <c r="B59" s="72"/>
      <c r="C59" s="73" t="s">
        <v>68</v>
      </c>
      <c r="D59" s="72" t="str">
        <f>'Minion Checker'!E43</f>
        <v>Blaze</v>
      </c>
      <c r="E59" s="72">
        <f t="array" ref="E59">JOIN("",IF(A$23:A82=C59,B$23:B82,""))*1</f>
        <v>0</v>
      </c>
      <c r="F59" s="74"/>
      <c r="G59" s="61"/>
      <c r="H59" s="61" t="s">
        <v>68</v>
      </c>
      <c r="I59" s="75" t="str">
        <f>'Minion Checker'!E43</f>
        <v>Blaze</v>
      </c>
      <c r="J59" s="76">
        <f t="array" ref="J59">JOIN("",IF(F$23:F82=H59,G$23:G82,""))*1</f>
        <v>0</v>
      </c>
    </row>
    <row r="60">
      <c r="A60" s="71"/>
      <c r="B60" s="72"/>
      <c r="C60" s="73" t="s">
        <v>69</v>
      </c>
      <c r="D60" s="72" t="str">
        <f>'Minion Checker'!E44</f>
        <v>Magma Cube</v>
      </c>
      <c r="E60" s="72">
        <f t="array" ref="E60">JOIN("",IF(A$23:A82=C60,B$23:B82,""))*1</f>
        <v>0</v>
      </c>
      <c r="F60" s="74"/>
      <c r="G60" s="61"/>
      <c r="H60" s="61" t="s">
        <v>70</v>
      </c>
      <c r="I60" s="75" t="str">
        <f>'Minion Checker'!E44</f>
        <v>Magma Cube</v>
      </c>
      <c r="J60" s="76">
        <f t="array" ref="J60">JOIN("",IF(F$23:F82=H60,G$23:G82,""))*1</f>
        <v>0</v>
      </c>
    </row>
    <row r="61">
      <c r="A61" s="71"/>
      <c r="B61" s="72"/>
      <c r="C61" s="73" t="s">
        <v>71</v>
      </c>
      <c r="D61" s="72" t="str">
        <f>'Minion Checker'!E45</f>
        <v>Enderman</v>
      </c>
      <c r="E61" s="72">
        <f t="array" ref="E61">JOIN("",IF(A$23:A82=C61,B$23:B82,""))*1</f>
        <v>0</v>
      </c>
      <c r="F61" s="74"/>
      <c r="G61" s="61"/>
      <c r="H61" s="61" t="s">
        <v>71</v>
      </c>
      <c r="I61" s="75" t="str">
        <f>'Minion Checker'!E45</f>
        <v>Enderman</v>
      </c>
      <c r="J61" s="76">
        <f t="array" ref="J61">JOIN("",IF(F$23:F82=H61,G$23:G82,""))*1</f>
        <v>0</v>
      </c>
    </row>
    <row r="62">
      <c r="A62" s="71"/>
      <c r="B62" s="72"/>
      <c r="C62" s="73" t="s">
        <v>72</v>
      </c>
      <c r="D62" s="72" t="str">
        <f>'Minion Checker'!E46</f>
        <v>Ghast</v>
      </c>
      <c r="E62" s="72">
        <f t="array" ref="E62">JOIN("",IF(A$23:A82=C62,B$23:B82,""))*1</f>
        <v>0</v>
      </c>
      <c r="F62" s="74"/>
      <c r="G62" s="61"/>
      <c r="H62" s="61" t="s">
        <v>72</v>
      </c>
      <c r="I62" s="75" t="str">
        <f>'Minion Checker'!E46</f>
        <v>Ghast</v>
      </c>
      <c r="J62" s="76">
        <f t="array" ref="J62">JOIN("",IF(F$23:F82=H62,G$23:G82,""))*1</f>
        <v>0</v>
      </c>
    </row>
    <row r="63">
      <c r="A63" s="71"/>
      <c r="B63" s="72"/>
      <c r="C63" s="73" t="s">
        <v>73</v>
      </c>
      <c r="D63" s="72" t="str">
        <f>'Minion Checker'!E47</f>
        <v>Slime</v>
      </c>
      <c r="E63" s="72">
        <f t="array" ref="E63">JOIN("",IF(A$23:A82=C63,B$23:B82,""))*1</f>
        <v>0</v>
      </c>
      <c r="F63" s="74"/>
      <c r="G63" s="61"/>
      <c r="H63" s="61" t="s">
        <v>73</v>
      </c>
      <c r="I63" s="75" t="str">
        <f>'Minion Checker'!E47</f>
        <v>Slime</v>
      </c>
      <c r="J63" s="76">
        <f t="array" ref="J63">JOIN("",IF(F$23:F82=H63,G$23:G82,""))*1</f>
        <v>0</v>
      </c>
    </row>
    <row r="64">
      <c r="A64" s="71"/>
      <c r="B64" s="72"/>
      <c r="C64" s="73" t="s">
        <v>74</v>
      </c>
      <c r="D64" s="72" t="str">
        <f>'Minion Checker'!E48</f>
        <v>Cow</v>
      </c>
      <c r="E64" s="72">
        <f t="array" ref="E64">JOIN("",IF(A$23:A82=C64,B$23:B82,""))*1</f>
        <v>0</v>
      </c>
      <c r="F64" s="74"/>
      <c r="G64" s="61"/>
      <c r="H64" s="61" t="s">
        <v>74</v>
      </c>
      <c r="I64" s="75" t="str">
        <f>'Minion Checker'!E48</f>
        <v>Cow</v>
      </c>
      <c r="J64" s="76">
        <f t="array" ref="J64">JOIN("",IF(F$23:F82=H64,G$23:G82,""))*1</f>
        <v>0</v>
      </c>
    </row>
    <row r="65">
      <c r="A65" s="71"/>
      <c r="B65" s="72"/>
      <c r="C65" s="73" t="s">
        <v>75</v>
      </c>
      <c r="D65" s="72" t="str">
        <f>'Minion Checker'!E49</f>
        <v>Pig</v>
      </c>
      <c r="E65" s="72">
        <f t="array" ref="E65">JOIN("",IF(A$23:A82=C65,B$23:B82,""))*1</f>
        <v>0</v>
      </c>
      <c r="F65" s="74"/>
      <c r="G65" s="61"/>
      <c r="H65" s="61" t="s">
        <v>75</v>
      </c>
      <c r="I65" s="75" t="str">
        <f>'Minion Checker'!E49</f>
        <v>Pig</v>
      </c>
      <c r="J65" s="76">
        <f t="array" ref="J65">JOIN("",IF(F$23:F82=H65,G$23:G82,""))*1</f>
        <v>0</v>
      </c>
    </row>
    <row r="66">
      <c r="A66" s="71"/>
      <c r="B66" s="72"/>
      <c r="C66" s="73" t="s">
        <v>76</v>
      </c>
      <c r="D66" s="72" t="str">
        <f>'Minion Checker'!E50</f>
        <v>Chicken</v>
      </c>
      <c r="E66" s="72">
        <f t="array" ref="E66">JOIN("",IF(A$23:A82=C66,B$23:B82,""))*1</f>
        <v>0</v>
      </c>
      <c r="F66" s="74"/>
      <c r="G66" s="61"/>
      <c r="H66" s="61" t="s">
        <v>76</v>
      </c>
      <c r="I66" s="75" t="str">
        <f>'Minion Checker'!E50</f>
        <v>Chicken</v>
      </c>
      <c r="J66" s="76">
        <f t="array" ref="J66">JOIN("",IF(F$23:F82=H66,G$23:G82,""))*1</f>
        <v>0</v>
      </c>
    </row>
    <row r="67">
      <c r="A67" s="71"/>
      <c r="B67" s="72"/>
      <c r="C67" s="73" t="s">
        <v>77</v>
      </c>
      <c r="D67" s="72" t="str">
        <f>'Minion Checker'!E51</f>
        <v>Sheep</v>
      </c>
      <c r="E67" s="72">
        <f t="array" ref="E67">JOIN("",IF(A$23:A82=C67,B$23:B82,""))*1</f>
        <v>0</v>
      </c>
      <c r="F67" s="74"/>
      <c r="G67" s="61"/>
      <c r="H67" s="61" t="s">
        <v>77</v>
      </c>
      <c r="I67" s="75" t="str">
        <f>'Minion Checker'!E51</f>
        <v>Sheep</v>
      </c>
      <c r="J67" s="76">
        <f t="array" ref="J67">JOIN("",IF(F$23:F82=H67,G$23:G82,""))*1</f>
        <v>0</v>
      </c>
    </row>
    <row r="68">
      <c r="A68" s="71"/>
      <c r="B68" s="72"/>
      <c r="C68" s="73" t="s">
        <v>78</v>
      </c>
      <c r="D68" s="72" t="str">
        <f>'Minion Checker'!E52</f>
        <v>Rabbit</v>
      </c>
      <c r="E68" s="72">
        <f t="array" ref="E68">JOIN("",IF(A$23:A82=C68,B$23:B82,""))*1</f>
        <v>0</v>
      </c>
      <c r="F68" s="74"/>
      <c r="G68" s="61"/>
      <c r="H68" s="61" t="s">
        <v>78</v>
      </c>
      <c r="I68" s="75" t="str">
        <f>'Minion Checker'!E52</f>
        <v>Rabbit</v>
      </c>
      <c r="J68" s="76">
        <f t="array" ref="J68">JOIN("",IF(F$23:F82=H68,G$23:G82,""))*1</f>
        <v>0</v>
      </c>
    </row>
    <row r="69">
      <c r="A69" s="71"/>
      <c r="B69" s="72"/>
      <c r="C69" s="73" t="s">
        <v>79</v>
      </c>
      <c r="D69" s="72" t="str">
        <f>'Minion Checker'!E53</f>
        <v>Oak</v>
      </c>
      <c r="E69" s="72">
        <f t="array" ref="E69">JOIN("",IF(A$23:A82=C69,B$23:B82,""))*1</f>
        <v>0</v>
      </c>
      <c r="F69" s="74"/>
      <c r="G69" s="61"/>
      <c r="H69" s="61" t="s">
        <v>79</v>
      </c>
      <c r="I69" s="75" t="str">
        <f>'Minion Checker'!E53</f>
        <v>Oak</v>
      </c>
      <c r="J69" s="76">
        <f t="array" ref="J69">JOIN("",IF(F$23:F82=H69,G$23:G82,""))*1</f>
        <v>0</v>
      </c>
    </row>
    <row r="70">
      <c r="A70" s="71"/>
      <c r="B70" s="72"/>
      <c r="C70" s="73" t="s">
        <v>80</v>
      </c>
      <c r="D70" s="72" t="str">
        <f>'Minion Checker'!E54</f>
        <v>Spruce</v>
      </c>
      <c r="E70" s="72">
        <f t="array" ref="E70">JOIN("",IF(A$23:A82=C70,B$23:B82,""))*1</f>
        <v>0</v>
      </c>
      <c r="F70" s="74"/>
      <c r="G70" s="61"/>
      <c r="H70" s="61" t="s">
        <v>80</v>
      </c>
      <c r="I70" s="75" t="str">
        <f>'Minion Checker'!E54</f>
        <v>Spruce</v>
      </c>
      <c r="J70" s="76">
        <f t="array" ref="J70">JOIN("",IF(F$23:F82=H70,G$23:G82,""))*1</f>
        <v>0</v>
      </c>
    </row>
    <row r="71">
      <c r="A71" s="71"/>
      <c r="B71" s="72"/>
      <c r="C71" s="73" t="s">
        <v>81</v>
      </c>
      <c r="D71" s="72" t="str">
        <f>'Minion Checker'!E55</f>
        <v>Birch</v>
      </c>
      <c r="E71" s="72">
        <f t="array" ref="E71">JOIN("",IF(A$23:A82=C71,B$23:B82,""))*1</f>
        <v>0</v>
      </c>
      <c r="F71" s="74"/>
      <c r="G71" s="61"/>
      <c r="H71" s="61" t="s">
        <v>81</v>
      </c>
      <c r="I71" s="75" t="str">
        <f>'Minion Checker'!E55</f>
        <v>Birch</v>
      </c>
      <c r="J71" s="76">
        <f t="array" ref="J71">JOIN("",IF(F$23:F82=H71,G$23:G82,""))*1</f>
        <v>0</v>
      </c>
    </row>
    <row r="72">
      <c r="A72" s="71"/>
      <c r="B72" s="72"/>
      <c r="C72" s="73" t="s">
        <v>82</v>
      </c>
      <c r="D72" s="72" t="str">
        <f>'Minion Checker'!E56</f>
        <v>Dark Oak</v>
      </c>
      <c r="E72" s="72">
        <f t="array" ref="E72">JOIN("",IF(A$23:A82=C72,B$23:B82,""))*1</f>
        <v>0</v>
      </c>
      <c r="F72" s="74"/>
      <c r="G72" s="61"/>
      <c r="H72" s="61" t="s">
        <v>83</v>
      </c>
      <c r="I72" s="75" t="str">
        <f>'Minion Checker'!E56</f>
        <v>Dark Oak</v>
      </c>
      <c r="J72" s="76">
        <f t="array" ref="J72">JOIN("",IF(F$23:F82=H72,G$23:G82,""))*1</f>
        <v>0</v>
      </c>
    </row>
    <row r="73">
      <c r="A73" s="71"/>
      <c r="B73" s="72"/>
      <c r="C73" s="73" t="s">
        <v>84</v>
      </c>
      <c r="D73" s="72" t="str">
        <f>'Minion Checker'!E57</f>
        <v>Acacia</v>
      </c>
      <c r="E73" s="72">
        <f t="array" ref="E73">JOIN("",IF(A$23:A82=C73,B$23:B82,""))*1</f>
        <v>0</v>
      </c>
      <c r="F73" s="74"/>
      <c r="G73" s="61"/>
      <c r="H73" s="61" t="s">
        <v>84</v>
      </c>
      <c r="I73" s="75" t="str">
        <f>'Minion Checker'!E57</f>
        <v>Acacia</v>
      </c>
      <c r="J73" s="76">
        <f t="array" ref="J73">JOIN("",IF(F$23:F82=H73,G$23:G82,""))*1</f>
        <v>0</v>
      </c>
    </row>
    <row r="74">
      <c r="A74" s="71"/>
      <c r="B74" s="72"/>
      <c r="C74" s="73" t="s">
        <v>85</v>
      </c>
      <c r="D74" s="72" t="str">
        <f>'Minion Checker'!E58</f>
        <v>Jungle</v>
      </c>
      <c r="E74" s="72">
        <f t="array" ref="E74">JOIN("",IF(A$23:A82=C74,B$23:B82,""))*1</f>
        <v>0</v>
      </c>
      <c r="F74" s="74"/>
      <c r="G74" s="61"/>
      <c r="H74" s="61" t="s">
        <v>85</v>
      </c>
      <c r="I74" s="75" t="str">
        <f>'Minion Checker'!E58</f>
        <v>Jungle</v>
      </c>
      <c r="J74" s="76">
        <f t="array" ref="J74">JOIN("",IF(F$23:F82=H74,G$23:G82,""))*1</f>
        <v>0</v>
      </c>
    </row>
    <row r="75">
      <c r="A75" s="71"/>
      <c r="B75" s="72"/>
      <c r="C75" s="77" t="s">
        <v>86</v>
      </c>
      <c r="D75" s="78" t="str">
        <f>'Minion Checker'!E59</f>
        <v>Mithril</v>
      </c>
      <c r="E75" s="72">
        <f t="array" ref="E75">JOIN("",IF(A$23:A82=C75,B$23:B82,""))*1</f>
        <v>0</v>
      </c>
      <c r="F75" s="74"/>
      <c r="G75" s="61"/>
      <c r="H75" s="79" t="s">
        <v>86</v>
      </c>
      <c r="I75" s="75" t="str">
        <f>'Minion Checker'!E59</f>
        <v>Mithril</v>
      </c>
      <c r="J75" s="76">
        <f t="array" ref="J75">JOIN("",IF(F$23:F82=H75,G$23:G82,""))*1</f>
        <v>0</v>
      </c>
    </row>
    <row r="76">
      <c r="A76" s="71"/>
      <c r="B76" s="72"/>
      <c r="C76" s="73"/>
      <c r="D76" s="72"/>
      <c r="E76" s="72"/>
      <c r="F76" s="74"/>
      <c r="G76" s="61"/>
      <c r="H76" s="61"/>
      <c r="I76" s="75"/>
      <c r="J76" s="76"/>
    </row>
    <row r="77">
      <c r="A77" s="71"/>
      <c r="B77" s="72"/>
      <c r="C77" s="73"/>
      <c r="D77" s="72"/>
      <c r="E77" s="72"/>
      <c r="F77" s="74"/>
      <c r="G77" s="61"/>
      <c r="H77" s="61"/>
      <c r="I77" s="75"/>
      <c r="J77" s="76"/>
    </row>
    <row r="78">
      <c r="A78" s="71"/>
      <c r="B78" s="72"/>
      <c r="C78" s="73"/>
      <c r="D78" s="72"/>
      <c r="E78" s="72"/>
      <c r="F78" s="74"/>
      <c r="G78" s="61"/>
      <c r="H78" s="61"/>
      <c r="I78" s="75"/>
      <c r="J78" s="76"/>
    </row>
    <row r="79">
      <c r="A79" s="71"/>
      <c r="B79" s="72"/>
      <c r="C79" s="73"/>
      <c r="D79" s="72"/>
      <c r="E79" s="72"/>
      <c r="F79" s="74"/>
      <c r="G79" s="61"/>
      <c r="H79" s="61"/>
      <c r="I79" s="75"/>
      <c r="J79" s="76"/>
    </row>
    <row r="80">
      <c r="A80" s="71"/>
      <c r="B80" s="72"/>
      <c r="C80" s="73"/>
      <c r="D80" s="72"/>
      <c r="E80" s="72"/>
      <c r="F80" s="74"/>
      <c r="G80" s="61"/>
      <c r="H80" s="61"/>
      <c r="I80" s="75"/>
      <c r="J80" s="76"/>
    </row>
    <row r="81">
      <c r="A81" s="71"/>
      <c r="B81" s="72"/>
      <c r="C81" s="73"/>
      <c r="D81" s="72"/>
      <c r="E81" s="72"/>
      <c r="F81" s="74"/>
      <c r="G81" s="61"/>
      <c r="H81" s="61"/>
      <c r="I81" s="75"/>
      <c r="J81" s="76"/>
    </row>
    <row r="82">
      <c r="A82" s="71"/>
      <c r="B82" s="72"/>
      <c r="C82" s="73"/>
      <c r="D82" s="72"/>
      <c r="E82" s="72"/>
      <c r="F82" s="74"/>
      <c r="G82" s="61"/>
      <c r="H82" s="61"/>
      <c r="I82" s="75"/>
      <c r="J82" s="76"/>
    </row>
  </sheetData>
  <mergeCells count="44">
    <mergeCell ref="A1:J1"/>
    <mergeCell ref="F2:J2"/>
    <mergeCell ref="A3:E3"/>
    <mergeCell ref="F3:J3"/>
    <mergeCell ref="A4:E4"/>
    <mergeCell ref="F4:J4"/>
    <mergeCell ref="F5:J5"/>
    <mergeCell ref="A5:E5"/>
    <mergeCell ref="A6:E6"/>
    <mergeCell ref="A7:E7"/>
    <mergeCell ref="A8:E8"/>
    <mergeCell ref="A9:E9"/>
    <mergeCell ref="A10:E10"/>
    <mergeCell ref="A11:E11"/>
    <mergeCell ref="F6:J6"/>
    <mergeCell ref="H7:J7"/>
    <mergeCell ref="H8:J8"/>
    <mergeCell ref="H9:J9"/>
    <mergeCell ref="H10:J10"/>
    <mergeCell ref="H11:J11"/>
    <mergeCell ref="H12:J12"/>
    <mergeCell ref="B19:E19"/>
    <mergeCell ref="B20:E20"/>
    <mergeCell ref="B21:E21"/>
    <mergeCell ref="A22:B22"/>
    <mergeCell ref="D22:E22"/>
    <mergeCell ref="A12:E12"/>
    <mergeCell ref="A13:E13"/>
    <mergeCell ref="A14:E14"/>
    <mergeCell ref="B15:E15"/>
    <mergeCell ref="B16:E16"/>
    <mergeCell ref="B17:E17"/>
    <mergeCell ref="B18:E18"/>
    <mergeCell ref="G20:J20"/>
    <mergeCell ref="G21:J21"/>
    <mergeCell ref="F22:G22"/>
    <mergeCell ref="I22:J22"/>
    <mergeCell ref="H13:J13"/>
    <mergeCell ref="F14:J14"/>
    <mergeCell ref="G15:J15"/>
    <mergeCell ref="G16:J16"/>
    <mergeCell ref="G17:J17"/>
    <mergeCell ref="G18:J18"/>
    <mergeCell ref="G19:J19"/>
  </mergeCells>
  <conditionalFormatting sqref="F3:J82">
    <cfRule type="expression" dxfId="2" priority="1">
      <formula>$F$3="sky.shiiyu.moe"</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5.13"/>
    <col customWidth="1" hidden="1" min="2" max="3" width="3.88"/>
    <col customWidth="1" min="4" max="4" width="3.25"/>
    <col customWidth="1" min="5" max="5" width="12.63"/>
    <col customWidth="1" min="6" max="6" width="15.75"/>
    <col hidden="1" min="8" max="8" width="12.63"/>
    <col customWidth="1" min="9" max="9" width="9.5"/>
    <col customWidth="1" min="10" max="10" width="26.38"/>
    <col customWidth="1" min="11" max="11" width="12.63"/>
    <col customWidth="1" hidden="1" min="12" max="13" width="12.63"/>
    <col customWidth="1" min="14" max="14" width="12.63"/>
    <col customWidth="1" min="15" max="15" width="18.88"/>
    <col customWidth="1" min="16" max="16" width="5.13"/>
    <col customWidth="1" min="17" max="17" width="3.25"/>
    <col hidden="1" min="19" max="21" width="12.63"/>
    <col customWidth="1" min="22" max="22" width="5.13"/>
    <col customWidth="1" min="23" max="23" width="26.38"/>
    <col customWidth="1" min="24" max="24" width="11.38"/>
    <col customWidth="1" min="25" max="25" width="5.13"/>
    <col customWidth="1" min="26" max="26" width="3.25"/>
    <col customWidth="1" min="27" max="27" width="12.63"/>
    <col customWidth="1" min="28" max="28" width="5.13"/>
    <col customWidth="1" min="29" max="29" width="16.38"/>
    <col customWidth="1" min="30" max="30" width="5.13"/>
    <col customWidth="1" hidden="1" min="31" max="31" width="9.5"/>
    <col customWidth="1" min="32" max="32" width="3.25"/>
    <col customWidth="1" min="33" max="33" width="12.63"/>
    <col customWidth="1" min="34" max="34" width="5.13"/>
    <col customWidth="1" min="35" max="35" width="16.38"/>
    <col customWidth="1" min="36" max="36" width="5.13"/>
  </cols>
  <sheetData>
    <row r="1">
      <c r="A1" s="80"/>
      <c r="B1" s="80"/>
      <c r="D1" s="80"/>
      <c r="E1" s="40"/>
      <c r="P1" s="40"/>
      <c r="Q1" s="40"/>
      <c r="Y1" s="40"/>
      <c r="Z1" s="40"/>
      <c r="AD1" s="40"/>
      <c r="AE1" s="81"/>
      <c r="AF1" s="81"/>
      <c r="AJ1" s="40"/>
    </row>
    <row r="2">
      <c r="B2" s="82" t="s">
        <v>87</v>
      </c>
      <c r="E2" s="16" t="s">
        <v>88</v>
      </c>
      <c r="F2" s="18" t="s">
        <v>89</v>
      </c>
      <c r="G2" s="18" t="s">
        <v>90</v>
      </c>
      <c r="H2" s="17"/>
      <c r="I2" s="17"/>
      <c r="J2" s="83" t="s">
        <v>91</v>
      </c>
      <c r="K2" s="84">
        <v>1.77</v>
      </c>
      <c r="L2" s="40">
        <f>IFERROR(__xludf.DUMMYFUNCTION("IFERROR(IMPORTRANGE(""https://docs.google.com/spreadsheets/d/1W8nGg2_x0Ne4HFKc5kLlCGSTcXlwUpJY_qvnVyiUpVw/edit?usp=sharing"",""VERSION""),"""")"),1.77)</f>
        <v>1.77</v>
      </c>
      <c r="M2" s="40"/>
      <c r="O2" s="83" t="s">
        <v>92</v>
      </c>
      <c r="Q2" s="85" t="str">
        <f>IFS(
IFERROR(_xlfn.ERROR.TYPE($L$2),"")=10,"",
N($L$2-version)&gt;0,HYPERLINK("https://docs.google.com/spreadsheets/d/1W8nGg2_x0Ne4HFKc5kLlCGSTcXlwUpJY_qvnVyiUpVw/copy","NEW "&amp;$L$2&amp;" Minions Sheet update available HERE!"),
1=1,"") </f>
        <v/>
      </c>
      <c r="Z2" s="86" t="s">
        <v>93</v>
      </c>
      <c r="AA2" s="17"/>
      <c r="AB2" s="17"/>
      <c r="AC2" s="22"/>
      <c r="AE2" s="81"/>
      <c r="AF2" s="86" t="s">
        <v>94</v>
      </c>
      <c r="AG2" s="17"/>
      <c r="AH2" s="17"/>
      <c r="AI2" s="22"/>
    </row>
    <row r="3">
      <c r="B3" s="80" t="b">
        <f>IFS('API Importer'!$B$9="",FALSE,'API Importer'!$D$9="",FALSE,'API Importer'!$E$9,TRUE,1=1,FALSE)</f>
        <v>1</v>
      </c>
      <c r="E3" s="87">
        <f>SUM(H7:H60)</f>
        <v>0</v>
      </c>
      <c r="F3" s="88">
        <f>COUNTA(E7:E60)*12</f>
        <v>636</v>
      </c>
      <c r="G3" s="89">
        <f>E3/F3</f>
        <v>0</v>
      </c>
      <c r="H3" s="6"/>
      <c r="I3" s="6"/>
      <c r="J3" s="90">
        <f>IFS(E3&lt;5,5,E3&lt;15,6,E3&lt;30,7,E3&lt;50,8,E3&lt;300,9+FLOOR((E3-50)/25,1),1=1,19+FLOOR((E3-300)/50,1))</f>
        <v>5</v>
      </c>
      <c r="O3" s="91" t="str">
        <f>IFS(E3&lt;5,5-E3,E3&lt;15,15-E3,E3&lt;30,30-E3,E3&lt;50,50-E3,E3&lt;300,(75+FLOOR((E3-50)/25,1)*25-E3),1=1,350+FLOOR((E3-300)/50,1)*50-E3) &amp; " Unique Upgrade(s) left!"</f>
        <v>5 Unique Upgrade(s) left!</v>
      </c>
      <c r="Z3" s="92" t="str">
        <f>HYPERLINK("https://ko-fi.com/tblazewarriort","ko-fi.com/TBlazeWarriorT")</f>
        <v>ko-fi.com/TBlazeWarriorT</v>
      </c>
      <c r="AA3" s="17"/>
      <c r="AB3" s="17"/>
      <c r="AC3" s="22"/>
      <c r="AE3" s="81"/>
      <c r="AF3" s="92" t="str">
        <f>HYPERLINK("https://ko-fi.com/tblazewarriort","In case you want to support the spreadsheet")</f>
        <v>In case you want to support the spreadsheet</v>
      </c>
      <c r="AG3" s="17"/>
      <c r="AH3" s="17"/>
      <c r="AI3" s="22"/>
    </row>
    <row r="4" ht="37.5" customHeight="1">
      <c r="B4" s="80"/>
      <c r="E4" s="93" t="str">
        <f>HYPERLINK("https://docs.google.com/spreadsheets/d/1W8nGg2_x0Ne4HFKc5kLlCGSTcXlwUpJY_qvnVyiUpVw/edit?usp=sharing","Use 'File &gt; Make a copy' or click this link to edit the sheet!")</f>
        <v>Use 'File &gt; Make a copy' or click this link to edit the sheet!</v>
      </c>
      <c r="K4" s="94" t="s">
        <v>95</v>
      </c>
      <c r="Q4" s="95" t="str">
        <f>IF(Bazaar!$B$1=FALSE,"Bazaar data failed to load! Please use the reload checkbox in Bazaar tab,
 check if matdoesdev/shiiyu websites are online and/or wait","")</f>
        <v/>
      </c>
      <c r="Z4" s="40"/>
      <c r="AE4" s="81"/>
      <c r="AF4" s="81"/>
    </row>
    <row r="5">
      <c r="B5" s="82" t="s">
        <v>96</v>
      </c>
      <c r="D5" s="96" t="s">
        <v>97</v>
      </c>
      <c r="E5" s="17"/>
      <c r="F5" s="17"/>
      <c r="G5" s="17"/>
      <c r="H5" s="17"/>
      <c r="I5" s="17"/>
      <c r="J5" s="17"/>
      <c r="K5" s="17"/>
      <c r="L5" s="17"/>
      <c r="M5" s="17"/>
      <c r="N5" s="17"/>
      <c r="O5" s="22"/>
      <c r="Q5" s="96" t="s">
        <v>98</v>
      </c>
      <c r="R5" s="17"/>
      <c r="S5" s="17"/>
      <c r="T5" s="17"/>
      <c r="U5" s="17"/>
      <c r="V5" s="17"/>
      <c r="W5" s="17"/>
      <c r="X5" s="22"/>
      <c r="Z5" s="96" t="s">
        <v>99</v>
      </c>
      <c r="AA5" s="17"/>
      <c r="AB5" s="17"/>
      <c r="AC5" s="22"/>
      <c r="AE5" s="97"/>
      <c r="AF5" s="96" t="s">
        <v>100</v>
      </c>
      <c r="AG5" s="17"/>
      <c r="AH5" s="17"/>
      <c r="AI5" s="22"/>
    </row>
    <row r="6" ht="30.0" customHeight="1">
      <c r="B6" s="98" t="b">
        <f>Bazaar!$B$1</f>
        <v>1</v>
      </c>
      <c r="D6" s="99" t="s">
        <v>101</v>
      </c>
      <c r="E6" s="17"/>
      <c r="F6" s="100" t="str">
        <f>IF($B$3,"Now Using API Values","Your Minions' Tiers
(Write here!)")</f>
        <v>Now Using API Values</v>
      </c>
      <c r="G6" s="18" t="s">
        <v>102</v>
      </c>
      <c r="H6" s="18" t="s">
        <v>103</v>
      </c>
      <c r="I6" s="18" t="s">
        <v>104</v>
      </c>
      <c r="J6" s="101" t="s">
        <v>105</v>
      </c>
      <c r="K6" s="19" t="s">
        <v>106</v>
      </c>
      <c r="L6" s="18" t="s">
        <v>107</v>
      </c>
      <c r="M6" s="19" t="s">
        <v>108</v>
      </c>
      <c r="N6" s="102" t="str">
        <f>IF($B$6,"Bazaar Avg. Material ","Material's NPC Buy ")&amp;"Price"</f>
        <v>Bazaar Avg. Material Price</v>
      </c>
      <c r="O6" s="83" t="str">
        <f>"Upgrade Cost
From "&amp;IF($B$6,"Bazaar","NPC*")</f>
        <v>Upgrade Cost
From Bazaar</v>
      </c>
      <c r="Q6" s="99" t="s">
        <v>101</v>
      </c>
      <c r="R6" s="17"/>
      <c r="S6" s="18" t="s">
        <v>109</v>
      </c>
      <c r="T6" s="18" t="s">
        <v>102</v>
      </c>
      <c r="U6" s="18" t="s">
        <v>110</v>
      </c>
      <c r="V6" s="18" t="s">
        <v>104</v>
      </c>
      <c r="W6" s="101" t="s">
        <v>105</v>
      </c>
      <c r="X6" s="19" t="s">
        <v>106</v>
      </c>
      <c r="Z6" s="99" t="s">
        <v>101</v>
      </c>
      <c r="AA6" s="17"/>
      <c r="AB6" s="18" t="s">
        <v>104</v>
      </c>
      <c r="AC6" s="19" t="str">
        <f>O6</f>
        <v>Upgrade Cost
From Bazaar</v>
      </c>
      <c r="AE6" s="103"/>
      <c r="AF6" s="99" t="s">
        <v>101</v>
      </c>
      <c r="AG6" s="17"/>
      <c r="AH6" s="18" t="s">
        <v>104</v>
      </c>
      <c r="AI6" s="19" t="s">
        <v>111</v>
      </c>
    </row>
    <row r="7">
      <c r="B7" s="80"/>
      <c r="D7" s="27" t="str">
        <f>IMAGE("https://i.imgur.com/BgAdmu2.png")</f>
        <v/>
      </c>
      <c r="E7" s="34" t="s">
        <v>29</v>
      </c>
      <c r="F7" s="104">
        <v>10.0</v>
      </c>
      <c r="G7" s="105">
        <v>0.25</v>
      </c>
      <c r="H7" s="104">
        <f>IF($B$3,'API Importer'!D20,IF(ISNUMBER(F7),F7,IFERROR(ARABIC(F7),0)))</f>
        <v>0</v>
      </c>
      <c r="I7" s="34" t="str">
        <f t="shared" ref="I7:I59" si="1">IFERROR(ROMAN(H7),"∅")</f>
        <v>∅</v>
      </c>
      <c r="J7" s="106" t="str">
        <f>IF(AND(H7&lt;11,H7&gt;0),"8 x "&amp;OFFSET('Minion Tiers'!$D$2,H7+1,0)&amp;" "&amp;OFFSET('Minion Tiers'!$D$2,H7+1,2),"")</f>
        <v/>
      </c>
      <c r="K7" s="107" t="str">
        <f>IF(AND(H7&lt;11,H7&gt;0),OFFSET('Minion Tiers'!$J$2,H7,0)/(1+G7),"")</f>
        <v/>
      </c>
      <c r="L7" s="108">
        <v>3.0</v>
      </c>
      <c r="M7" s="109">
        <f>IF(H7+1&lt;=4,Bazaar!J2,Bazaar!M2/160)</f>
        <v>4.1</v>
      </c>
      <c r="N7" s="109">
        <f t="shared" ref="N7:N59" si="2">IF(H7+1&lt;=11,IF($B$6,M7,L7),"")</f>
        <v>4.1</v>
      </c>
      <c r="O7" s="110">
        <f>IFERROR(IF(AND(N7*1&gt;0,H7&lt;11),OFFSET('Minion Tiers'!$G$2,H7+1,0)*N7,""),"")</f>
        <v>328</v>
      </c>
      <c r="Q7" s="27" t="str">
        <f t="array" ref="Q7:X60">SORT(
IF($Q$5="Fastest Upgrades",
D7:K60,
IF(O7:O60="",D7:K60,))
,8,TRUE)</f>
        <v/>
      </c>
      <c r="R7" s="111" t="s">
        <v>29</v>
      </c>
      <c r="S7" s="111">
        <v>10.0</v>
      </c>
      <c r="T7" s="112">
        <v>0.25</v>
      </c>
      <c r="U7" s="111">
        <v>0.0</v>
      </c>
      <c r="V7" s="111" t="s">
        <v>112</v>
      </c>
      <c r="W7" s="111" t="s">
        <v>113</v>
      </c>
      <c r="X7" s="113" t="s">
        <v>113</v>
      </c>
      <c r="Z7" s="114" t="str">
        <f t="array" ref="Z7:AC60">SORT(IF(O7:O60="",,{D7:E60,I7:I60,O7:O60}),4,TRUE)</f>
        <v/>
      </c>
      <c r="AA7" s="115" t="s">
        <v>42</v>
      </c>
      <c r="AB7" s="115" t="s">
        <v>112</v>
      </c>
      <c r="AC7" s="116">
        <v>112.512</v>
      </c>
      <c r="AE7" s="117" t="str">
        <f t="shared" ref="AE7:AE58" si="3">IFERROR(IF(O7/K7&gt;0,O7/K7,""),"")</f>
        <v/>
      </c>
      <c r="AF7" s="114" t="str">
        <f t="array" ref="AF7:AF58">SORT(IF(AE7:AE58="",,{D7:E58,I7:I58,AE7:AE58}),4,FALSE)</f>
        <v/>
      </c>
      <c r="AG7" s="115"/>
      <c r="AH7" s="115"/>
      <c r="AI7" s="116"/>
    </row>
    <row r="8">
      <c r="B8" s="80"/>
      <c r="D8" s="25" t="str">
        <f>IMAGE("https://i.imgur.com/3WtL9gW.png")</f>
        <v/>
      </c>
      <c r="E8" s="37" t="s">
        <v>30</v>
      </c>
      <c r="F8" s="118" t="s">
        <v>114</v>
      </c>
      <c r="G8" s="119">
        <v>0.25</v>
      </c>
      <c r="H8" s="118">
        <f>IF($B$3,'API Importer'!D21,IF(ISNUMBER(F8),F8,IFERROR(ARABIC(F8),0)))</f>
        <v>0</v>
      </c>
      <c r="I8" s="37" t="str">
        <f t="shared" si="1"/>
        <v>∅</v>
      </c>
      <c r="J8" s="120" t="str">
        <f>IF(AND(H8&lt;11,H8&gt;0),"8 x "&amp;OFFSET('Minion Tiers'!$D$15,H8+1,0)&amp;" "&amp;OFFSET('Minion Tiers'!$D$15,H8+1,2),"")</f>
        <v/>
      </c>
      <c r="K8" s="121" t="str">
        <f>IF(AND(H8&lt;11,H8&gt;0),OFFSET('Minion Tiers'!$J$15,H8,0)/(1+G8),"")</f>
        <v/>
      </c>
      <c r="L8" s="122">
        <v>50.0</v>
      </c>
      <c r="M8" s="123">
        <f>IF(H8+1&lt;=4,Bazaar!J3,Bazaar!M3/160)</f>
        <v>25.963</v>
      </c>
      <c r="N8" s="123">
        <f t="shared" si="2"/>
        <v>25.963</v>
      </c>
      <c r="O8" s="124">
        <f>IFERROR(IF(AND(N8*1&gt;0,H8&lt;11),OFFSET('Minion Tiers'!$G$15,H8+1,0)*N8,""),"")</f>
        <v>2077.04</v>
      </c>
      <c r="Q8" s="25"/>
      <c r="R8" s="125" t="s">
        <v>30</v>
      </c>
      <c r="S8" s="125" t="s">
        <v>114</v>
      </c>
      <c r="T8" s="126">
        <v>0.25</v>
      </c>
      <c r="U8" s="125">
        <v>0.0</v>
      </c>
      <c r="V8" s="125" t="s">
        <v>112</v>
      </c>
      <c r="W8" s="125" t="s">
        <v>113</v>
      </c>
      <c r="X8" s="127" t="s">
        <v>113</v>
      </c>
      <c r="Z8" s="128"/>
      <c r="AA8" s="129" t="s">
        <v>74</v>
      </c>
      <c r="AB8" s="129" t="s">
        <v>112</v>
      </c>
      <c r="AC8" s="130">
        <v>291.2</v>
      </c>
      <c r="AE8" s="131" t="str">
        <f t="shared" si="3"/>
        <v/>
      </c>
      <c r="AF8" s="128"/>
      <c r="AG8" s="129"/>
      <c r="AH8" s="129"/>
      <c r="AI8" s="130"/>
    </row>
    <row r="9">
      <c r="B9" s="80"/>
      <c r="D9" s="27" t="str">
        <f>IMAGE("https://i.imgur.com/Jv3RgGu.png")</f>
        <v/>
      </c>
      <c r="E9" s="34" t="s">
        <v>31</v>
      </c>
      <c r="F9" s="104" t="s">
        <v>114</v>
      </c>
      <c r="G9" s="105">
        <v>0.25</v>
      </c>
      <c r="H9" s="104">
        <f>IF($B$3,'API Importer'!D22,IF(ISNUMBER(F9),F9,IFERROR(ARABIC(F9),0)))</f>
        <v>0</v>
      </c>
      <c r="I9" s="34" t="str">
        <f t="shared" si="1"/>
        <v>∅</v>
      </c>
      <c r="J9" s="132" t="str">
        <f>IF(AND(H9&lt;11,H9&gt;0),"8 x "&amp;OFFSET('Minion Tiers'!$D$28,H9+1,0)&amp;" "&amp;OFFSET('Minion Tiers'!$D$28,H9+1,2),"")</f>
        <v/>
      </c>
      <c r="K9" s="133" t="str">
        <f>IF(AND(H9&lt;11,H9&gt;0),OFFSET('Minion Tiers'!$J$28,H9,0)/(1+G9),"")</f>
        <v/>
      </c>
      <c r="L9" s="108"/>
      <c r="M9" s="134">
        <f>IFS(H9+1&lt;=3,Bazaar!J4,H9+1&lt;=9,Bazaar!M4/160,1=1,Bazaar!P4/160/192)</f>
        <v>18.6</v>
      </c>
      <c r="N9" s="134">
        <f t="shared" si="2"/>
        <v>18.6</v>
      </c>
      <c r="O9" s="135">
        <f>IFERROR(IF(AND(N9*1&gt;0,H9&lt;11),OFFSET('Minion Tiers'!$G$28,H9+1,0)*N9,""),"")</f>
        <v>2380.8</v>
      </c>
      <c r="Q9" s="136"/>
      <c r="R9" s="111" t="s">
        <v>31</v>
      </c>
      <c r="S9" s="111" t="s">
        <v>114</v>
      </c>
      <c r="T9" s="112">
        <v>0.25</v>
      </c>
      <c r="U9" s="111">
        <v>0.0</v>
      </c>
      <c r="V9" s="111" t="s">
        <v>112</v>
      </c>
      <c r="W9" s="111" t="s">
        <v>113</v>
      </c>
      <c r="X9" s="113" t="s">
        <v>113</v>
      </c>
      <c r="Z9" s="137"/>
      <c r="AA9" s="138" t="s">
        <v>29</v>
      </c>
      <c r="AB9" s="138" t="s">
        <v>112</v>
      </c>
      <c r="AC9" s="139">
        <v>328.0</v>
      </c>
      <c r="AE9" s="140" t="str">
        <f t="shared" si="3"/>
        <v/>
      </c>
      <c r="AF9" s="137"/>
      <c r="AG9" s="138"/>
      <c r="AH9" s="138"/>
      <c r="AI9" s="139"/>
    </row>
    <row r="10">
      <c r="B10" s="80"/>
      <c r="D10" s="25" t="str">
        <f>IMAGE("https://i.imgur.com/JNPKomr.png")</f>
        <v/>
      </c>
      <c r="E10" s="37" t="s">
        <v>32</v>
      </c>
      <c r="F10" s="118" t="s">
        <v>114</v>
      </c>
      <c r="G10" s="119">
        <v>0.25</v>
      </c>
      <c r="H10" s="118">
        <f>IF($B$3,'API Importer'!D23,IF(ISNUMBER(F10),F10,IFERROR(ARABIC(F10),0)))</f>
        <v>0</v>
      </c>
      <c r="I10" s="37" t="str">
        <f t="shared" si="1"/>
        <v>∅</v>
      </c>
      <c r="J10" s="141" t="str">
        <f>IF(AND(H10&lt;11,H10&gt;0),"8 x "&amp;OFFSET('Minion Tiers'!$D$41,H10+1,0)&amp;" "&amp;OFFSET('Minion Tiers'!$D$41,H10+1,2),"")</f>
        <v/>
      </c>
      <c r="K10" s="121" t="str">
        <f>IF(AND(H10&lt;11,H10&gt;0),OFFSET('Minion Tiers'!$J$41,H10,0)/(1+G10),"")</f>
        <v/>
      </c>
      <c r="L10" s="122">
        <f>IF(H10+1&gt;4,60/10,65/15)</f>
        <v>4.333333333</v>
      </c>
      <c r="M10" s="123">
        <f>IF(H10+1&lt;=4,Bazaar!J5,Bazaar!M5/160)</f>
        <v>39.436</v>
      </c>
      <c r="N10" s="123">
        <f t="shared" si="2"/>
        <v>39.436</v>
      </c>
      <c r="O10" s="124">
        <f>IFERROR(IF(AND(N10*1&gt;0,H10&lt;11),OFFSET('Minion Tiers'!$G$41,H10+1,0)*N10,""),"")</f>
        <v>3154.88</v>
      </c>
      <c r="Q10" s="142"/>
      <c r="R10" s="125" t="s">
        <v>32</v>
      </c>
      <c r="S10" s="125" t="s">
        <v>114</v>
      </c>
      <c r="T10" s="126">
        <v>0.25</v>
      </c>
      <c r="U10" s="125">
        <v>0.0</v>
      </c>
      <c r="V10" s="125" t="s">
        <v>112</v>
      </c>
      <c r="W10" s="125" t="s">
        <v>113</v>
      </c>
      <c r="X10" s="127" t="s">
        <v>113</v>
      </c>
      <c r="Z10" s="128"/>
      <c r="AA10" s="129" t="s">
        <v>115</v>
      </c>
      <c r="AB10" s="129" t="s">
        <v>112</v>
      </c>
      <c r="AC10" s="130">
        <v>336.0</v>
      </c>
      <c r="AE10" s="131" t="str">
        <f t="shared" si="3"/>
        <v/>
      </c>
      <c r="AF10" s="128"/>
      <c r="AG10" s="129"/>
      <c r="AH10" s="129"/>
      <c r="AI10" s="130"/>
    </row>
    <row r="11">
      <c r="B11" s="80"/>
      <c r="D11" s="27" t="str">
        <f>IMAGE("https://i.imgur.com/XfWK5On.png")</f>
        <v/>
      </c>
      <c r="E11" s="34" t="s">
        <v>33</v>
      </c>
      <c r="F11" s="104" t="s">
        <v>114</v>
      </c>
      <c r="G11" s="105">
        <v>0.25</v>
      </c>
      <c r="H11" s="104">
        <f>IF($B$3,'API Importer'!D24,IF(ISNUMBER(F11),F11,IFERROR(ARABIC(F11),0)))</f>
        <v>0</v>
      </c>
      <c r="I11" s="34" t="str">
        <f t="shared" si="1"/>
        <v>∅</v>
      </c>
      <c r="J11" s="132" t="str">
        <f>IF(AND(H11&lt;11,H11&gt;0),"8 x "&amp;OFFSET('Minion Tiers'!$D$54,H11+1,0)&amp;" "&amp;OFFSET('Minion Tiers'!$D$54,H11+1,2),"")</f>
        <v/>
      </c>
      <c r="K11" s="133" t="str">
        <f>IF(AND(H11&lt;11,H11&gt;0),OFFSET('Minion Tiers'!$J$54,H11,0)/(1+G11),"")</f>
        <v/>
      </c>
      <c r="L11" s="108">
        <v>4.0</v>
      </c>
      <c r="M11" s="134">
        <f>IF(H11+1&lt;=4,Bazaar!J6,Bazaar!M6/160)</f>
        <v>23.745</v>
      </c>
      <c r="N11" s="134">
        <f t="shared" si="2"/>
        <v>23.745</v>
      </c>
      <c r="O11" s="135">
        <f>IFERROR(IF(AND(N11*1&gt;0,H11&lt;11),OFFSET('Minion Tiers'!$G$54,H11+1,0)*N11,""),"")</f>
        <v>1899.6</v>
      </c>
      <c r="Q11" s="136"/>
      <c r="R11" s="111" t="s">
        <v>33</v>
      </c>
      <c r="S11" s="111" t="s">
        <v>114</v>
      </c>
      <c r="T11" s="112">
        <v>0.25</v>
      </c>
      <c r="U11" s="111">
        <v>0.0</v>
      </c>
      <c r="V11" s="111" t="s">
        <v>112</v>
      </c>
      <c r="W11" s="111" t="s">
        <v>113</v>
      </c>
      <c r="X11" s="113" t="s">
        <v>113</v>
      </c>
      <c r="Z11" s="137"/>
      <c r="AA11" s="138" t="s">
        <v>35</v>
      </c>
      <c r="AB11" s="138" t="s">
        <v>112</v>
      </c>
      <c r="AC11" s="139">
        <v>341.2</v>
      </c>
      <c r="AE11" s="140" t="str">
        <f t="shared" si="3"/>
        <v/>
      </c>
      <c r="AF11" s="137"/>
      <c r="AG11" s="138"/>
      <c r="AH11" s="138"/>
      <c r="AI11" s="139"/>
    </row>
    <row r="12">
      <c r="B12" s="80"/>
      <c r="D12" s="25" t="str">
        <f>IMAGE("https://i.imgur.com/JwJzMTY.png")</f>
        <v/>
      </c>
      <c r="E12" s="37" t="s">
        <v>34</v>
      </c>
      <c r="F12" s="118" t="s">
        <v>114</v>
      </c>
      <c r="G12" s="119">
        <v>0.25</v>
      </c>
      <c r="H12" s="118">
        <f>IF($B$3,'API Importer'!D25,IF(ISNUMBER(F12),F12,IFERROR(ARABIC(F12),0)))</f>
        <v>0</v>
      </c>
      <c r="I12" s="37" t="str">
        <f t="shared" si="1"/>
        <v>∅</v>
      </c>
      <c r="J12" s="141" t="str">
        <f>IF(AND(H12&lt;11,H12&gt;0),"8 x "&amp;OFFSET('Minion Tiers'!$D$67,H12+1,0)&amp;" "&amp;OFFSET('Minion Tiers'!$D$67,H12+1,2),"")</f>
        <v/>
      </c>
      <c r="K12" s="121" t="str">
        <f>IF(AND(H12&lt;11,H12&gt;0),OFFSET('Minion Tiers'!$J$67,H12,0)/(1+G12),"")</f>
        <v/>
      </c>
      <c r="L12" s="122"/>
      <c r="M12" s="123">
        <f>IF(H12+1&lt;=4,Bazaar!J7,Bazaar!M7/160)</f>
        <v>29.1</v>
      </c>
      <c r="N12" s="123">
        <f t="shared" si="2"/>
        <v>29.1</v>
      </c>
      <c r="O12" s="124">
        <f>IFERROR(IF(AND(N12*1&gt;0,H12&lt;11),OFFSET('Minion Tiers'!$G$67,H12+1,0)*N12,""),"")</f>
        <v>2328</v>
      </c>
      <c r="Q12" s="142"/>
      <c r="R12" s="125" t="s">
        <v>34</v>
      </c>
      <c r="S12" s="125" t="s">
        <v>114</v>
      </c>
      <c r="T12" s="126">
        <v>0.25</v>
      </c>
      <c r="U12" s="125">
        <v>0.0</v>
      </c>
      <c r="V12" s="125" t="s">
        <v>112</v>
      </c>
      <c r="W12" s="125" t="s">
        <v>113</v>
      </c>
      <c r="X12" s="127" t="s">
        <v>113</v>
      </c>
      <c r="Z12" s="128"/>
      <c r="AA12" s="129" t="s">
        <v>50</v>
      </c>
      <c r="AB12" s="129" t="s">
        <v>112</v>
      </c>
      <c r="AC12" s="130">
        <v>346.752</v>
      </c>
      <c r="AE12" s="131" t="str">
        <f t="shared" si="3"/>
        <v/>
      </c>
      <c r="AF12" s="128"/>
      <c r="AG12" s="129"/>
      <c r="AH12" s="129"/>
      <c r="AI12" s="130"/>
    </row>
    <row r="13">
      <c r="B13" s="80"/>
      <c r="D13" s="27" t="str">
        <f>IMAGE("https://i.imgur.com/tzoPJ2b.png")</f>
        <v/>
      </c>
      <c r="E13" s="34" t="s">
        <v>35</v>
      </c>
      <c r="F13" s="104" t="s">
        <v>114</v>
      </c>
      <c r="G13" s="105">
        <v>0.25</v>
      </c>
      <c r="H13" s="104">
        <f>IF($B$3,'API Importer'!D26,IF(ISNUMBER(F13),F13,IFERROR(ARABIC(F13),0)))</f>
        <v>0</v>
      </c>
      <c r="I13" s="34" t="str">
        <f t="shared" si="1"/>
        <v>∅</v>
      </c>
      <c r="J13" s="132" t="str">
        <f>IF(AND(H13&lt;11,H13&gt;0),"8 x "&amp;OFFSET('Minion Tiers'!$D$80,H13+1,0)&amp;" "&amp;OFFSET('Minion Tiers'!$D$80,H13+1,2),"")</f>
        <v/>
      </c>
      <c r="K13" s="133" t="str">
        <f>IF(AND(H13&lt;11,H13&gt;0),OFFSET('Minion Tiers'!$J$80,H13,0)/(1+G13),"")</f>
        <v/>
      </c>
      <c r="L13" s="108">
        <v>1.0</v>
      </c>
      <c r="M13" s="134">
        <f>IFS(H13+1&lt;=4,Bazaar!J8,H13+1&lt;=7,Bazaar!M8/9,1=1,Bazaar!P8/160)</f>
        <v>4.265</v>
      </c>
      <c r="N13" s="134">
        <f t="shared" si="2"/>
        <v>4.265</v>
      </c>
      <c r="O13" s="135">
        <f>IFERROR(IF(AND(N13*1&gt;0,H13&lt;11),OFFSET('Minion Tiers'!$G$80,H13+1,0)*N13,""),"")</f>
        <v>341.2</v>
      </c>
      <c r="Q13" s="136"/>
      <c r="R13" s="111" t="s">
        <v>35</v>
      </c>
      <c r="S13" s="111" t="s">
        <v>114</v>
      </c>
      <c r="T13" s="112">
        <v>0.25</v>
      </c>
      <c r="U13" s="111">
        <v>0.0</v>
      </c>
      <c r="V13" s="111" t="s">
        <v>112</v>
      </c>
      <c r="W13" s="111" t="s">
        <v>113</v>
      </c>
      <c r="X13" s="113" t="s">
        <v>113</v>
      </c>
      <c r="Z13" s="137"/>
      <c r="AA13" s="138" t="s">
        <v>63</v>
      </c>
      <c r="AB13" s="138" t="s">
        <v>112</v>
      </c>
      <c r="AC13" s="139">
        <v>352.0</v>
      </c>
      <c r="AE13" s="140" t="str">
        <f t="shared" si="3"/>
        <v/>
      </c>
      <c r="AF13" s="137"/>
      <c r="AG13" s="138"/>
      <c r="AH13" s="138"/>
      <c r="AI13" s="139"/>
    </row>
    <row r="14">
      <c r="B14" s="80"/>
      <c r="D14" s="25" t="str">
        <f>IMAGE("https://i.imgur.com/l09ZBes.png")</f>
        <v/>
      </c>
      <c r="E14" s="37" t="s">
        <v>36</v>
      </c>
      <c r="F14" s="118" t="s">
        <v>114</v>
      </c>
      <c r="G14" s="119">
        <v>0.25</v>
      </c>
      <c r="H14" s="118">
        <f>IF($B$3,'API Importer'!D27,IF(ISNUMBER(F14),F14,IFERROR(ARABIC(F14),0)))</f>
        <v>0</v>
      </c>
      <c r="I14" s="37" t="str">
        <f t="shared" si="1"/>
        <v>∅</v>
      </c>
      <c r="J14" s="125" t="str">
        <f>IF(AND(H14&lt;11,H14&gt;0),"8 x "&amp;OFFSET('Minion Tiers'!$D$93,H14+1,0)&amp;" "&amp;OFFSET('Minion Tiers'!$D$93,H14+1,2),"")</f>
        <v/>
      </c>
      <c r="K14" s="121" t="str">
        <f>IF(AND(H14&lt;11,H14&gt;0),OFFSET('Minion Tiers'!$J$93,H14,0)/(1+G14),"")</f>
        <v/>
      </c>
      <c r="L14" s="122"/>
      <c r="M14" s="123">
        <f>IF(H14+1&lt;=6,Bazaar!M9/4,Bazaar!P9/160/4)</f>
        <v>1.7855</v>
      </c>
      <c r="N14" s="123">
        <f t="shared" si="2"/>
        <v>1.7855</v>
      </c>
      <c r="O14" s="124" t="str">
        <f>IFERROR(IF(AND(N14*1&gt;0,H14&lt;11),OFFSET('Minion Tiers'!$G$93,H14+1,0)*N14,""),"")</f>
        <v/>
      </c>
      <c r="Q14" s="142"/>
      <c r="R14" s="125" t="s">
        <v>36</v>
      </c>
      <c r="S14" s="125" t="s">
        <v>114</v>
      </c>
      <c r="T14" s="126">
        <v>0.25</v>
      </c>
      <c r="U14" s="125">
        <v>0.0</v>
      </c>
      <c r="V14" s="125" t="s">
        <v>112</v>
      </c>
      <c r="W14" s="125" t="s">
        <v>113</v>
      </c>
      <c r="X14" s="127" t="s">
        <v>113</v>
      </c>
      <c r="Z14" s="128"/>
      <c r="AA14" s="129" t="s">
        <v>37</v>
      </c>
      <c r="AB14" s="129" t="s">
        <v>112</v>
      </c>
      <c r="AC14" s="130">
        <v>376.0</v>
      </c>
      <c r="AE14" s="131" t="str">
        <f t="shared" si="3"/>
        <v/>
      </c>
      <c r="AF14" s="128"/>
      <c r="AG14" s="129"/>
      <c r="AH14" s="129"/>
      <c r="AI14" s="130"/>
    </row>
    <row r="15">
      <c r="B15" s="80"/>
      <c r="D15" s="27" t="str">
        <f>IMAGE("https://i.imgur.com/orvpBD2.png")</f>
        <v/>
      </c>
      <c r="E15" s="34" t="s">
        <v>37</v>
      </c>
      <c r="F15" s="104" t="s">
        <v>114</v>
      </c>
      <c r="G15" s="105">
        <v>0.25</v>
      </c>
      <c r="H15" s="104">
        <f>IF($B$3,'API Importer'!D28,IF(ISNUMBER(F15),F15,IFERROR(ARABIC(F15),0)))</f>
        <v>0</v>
      </c>
      <c r="I15" s="34" t="str">
        <f t="shared" si="1"/>
        <v>∅</v>
      </c>
      <c r="J15" s="111" t="str">
        <f>IF(AND(H15&lt;11,H15&gt;0),"8 x "&amp;OFFSET('Minion Tiers'!$D$106,H15+1,0)&amp;" "&amp;OFFSET('Minion Tiers'!$D$106,H15+1,2),"")</f>
        <v/>
      </c>
      <c r="K15" s="133" t="str">
        <f>IF(AND(H15&lt;11,H15&gt;0),OFFSET('Minion Tiers'!$J$106,H15,0)/(1+G15),"")</f>
        <v/>
      </c>
      <c r="L15" s="108">
        <v>4.0</v>
      </c>
      <c r="M15" s="134">
        <f>IFS(H15+1&lt;=4,Bazaar!J10,H15+1&lt;=10,Bazaar!M10/160,1=1,Bazaar!P10/160/160)</f>
        <v>4.7</v>
      </c>
      <c r="N15" s="134">
        <f t="shared" si="2"/>
        <v>4.7</v>
      </c>
      <c r="O15" s="135">
        <f>IFERROR(IF(AND(N15*1&gt;0,H15&lt;11),OFFSET('Minion Tiers'!$G$106,H15+1,0)*N15,""),"")</f>
        <v>376</v>
      </c>
      <c r="Q15" s="136"/>
      <c r="R15" s="111" t="s">
        <v>37</v>
      </c>
      <c r="S15" s="111" t="s">
        <v>114</v>
      </c>
      <c r="T15" s="112">
        <v>0.25</v>
      </c>
      <c r="U15" s="111">
        <v>0.0</v>
      </c>
      <c r="V15" s="111" t="s">
        <v>112</v>
      </c>
      <c r="W15" s="111" t="s">
        <v>113</v>
      </c>
      <c r="X15" s="113" t="s">
        <v>113</v>
      </c>
      <c r="Z15" s="137"/>
      <c r="AA15" s="138" t="s">
        <v>39</v>
      </c>
      <c r="AB15" s="138" t="s">
        <v>112</v>
      </c>
      <c r="AC15" s="139">
        <v>376.32</v>
      </c>
      <c r="AE15" s="140" t="str">
        <f t="shared" si="3"/>
        <v/>
      </c>
      <c r="AF15" s="137"/>
      <c r="AG15" s="138"/>
      <c r="AH15" s="138"/>
      <c r="AI15" s="139"/>
    </row>
    <row r="16">
      <c r="B16" s="80"/>
      <c r="D16" s="25" t="str">
        <f>IMAGE("https://i.imgur.com/GdyUTKe.png")</f>
        <v/>
      </c>
      <c r="E16" s="37" t="s">
        <v>38</v>
      </c>
      <c r="F16" s="118" t="s">
        <v>114</v>
      </c>
      <c r="G16" s="119">
        <v>0.25</v>
      </c>
      <c r="H16" s="118">
        <f>IF($B$3,'API Importer'!D29,IF(ISNUMBER(F16),F16,IFERROR(ARABIC(F16),0)))</f>
        <v>0</v>
      </c>
      <c r="I16" s="37" t="str">
        <f t="shared" si="1"/>
        <v>∅</v>
      </c>
      <c r="J16" s="125" t="str">
        <f>IF(AND(H16&lt;11,H16&gt;0),"8 x "&amp;OFFSET('Minion Tiers'!$D$119,H16+1,0)&amp;" "&amp;OFFSET('Minion Tiers'!$D$119,H16+1,2),"")</f>
        <v/>
      </c>
      <c r="K16" s="121" t="str">
        <f>IF(AND(H16&lt;11,H16&gt;0),OFFSET('Minion Tiers'!$J$119,H16,0)/(1+G16),"")</f>
        <v/>
      </c>
      <c r="L16" s="122">
        <v>5.0</v>
      </c>
      <c r="M16" s="123">
        <f>IFS(H16+1&lt;=4,Bazaar!J11,H16+1&lt;=10,Bazaar!M11/160,1=1,Bazaar!P11/160/160)</f>
        <v>10.049</v>
      </c>
      <c r="N16" s="123">
        <f t="shared" si="2"/>
        <v>10.049</v>
      </c>
      <c r="O16" s="124">
        <f>IFERROR(IF(AND(N16*1&gt;0,H16&lt;11),OFFSET('Minion Tiers'!$G$119,H16+1,0)*N16,""),"")</f>
        <v>803.92</v>
      </c>
      <c r="Q16" s="142"/>
      <c r="R16" s="125" t="s">
        <v>38</v>
      </c>
      <c r="S16" s="125" t="s">
        <v>114</v>
      </c>
      <c r="T16" s="126">
        <v>0.25</v>
      </c>
      <c r="U16" s="125">
        <v>0.0</v>
      </c>
      <c r="V16" s="125" t="s">
        <v>112</v>
      </c>
      <c r="W16" s="125" t="s">
        <v>113</v>
      </c>
      <c r="X16" s="127" t="s">
        <v>113</v>
      </c>
      <c r="Z16" s="128"/>
      <c r="AA16" s="129" t="s">
        <v>47</v>
      </c>
      <c r="AB16" s="129" t="s">
        <v>112</v>
      </c>
      <c r="AC16" s="130">
        <v>399.91999999999996</v>
      </c>
      <c r="AE16" s="131" t="str">
        <f t="shared" si="3"/>
        <v/>
      </c>
      <c r="AF16" s="128"/>
      <c r="AG16" s="129"/>
      <c r="AH16" s="129"/>
      <c r="AI16" s="130"/>
    </row>
    <row r="17">
      <c r="B17" s="80"/>
      <c r="D17" s="27" t="str">
        <f>IMAGE("http://i.imgur.com/WXcJBgM.png")</f>
        <v/>
      </c>
      <c r="E17" s="34" t="s">
        <v>39</v>
      </c>
      <c r="F17" s="104" t="s">
        <v>114</v>
      </c>
      <c r="G17" s="105">
        <v>0.25</v>
      </c>
      <c r="H17" s="104">
        <f>IF($B$3,'API Importer'!D30,IF(ISNUMBER(F17),F17,IFERROR(ARABIC(F17),0)))</f>
        <v>0</v>
      </c>
      <c r="I17" s="34" t="str">
        <f t="shared" si="1"/>
        <v>∅</v>
      </c>
      <c r="J17" s="111" t="str">
        <f>IF(AND(H17&lt;11,H17&gt;0),"8 x "&amp;OFFSET('Minion Tiers'!$D$132,H17+1,0)&amp;" "&amp;OFFSET('Minion Tiers'!$D$132,H17+1,2),"")</f>
        <v/>
      </c>
      <c r="K17" s="113" t="str">
        <f>IF(AND(H17&lt;11,H17&gt;0),OFFSET('Minion Tiers'!$J$132,H17,0)/(1+G17),"")</f>
        <v/>
      </c>
      <c r="L17" s="108">
        <v>5.5</v>
      </c>
      <c r="M17" s="143">
        <f>IFS(H17+1&lt;=4,Bazaar!J12,H17+1&lt;=10,Bazaar!M12/160,1=1,Bazaar!P12/160/160)</f>
        <v>4.704</v>
      </c>
      <c r="N17" s="143">
        <f t="shared" si="2"/>
        <v>4.704</v>
      </c>
      <c r="O17" s="144">
        <f>IFERROR(IF(AND(N17*1&gt;0,H17&lt;11),OFFSET('Minion Tiers'!$G$132,H17+1,0)*N17,""),"")</f>
        <v>376.32</v>
      </c>
      <c r="Q17" s="136"/>
      <c r="R17" s="111" t="s">
        <v>39</v>
      </c>
      <c r="S17" s="111" t="s">
        <v>114</v>
      </c>
      <c r="T17" s="112">
        <v>0.25</v>
      </c>
      <c r="U17" s="111">
        <v>0.0</v>
      </c>
      <c r="V17" s="111" t="s">
        <v>112</v>
      </c>
      <c r="W17" s="111" t="s">
        <v>113</v>
      </c>
      <c r="X17" s="113" t="s">
        <v>113</v>
      </c>
      <c r="Z17" s="137"/>
      <c r="AA17" s="138" t="s">
        <v>55</v>
      </c>
      <c r="AB17" s="138" t="s">
        <v>112</v>
      </c>
      <c r="AC17" s="139">
        <v>441.6</v>
      </c>
      <c r="AE17" s="140" t="str">
        <f t="shared" si="3"/>
        <v/>
      </c>
      <c r="AF17" s="137"/>
      <c r="AG17" s="138"/>
      <c r="AH17" s="138"/>
      <c r="AI17" s="139"/>
    </row>
    <row r="18">
      <c r="B18" s="80"/>
      <c r="D18" s="25" t="str">
        <f>IMAGE("http://i.imgur.com/jVEyRlq.png")</f>
        <v/>
      </c>
      <c r="E18" s="37" t="s">
        <v>40</v>
      </c>
      <c r="F18" s="118" t="s">
        <v>114</v>
      </c>
      <c r="G18" s="119">
        <v>0.25</v>
      </c>
      <c r="H18" s="118">
        <f>IF($B$3,'API Importer'!D31,IF(ISNUMBER(F18),F18,IFERROR(ARABIC(F18),0)))</f>
        <v>0</v>
      </c>
      <c r="I18" s="37" t="str">
        <f t="shared" si="1"/>
        <v>∅</v>
      </c>
      <c r="J18" s="125" t="str">
        <f>IF(AND(H18&lt;11,H18&gt;0),"8 x "&amp;OFFSET('Minion Tiers'!$D$145,H18+1,0)&amp;" "&amp;OFFSET('Minion Tiers'!$D$145,H18+1,2),"")</f>
        <v/>
      </c>
      <c r="K18" s="121" t="str">
        <f>IF(AND(H18&lt;11,H18&gt;0),OFFSET('Minion Tiers'!$J$145,H18,0)/(1+G18),"")</f>
        <v/>
      </c>
      <c r="L18" s="122"/>
      <c r="M18" s="123">
        <f>IFS(H18+1&lt;=4,Bazaar!J13,H18+1&lt;=10,Bazaar!M13/160,1=1,Bazaar!P13/160/160)</f>
        <v>8.008</v>
      </c>
      <c r="N18" s="123">
        <f t="shared" si="2"/>
        <v>8.008</v>
      </c>
      <c r="O18" s="124">
        <f>IFERROR(IF(AND(N18*1&gt;0,H18&lt;11),OFFSET('Minion Tiers'!$G$145,H18+1,0)*N18,""),"")</f>
        <v>640.64</v>
      </c>
      <c r="Q18" s="142"/>
      <c r="R18" s="125" t="s">
        <v>40</v>
      </c>
      <c r="S18" s="125" t="s">
        <v>114</v>
      </c>
      <c r="T18" s="126">
        <v>0.25</v>
      </c>
      <c r="U18" s="125">
        <v>0.0</v>
      </c>
      <c r="V18" s="125" t="s">
        <v>112</v>
      </c>
      <c r="W18" s="125" t="s">
        <v>113</v>
      </c>
      <c r="X18" s="127" t="s">
        <v>113</v>
      </c>
      <c r="Z18" s="128"/>
      <c r="AA18" s="129" t="s">
        <v>61</v>
      </c>
      <c r="AB18" s="129" t="s">
        <v>112</v>
      </c>
      <c r="AC18" s="130">
        <v>468.8</v>
      </c>
      <c r="AE18" s="131" t="str">
        <f t="shared" si="3"/>
        <v/>
      </c>
      <c r="AF18" s="128"/>
      <c r="AG18" s="129"/>
      <c r="AH18" s="129"/>
      <c r="AI18" s="130"/>
    </row>
    <row r="19">
      <c r="B19" s="80"/>
      <c r="D19" s="27" t="str">
        <f>IMAGE("http://i.imgur.com/vmpiX8n.png")</f>
        <v/>
      </c>
      <c r="E19" s="34" t="s">
        <v>41</v>
      </c>
      <c r="F19" s="104" t="s">
        <v>114</v>
      </c>
      <c r="G19" s="105">
        <v>0.25</v>
      </c>
      <c r="H19" s="104">
        <f>IF($B$3,'API Importer'!D32,IF(ISNUMBER(F19),F19,IFERROR(ARABIC(F19),0)))</f>
        <v>0</v>
      </c>
      <c r="I19" s="34" t="str">
        <f t="shared" si="1"/>
        <v>∅</v>
      </c>
      <c r="J19" s="111" t="str">
        <f>IF(AND(H19&lt;11,H19&gt;0),"8 x "&amp;OFFSET('Minion Tiers'!$D$158,H19+1,0)&amp;" "&amp;OFFSET('Minion Tiers'!$D$158,H19+1,2),"")</f>
        <v/>
      </c>
      <c r="K19" s="133" t="str">
        <f>IF(AND(H19&lt;11,H19&gt;0),OFFSET('Minion Tiers'!$J$158,H19,0)/(1+G19),"")</f>
        <v/>
      </c>
      <c r="L19" s="108"/>
      <c r="M19" s="134">
        <f>IFS(H19+1&lt;=2,Bazaar!J14,H19+1&lt;=8,Bazaar!M14/160,1=1,Bazaar!P14/160/160)</f>
        <v>4.3</v>
      </c>
      <c r="N19" s="134">
        <f t="shared" si="2"/>
        <v>4.3</v>
      </c>
      <c r="O19" s="135">
        <f>IFERROR(IF(AND(N19*1&gt;0,H19&lt;11),OFFSET('Minion Tiers'!$G$158,H19+1,0)*N19,""),"")</f>
        <v>1100.8</v>
      </c>
      <c r="Q19" s="136"/>
      <c r="R19" s="111" t="s">
        <v>41</v>
      </c>
      <c r="S19" s="111" t="s">
        <v>114</v>
      </c>
      <c r="T19" s="112">
        <v>0.25</v>
      </c>
      <c r="U19" s="111">
        <v>0.0</v>
      </c>
      <c r="V19" s="111" t="s">
        <v>112</v>
      </c>
      <c r="W19" s="111" t="s">
        <v>113</v>
      </c>
      <c r="X19" s="113" t="s">
        <v>113</v>
      </c>
      <c r="Z19" s="137"/>
      <c r="AA19" s="138" t="s">
        <v>116</v>
      </c>
      <c r="AB19" s="138" t="s">
        <v>112</v>
      </c>
      <c r="AC19" s="139">
        <v>481.44</v>
      </c>
      <c r="AE19" s="140" t="str">
        <f t="shared" si="3"/>
        <v/>
      </c>
      <c r="AF19" s="137"/>
      <c r="AG19" s="138"/>
      <c r="AH19" s="138"/>
      <c r="AI19" s="139"/>
    </row>
    <row r="20">
      <c r="B20" s="80"/>
      <c r="D20" s="25" t="str">
        <f>IMAGE("https://i.imgur.com/EHY5ztH.png")</f>
        <v/>
      </c>
      <c r="E20" s="37" t="s">
        <v>42</v>
      </c>
      <c r="F20" s="118" t="s">
        <v>114</v>
      </c>
      <c r="G20" s="119">
        <v>0.25</v>
      </c>
      <c r="H20" s="118">
        <f>IF($B$3,'API Importer'!D33,IF(ISNUMBER(F20),F20,IFERROR(ARABIC(F20),0)))</f>
        <v>0</v>
      </c>
      <c r="I20" s="37" t="str">
        <f t="shared" si="1"/>
        <v>∅</v>
      </c>
      <c r="J20" s="125" t="str">
        <f>IF(AND(H20&lt;11,H20&gt;0),"8 x "&amp;OFFSET('Minion Tiers'!$D$171,H20+1,0)&amp;" "&amp;OFFSET('Minion Tiers'!$D$171,H20+1,2),"")</f>
        <v/>
      </c>
      <c r="K20" s="121" t="str">
        <f>IF(AND(H20&lt;11,H20&gt;0),OFFSET('Minion Tiers'!$J$171,H20,0)/(1+G20),"")</f>
        <v/>
      </c>
      <c r="L20" s="122"/>
      <c r="M20" s="123">
        <f>IFS(H20+1&lt;=3,Bazaar!J15,H20+1&lt;=9,Bazaar!M15/160,1=1,Bazaar!P15/160/160)</f>
        <v>0.879</v>
      </c>
      <c r="N20" s="123">
        <f t="shared" si="2"/>
        <v>0.879</v>
      </c>
      <c r="O20" s="124">
        <f>IFERROR(IF(AND(N20*1&gt;0,H20&lt;11),OFFSET('Minion Tiers'!$G$171,H20+1,0)*N20,""),"")</f>
        <v>112.512</v>
      </c>
      <c r="Q20" s="142"/>
      <c r="R20" s="125" t="s">
        <v>42</v>
      </c>
      <c r="S20" s="125" t="s">
        <v>114</v>
      </c>
      <c r="T20" s="126">
        <v>0.25</v>
      </c>
      <c r="U20" s="125">
        <v>0.0</v>
      </c>
      <c r="V20" s="125" t="s">
        <v>112</v>
      </c>
      <c r="W20" s="125" t="s">
        <v>113</v>
      </c>
      <c r="X20" s="127" t="s">
        <v>113</v>
      </c>
      <c r="Z20" s="128"/>
      <c r="AA20" s="129" t="s">
        <v>43</v>
      </c>
      <c r="AB20" s="129" t="s">
        <v>112</v>
      </c>
      <c r="AC20" s="130">
        <v>498.32</v>
      </c>
      <c r="AE20" s="131" t="str">
        <f t="shared" si="3"/>
        <v/>
      </c>
      <c r="AF20" s="128"/>
      <c r="AG20" s="129"/>
      <c r="AH20" s="129"/>
      <c r="AI20" s="130"/>
    </row>
    <row r="21">
      <c r="B21" s="80"/>
      <c r="D21" s="27" t="str">
        <f>IMAGE("https://i.imgur.com/bwYoY03.png")</f>
        <v/>
      </c>
      <c r="E21" s="34" t="s">
        <v>43</v>
      </c>
      <c r="F21" s="104" t="s">
        <v>114</v>
      </c>
      <c r="G21" s="105">
        <v>0.25</v>
      </c>
      <c r="H21" s="104">
        <f>IF($B$3,'API Importer'!D34,IF(ISNUMBER(F21),F21,IFERROR(ARABIC(F21),0)))</f>
        <v>0</v>
      </c>
      <c r="I21" s="34" t="str">
        <f t="shared" si="1"/>
        <v>∅</v>
      </c>
      <c r="J21" s="111" t="str">
        <f>IF(AND(H21&lt;11,H21&gt;0),"8 x "&amp;OFFSET('Minion Tiers'!$D$184,H21+1,0)&amp;" "&amp;OFFSET('Minion Tiers'!$D$184,H21+1,2),"")</f>
        <v/>
      </c>
      <c r="K21" s="133" t="str">
        <f>IF(AND(H21&lt;11,H21&gt;0),OFFSET('Minion Tiers'!$J$184,H21,0)/(1+G21),"")</f>
        <v/>
      </c>
      <c r="L21" s="108"/>
      <c r="M21" s="134">
        <f>IFS(H21+1&lt;=4,Bazaar!J16,H21+1&lt;=10,Bazaar!M16/160,1=1,Bazaar!P16/160/160)</f>
        <v>6.229</v>
      </c>
      <c r="N21" s="134">
        <f t="shared" si="2"/>
        <v>6.229</v>
      </c>
      <c r="O21" s="135">
        <f>IFERROR(IF(AND(N21*1&gt;0,H21&lt;11),OFFSET('Minion Tiers'!$G$184,H21+1,0)*N21,""),"")</f>
        <v>498.32</v>
      </c>
      <c r="Q21" s="136"/>
      <c r="R21" s="111" t="s">
        <v>43</v>
      </c>
      <c r="S21" s="111" t="s">
        <v>114</v>
      </c>
      <c r="T21" s="112">
        <v>0.25</v>
      </c>
      <c r="U21" s="111">
        <v>0.0</v>
      </c>
      <c r="V21" s="111" t="s">
        <v>112</v>
      </c>
      <c r="W21" s="111" t="s">
        <v>113</v>
      </c>
      <c r="X21" s="113" t="s">
        <v>113</v>
      </c>
      <c r="Z21" s="137"/>
      <c r="AA21" s="138" t="s">
        <v>82</v>
      </c>
      <c r="AB21" s="138" t="s">
        <v>112</v>
      </c>
      <c r="AC21" s="139">
        <v>566.24</v>
      </c>
      <c r="AE21" s="140" t="str">
        <f t="shared" si="3"/>
        <v/>
      </c>
      <c r="AF21" s="137"/>
      <c r="AG21" s="138"/>
      <c r="AH21" s="138"/>
      <c r="AI21" s="139"/>
    </row>
    <row r="22">
      <c r="B22" s="80"/>
      <c r="D22" s="25" t="str">
        <f>IMAGE("https://i.imgur.com/QabNgE7.png")</f>
        <v/>
      </c>
      <c r="E22" s="37" t="s">
        <v>44</v>
      </c>
      <c r="F22" s="118" t="s">
        <v>114</v>
      </c>
      <c r="G22" s="119">
        <v>0.25</v>
      </c>
      <c r="H22" s="118">
        <f>IF($B$3,'API Importer'!D35,IF(ISNUMBER(F22),F22,IFERROR(ARABIC(F22),0)))</f>
        <v>0</v>
      </c>
      <c r="I22" s="37" t="str">
        <f t="shared" si="1"/>
        <v>∅</v>
      </c>
      <c r="J22" s="125" t="str">
        <f>IF(AND(H22&lt;11,H22&gt;0),"8 x "&amp;OFFSET('Minion Tiers'!$D$197,H22+1,0)&amp;" "&amp;OFFSET('Minion Tiers'!$D$197,H22+1,2),"")</f>
        <v/>
      </c>
      <c r="K22" s="121" t="str">
        <f>IF(AND(H22&lt;11,H22&gt;0),OFFSET('Minion Tiers'!$J$197,H22,0)/(1+G22),"")</f>
        <v/>
      </c>
      <c r="L22" s="122">
        <f>IF(AND(H22+1&gt;4,H22+1&lt;=11),32/4,0)</f>
        <v>0</v>
      </c>
      <c r="M22" s="123">
        <f>IFS(H22+1&lt;=4,Bazaar!J17,H22+1&lt;=10,Bazaar!M17/160,1=1,Bazaar!P17/160/160)</f>
        <v>29.501</v>
      </c>
      <c r="N22" s="123">
        <f t="shared" si="2"/>
        <v>29.501</v>
      </c>
      <c r="O22" s="124">
        <f>IFERROR(IF(AND(N22*1&gt;0,H22&lt;11),OFFSET('Minion Tiers'!$G$197,H22+1,0)*N22,""),"")</f>
        <v>2360.08</v>
      </c>
      <c r="Q22" s="142"/>
      <c r="R22" s="125" t="s">
        <v>44</v>
      </c>
      <c r="S22" s="125" t="s">
        <v>114</v>
      </c>
      <c r="T22" s="126">
        <v>0.25</v>
      </c>
      <c r="U22" s="125">
        <v>0.0</v>
      </c>
      <c r="V22" s="125" t="s">
        <v>112</v>
      </c>
      <c r="W22" s="125" t="s">
        <v>113</v>
      </c>
      <c r="X22" s="127" t="s">
        <v>113</v>
      </c>
      <c r="Z22" s="128"/>
      <c r="AA22" s="129" t="s">
        <v>86</v>
      </c>
      <c r="AB22" s="129" t="s">
        <v>112</v>
      </c>
      <c r="AC22" s="130">
        <v>622.72</v>
      </c>
      <c r="AE22" s="131" t="str">
        <f t="shared" si="3"/>
        <v/>
      </c>
      <c r="AF22" s="128"/>
      <c r="AG22" s="129"/>
      <c r="AH22" s="129"/>
      <c r="AI22" s="130"/>
    </row>
    <row r="23">
      <c r="B23" s="80"/>
      <c r="D23" s="27" t="str">
        <f>IMAGE("https://i.imgur.com/6s5ynAU.png")</f>
        <v/>
      </c>
      <c r="E23" s="34" t="s">
        <v>117</v>
      </c>
      <c r="F23" s="104" t="s">
        <v>114</v>
      </c>
      <c r="G23" s="105">
        <v>0.25</v>
      </c>
      <c r="H23" s="104">
        <f>IF($B$3,'API Importer'!D36,IF(ISNUMBER(F23),F23,IFERROR(ARABIC(F23),0)))</f>
        <v>0</v>
      </c>
      <c r="I23" s="34" t="str">
        <f t="shared" si="1"/>
        <v>∅</v>
      </c>
      <c r="J23" s="111" t="str">
        <f>IF(AND(H23&lt;11,H23&gt;0),"8 x "&amp;OFFSET('Minion Tiers'!$D$210,H23+1,0)&amp;" "&amp;OFFSET('Minion Tiers'!$D$210,H23+1,2),"")</f>
        <v/>
      </c>
      <c r="K23" s="133" t="str">
        <f>IF(AND(H23&lt;11,H23&gt;0),OFFSET('Minion Tiers'!$J$210,H23,0)/(1+G23),"")</f>
        <v/>
      </c>
      <c r="L23" s="108">
        <v>10.0</v>
      </c>
      <c r="M23" s="134">
        <f>IF(H23+1&lt;=4,Bazaar!J18,Bazaar!M18/160)</f>
        <v>9.154</v>
      </c>
      <c r="N23" s="134">
        <f t="shared" si="2"/>
        <v>9.154</v>
      </c>
      <c r="O23" s="135">
        <f>IFERROR(IF(AND(N23*1&gt;0,H23&lt;11),OFFSET('Minion Tiers'!$G$210,H23+1,0)*N23,""),"")</f>
        <v>732.32</v>
      </c>
      <c r="Q23" s="136"/>
      <c r="R23" s="111" t="s">
        <v>117</v>
      </c>
      <c r="S23" s="111" t="s">
        <v>114</v>
      </c>
      <c r="T23" s="112">
        <v>0.25</v>
      </c>
      <c r="U23" s="111">
        <v>0.0</v>
      </c>
      <c r="V23" s="111" t="s">
        <v>112</v>
      </c>
      <c r="W23" s="111" t="s">
        <v>113</v>
      </c>
      <c r="X23" s="113" t="s">
        <v>113</v>
      </c>
      <c r="Z23" s="137"/>
      <c r="AA23" s="138" t="s">
        <v>40</v>
      </c>
      <c r="AB23" s="138" t="s">
        <v>112</v>
      </c>
      <c r="AC23" s="139">
        <v>640.6399999999999</v>
      </c>
      <c r="AE23" s="140" t="str">
        <f t="shared" si="3"/>
        <v/>
      </c>
      <c r="AF23" s="137"/>
      <c r="AG23" s="138"/>
      <c r="AH23" s="138"/>
      <c r="AI23" s="139"/>
    </row>
    <row r="24">
      <c r="B24" s="80"/>
      <c r="D24" s="25" t="str">
        <f>IMAGE("https://i.imgur.com/FPyieK4.png")</f>
        <v/>
      </c>
      <c r="E24" s="37" t="s">
        <v>47</v>
      </c>
      <c r="F24" s="118" t="s">
        <v>114</v>
      </c>
      <c r="G24" s="119">
        <v>0.25</v>
      </c>
      <c r="H24" s="118">
        <f>IF($B$3,'API Importer'!D37,IF(ISNUMBER(F24),F24,IFERROR(ARABIC(F24),0)))</f>
        <v>0</v>
      </c>
      <c r="I24" s="37" t="str">
        <f t="shared" si="1"/>
        <v>∅</v>
      </c>
      <c r="J24" s="125" t="str">
        <f>IF(AND(H24&lt;11,H24&gt;0),"8 x "&amp;OFFSET('Minion Tiers'!$D$223,H24+1,0)&amp;" "&amp;OFFSET('Minion Tiers'!$D$223,H24+1,2),"")</f>
        <v/>
      </c>
      <c r="K24" s="121" t="str">
        <f>IF(AND(H24&lt;11,H24&gt;0),OFFSET('Minion Tiers'!$J$223,H24,0)/(1+G24),"")</f>
        <v/>
      </c>
      <c r="L24" s="122">
        <f>7/3</f>
        <v>2.333333333</v>
      </c>
      <c r="M24" s="123">
        <f>IFS(H24+1&lt;=4,Bazaar!J19,H24+1&lt;=8,Bazaar!M19/9,1=1,Bazaar!P19/9/9/16)</f>
        <v>4.999</v>
      </c>
      <c r="N24" s="123">
        <f t="shared" si="2"/>
        <v>4.999</v>
      </c>
      <c r="O24" s="124">
        <f>IFERROR(IF(AND(N24*1&gt;0,H24&lt;11),OFFSET('Minion Tiers'!$G$223,H24+1,0)*N24,""),"")</f>
        <v>399.92</v>
      </c>
      <c r="Q24" s="142"/>
      <c r="R24" s="125" t="s">
        <v>47</v>
      </c>
      <c r="S24" s="125" t="s">
        <v>114</v>
      </c>
      <c r="T24" s="126">
        <v>0.25</v>
      </c>
      <c r="U24" s="125">
        <v>0.0</v>
      </c>
      <c r="V24" s="125" t="s">
        <v>112</v>
      </c>
      <c r="W24" s="125" t="s">
        <v>113</v>
      </c>
      <c r="X24" s="127" t="s">
        <v>113</v>
      </c>
      <c r="Z24" s="128"/>
      <c r="AA24" s="129" t="s">
        <v>52</v>
      </c>
      <c r="AB24" s="129" t="s">
        <v>112</v>
      </c>
      <c r="AC24" s="130">
        <v>689.9200000000001</v>
      </c>
      <c r="AE24" s="131" t="str">
        <f t="shared" si="3"/>
        <v/>
      </c>
      <c r="AF24" s="128"/>
      <c r="AG24" s="129"/>
      <c r="AH24" s="129"/>
      <c r="AI24" s="130"/>
    </row>
    <row r="25">
      <c r="B25" s="80"/>
      <c r="D25" s="27" t="str">
        <f>IMAGE("https://i.imgur.com/YfLjzab.png")</f>
        <v/>
      </c>
      <c r="E25" s="34" t="s">
        <v>48</v>
      </c>
      <c r="F25" s="104" t="s">
        <v>114</v>
      </c>
      <c r="G25" s="105">
        <v>0.25</v>
      </c>
      <c r="H25" s="104">
        <f>IF($B$3,'API Importer'!D38,IF(ISNUMBER(F25),F25,IFERROR(ARABIC(F25),0)))</f>
        <v>0</v>
      </c>
      <c r="I25" s="34" t="str">
        <f t="shared" si="1"/>
        <v>∅</v>
      </c>
      <c r="J25" s="111" t="str">
        <f>IF(AND(H25&lt;11,H25&gt;0),"8 x "&amp;OFFSET('Minion Tiers'!$D$236,H25+1,0)&amp;" "&amp;OFFSET('Minion Tiers'!$D$236,H25+1,2),"")</f>
        <v/>
      </c>
      <c r="K25" s="133" t="str">
        <f>IF(AND(H25&lt;11,H25&gt;0),OFFSET('Minion Tiers'!$J$236,H25,0)/(1+G25),"")</f>
        <v/>
      </c>
      <c r="L25" s="108">
        <v>2.0</v>
      </c>
      <c r="M25" s="134">
        <f>IFS(H25+1&lt;=5,Bazaar!J20,H25+1&lt;=9,Bazaar!M20/160,1=1,Bazaar!P20/160/160)</f>
        <v>38.967</v>
      </c>
      <c r="N25" s="134">
        <f t="shared" si="2"/>
        <v>38.967</v>
      </c>
      <c r="O25" s="135">
        <f>IFERROR(IF(AND(N25*1&gt;0,H25&lt;11),OFFSET('Minion Tiers'!$G$236,H25+1,0)*N25,""),"")</f>
        <v>9975.552</v>
      </c>
      <c r="Q25" s="136"/>
      <c r="R25" s="111" t="s">
        <v>48</v>
      </c>
      <c r="S25" s="111" t="s">
        <v>114</v>
      </c>
      <c r="T25" s="112">
        <v>0.25</v>
      </c>
      <c r="U25" s="111">
        <v>0.0</v>
      </c>
      <c r="V25" s="111" t="s">
        <v>112</v>
      </c>
      <c r="W25" s="111" t="s">
        <v>113</v>
      </c>
      <c r="X25" s="113" t="s">
        <v>113</v>
      </c>
      <c r="Z25" s="137"/>
      <c r="AA25" s="138" t="s">
        <v>53</v>
      </c>
      <c r="AB25" s="138" t="s">
        <v>112</v>
      </c>
      <c r="AC25" s="139">
        <v>711.168</v>
      </c>
      <c r="AE25" s="140" t="str">
        <f t="shared" si="3"/>
        <v/>
      </c>
      <c r="AF25" s="137"/>
      <c r="AG25" s="138"/>
      <c r="AH25" s="138"/>
      <c r="AI25" s="139"/>
    </row>
    <row r="26">
      <c r="B26" s="80"/>
      <c r="D26" s="25" t="str">
        <f>IMAGE("https://i.imgur.com/4NRWEVG.png")</f>
        <v/>
      </c>
      <c r="E26" s="37" t="s">
        <v>49</v>
      </c>
      <c r="F26" s="118" t="s">
        <v>114</v>
      </c>
      <c r="G26" s="119">
        <v>0.25</v>
      </c>
      <c r="H26" s="118">
        <f>IF($B$3,'API Importer'!D39,IF(ISNUMBER(F26),F26,IFERROR(ARABIC(F26),0)))</f>
        <v>0</v>
      </c>
      <c r="I26" s="37" t="str">
        <f t="shared" si="1"/>
        <v>∅</v>
      </c>
      <c r="J26" s="125" t="str">
        <f>IF(AND(H26&lt;11,H26&gt;0),"8 x "&amp;OFFSET('Minion Tiers'!$D$249,H26+1,0)&amp;" "&amp;OFFSET('Minion Tiers'!$D$249,H26+1,2),"")</f>
        <v/>
      </c>
      <c r="K26" s="121" t="str">
        <f>IF(AND(H26&lt;11,H26&gt;0),OFFSET('Minion Tiers'!$J$249,H26,0)/(1+G26),"")</f>
        <v/>
      </c>
      <c r="L26" s="122">
        <v>8.0</v>
      </c>
      <c r="M26" s="123">
        <f>IF(H26+1&lt;=4,Bazaar!J21,Bazaar!M21/160)</f>
        <v>9</v>
      </c>
      <c r="N26" s="123">
        <f t="shared" si="2"/>
        <v>9</v>
      </c>
      <c r="O26" s="124">
        <f>IFERROR(IF(AND(N26*1&gt;0,H26&lt;11),OFFSET('Minion Tiers'!$G$249,H26+1,0)*N26,""),"")</f>
        <v>720</v>
      </c>
      <c r="Q26" s="142"/>
      <c r="R26" s="125" t="s">
        <v>49</v>
      </c>
      <c r="S26" s="125" t="s">
        <v>114</v>
      </c>
      <c r="T26" s="126">
        <v>0.25</v>
      </c>
      <c r="U26" s="125">
        <v>0.0</v>
      </c>
      <c r="V26" s="125" t="s">
        <v>112</v>
      </c>
      <c r="W26" s="125" t="s">
        <v>113</v>
      </c>
      <c r="X26" s="127" t="s">
        <v>113</v>
      </c>
      <c r="Z26" s="128"/>
      <c r="AA26" s="129" t="s">
        <v>49</v>
      </c>
      <c r="AB26" s="129" t="s">
        <v>112</v>
      </c>
      <c r="AC26" s="130">
        <v>720.0</v>
      </c>
      <c r="AE26" s="131" t="str">
        <f t="shared" si="3"/>
        <v/>
      </c>
      <c r="AF26" s="128"/>
      <c r="AG26" s="129"/>
      <c r="AH26" s="129"/>
      <c r="AI26" s="130"/>
    </row>
    <row r="27">
      <c r="B27" s="80"/>
      <c r="D27" s="27" t="str">
        <f>IMAGE("https://i.imgur.com/REF79WT.png")</f>
        <v/>
      </c>
      <c r="E27" s="34" t="s">
        <v>50</v>
      </c>
      <c r="F27" s="104" t="s">
        <v>114</v>
      </c>
      <c r="G27" s="105">
        <v>0.25</v>
      </c>
      <c r="H27" s="104">
        <f>IF($B$3,'API Importer'!D40,IF(ISNUMBER(F27),F27,IFERROR(ARABIC(F27),0)))</f>
        <v>0</v>
      </c>
      <c r="I27" s="34" t="str">
        <f t="shared" si="1"/>
        <v>∅</v>
      </c>
      <c r="J27" s="111" t="str">
        <f>IF(AND(H27&lt;11,H27&gt;0),"8 x "&amp;OFFSET('Minion Tiers'!$D$262,H27+1,0)&amp;" "&amp;OFFSET('Minion Tiers'!$D$262,H27+1,2),"")</f>
        <v/>
      </c>
      <c r="K27" s="133" t="str">
        <f>IF(AND(H27&lt;11,H27&gt;0),OFFSET('Minion Tiers'!$J$262,H27,0)/(1+G27),"")</f>
        <v/>
      </c>
      <c r="L27" s="108">
        <f t="shared" ref="L27:L28" si="4">7/3</f>
        <v>2.333333333</v>
      </c>
      <c r="M27" s="134">
        <f>IFS(H27+1&lt;=3,Bazaar!J22,H27+1&lt;=9,Bazaar!M22/160,1=1,Bazaar!P22/160/64)</f>
        <v>2.709</v>
      </c>
      <c r="N27" s="134">
        <f t="shared" si="2"/>
        <v>2.709</v>
      </c>
      <c r="O27" s="135">
        <f>IFERROR(IF(AND(N27*1&gt;0,H27&lt;11),OFFSET('Minion Tiers'!$G$262,H27+1,0)*N27,""),"")</f>
        <v>346.752</v>
      </c>
      <c r="Q27" s="136"/>
      <c r="R27" s="111" t="s">
        <v>50</v>
      </c>
      <c r="S27" s="111" t="s">
        <v>114</v>
      </c>
      <c r="T27" s="112">
        <v>0.25</v>
      </c>
      <c r="U27" s="111">
        <v>0.0</v>
      </c>
      <c r="V27" s="111" t="s">
        <v>112</v>
      </c>
      <c r="W27" s="111" t="s">
        <v>113</v>
      </c>
      <c r="X27" s="113" t="s">
        <v>113</v>
      </c>
      <c r="Z27" s="137"/>
      <c r="AA27" s="138" t="s">
        <v>117</v>
      </c>
      <c r="AB27" s="138" t="s">
        <v>112</v>
      </c>
      <c r="AC27" s="139">
        <v>732.3199999999999</v>
      </c>
      <c r="AE27" s="140" t="str">
        <f t="shared" si="3"/>
        <v/>
      </c>
      <c r="AF27" s="137"/>
      <c r="AG27" s="138"/>
      <c r="AH27" s="138"/>
      <c r="AI27" s="139"/>
    </row>
    <row r="28">
      <c r="B28" s="80"/>
      <c r="D28" s="25" t="str">
        <f>IMAGE("https://i.imgur.com/POsy5Uc.png")</f>
        <v/>
      </c>
      <c r="E28" s="37" t="s">
        <v>51</v>
      </c>
      <c r="F28" s="118" t="s">
        <v>114</v>
      </c>
      <c r="G28" s="119">
        <v>0.25</v>
      </c>
      <c r="H28" s="118">
        <f>IF($B$3,'API Importer'!D41,IF(ISNUMBER(F28),F28,IFERROR(ARABIC(F28),0)))</f>
        <v>0</v>
      </c>
      <c r="I28" s="37" t="str">
        <f t="shared" si="1"/>
        <v>∅</v>
      </c>
      <c r="J28" s="125" t="str">
        <f>IF(AND(H28&lt;11,H28&gt;0),"8 x "&amp;OFFSET('Minion Tiers'!$D$275,H28+1,0)&amp;" "&amp;OFFSET('Minion Tiers'!$D$275,H28+1,2),"")</f>
        <v/>
      </c>
      <c r="K28" s="121" t="str">
        <f>IF(AND(H28&lt;11,H28&gt;0),OFFSET('Minion Tiers'!$J$275,H28,0)/(1+G28),"")</f>
        <v/>
      </c>
      <c r="L28" s="122">
        <f t="shared" si="4"/>
        <v>2.333333333</v>
      </c>
      <c r="M28" s="123">
        <f>IFS(H28+1&lt;=3,Bazaar!J23,H28+1&lt;=9,Bazaar!M23/160,1=1,Bazaar!P23/160/160)</f>
        <v>555.661</v>
      </c>
      <c r="N28" s="123">
        <f t="shared" si="2"/>
        <v>555.661</v>
      </c>
      <c r="O28" s="124">
        <f>IFERROR(IF(AND(N28*1&gt;0,H28&lt;11),OFFSET('Minion Tiers'!$G$275,H28+1,0)*N28,""),"")</f>
        <v>71124.608</v>
      </c>
      <c r="Q28" s="142"/>
      <c r="R28" s="125" t="s">
        <v>51</v>
      </c>
      <c r="S28" s="125" t="s">
        <v>114</v>
      </c>
      <c r="T28" s="126">
        <v>0.25</v>
      </c>
      <c r="U28" s="125">
        <v>0.0</v>
      </c>
      <c r="V28" s="125" t="s">
        <v>112</v>
      </c>
      <c r="W28" s="125" t="s">
        <v>113</v>
      </c>
      <c r="X28" s="127" t="s">
        <v>113</v>
      </c>
      <c r="Z28" s="128"/>
      <c r="AA28" s="129" t="s">
        <v>80</v>
      </c>
      <c r="AB28" s="129" t="s">
        <v>112</v>
      </c>
      <c r="AC28" s="130">
        <v>776.0</v>
      </c>
      <c r="AE28" s="131" t="str">
        <f t="shared" si="3"/>
        <v/>
      </c>
      <c r="AF28" s="128"/>
      <c r="AG28" s="129"/>
      <c r="AH28" s="129"/>
      <c r="AI28" s="130"/>
    </row>
    <row r="29">
      <c r="B29" s="80"/>
      <c r="D29" s="27" t="str">
        <f>IMAGE("https://i.imgur.com/y6BP7vj.png")</f>
        <v/>
      </c>
      <c r="E29" s="34" t="s">
        <v>52</v>
      </c>
      <c r="F29" s="104" t="s">
        <v>114</v>
      </c>
      <c r="G29" s="105">
        <v>0.25</v>
      </c>
      <c r="H29" s="104">
        <f>IF($B$3,'API Importer'!D42,IF(ISNUMBER(F29),F29,IFERROR(ARABIC(F29),0)))</f>
        <v>0</v>
      </c>
      <c r="I29" s="34" t="str">
        <f t="shared" si="1"/>
        <v>∅</v>
      </c>
      <c r="J29" s="111" t="str">
        <f>IF(AND(H29&lt;11,H29&gt;0),"8 x "&amp;OFFSET('Minion Tiers'!$D$288,H29+1,0)&amp;" "&amp;OFFSET('Minion Tiers'!$D$288,H29+1,2),"")</f>
        <v/>
      </c>
      <c r="K29" s="133" t="str">
        <f>IF(AND(H29&lt;11,H29&gt;0),OFFSET('Minion Tiers'!$J$288,H29,0)/(1+G29),"")</f>
        <v/>
      </c>
      <c r="L29" s="108">
        <v>12.0</v>
      </c>
      <c r="M29" s="134">
        <f>IFS(H29+1&lt;=4,Bazaar!J24,1=1,Bazaar!M24/160)</f>
        <v>8.624</v>
      </c>
      <c r="N29" s="134">
        <f t="shared" si="2"/>
        <v>8.624</v>
      </c>
      <c r="O29" s="135">
        <f>IFERROR(IF(AND(N29*1&gt;0,H29&lt;11),OFFSET('Minion Tiers'!$G$288,H29+1,0)*N29,""),"")</f>
        <v>689.92</v>
      </c>
      <c r="Q29" s="136"/>
      <c r="R29" s="111" t="s">
        <v>52</v>
      </c>
      <c r="S29" s="111" t="s">
        <v>114</v>
      </c>
      <c r="T29" s="112">
        <v>0.25</v>
      </c>
      <c r="U29" s="111">
        <v>0.0</v>
      </c>
      <c r="V29" s="111" t="s">
        <v>112</v>
      </c>
      <c r="W29" s="111" t="s">
        <v>113</v>
      </c>
      <c r="X29" s="113" t="s">
        <v>113</v>
      </c>
      <c r="Z29" s="137"/>
      <c r="AA29" s="138" t="s">
        <v>71</v>
      </c>
      <c r="AB29" s="138" t="s">
        <v>112</v>
      </c>
      <c r="AC29" s="139">
        <v>781.824</v>
      </c>
      <c r="AE29" s="140" t="str">
        <f t="shared" si="3"/>
        <v/>
      </c>
      <c r="AF29" s="137"/>
      <c r="AG29" s="138"/>
      <c r="AH29" s="138"/>
      <c r="AI29" s="139"/>
    </row>
    <row r="30">
      <c r="B30" s="80"/>
      <c r="D30" s="25" t="str">
        <f>IMAGE("https://i.imgur.com/vD7wFFr.png")</f>
        <v/>
      </c>
      <c r="E30" s="37" t="s">
        <v>53</v>
      </c>
      <c r="F30" s="118" t="s">
        <v>114</v>
      </c>
      <c r="G30" s="119">
        <v>0.25</v>
      </c>
      <c r="H30" s="118">
        <f>IF($B$3,'API Importer'!D43,IF(ISNUMBER(F30),F30,IFERROR(ARABIC(F30),0)))</f>
        <v>0</v>
      </c>
      <c r="I30" s="37" t="str">
        <f t="shared" si="1"/>
        <v>∅</v>
      </c>
      <c r="J30" s="125" t="str">
        <f>IF(AND(H30&lt;11,H30&gt;0),"8 x "&amp;OFFSET('Minion Tiers'!$D$301,H30+1,0)&amp;" "&amp;OFFSET('Minion Tiers'!$D$301,H30+1,2),"")</f>
        <v/>
      </c>
      <c r="K30" s="121" t="str">
        <f>IF(AND(H30&lt;11,H30&gt;0),OFFSET('Minion Tiers'!$J$301,H30,0)/(1+G30),"")</f>
        <v/>
      </c>
      <c r="L30" s="122"/>
      <c r="M30" s="123">
        <f>IFS(H30+1&lt;=3,Bazaar!J25,H30+1&lt;=9,Bazaar!M25/160,1=1,Bazaar!P25/160/160)</f>
        <v>5.556</v>
      </c>
      <c r="N30" s="123">
        <f t="shared" si="2"/>
        <v>5.556</v>
      </c>
      <c r="O30" s="124">
        <f>IFERROR(IF(AND(N30*1&gt;0,H30&lt;11),OFFSET('Minion Tiers'!$G$301,H30+1,0)*N30,""),"")</f>
        <v>711.168</v>
      </c>
      <c r="Q30" s="142"/>
      <c r="R30" s="125" t="s">
        <v>53</v>
      </c>
      <c r="S30" s="125" t="s">
        <v>114</v>
      </c>
      <c r="T30" s="126">
        <v>0.25</v>
      </c>
      <c r="U30" s="125">
        <v>0.0</v>
      </c>
      <c r="V30" s="125" t="s">
        <v>112</v>
      </c>
      <c r="W30" s="125" t="s">
        <v>113</v>
      </c>
      <c r="X30" s="127" t="s">
        <v>113</v>
      </c>
      <c r="Z30" s="128"/>
      <c r="AA30" s="129" t="s">
        <v>38</v>
      </c>
      <c r="AB30" s="129" t="s">
        <v>112</v>
      </c>
      <c r="AC30" s="130">
        <v>803.92</v>
      </c>
      <c r="AE30" s="131" t="str">
        <f t="shared" si="3"/>
        <v/>
      </c>
      <c r="AF30" s="128"/>
      <c r="AG30" s="129"/>
      <c r="AH30" s="129"/>
      <c r="AI30" s="130"/>
    </row>
    <row r="31">
      <c r="B31" s="80"/>
      <c r="D31" s="27" t="str">
        <f>IMAGE("https://i.imgur.com/iCFwV2c.png")</f>
        <v/>
      </c>
      <c r="E31" s="34" t="s">
        <v>115</v>
      </c>
      <c r="F31" s="104" t="s">
        <v>114</v>
      </c>
      <c r="G31" s="105">
        <v>0.25</v>
      </c>
      <c r="H31" s="104">
        <f>IF($B$3,'API Importer'!D44,IF(ISNUMBER(F31),F31,IFERROR(ARABIC(F31),0)))</f>
        <v>0</v>
      </c>
      <c r="I31" s="34" t="str">
        <f t="shared" si="1"/>
        <v>∅</v>
      </c>
      <c r="J31" s="111" t="str">
        <f>IF(AND(H31&lt;11,H31&gt;0),"8 x "&amp;OFFSET('Minion Tiers'!$D$314,H31+1,0)&amp;" "&amp;OFFSET('Minion Tiers'!$D$314,H31+1,2),"")</f>
        <v/>
      </c>
      <c r="K31" s="133" t="str">
        <f>IF(AND(H31&lt;11,H31&gt;0),OFFSET('Minion Tiers'!$J$314,H31,0)/(1+G31),"")</f>
        <v/>
      </c>
      <c r="L31" s="108">
        <v>5.0</v>
      </c>
      <c r="M31" s="134">
        <f>IFS(H31+1&lt;=4,Bazaar!J26,1=1,Bazaar!M26/160)</f>
        <v>4.2</v>
      </c>
      <c r="N31" s="134">
        <f t="shared" si="2"/>
        <v>4.2</v>
      </c>
      <c r="O31" s="135">
        <f>IFERROR(IF(AND(N31*1&gt;0,H31&lt;11),OFFSET('Minion Tiers'!$G$314,H31+1,0)*N31,""),"")</f>
        <v>336</v>
      </c>
      <c r="Q31" s="136"/>
      <c r="R31" s="111" t="s">
        <v>115</v>
      </c>
      <c r="S31" s="111" t="s">
        <v>114</v>
      </c>
      <c r="T31" s="112">
        <v>0.25</v>
      </c>
      <c r="U31" s="111">
        <v>0.0</v>
      </c>
      <c r="V31" s="111" t="s">
        <v>112</v>
      </c>
      <c r="W31" s="111" t="s">
        <v>113</v>
      </c>
      <c r="X31" s="113" t="s">
        <v>113</v>
      </c>
      <c r="Z31" s="137"/>
      <c r="AA31" s="138" t="s">
        <v>118</v>
      </c>
      <c r="AB31" s="138" t="s">
        <v>112</v>
      </c>
      <c r="AC31" s="139">
        <v>837.6800000000001</v>
      </c>
      <c r="AE31" s="140" t="str">
        <f t="shared" si="3"/>
        <v/>
      </c>
      <c r="AF31" s="137"/>
      <c r="AG31" s="138"/>
      <c r="AH31" s="138"/>
      <c r="AI31" s="139"/>
    </row>
    <row r="32">
      <c r="B32" s="80"/>
      <c r="D32" s="25" t="str">
        <f>IMAGE("https://i.imgur.com/nVz9QUh.png")</f>
        <v/>
      </c>
      <c r="E32" s="37" t="s">
        <v>55</v>
      </c>
      <c r="F32" s="118" t="s">
        <v>114</v>
      </c>
      <c r="G32" s="119">
        <v>0.25</v>
      </c>
      <c r="H32" s="118">
        <f>IF($B$3,'API Importer'!D45,IF(ISNUMBER(F32),F32,IFERROR(ARABIC(F32),0)))</f>
        <v>0</v>
      </c>
      <c r="I32" s="37" t="str">
        <f t="shared" si="1"/>
        <v>∅</v>
      </c>
      <c r="J32" s="125" t="str">
        <f>IF(AND(H32&lt;11,H32&gt;0),"8 x "&amp;OFFSET('Minion Tiers'!$D$327,H32+1,0)&amp;" "&amp;OFFSET('Minion Tiers'!$D$327,H32+1,2),"")</f>
        <v/>
      </c>
      <c r="K32" s="121" t="str">
        <f>IF(AND(H32&lt;11,H32&gt;0),OFFSET('Minion Tiers'!$J$327,H32,0)/(1+G32),"")</f>
        <v/>
      </c>
      <c r="L32" s="122">
        <v>5.0</v>
      </c>
      <c r="M32" s="123">
        <f>IFS(H32+1&lt;=3,Bazaar!J27,H32+1&lt;=9,Bazaar!M27/160,1=1,Bazaar!P27/160/160)</f>
        <v>3.45</v>
      </c>
      <c r="N32" s="123">
        <f t="shared" si="2"/>
        <v>3.45</v>
      </c>
      <c r="O32" s="124">
        <f>IFERROR(IF(AND(N32*1&gt;0,H32&lt;11),OFFSET('Minion Tiers'!$G$327,H32+1,0)*N32,""),"")</f>
        <v>441.6</v>
      </c>
      <c r="Q32" s="142"/>
      <c r="R32" s="125" t="s">
        <v>55</v>
      </c>
      <c r="S32" s="125" t="s">
        <v>114</v>
      </c>
      <c r="T32" s="126">
        <v>0.25</v>
      </c>
      <c r="U32" s="125">
        <v>0.0</v>
      </c>
      <c r="V32" s="125" t="s">
        <v>112</v>
      </c>
      <c r="W32" s="125" t="s">
        <v>113</v>
      </c>
      <c r="X32" s="127" t="s">
        <v>113</v>
      </c>
      <c r="Z32" s="128"/>
      <c r="AA32" s="129" t="s">
        <v>79</v>
      </c>
      <c r="AB32" s="129" t="s">
        <v>112</v>
      </c>
      <c r="AC32" s="130">
        <v>1036.0</v>
      </c>
      <c r="AE32" s="131" t="str">
        <f t="shared" si="3"/>
        <v/>
      </c>
      <c r="AF32" s="128"/>
      <c r="AG32" s="129"/>
      <c r="AH32" s="129"/>
      <c r="AI32" s="130"/>
    </row>
    <row r="33">
      <c r="B33" s="80"/>
      <c r="D33" s="27" t="str">
        <f>IMAGE("https://i.imgur.com/kdmz1xI.png")</f>
        <v/>
      </c>
      <c r="E33" s="34" t="s">
        <v>116</v>
      </c>
      <c r="F33" s="104" t="s">
        <v>114</v>
      </c>
      <c r="G33" s="105">
        <v>0.25</v>
      </c>
      <c r="H33" s="104">
        <f>IF($B$3,'API Importer'!D46,IF(ISNUMBER(F33),F33,IFERROR(ARABIC(F33),0)))</f>
        <v>0</v>
      </c>
      <c r="I33" s="34" t="str">
        <f t="shared" si="1"/>
        <v>∅</v>
      </c>
      <c r="J33" s="111" t="str">
        <f>IF(AND(H33&lt;11,H33&gt;0),"8 x "&amp;OFFSET('Minion Tiers'!$D$340,H33+1,0)&amp;" "&amp;OFFSET('Minion Tiers'!$D$340,H33+1,2),"")</f>
        <v/>
      </c>
      <c r="K33" s="133" t="str">
        <f>IF(AND(H33&lt;11,H33&gt;0),OFFSET('Minion Tiers'!$J$340,H33,0)/(1+G33),"")</f>
        <v/>
      </c>
      <c r="L33" s="108">
        <v>10.0</v>
      </c>
      <c r="M33" s="134">
        <f>IFS(H33+1&lt;=4,Bazaar!J28,1=1,Bazaar!M28/160)</f>
        <v>6.018</v>
      </c>
      <c r="N33" s="134">
        <f t="shared" si="2"/>
        <v>6.018</v>
      </c>
      <c r="O33" s="135">
        <f>IFERROR(IF(AND(N33*1&gt;0,H33&lt;11),OFFSET('Minion Tiers'!$G$340,H33+1,0)*N33,""),"")</f>
        <v>481.44</v>
      </c>
      <c r="Q33" s="136"/>
      <c r="R33" s="111" t="s">
        <v>116</v>
      </c>
      <c r="S33" s="111" t="s">
        <v>114</v>
      </c>
      <c r="T33" s="112">
        <v>0.25</v>
      </c>
      <c r="U33" s="111">
        <v>0.0</v>
      </c>
      <c r="V33" s="111" t="s">
        <v>112</v>
      </c>
      <c r="W33" s="111" t="s">
        <v>113</v>
      </c>
      <c r="X33" s="113" t="s">
        <v>113</v>
      </c>
      <c r="Z33" s="137"/>
      <c r="AA33" s="138" t="s">
        <v>84</v>
      </c>
      <c r="AB33" s="138" t="s">
        <v>112</v>
      </c>
      <c r="AC33" s="139">
        <v>1095.12</v>
      </c>
      <c r="AE33" s="140" t="str">
        <f t="shared" si="3"/>
        <v/>
      </c>
      <c r="AF33" s="137"/>
      <c r="AG33" s="138"/>
      <c r="AH33" s="138"/>
      <c r="AI33" s="139"/>
    </row>
    <row r="34">
      <c r="B34" s="80"/>
      <c r="D34" s="25" t="str">
        <f>IMAGE("https://i.imgur.com/3VrLIEk.png")</f>
        <v/>
      </c>
      <c r="E34" s="37" t="s">
        <v>59</v>
      </c>
      <c r="F34" s="118" t="s">
        <v>114</v>
      </c>
      <c r="G34" s="119">
        <v>0.25</v>
      </c>
      <c r="H34" s="118">
        <f>IF($B$3,'API Importer'!D47,IF(ISNUMBER(F34),F34,IFERROR(ARABIC(F34),0)))</f>
        <v>0</v>
      </c>
      <c r="I34" s="37" t="str">
        <f t="shared" si="1"/>
        <v>∅</v>
      </c>
      <c r="J34" s="125" t="str">
        <f>IF(AND(H34&lt;11,H34&gt;0),"8 x "&amp;OFFSET('Minion Tiers'!$D$353,H34+1,0)&amp;" "&amp;OFFSET('Minion Tiers'!$D$353,H34+1,2),"")</f>
        <v/>
      </c>
      <c r="K34" s="121" t="str">
        <f>IF(AND(H34&lt;11,H34&gt;0),OFFSET('Minion Tiers'!$J$353,H34,0)/(1+G34),"")</f>
        <v/>
      </c>
      <c r="L34" s="122"/>
      <c r="M34" s="123"/>
      <c r="N34" s="123" t="str">
        <f t="shared" si="2"/>
        <v/>
      </c>
      <c r="O34" s="124" t="str">
        <f>IFERROR(IF(AND(N34*1&gt;0,H34&lt;11),OFFSET('Minion Tiers'!$G$353,H34+1,0)*N34,""),"")</f>
        <v/>
      </c>
      <c r="Q34" s="142"/>
      <c r="R34" s="125" t="s">
        <v>59</v>
      </c>
      <c r="S34" s="125" t="s">
        <v>114</v>
      </c>
      <c r="T34" s="126">
        <v>0.25</v>
      </c>
      <c r="U34" s="125">
        <v>0.0</v>
      </c>
      <c r="V34" s="125" t="s">
        <v>112</v>
      </c>
      <c r="W34" s="125" t="s">
        <v>113</v>
      </c>
      <c r="X34" s="127" t="s">
        <v>113</v>
      </c>
      <c r="Z34" s="128"/>
      <c r="AA34" s="129" t="s">
        <v>41</v>
      </c>
      <c r="AB34" s="129" t="s">
        <v>112</v>
      </c>
      <c r="AC34" s="130">
        <v>1100.8</v>
      </c>
      <c r="AE34" s="131" t="str">
        <f t="shared" si="3"/>
        <v/>
      </c>
      <c r="AF34" s="128"/>
      <c r="AG34" s="129"/>
      <c r="AH34" s="129"/>
      <c r="AI34" s="130"/>
    </row>
    <row r="35">
      <c r="B35" s="80"/>
      <c r="D35" s="27" t="str">
        <f>IMAGE("https://i.imgur.com/1vMopPc.png")</f>
        <v/>
      </c>
      <c r="E35" s="34" t="s">
        <v>119</v>
      </c>
      <c r="F35" s="104" t="s">
        <v>114</v>
      </c>
      <c r="G35" s="105">
        <v>0.25</v>
      </c>
      <c r="H35" s="104">
        <f>IF($B$3,'API Importer'!D48,IF(ISNUMBER(F35),F35,IFERROR(ARABIC(F35),0)))</f>
        <v>0</v>
      </c>
      <c r="I35" s="34" t="str">
        <f t="shared" si="1"/>
        <v>∅</v>
      </c>
      <c r="J35" s="111" t="str">
        <f>IF(AND(H35&lt;11,H35&gt;0),"8 x "&amp;OFFSET('Minion Tiers'!$D$366,H35+1,0)&amp;" "&amp;OFFSET('Minion Tiers'!$D$366,H35+1,2),"")</f>
        <v/>
      </c>
      <c r="K35" s="133" t="str">
        <f>IF(AND(H35&lt;11,H35&gt;0),OFFSET('Minion Tiers'!$J$366,H35,0)/(1+G35),"")</f>
        <v/>
      </c>
      <c r="L35" s="108">
        <v>20.0</v>
      </c>
      <c r="M35" s="134">
        <f>IFS(H35+1&lt;=4,Bazaar!J30,H35+1&lt;=10,Bazaar!M30/160,1=1,Bazaar!P30/160/160)</f>
        <v>87.433</v>
      </c>
      <c r="N35" s="134">
        <f t="shared" si="2"/>
        <v>87.433</v>
      </c>
      <c r="O35" s="135">
        <f>IFERROR(IF(AND(N35*1&gt;0,H35&lt;11),OFFSET('Minion Tiers'!$G$366,H35+1,0)*N35,""),"")</f>
        <v>5595.712</v>
      </c>
      <c r="Q35" s="136"/>
      <c r="R35" s="111" t="s">
        <v>119</v>
      </c>
      <c r="S35" s="111" t="s">
        <v>114</v>
      </c>
      <c r="T35" s="112">
        <v>0.25</v>
      </c>
      <c r="U35" s="111">
        <v>0.0</v>
      </c>
      <c r="V35" s="111" t="s">
        <v>112</v>
      </c>
      <c r="W35" s="111" t="s">
        <v>113</v>
      </c>
      <c r="X35" s="113" t="s">
        <v>113</v>
      </c>
      <c r="Z35" s="137"/>
      <c r="AA35" s="138" t="s">
        <v>81</v>
      </c>
      <c r="AB35" s="138" t="s">
        <v>112</v>
      </c>
      <c r="AC35" s="139">
        <v>1184.0</v>
      </c>
      <c r="AE35" s="140" t="str">
        <f t="shared" si="3"/>
        <v/>
      </c>
      <c r="AF35" s="137"/>
      <c r="AG35" s="138"/>
      <c r="AH35" s="138"/>
      <c r="AI35" s="139"/>
    </row>
    <row r="36">
      <c r="B36" s="80"/>
      <c r="D36" s="25" t="str">
        <f>IMAGE("https://i.imgur.com/PXMAskz.png")</f>
        <v/>
      </c>
      <c r="E36" s="37" t="s">
        <v>61</v>
      </c>
      <c r="F36" s="118" t="s">
        <v>114</v>
      </c>
      <c r="G36" s="119">
        <v>0.25</v>
      </c>
      <c r="H36" s="118">
        <f>IF($B$3,'API Importer'!D49,IF(ISNUMBER(F36),F36,IFERROR(ARABIC(F36),0)))</f>
        <v>0</v>
      </c>
      <c r="I36" s="37" t="str">
        <f t="shared" si="1"/>
        <v>∅</v>
      </c>
      <c r="J36" s="125" t="str">
        <f>IF(AND(H36&lt;11,H36&gt;0),"8 x "&amp;OFFSET('Minion Tiers'!$D$379,H36+1,0)&amp;" "&amp;OFFSET('Minion Tiers'!$D$379,H36+1,2),"")</f>
        <v/>
      </c>
      <c r="K36" s="121" t="str">
        <f>IF(AND(H36&lt;11,H36&gt;0),OFFSET('Minion Tiers'!$J$379,H36,0)/(1+G36),"")</f>
        <v/>
      </c>
      <c r="L36" s="122">
        <v>8.0</v>
      </c>
      <c r="M36" s="123">
        <f>IFS(H36+1&lt;=4,Bazaar!J31,1=1,Bazaar!M31/160)</f>
        <v>5.86</v>
      </c>
      <c r="N36" s="123">
        <f t="shared" si="2"/>
        <v>5.86</v>
      </c>
      <c r="O36" s="124">
        <f>IFERROR(IF(AND(N36*1&gt;0,H36&lt;11),OFFSET('Minion Tiers'!$G$379,H36+1,0)*N36,""),"")</f>
        <v>468.8</v>
      </c>
      <c r="Q36" s="142"/>
      <c r="R36" s="125" t="s">
        <v>61</v>
      </c>
      <c r="S36" s="125" t="s">
        <v>114</v>
      </c>
      <c r="T36" s="126">
        <v>0.25</v>
      </c>
      <c r="U36" s="125">
        <v>0.0</v>
      </c>
      <c r="V36" s="125" t="s">
        <v>112</v>
      </c>
      <c r="W36" s="125" t="s">
        <v>113</v>
      </c>
      <c r="X36" s="127" t="s">
        <v>113</v>
      </c>
      <c r="Z36" s="128"/>
      <c r="AA36" s="129" t="s">
        <v>85</v>
      </c>
      <c r="AB36" s="129" t="s">
        <v>112</v>
      </c>
      <c r="AC36" s="130">
        <v>1232.0</v>
      </c>
      <c r="AE36" s="131" t="str">
        <f t="shared" si="3"/>
        <v/>
      </c>
      <c r="AF36" s="128"/>
      <c r="AG36" s="129"/>
      <c r="AH36" s="129"/>
      <c r="AI36" s="130"/>
    </row>
    <row r="37">
      <c r="B37" s="80"/>
      <c r="D37" s="27" t="str">
        <f>IMAGE("https://i.imgur.com/DExMjxb.png")</f>
        <v/>
      </c>
      <c r="E37" s="34" t="s">
        <v>62</v>
      </c>
      <c r="F37" s="104" t="s">
        <v>114</v>
      </c>
      <c r="G37" s="105">
        <v>0.25</v>
      </c>
      <c r="H37" s="104">
        <f>IF($B$3,'API Importer'!D50,IF(ISNUMBER(F37),F37,IFERROR(ARABIC(F37),0)))</f>
        <v>0</v>
      </c>
      <c r="I37" s="34" t="str">
        <f t="shared" si="1"/>
        <v>∅</v>
      </c>
      <c r="J37" s="111" t="str">
        <f>IF(AND(H37&lt;11,H37&gt;0),"7 x "&amp;OFFSET('Minion Tiers'!$N$2,H37+1,0)&amp;" "&amp;OFFSET('Minion Tiers'!$N$2,H37+1,2),"")</f>
        <v/>
      </c>
      <c r="K37" s="133" t="s">
        <v>120</v>
      </c>
      <c r="L37" s="108"/>
      <c r="M37" s="134">
        <f>IFS(H37+1&lt;=4,Bazaar!J32,H37+1&lt;=11,Bazaar!M32/160,1=1,"")</f>
        <v>22.861</v>
      </c>
      <c r="N37" s="134">
        <f t="shared" si="2"/>
        <v>22.861</v>
      </c>
      <c r="O37" s="135">
        <f>IFERROR(IF(AND(N37*1&gt;0,H37&lt;11),OFFSET('Minion Tiers'!$Q$2,H37+1,0)*N37,""),"")</f>
        <v>1600.27</v>
      </c>
      <c r="Q37" s="136"/>
      <c r="R37" s="111" t="s">
        <v>63</v>
      </c>
      <c r="S37" s="111" t="s">
        <v>114</v>
      </c>
      <c r="T37" s="112">
        <v>0.25</v>
      </c>
      <c r="U37" s="111">
        <v>0.0</v>
      </c>
      <c r="V37" s="111" t="s">
        <v>112</v>
      </c>
      <c r="W37" s="111" t="s">
        <v>113</v>
      </c>
      <c r="X37" s="113" t="s">
        <v>113</v>
      </c>
      <c r="Z37" s="137"/>
      <c r="AA37" s="138" t="s">
        <v>68</v>
      </c>
      <c r="AB37" s="138" t="s">
        <v>112</v>
      </c>
      <c r="AC37" s="139">
        <v>1285.2</v>
      </c>
      <c r="AE37" s="140" t="str">
        <f t="shared" si="3"/>
        <v/>
      </c>
      <c r="AF37" s="137"/>
      <c r="AG37" s="138"/>
      <c r="AH37" s="138"/>
      <c r="AI37" s="139"/>
    </row>
    <row r="38">
      <c r="B38" s="80"/>
      <c r="D38" s="25" t="str">
        <f>IMAGE("https://i.imgur.com/PVDNSA2.png")</f>
        <v/>
      </c>
      <c r="E38" s="37" t="s">
        <v>63</v>
      </c>
      <c r="F38" s="118" t="s">
        <v>114</v>
      </c>
      <c r="G38" s="119">
        <v>0.25</v>
      </c>
      <c r="H38" s="118">
        <f>IF($B$3,'API Importer'!D51,IF(ISNUMBER(F38),F38,IFERROR(ARABIC(F38),0)))</f>
        <v>0</v>
      </c>
      <c r="I38" s="37" t="str">
        <f t="shared" si="1"/>
        <v>∅</v>
      </c>
      <c r="J38" s="125" t="str">
        <f>IF(AND(H38&lt;11,H38&gt;0),"8 x "&amp;OFFSET('Minion Tiers'!$N$15,H38+1,0)&amp;" "&amp;OFFSET('Minion Tiers'!$N$15,H38+1,2),"")</f>
        <v/>
      </c>
      <c r="K38" s="121" t="str">
        <f>IF(AND(H38&lt;11,H38&gt;0),OFFSET('Minion Tiers'!$J$2,H38,0)/(1+G38),"")</f>
        <v/>
      </c>
      <c r="L38" s="122">
        <v>8.0</v>
      </c>
      <c r="M38" s="123">
        <f>IFS(H38+1&lt;=4,Bazaar!J33,1=1,Bazaar!M33/160)</f>
        <v>4.4</v>
      </c>
      <c r="N38" s="123">
        <f t="shared" si="2"/>
        <v>4.4</v>
      </c>
      <c r="O38" s="124">
        <f>IFERROR(IF(AND(N38*1&gt;0,H38&lt;11),OFFSET('Minion Tiers'!$Q$15,H38+1,0)*N38,""),"")</f>
        <v>352</v>
      </c>
      <c r="Q38" s="142"/>
      <c r="R38" s="125" t="s">
        <v>64</v>
      </c>
      <c r="S38" s="125" t="s">
        <v>114</v>
      </c>
      <c r="T38" s="126">
        <v>0.25</v>
      </c>
      <c r="U38" s="125">
        <v>0.0</v>
      </c>
      <c r="V38" s="125" t="s">
        <v>112</v>
      </c>
      <c r="W38" s="125" t="s">
        <v>113</v>
      </c>
      <c r="X38" s="127" t="s">
        <v>113</v>
      </c>
      <c r="Z38" s="128"/>
      <c r="AA38" s="129" t="s">
        <v>65</v>
      </c>
      <c r="AB38" s="129" t="s">
        <v>112</v>
      </c>
      <c r="AC38" s="130">
        <v>1600.0</v>
      </c>
      <c r="AE38" s="131" t="str">
        <f t="shared" si="3"/>
        <v/>
      </c>
      <c r="AF38" s="128"/>
      <c r="AG38" s="129"/>
      <c r="AH38" s="129"/>
      <c r="AI38" s="130"/>
    </row>
    <row r="39">
      <c r="B39" s="80"/>
      <c r="D39" s="27" t="str">
        <f>IMAGE("http://i.imgur.com/cXFM9pa.png")</f>
        <v/>
      </c>
      <c r="E39" s="34" t="s">
        <v>64</v>
      </c>
      <c r="F39" s="104" t="s">
        <v>114</v>
      </c>
      <c r="G39" s="105">
        <v>0.25</v>
      </c>
      <c r="H39" s="104">
        <f>IF($B$3,'API Importer'!D52,IF(ISNUMBER(F39),F39,IFERROR(ARABIC(F39),0)))</f>
        <v>0</v>
      </c>
      <c r="I39" s="34" t="str">
        <f t="shared" si="1"/>
        <v>∅</v>
      </c>
      <c r="J39" s="111" t="str">
        <f>IF(AND(H39&lt;11,H39&gt;0),"8 x "&amp;OFFSET('Minion Tiers'!$N$28,H39+1,0)&amp;" "&amp;OFFSET('Minion Tiers'!$N$28,H39+1,2),"")</f>
        <v/>
      </c>
      <c r="K39" s="133" t="str">
        <f>IF(AND(H39&lt;11,H39&gt;0),OFFSET('Minion Tiers'!$T$28,H39,0)/(1+G39),"")</f>
        <v/>
      </c>
      <c r="L39" s="108">
        <v>10.0</v>
      </c>
      <c r="M39" s="134">
        <f>IFS(H39+1&lt;=4,Bazaar!J34,H39+1&lt;=10,Bazaar!M34/160,1=1,Bazaar!P34/160/64)</f>
        <v>32.99</v>
      </c>
      <c r="N39" s="134">
        <f t="shared" si="2"/>
        <v>32.99</v>
      </c>
      <c r="O39" s="135">
        <f>IFERROR(IF(AND(N39*1&gt;0,H39&lt;11),OFFSET('Minion Tiers'!$Q$28,H39+1,0)*N39,""),"")</f>
        <v>2639.2</v>
      </c>
      <c r="Q39" s="136"/>
      <c r="R39" s="111" t="s">
        <v>65</v>
      </c>
      <c r="S39" s="111" t="s">
        <v>114</v>
      </c>
      <c r="T39" s="112">
        <v>0.25</v>
      </c>
      <c r="U39" s="111">
        <v>0.0</v>
      </c>
      <c r="V39" s="111" t="s">
        <v>112</v>
      </c>
      <c r="W39" s="111" t="s">
        <v>113</v>
      </c>
      <c r="X39" s="113" t="s">
        <v>113</v>
      </c>
      <c r="Z39" s="137"/>
      <c r="AA39" s="138" t="s">
        <v>62</v>
      </c>
      <c r="AB39" s="138" t="s">
        <v>112</v>
      </c>
      <c r="AC39" s="139">
        <v>1600.27</v>
      </c>
      <c r="AE39" s="140" t="str">
        <f t="shared" si="3"/>
        <v/>
      </c>
      <c r="AF39" s="137"/>
      <c r="AG39" s="138"/>
      <c r="AH39" s="138"/>
      <c r="AI39" s="139"/>
    </row>
    <row r="40">
      <c r="B40" s="80"/>
      <c r="D40" s="25" t="str">
        <f>IMAGE("https://i.imgur.com/kKisyQ9.png")</f>
        <v/>
      </c>
      <c r="E40" s="37" t="s">
        <v>65</v>
      </c>
      <c r="F40" s="118" t="s">
        <v>114</v>
      </c>
      <c r="G40" s="119">
        <v>0.25</v>
      </c>
      <c r="H40" s="118">
        <f>IF($B$3,'API Importer'!D53,IF(ISNUMBER(F40),F40,IFERROR(ARABIC(F40),0)))</f>
        <v>0</v>
      </c>
      <c r="I40" s="37" t="str">
        <f t="shared" si="1"/>
        <v>∅</v>
      </c>
      <c r="J40" s="125" t="str">
        <f>IF(AND(H40&lt;11,H40&gt;0),"8 x "&amp;OFFSET('Minion Tiers'!$N$41,H40+1,0)&amp;" "&amp;OFFSET('Minion Tiers'!$N$41,H40+1,2),"")</f>
        <v/>
      </c>
      <c r="K40" s="121" t="str">
        <f>IF(AND(H40&lt;11,H40&gt;0),OFFSET('Minion Tiers'!$T$41,H40,0)/(1+G40),"")</f>
        <v/>
      </c>
      <c r="L40" s="122">
        <v>10.0</v>
      </c>
      <c r="M40" s="123">
        <f>IFS(H40+1&lt;=4,Bazaar!J35,1=1,Bazaar!M35/160)</f>
        <v>20</v>
      </c>
      <c r="N40" s="123">
        <f t="shared" si="2"/>
        <v>20</v>
      </c>
      <c r="O40" s="124">
        <f>IFERROR(IF(AND(N40*1&gt;0,H40&lt;11),OFFSET('Minion Tiers'!$Q$41,H40+1,0)*N40,""),"")</f>
        <v>1600</v>
      </c>
      <c r="Q40" s="142"/>
      <c r="R40" s="125" t="s">
        <v>118</v>
      </c>
      <c r="S40" s="125" t="s">
        <v>114</v>
      </c>
      <c r="T40" s="126">
        <v>0.25</v>
      </c>
      <c r="U40" s="125">
        <v>0.0</v>
      </c>
      <c r="V40" s="125" t="s">
        <v>112</v>
      </c>
      <c r="W40" s="125" t="s">
        <v>113</v>
      </c>
      <c r="X40" s="127" t="s">
        <v>113</v>
      </c>
      <c r="Z40" s="128"/>
      <c r="AA40" s="129" t="s">
        <v>77</v>
      </c>
      <c r="AB40" s="129" t="s">
        <v>112</v>
      </c>
      <c r="AC40" s="130">
        <v>1603.2</v>
      </c>
      <c r="AE40" s="131" t="str">
        <f t="shared" si="3"/>
        <v/>
      </c>
      <c r="AF40" s="128"/>
      <c r="AG40" s="129"/>
      <c r="AH40" s="129"/>
      <c r="AI40" s="130"/>
    </row>
    <row r="41">
      <c r="B41" s="80"/>
      <c r="D41" s="27" t="str">
        <f>IMAGE("https://i.imgur.com/A4g7c2j.png")</f>
        <v/>
      </c>
      <c r="E41" s="34" t="s">
        <v>66</v>
      </c>
      <c r="F41" s="104" t="s">
        <v>114</v>
      </c>
      <c r="G41" s="105">
        <v>0.25</v>
      </c>
      <c r="H41" s="104">
        <f>IF($B$3,'API Importer'!D54,IF(ISNUMBER(F41),F41,IFERROR(ARABIC(F41),0)))</f>
        <v>0</v>
      </c>
      <c r="I41" s="34" t="str">
        <f t="shared" si="1"/>
        <v>∅</v>
      </c>
      <c r="J41" s="111" t="str">
        <f>IF(AND(H41&lt;11,H41&gt;0),"7 x "&amp;OFFSET('Minion Tiers'!$N$54,H41+1,0)&amp;" "&amp;OFFSET('Minion Tiers'!$N$54,H41+1,2),"")</f>
        <v/>
      </c>
      <c r="K41" s="133" t="s">
        <v>120</v>
      </c>
      <c r="L41" s="108"/>
      <c r="M41" s="134">
        <f>IFS(H41+1&lt;=4,Bazaar!J36,1=1,Bazaar!M36)</f>
        <v>163.962</v>
      </c>
      <c r="N41" s="134">
        <f t="shared" si="2"/>
        <v>163.962</v>
      </c>
      <c r="O41" s="135">
        <f>IFERROR(IF(AND(N41*1&gt;0,H41&lt;11),(OFFSET('Minion Tiers'!$Q$54,H41+1,0)/IF(H41+1&gt;4,128,1))*N41,""),"")</f>
        <v>11477.34</v>
      </c>
      <c r="Q41" s="136"/>
      <c r="R41" s="111" t="s">
        <v>68</v>
      </c>
      <c r="S41" s="111" t="s">
        <v>114</v>
      </c>
      <c r="T41" s="112">
        <v>0.25</v>
      </c>
      <c r="U41" s="111">
        <v>0.0</v>
      </c>
      <c r="V41" s="111" t="s">
        <v>112</v>
      </c>
      <c r="W41" s="111" t="s">
        <v>113</v>
      </c>
      <c r="X41" s="113" t="s">
        <v>113</v>
      </c>
      <c r="Z41" s="137"/>
      <c r="AA41" s="138" t="s">
        <v>33</v>
      </c>
      <c r="AB41" s="138" t="s">
        <v>112</v>
      </c>
      <c r="AC41" s="139">
        <v>1899.6000000000001</v>
      </c>
      <c r="AE41" s="140" t="str">
        <f t="shared" si="3"/>
        <v/>
      </c>
      <c r="AF41" s="137"/>
      <c r="AG41" s="138"/>
      <c r="AH41" s="138"/>
      <c r="AI41" s="139"/>
    </row>
    <row r="42">
      <c r="B42" s="80"/>
      <c r="D42" s="25" t="str">
        <f>IMAGE("https://i.imgur.com/ppsRt2x.png")</f>
        <v/>
      </c>
      <c r="E42" s="37" t="s">
        <v>118</v>
      </c>
      <c r="F42" s="118" t="s">
        <v>114</v>
      </c>
      <c r="G42" s="119">
        <v>0.25</v>
      </c>
      <c r="H42" s="118">
        <f>IF($B$3,'API Importer'!D55,IF(ISNUMBER(F42),F42,IFERROR(ARABIC(F42),0)))</f>
        <v>0</v>
      </c>
      <c r="I42" s="37" t="str">
        <f t="shared" si="1"/>
        <v>∅</v>
      </c>
      <c r="J42" s="125" t="str">
        <f>IF(AND(H42&lt;11,H42&gt;0),"8 x "&amp;OFFSET('Minion Tiers'!$N$67,H42+1,0)&amp;" "&amp;OFFSET('Minion Tiers'!$N$67,H42+1,2),"")</f>
        <v/>
      </c>
      <c r="K42" s="121" t="str">
        <f>IF(AND(H42&lt;11,H42&gt;0),OFFSET('Minion Tiers'!$T$67,H42,0)/(1+G42),"")</f>
        <v/>
      </c>
      <c r="L42" s="122">
        <v>12.0</v>
      </c>
      <c r="M42" s="123">
        <f>IFS(H42+1&lt;=4,Bazaar!J37,H42+1&lt;=10,Bazaar!M37/160,1=1,Bazaar!P37/160/64)</f>
        <v>10.471</v>
      </c>
      <c r="N42" s="123">
        <f t="shared" si="2"/>
        <v>10.471</v>
      </c>
      <c r="O42" s="124">
        <f>IFERROR(IF(AND(N42*1&gt;0,H42&lt;11),OFFSET('Minion Tiers'!$Q$67,H42+1,0)*N42,""),"")</f>
        <v>837.68</v>
      </c>
      <c r="Q42" s="142"/>
      <c r="R42" s="125" t="s">
        <v>69</v>
      </c>
      <c r="S42" s="125" t="s">
        <v>114</v>
      </c>
      <c r="T42" s="126">
        <v>0.25</v>
      </c>
      <c r="U42" s="125">
        <v>0.0</v>
      </c>
      <c r="V42" s="125" t="s">
        <v>112</v>
      </c>
      <c r="W42" s="125" t="s">
        <v>113</v>
      </c>
      <c r="X42" s="127" t="s">
        <v>113</v>
      </c>
      <c r="Z42" s="145"/>
      <c r="AA42" s="146" t="s">
        <v>69</v>
      </c>
      <c r="AB42" s="146" t="s">
        <v>112</v>
      </c>
      <c r="AC42" s="147">
        <v>1971.68</v>
      </c>
      <c r="AE42" s="148" t="str">
        <f t="shared" si="3"/>
        <v/>
      </c>
      <c r="AF42" s="145"/>
      <c r="AG42" s="146"/>
      <c r="AH42" s="146"/>
      <c r="AI42" s="147"/>
    </row>
    <row r="43">
      <c r="B43" s="80"/>
      <c r="D43" s="27" t="str">
        <f>IMAGE("http://i.imgur.com/7g31lwr.png")</f>
        <v/>
      </c>
      <c r="E43" s="34" t="s">
        <v>68</v>
      </c>
      <c r="F43" s="104" t="s">
        <v>114</v>
      </c>
      <c r="G43" s="105">
        <v>0.25</v>
      </c>
      <c r="H43" s="104">
        <f>IF($B$3,'API Importer'!D56,IF(ISNUMBER(F43),F43,IFERROR(ARABIC(F43),0)))</f>
        <v>0</v>
      </c>
      <c r="I43" s="34" t="str">
        <f t="shared" si="1"/>
        <v>∅</v>
      </c>
      <c r="J43" s="111" t="str">
        <f>IF(AND(H43&lt;11,H43&gt;0),"8 x "&amp;OFFSET('Minion Tiers'!$N$80,H43+1,0)&amp;" "&amp;OFFSET('Minion Tiers'!$N$80,H43+1,2),"")</f>
        <v/>
      </c>
      <c r="K43" s="133" t="str">
        <f>IF(AND(H43&lt;11,H43&gt;0),OFFSET('Minion Tiers'!$T$80,H43,0)/(1+G43),"")</f>
        <v/>
      </c>
      <c r="L43" s="108"/>
      <c r="M43" s="134">
        <f>IFS(H43+1&lt;=3,Bazaar!J38,H43+1&lt;=10,Bazaar!M38/160,1=1,Bazaar!P38/160/160)</f>
        <v>16.065</v>
      </c>
      <c r="N43" s="134">
        <f t="shared" si="2"/>
        <v>16.065</v>
      </c>
      <c r="O43" s="135">
        <f>IFERROR(IF(AND(N43*1&gt;0,H43&lt;11),OFFSET('Minion Tiers'!$Q$80,H43+1,0)*N43,""),"")</f>
        <v>1285.2</v>
      </c>
      <c r="Q43" s="136"/>
      <c r="R43" s="111" t="s">
        <v>71</v>
      </c>
      <c r="S43" s="111" t="s">
        <v>114</v>
      </c>
      <c r="T43" s="112">
        <v>0.25</v>
      </c>
      <c r="U43" s="111">
        <v>0.0</v>
      </c>
      <c r="V43" s="111" t="s">
        <v>112</v>
      </c>
      <c r="W43" s="111" t="s">
        <v>113</v>
      </c>
      <c r="X43" s="113" t="s">
        <v>113</v>
      </c>
      <c r="Z43" s="149"/>
      <c r="AA43" s="150" t="s">
        <v>30</v>
      </c>
      <c r="AB43" s="150" t="s">
        <v>112</v>
      </c>
      <c r="AC43" s="151">
        <v>2077.04</v>
      </c>
      <c r="AE43" s="152" t="str">
        <f t="shared" si="3"/>
        <v/>
      </c>
      <c r="AF43" s="149"/>
      <c r="AG43" s="150"/>
      <c r="AH43" s="150"/>
      <c r="AI43" s="151"/>
    </row>
    <row r="44">
      <c r="B44" s="80"/>
      <c r="D44" s="25" t="str">
        <f>IMAGE("https://i.imgur.com/9kz6aYI.png")</f>
        <v/>
      </c>
      <c r="E44" s="37" t="s">
        <v>69</v>
      </c>
      <c r="F44" s="118" t="s">
        <v>114</v>
      </c>
      <c r="G44" s="119">
        <v>0.25</v>
      </c>
      <c r="H44" s="118">
        <f>IF($B$3,'API Importer'!D57,IF(ISNUMBER(F44),F44,IFERROR(ARABIC(F44),0)))</f>
        <v>0</v>
      </c>
      <c r="I44" s="37" t="str">
        <f t="shared" si="1"/>
        <v>∅</v>
      </c>
      <c r="J44" s="125" t="str">
        <f>IF(AND(H44&lt;11,H44&gt;0),"8 x "&amp;OFFSET('Minion Tiers'!$N$93,H44+1,0)&amp;" "&amp;OFFSET('Minion Tiers'!$N$93,H44+1,2),"")</f>
        <v/>
      </c>
      <c r="K44" s="121" t="str">
        <f>IF(AND(H44&lt;11,H44&gt;0),OFFSET('Minion Tiers'!$T$93,H44,0)/(1+G44),"")</f>
        <v/>
      </c>
      <c r="L44" s="122">
        <v>20.0</v>
      </c>
      <c r="M44" s="123">
        <f>IFS(H44+1&lt;=4,Bazaar!J39,1=1,Bazaar!M39/160)</f>
        <v>24.646</v>
      </c>
      <c r="N44" s="123">
        <f t="shared" si="2"/>
        <v>24.646</v>
      </c>
      <c r="O44" s="124">
        <f>IFERROR(IF(AND(N44*1&gt;0,H44&lt;11),OFFSET('Minion Tiers'!$Q$93,H44+1,0)*N44,""),"")</f>
        <v>1971.68</v>
      </c>
      <c r="Q44" s="142"/>
      <c r="R44" s="125" t="s">
        <v>72</v>
      </c>
      <c r="S44" s="125" t="s">
        <v>114</v>
      </c>
      <c r="T44" s="126">
        <v>0.25</v>
      </c>
      <c r="U44" s="125">
        <v>0.0</v>
      </c>
      <c r="V44" s="125" t="s">
        <v>112</v>
      </c>
      <c r="W44" s="125" t="s">
        <v>113</v>
      </c>
      <c r="X44" s="127" t="s">
        <v>113</v>
      </c>
      <c r="Z44" s="128"/>
      <c r="AA44" s="129" t="s">
        <v>73</v>
      </c>
      <c r="AB44" s="129" t="s">
        <v>112</v>
      </c>
      <c r="AC44" s="130">
        <v>2183.92</v>
      </c>
      <c r="AE44" s="153" t="str">
        <f t="shared" si="3"/>
        <v/>
      </c>
      <c r="AF44" s="128"/>
      <c r="AG44" s="129"/>
      <c r="AH44" s="129"/>
      <c r="AI44" s="130"/>
    </row>
    <row r="45">
      <c r="B45" s="80"/>
      <c r="D45" s="27" t="str">
        <f>IMAGE("https://i.imgur.com/25byjt7.png")</f>
        <v/>
      </c>
      <c r="E45" s="34" t="s">
        <v>71</v>
      </c>
      <c r="F45" s="104" t="s">
        <v>114</v>
      </c>
      <c r="G45" s="105">
        <v>0.25</v>
      </c>
      <c r="H45" s="104">
        <f>IF($B$3,'API Importer'!D58,IF(ISNUMBER(F45),F45,IFERROR(ARABIC(F45),0)))</f>
        <v>0</v>
      </c>
      <c r="I45" s="34" t="str">
        <f t="shared" si="1"/>
        <v>∅</v>
      </c>
      <c r="J45" s="111" t="str">
        <f>IF(AND(H45&lt;11,H45&gt;0),"8 x "&amp;OFFSET('Minion Tiers'!$N$106,H45+1,0)&amp;" "&amp;OFFSET('Minion Tiers'!$N$106,H45+1,2),"")</f>
        <v/>
      </c>
      <c r="K45" s="133" t="str">
        <f>IF(AND(H45&lt;11,H45&gt;0),OFFSET('Minion Tiers'!$T$106,H45,0)/(1+G45),"")</f>
        <v/>
      </c>
      <c r="L45" s="108"/>
      <c r="M45" s="134">
        <f>IFS(H45+1&lt;=2,Bazaar!J40,H45+1&lt;=6,Bazaar!M40/20,1=1,Bazaar!P40/20/16)</f>
        <v>12.216</v>
      </c>
      <c r="N45" s="134">
        <f t="shared" si="2"/>
        <v>12.216</v>
      </c>
      <c r="O45" s="135">
        <f>IFERROR(IF(AND(N45*1&gt;0,H45&lt;11),OFFSET('Minion Tiers'!$Q$106,H45+1,0)*N45,""),"")</f>
        <v>781.824</v>
      </c>
      <c r="Q45" s="136"/>
      <c r="R45" s="111" t="s">
        <v>73</v>
      </c>
      <c r="S45" s="111" t="s">
        <v>114</v>
      </c>
      <c r="T45" s="112">
        <v>0.25</v>
      </c>
      <c r="U45" s="111">
        <v>0.0</v>
      </c>
      <c r="V45" s="111" t="s">
        <v>112</v>
      </c>
      <c r="W45" s="111" t="s">
        <v>113</v>
      </c>
      <c r="X45" s="113" t="s">
        <v>113</v>
      </c>
      <c r="Z45" s="137"/>
      <c r="AA45" s="138" t="s">
        <v>34</v>
      </c>
      <c r="AB45" s="138" t="s">
        <v>112</v>
      </c>
      <c r="AC45" s="139">
        <v>2328.0</v>
      </c>
      <c r="AE45" s="140" t="str">
        <f t="shared" si="3"/>
        <v/>
      </c>
      <c r="AF45" s="137"/>
      <c r="AG45" s="138"/>
      <c r="AH45" s="138"/>
      <c r="AI45" s="139"/>
    </row>
    <row r="46">
      <c r="B46" s="80"/>
      <c r="D46" s="25" t="str">
        <f>IMAGE("https://i.imgur.com/VOBHTwj.png")</f>
        <v/>
      </c>
      <c r="E46" s="37" t="s">
        <v>72</v>
      </c>
      <c r="F46" s="118" t="s">
        <v>114</v>
      </c>
      <c r="G46" s="119">
        <v>0.25</v>
      </c>
      <c r="H46" s="118">
        <f>IF($B$3,'API Importer'!D59,IF(ISNUMBER(F46),F46,IFERROR(ARABIC(F46),0)))</f>
        <v>0</v>
      </c>
      <c r="I46" s="37" t="str">
        <f t="shared" si="1"/>
        <v>∅</v>
      </c>
      <c r="J46" s="125" t="str">
        <f>IF(AND(H46&lt;11,H46&gt;0),"8 x "&amp;OFFSET('Minion Tiers'!$N$119,H46+1,0)&amp;" "&amp;OFFSET('Minion Tiers'!$N$119,H46+1,2),"")</f>
        <v/>
      </c>
      <c r="K46" s="121" t="str">
        <f>IF(AND(H46&lt;11,H46&gt;0),OFFSET('Minion Tiers'!$T$119,H46,0)/(1+G46),"")</f>
        <v/>
      </c>
      <c r="L46" s="122">
        <v>200.0</v>
      </c>
      <c r="M46" s="123">
        <f>IFS(H46+1&lt;=4,Bazaar!J41,1=1,Bazaar!M41/5)</f>
        <v>82.897</v>
      </c>
      <c r="N46" s="123">
        <f t="shared" si="2"/>
        <v>82.897</v>
      </c>
      <c r="O46" s="124">
        <f>IFERROR(IF(AND(N46*1&gt;0,H46&lt;11),OFFSET('Minion Tiers'!$Q$119,H46+1,0)*N46,""),"")</f>
        <v>5305.408</v>
      </c>
      <c r="Q46" s="142"/>
      <c r="R46" s="125" t="s">
        <v>74</v>
      </c>
      <c r="S46" s="125" t="s">
        <v>114</v>
      </c>
      <c r="T46" s="126">
        <v>0.25</v>
      </c>
      <c r="U46" s="125">
        <v>0.0</v>
      </c>
      <c r="V46" s="125" t="s">
        <v>112</v>
      </c>
      <c r="W46" s="125" t="s">
        <v>113</v>
      </c>
      <c r="X46" s="127" t="s">
        <v>113</v>
      </c>
      <c r="Z46" s="128"/>
      <c r="AA46" s="129" t="s">
        <v>44</v>
      </c>
      <c r="AB46" s="129" t="s">
        <v>112</v>
      </c>
      <c r="AC46" s="130">
        <v>2360.08</v>
      </c>
      <c r="AE46" s="131" t="str">
        <f t="shared" si="3"/>
        <v/>
      </c>
      <c r="AF46" s="128"/>
      <c r="AG46" s="129"/>
      <c r="AH46" s="129"/>
      <c r="AI46" s="130"/>
    </row>
    <row r="47">
      <c r="B47" s="80"/>
      <c r="D47" s="27" t="str">
        <f>IMAGE("https://i.imgur.com/XE4NhdT.png")</f>
        <v/>
      </c>
      <c r="E47" s="34" t="s">
        <v>73</v>
      </c>
      <c r="F47" s="104" t="s">
        <v>114</v>
      </c>
      <c r="G47" s="105">
        <v>0.25</v>
      </c>
      <c r="H47" s="104">
        <f>IF($B$3,'API Importer'!D60,IF(ISNUMBER(F47),F47,IFERROR(ARABIC(F47),0)))</f>
        <v>0</v>
      </c>
      <c r="I47" s="34" t="str">
        <f t="shared" si="1"/>
        <v>∅</v>
      </c>
      <c r="J47" s="111" t="str">
        <f>IF(AND(H47&lt;11,H47&gt;0),"8 x "&amp;OFFSET('Minion Tiers'!$N$132,H47+1,0)&amp;" "&amp;OFFSET('Minion Tiers'!$N$132,H47+1,2),"")</f>
        <v/>
      </c>
      <c r="K47" s="133" t="str">
        <f>IF(AND(H47&lt;11,H47&gt;0),OFFSET('Minion Tiers'!$T$132,H47,0)/(1+G47),"")</f>
        <v/>
      </c>
      <c r="L47" s="108">
        <v>14.0</v>
      </c>
      <c r="M47" s="134">
        <f>IFS(H47+1&lt;=4,Bazaar!J42,H47+1&lt;=10,Bazaar!M42/160,1=1,Bazaar!P42/160/160)</f>
        <v>27.299</v>
      </c>
      <c r="N47" s="134">
        <f t="shared" si="2"/>
        <v>27.299</v>
      </c>
      <c r="O47" s="135">
        <f>IFERROR(IF(AND(N47*1&gt;0,H47&lt;11),OFFSET('Minion Tiers'!$Q$132,H47+1,0)*N47,""),"")</f>
        <v>2183.92</v>
      </c>
      <c r="Q47" s="136"/>
      <c r="R47" s="111" t="s">
        <v>75</v>
      </c>
      <c r="S47" s="111" t="s">
        <v>114</v>
      </c>
      <c r="T47" s="112">
        <v>0.25</v>
      </c>
      <c r="U47" s="111">
        <v>0.0</v>
      </c>
      <c r="V47" s="111" t="s">
        <v>112</v>
      </c>
      <c r="W47" s="111" t="s">
        <v>113</v>
      </c>
      <c r="X47" s="113" t="s">
        <v>113</v>
      </c>
      <c r="Z47" s="137"/>
      <c r="AA47" s="138" t="s">
        <v>31</v>
      </c>
      <c r="AB47" s="138" t="s">
        <v>112</v>
      </c>
      <c r="AC47" s="139">
        <v>2380.8</v>
      </c>
      <c r="AE47" s="140" t="str">
        <f t="shared" si="3"/>
        <v/>
      </c>
      <c r="AF47" s="137"/>
      <c r="AG47" s="138"/>
      <c r="AH47" s="138"/>
      <c r="AI47" s="139"/>
    </row>
    <row r="48">
      <c r="B48" s="80"/>
      <c r="D48" s="25" t="str">
        <f>IMAGE("https://i.imgur.com/0CiDuOu.png")</f>
        <v/>
      </c>
      <c r="E48" s="37" t="s">
        <v>74</v>
      </c>
      <c r="F48" s="118" t="s">
        <v>114</v>
      </c>
      <c r="G48" s="119">
        <v>0.25</v>
      </c>
      <c r="H48" s="118">
        <f>IF($B$3,'API Importer'!D61,IF(ISNUMBER(F48),F48,IFERROR(ARABIC(F48),0)))</f>
        <v>0</v>
      </c>
      <c r="I48" s="37" t="str">
        <f t="shared" si="1"/>
        <v>∅</v>
      </c>
      <c r="J48" s="125" t="str">
        <f>IF(AND(H48&lt;11,H48&gt;0),"8 x "&amp;OFFSET('Minion Tiers'!$N$145,H48+1,0)&amp;" "&amp;OFFSET('Minion Tiers'!$N$145,H48+1,2),"")</f>
        <v/>
      </c>
      <c r="K48" s="121" t="str">
        <f>IF(AND(H48&lt;11,H48&gt;0),OFFSET('Minion Tiers'!$T$145,H48,0)/(1+G48),"")</f>
        <v/>
      </c>
      <c r="L48" s="122"/>
      <c r="M48" s="123">
        <f>IFS(H48+1&lt;=4,Bazaar!J43,H48+1&lt;=10,Bazaar!M43/160,1=1,Bazaar!P43/64/9)</f>
        <v>4.55</v>
      </c>
      <c r="N48" s="123">
        <f t="shared" si="2"/>
        <v>4.55</v>
      </c>
      <c r="O48" s="124">
        <f>IFERROR(IF(AND(N48*1&gt;0,H48&lt;11),OFFSET('Minion Tiers'!$Q$145,H48+1,0)*N48,""),"")</f>
        <v>291.2</v>
      </c>
      <c r="Q48" s="142"/>
      <c r="R48" s="125" t="s">
        <v>76</v>
      </c>
      <c r="S48" s="125" t="s">
        <v>114</v>
      </c>
      <c r="T48" s="126">
        <v>0.25</v>
      </c>
      <c r="U48" s="125">
        <v>0.0</v>
      </c>
      <c r="V48" s="125" t="s">
        <v>112</v>
      </c>
      <c r="W48" s="125" t="s">
        <v>113</v>
      </c>
      <c r="X48" s="127" t="s">
        <v>113</v>
      </c>
      <c r="Z48" s="149"/>
      <c r="AA48" s="150" t="s">
        <v>64</v>
      </c>
      <c r="AB48" s="150" t="s">
        <v>112</v>
      </c>
      <c r="AC48" s="151">
        <v>2639.2000000000003</v>
      </c>
      <c r="AE48" s="131" t="str">
        <f t="shared" si="3"/>
        <v/>
      </c>
      <c r="AF48" s="149"/>
      <c r="AG48" s="150"/>
      <c r="AH48" s="150"/>
      <c r="AI48" s="151"/>
    </row>
    <row r="49">
      <c r="B49" s="80"/>
      <c r="D49" s="27" t="str">
        <f>IMAGE("https://i.imgur.com/LQJICNN.png")</f>
        <v/>
      </c>
      <c r="E49" s="34" t="s">
        <v>75</v>
      </c>
      <c r="F49" s="104" t="s">
        <v>114</v>
      </c>
      <c r="G49" s="105">
        <v>0.25</v>
      </c>
      <c r="H49" s="104">
        <f>IF($B$3,'API Importer'!D62,IF(ISNUMBER(F49),F49,IFERROR(ARABIC(F49),0)))</f>
        <v>0</v>
      </c>
      <c r="I49" s="34" t="str">
        <f t="shared" si="1"/>
        <v>∅</v>
      </c>
      <c r="J49" s="111" t="str">
        <f>IF(AND(H49&lt;11,H49&gt;0),"8 x "&amp;OFFSET('Minion Tiers'!$N$158,H49+1,0)&amp;" "&amp;OFFSET('Minion Tiers'!$N$158,H49+1,2),"")</f>
        <v/>
      </c>
      <c r="K49" s="133" t="str">
        <f>IF(AND(H49&lt;11,H49&gt;0),OFFSET('Minion Tiers'!$T$158,H49,0)/(1+G49),"")</f>
        <v/>
      </c>
      <c r="L49" s="108"/>
      <c r="M49" s="134">
        <f>IFS(H49+1&lt;=4,Bazaar!J44,H49+1&lt;=10,Bazaar!M44/160,1=1,Bazaar!P44/160/160)</f>
        <v>58</v>
      </c>
      <c r="N49" s="134">
        <f t="shared" si="2"/>
        <v>58</v>
      </c>
      <c r="O49" s="135">
        <f>IFERROR(IF(AND(N49*1&gt;0,H49&lt;11),OFFSET('Minion Tiers'!$Q$158,H49+1,0)*N49,""),"")</f>
        <v>3712</v>
      </c>
      <c r="Q49" s="136"/>
      <c r="R49" s="111" t="s">
        <v>77</v>
      </c>
      <c r="S49" s="111" t="s">
        <v>114</v>
      </c>
      <c r="T49" s="112">
        <v>0.25</v>
      </c>
      <c r="U49" s="111">
        <v>0.0</v>
      </c>
      <c r="V49" s="111" t="s">
        <v>112</v>
      </c>
      <c r="W49" s="111" t="s">
        <v>113</v>
      </c>
      <c r="X49" s="113" t="s">
        <v>113</v>
      </c>
      <c r="Z49" s="145"/>
      <c r="AA49" s="146" t="s">
        <v>32</v>
      </c>
      <c r="AB49" s="146" t="s">
        <v>112</v>
      </c>
      <c r="AC49" s="147">
        <v>3154.88</v>
      </c>
      <c r="AE49" s="140" t="str">
        <f t="shared" si="3"/>
        <v/>
      </c>
      <c r="AF49" s="145"/>
      <c r="AG49" s="146"/>
      <c r="AH49" s="146"/>
      <c r="AI49" s="147"/>
    </row>
    <row r="50">
      <c r="B50" s="80"/>
      <c r="D50" s="25" t="str">
        <f>IMAGE("https://i.imgur.com/k8vXlxP.png")</f>
        <v/>
      </c>
      <c r="E50" s="37" t="s">
        <v>76</v>
      </c>
      <c r="F50" s="118" t="s">
        <v>114</v>
      </c>
      <c r="G50" s="119">
        <v>0.25</v>
      </c>
      <c r="H50" s="118">
        <f>IF($B$3,'API Importer'!D63,IF(ISNUMBER(F50),F50,IFERROR(ARABIC(F50),0)))</f>
        <v>0</v>
      </c>
      <c r="I50" s="37" t="str">
        <f t="shared" si="1"/>
        <v>∅</v>
      </c>
      <c r="J50" s="125" t="str">
        <f>IF(AND(H50&lt;11,H50&gt;0),"8 x "&amp;OFFSET('Minion Tiers'!$N$171,H50+1,0)&amp;" "&amp;OFFSET('Minion Tiers'!$N$171,H50+1,2),"")</f>
        <v/>
      </c>
      <c r="K50" s="121" t="str">
        <f>IF(AND(H50&lt;11,H50&gt;0),OFFSET('Minion Tiers'!$T$171,H50,0)/(1+G50),"")</f>
        <v/>
      </c>
      <c r="L50" s="122"/>
      <c r="M50" s="123">
        <f>IFS(H50+1&lt;=4,Bazaar!J45,1=1,Bazaar!M45/160)</f>
        <v>57.297</v>
      </c>
      <c r="N50" s="123">
        <f t="shared" si="2"/>
        <v>57.297</v>
      </c>
      <c r="O50" s="124">
        <f>IFERROR(IF(AND(N50*1&gt;0,H50&lt;11),OFFSET('Minion Tiers'!$Q$171,H50+1,0)*N50,""),"")</f>
        <v>3667.008</v>
      </c>
      <c r="Q50" s="142"/>
      <c r="R50" s="125" t="s">
        <v>78</v>
      </c>
      <c r="S50" s="125" t="s">
        <v>114</v>
      </c>
      <c r="T50" s="126">
        <v>0.25</v>
      </c>
      <c r="U50" s="125">
        <v>0.0</v>
      </c>
      <c r="V50" s="125" t="s">
        <v>112</v>
      </c>
      <c r="W50" s="125" t="s">
        <v>113</v>
      </c>
      <c r="X50" s="127" t="s">
        <v>113</v>
      </c>
      <c r="Z50" s="149"/>
      <c r="AA50" s="150" t="s">
        <v>76</v>
      </c>
      <c r="AB50" s="150" t="s">
        <v>112</v>
      </c>
      <c r="AC50" s="151">
        <v>3667.008</v>
      </c>
      <c r="AE50" s="131" t="str">
        <f t="shared" si="3"/>
        <v/>
      </c>
      <c r="AF50" s="149"/>
      <c r="AG50" s="150"/>
      <c r="AH50" s="150"/>
      <c r="AI50" s="151"/>
    </row>
    <row r="51">
      <c r="B51" s="80"/>
      <c r="D51" s="27" t="str">
        <f>IMAGE("https://i.imgur.com/Fz5JvTX.png")</f>
        <v/>
      </c>
      <c r="E51" s="34" t="s">
        <v>77</v>
      </c>
      <c r="F51" s="104" t="s">
        <v>114</v>
      </c>
      <c r="G51" s="105">
        <v>0.25</v>
      </c>
      <c r="H51" s="104">
        <f>IF($B$3,'API Importer'!D64,IF(ISNUMBER(F51),F51,IFERROR(ARABIC(F51),0)))</f>
        <v>0</v>
      </c>
      <c r="I51" s="34" t="str">
        <f t="shared" si="1"/>
        <v>∅</v>
      </c>
      <c r="J51" s="111" t="str">
        <f>IF(AND(H51&lt;11,H51&gt;0),"8 x "&amp;OFFSET('Minion Tiers'!$N$184,H51+1,0)&amp;" "&amp;OFFSET('Minion Tiers'!$N$184,H51+1,2),"")</f>
        <v/>
      </c>
      <c r="K51" s="133" t="str">
        <f>IF(AND(H51&lt;11,H51&gt;0),OFFSET('Minion Tiers'!$T$184,H51,0)/(1+G51),"")</f>
        <v/>
      </c>
      <c r="L51" s="108"/>
      <c r="M51" s="134">
        <f>IFS(H51+1&lt;=4,Bazaar!J46,H51+1&lt;=10,Bazaar!M46/160,1=1,Bazaar!P46/160/160)</f>
        <v>25.05</v>
      </c>
      <c r="N51" s="134">
        <f t="shared" si="2"/>
        <v>25.05</v>
      </c>
      <c r="O51" s="135">
        <f>IFERROR(IF(AND(N51*1&gt;0,H51&lt;11),OFFSET('Minion Tiers'!$Q$184,H51+1,0)*N51,""),"")</f>
        <v>1603.2</v>
      </c>
      <c r="Q51" s="136"/>
      <c r="R51" s="111" t="s">
        <v>79</v>
      </c>
      <c r="S51" s="111" t="s">
        <v>114</v>
      </c>
      <c r="T51" s="112">
        <v>0.25</v>
      </c>
      <c r="U51" s="111">
        <v>0.0</v>
      </c>
      <c r="V51" s="111" t="s">
        <v>112</v>
      </c>
      <c r="W51" s="111" t="s">
        <v>113</v>
      </c>
      <c r="X51" s="113" t="s">
        <v>113</v>
      </c>
      <c r="Z51" s="145"/>
      <c r="AA51" s="146" t="s">
        <v>75</v>
      </c>
      <c r="AB51" s="146" t="s">
        <v>112</v>
      </c>
      <c r="AC51" s="147">
        <v>3712.0</v>
      </c>
      <c r="AE51" s="140" t="str">
        <f t="shared" si="3"/>
        <v/>
      </c>
      <c r="AF51" s="145"/>
      <c r="AG51" s="146"/>
      <c r="AH51" s="146"/>
      <c r="AI51" s="147"/>
    </row>
    <row r="52">
      <c r="B52" s="80"/>
      <c r="D52" s="25" t="str">
        <f>IMAGE("https://i.imgur.com/ejjXJR7.png")</f>
        <v/>
      </c>
      <c r="E52" s="37" t="s">
        <v>78</v>
      </c>
      <c r="F52" s="118" t="s">
        <v>114</v>
      </c>
      <c r="G52" s="119">
        <v>0.25</v>
      </c>
      <c r="H52" s="118">
        <f>IF($B$3,'API Importer'!D65,IF(ISNUMBER(F52),F52,IFERROR(ARABIC(F52),0)))</f>
        <v>0</v>
      </c>
      <c r="I52" s="37" t="str">
        <f t="shared" si="1"/>
        <v>∅</v>
      </c>
      <c r="J52" s="125" t="str">
        <f>IF(AND(H52&lt;11,H52&gt;0),"8 x "&amp;OFFSET('Minion Tiers'!$N$197,H52+1,0)&amp;" "&amp;OFFSET('Minion Tiers'!$N$197,H52+1,2),"")</f>
        <v/>
      </c>
      <c r="K52" s="121" t="str">
        <f>IF(AND(H52&lt;11,H52&gt;0),OFFSET('Minion Tiers'!$T$197,H52,0)/(1+G52),"")</f>
        <v/>
      </c>
      <c r="L52" s="122">
        <f>IF(AND(H51+1&gt;4,H51+1&lt;10),10,0)</f>
        <v>0</v>
      </c>
      <c r="M52" s="123">
        <f>IFS(H52+1&lt;=4,Bazaar!J47,H52+1&lt;=10,Bazaar!M47/160,1=1,Bazaar!P47/64/9)</f>
        <v>95.17</v>
      </c>
      <c r="N52" s="123">
        <f t="shared" si="2"/>
        <v>95.17</v>
      </c>
      <c r="O52" s="124">
        <f>IFERROR(IF(AND(N52*1&gt;0,H52&lt;11),OFFSET('Minion Tiers'!$Q$197,H52+1,0)*N52,""),"")</f>
        <v>6090.88</v>
      </c>
      <c r="Q52" s="142"/>
      <c r="R52" s="125" t="s">
        <v>80</v>
      </c>
      <c r="S52" s="125" t="s">
        <v>114</v>
      </c>
      <c r="T52" s="126">
        <v>0.25</v>
      </c>
      <c r="U52" s="125">
        <v>0.0</v>
      </c>
      <c r="V52" s="125" t="s">
        <v>112</v>
      </c>
      <c r="W52" s="125" t="s">
        <v>113</v>
      </c>
      <c r="X52" s="127" t="s">
        <v>113</v>
      </c>
      <c r="Z52" s="149"/>
      <c r="AA52" s="150" t="s">
        <v>72</v>
      </c>
      <c r="AB52" s="150" t="s">
        <v>112</v>
      </c>
      <c r="AC52" s="151">
        <v>5305.408</v>
      </c>
      <c r="AE52" s="131" t="str">
        <f t="shared" si="3"/>
        <v/>
      </c>
      <c r="AF52" s="149"/>
      <c r="AG52" s="150"/>
      <c r="AH52" s="150"/>
      <c r="AI52" s="151"/>
    </row>
    <row r="53">
      <c r="B53" s="80"/>
      <c r="D53" s="27" t="str">
        <f>IMAGE("https://i.imgur.com/7y0cyru.png")</f>
        <v/>
      </c>
      <c r="E53" s="34" t="s">
        <v>79</v>
      </c>
      <c r="F53" s="104" t="s">
        <v>114</v>
      </c>
      <c r="G53" s="105">
        <v>0.25</v>
      </c>
      <c r="H53" s="104">
        <f>IF($B$3,'API Importer'!D66,IF(ISNUMBER(F53),F53,IFERROR(ARABIC(F53),0)))</f>
        <v>0</v>
      </c>
      <c r="I53" s="34" t="str">
        <f t="shared" si="1"/>
        <v>∅</v>
      </c>
      <c r="J53" s="111" t="str">
        <f>IF(AND(H53&lt;11,H53&gt;0),"8 x "&amp;OFFSET('Minion Tiers'!$N$210,H53+1,0)&amp;" "&amp;OFFSET('Minion Tiers'!$N$210,H53+1,2),"")</f>
        <v/>
      </c>
      <c r="K53" s="133" t="str">
        <f>IF(AND(H53&lt;11,H53&gt;0),OFFSET('Minion Tiers'!$T$210,H53,0)/(1+G53),"")</f>
        <v/>
      </c>
      <c r="L53" s="108">
        <v>5.0</v>
      </c>
      <c r="M53" s="134">
        <f>IFS(H53+1&lt;=4,Bazaar!J48,1=1,Bazaar!M48/160)</f>
        <v>12.95</v>
      </c>
      <c r="N53" s="134">
        <f t="shared" si="2"/>
        <v>12.95</v>
      </c>
      <c r="O53" s="135">
        <f>IFERROR(IF(AND(N53*1&gt;0,H53&lt;11),OFFSET('Minion Tiers'!$Q$210,H53+1,0)*N53,""),"")</f>
        <v>1036</v>
      </c>
      <c r="Q53" s="136"/>
      <c r="R53" s="111" t="s">
        <v>81</v>
      </c>
      <c r="S53" s="111" t="s">
        <v>114</v>
      </c>
      <c r="T53" s="112">
        <v>0.25</v>
      </c>
      <c r="U53" s="111">
        <v>0.0</v>
      </c>
      <c r="V53" s="111" t="s">
        <v>112</v>
      </c>
      <c r="W53" s="111" t="s">
        <v>113</v>
      </c>
      <c r="X53" s="113" t="s">
        <v>113</v>
      </c>
      <c r="Z53" s="154"/>
      <c r="AA53" s="155" t="s">
        <v>119</v>
      </c>
      <c r="AB53" s="155" t="s">
        <v>112</v>
      </c>
      <c r="AC53" s="156">
        <v>5595.712</v>
      </c>
      <c r="AE53" s="140" t="str">
        <f t="shared" si="3"/>
        <v/>
      </c>
      <c r="AF53" s="154"/>
      <c r="AG53" s="155"/>
      <c r="AH53" s="155"/>
      <c r="AI53" s="156"/>
    </row>
    <row r="54">
      <c r="B54" s="80"/>
      <c r="D54" s="25" t="str">
        <f>IMAGE("https://i.imgur.com/SyIYcTP.png")</f>
        <v/>
      </c>
      <c r="E54" s="37" t="s">
        <v>80</v>
      </c>
      <c r="F54" s="118" t="s">
        <v>114</v>
      </c>
      <c r="G54" s="119">
        <v>0.25</v>
      </c>
      <c r="H54" s="118">
        <f>IF($B$3,'API Importer'!D67,IF(ISNUMBER(F54),F54,IFERROR(ARABIC(F54),0)))</f>
        <v>0</v>
      </c>
      <c r="I54" s="37" t="str">
        <f t="shared" si="1"/>
        <v>∅</v>
      </c>
      <c r="J54" s="125" t="str">
        <f>IF(AND(H54&lt;11,H54&gt;0),"8 x "&amp;OFFSET('Minion Tiers'!$N$223,H54+1,0)&amp;" "&amp;OFFSET('Minion Tiers'!$N$223,H54+1,2),"")</f>
        <v/>
      </c>
      <c r="K54" s="121" t="str">
        <f>IF(AND(H54&lt;11,H54&gt;0),OFFSET('Minion Tiers'!$T$223,H54,0)/(1+G54),"")</f>
        <v/>
      </c>
      <c r="L54" s="122">
        <v>5.0</v>
      </c>
      <c r="M54" s="123">
        <f>IFS(H54+1&lt;=4,Bazaar!J49,1=1,Bazaar!M49/160)</f>
        <v>9.7</v>
      </c>
      <c r="N54" s="123">
        <f t="shared" si="2"/>
        <v>9.7</v>
      </c>
      <c r="O54" s="124">
        <f>IFERROR(IF(AND(N54*1&gt;0,H54&lt;11),OFFSET('Minion Tiers'!$Q$223,H54+1,0)*N54,""),"")</f>
        <v>776</v>
      </c>
      <c r="Q54" s="142"/>
      <c r="R54" s="125" t="s">
        <v>82</v>
      </c>
      <c r="S54" s="125" t="s">
        <v>114</v>
      </c>
      <c r="T54" s="126">
        <v>0.25</v>
      </c>
      <c r="U54" s="125">
        <v>0.0</v>
      </c>
      <c r="V54" s="125" t="s">
        <v>112</v>
      </c>
      <c r="W54" s="125" t="s">
        <v>113</v>
      </c>
      <c r="X54" s="127" t="s">
        <v>113</v>
      </c>
      <c r="Z54" s="157"/>
      <c r="AA54" s="158" t="s">
        <v>78</v>
      </c>
      <c r="AB54" s="158" t="s">
        <v>112</v>
      </c>
      <c r="AC54" s="159">
        <v>6090.88</v>
      </c>
      <c r="AE54" s="148" t="str">
        <f t="shared" si="3"/>
        <v/>
      </c>
      <c r="AF54" s="157"/>
      <c r="AG54" s="158"/>
      <c r="AH54" s="158"/>
      <c r="AI54" s="159"/>
    </row>
    <row r="55">
      <c r="B55" s="80"/>
      <c r="D55" s="27" t="str">
        <f>IMAGE("https://i.imgur.com/RW0qG2E.png")</f>
        <v/>
      </c>
      <c r="E55" s="34" t="s">
        <v>81</v>
      </c>
      <c r="F55" s="104" t="s">
        <v>114</v>
      </c>
      <c r="G55" s="105">
        <v>0.25</v>
      </c>
      <c r="H55" s="104">
        <f>IF($B$3,'API Importer'!D68,IF(ISNUMBER(F55),F55,IFERROR(ARABIC(F55),0)))</f>
        <v>0</v>
      </c>
      <c r="I55" s="34" t="str">
        <f t="shared" si="1"/>
        <v>∅</v>
      </c>
      <c r="J55" s="111" t="str">
        <f>IF(AND(H55&lt;11,H55&gt;0),"8 x "&amp;OFFSET('Minion Tiers'!$N$236,H55+1,0)&amp;" "&amp;OFFSET('Minion Tiers'!$N$236,H55+1,2),"")</f>
        <v/>
      </c>
      <c r="K55" s="133" t="str">
        <f>IF(AND(H55&lt;11,H55&gt;0),OFFSET('Minion Tiers'!$T$236,H55,0)/(1+G55),"")</f>
        <v/>
      </c>
      <c r="L55" s="108">
        <v>5.0</v>
      </c>
      <c r="M55" s="134">
        <f>IFS(H55+1&lt;=4,Bazaar!J50,1=1,Bazaar!M50/160)</f>
        <v>14.8</v>
      </c>
      <c r="N55" s="134">
        <f t="shared" si="2"/>
        <v>14.8</v>
      </c>
      <c r="O55" s="135">
        <f>IFERROR(IF(AND(N55*1&gt;0,H55&lt;11),OFFSET('Minion Tiers'!$Q$236,H55+1,0)*N55,""),"")</f>
        <v>1184</v>
      </c>
      <c r="Q55" s="136"/>
      <c r="R55" s="111" t="s">
        <v>84</v>
      </c>
      <c r="S55" s="111" t="s">
        <v>114</v>
      </c>
      <c r="T55" s="112">
        <v>0.25</v>
      </c>
      <c r="U55" s="111">
        <v>0.0</v>
      </c>
      <c r="V55" s="111" t="s">
        <v>112</v>
      </c>
      <c r="W55" s="111" t="s">
        <v>113</v>
      </c>
      <c r="X55" s="113" t="s">
        <v>113</v>
      </c>
      <c r="Z55" s="160"/>
      <c r="AA55" s="161" t="s">
        <v>48</v>
      </c>
      <c r="AB55" s="161" t="s">
        <v>112</v>
      </c>
      <c r="AC55" s="162">
        <v>9975.552</v>
      </c>
      <c r="AE55" s="152" t="str">
        <f t="shared" si="3"/>
        <v/>
      </c>
      <c r="AF55" s="160"/>
      <c r="AG55" s="161"/>
      <c r="AH55" s="161"/>
      <c r="AI55" s="162"/>
    </row>
    <row r="56">
      <c r="B56" s="80"/>
      <c r="D56" s="25" t="str">
        <f>IMAGE("https://i.imgur.com/c7YcXSk.png")</f>
        <v/>
      </c>
      <c r="E56" s="37" t="s">
        <v>82</v>
      </c>
      <c r="F56" s="118" t="s">
        <v>114</v>
      </c>
      <c r="G56" s="119">
        <v>0.25</v>
      </c>
      <c r="H56" s="118">
        <f>IF($B$3,'API Importer'!D69,IF(ISNUMBER(F56),F56,IFERROR(ARABIC(F56),0)))</f>
        <v>0</v>
      </c>
      <c r="I56" s="37" t="str">
        <f t="shared" si="1"/>
        <v>∅</v>
      </c>
      <c r="J56" s="125" t="str">
        <f>IF(AND(H56&lt;11,H56&gt;0),"8 x "&amp;OFFSET('Minion Tiers'!$N$249,H56+1,0)&amp;" "&amp;OFFSET('Minion Tiers'!$N$249,H56+1,2),"")</f>
        <v/>
      </c>
      <c r="K56" s="121" t="str">
        <f>IF(AND(H56&lt;11,H56&gt;0),OFFSET('Minion Tiers'!$T$249,H56,0)/(1+G56),"")</f>
        <v/>
      </c>
      <c r="L56" s="122">
        <v>5.0</v>
      </c>
      <c r="M56" s="123">
        <f>IFS(H56+1&lt;=4,Bazaar!J51,1=1,Bazaar!M51/160)</f>
        <v>7.078</v>
      </c>
      <c r="N56" s="123">
        <f t="shared" si="2"/>
        <v>7.078</v>
      </c>
      <c r="O56" s="124">
        <f>IFERROR(IF(AND(N56*1&gt;0,H56&lt;11),OFFSET('Minion Tiers'!$Q$249,H56+1,0)*N56,""),"")</f>
        <v>566.24</v>
      </c>
      <c r="Q56" s="142"/>
      <c r="R56" s="125" t="s">
        <v>85</v>
      </c>
      <c r="S56" s="125" t="s">
        <v>114</v>
      </c>
      <c r="T56" s="126">
        <v>0.25</v>
      </c>
      <c r="U56" s="125">
        <v>0.0</v>
      </c>
      <c r="V56" s="125" t="s">
        <v>112</v>
      </c>
      <c r="W56" s="125" t="s">
        <v>113</v>
      </c>
      <c r="X56" s="127" t="s">
        <v>113</v>
      </c>
      <c r="Z56" s="157"/>
      <c r="AA56" s="158" t="s">
        <v>66</v>
      </c>
      <c r="AB56" s="158" t="s">
        <v>112</v>
      </c>
      <c r="AC56" s="159">
        <v>11477.34</v>
      </c>
      <c r="AE56" s="153" t="str">
        <f t="shared" si="3"/>
        <v/>
      </c>
      <c r="AF56" s="157"/>
      <c r="AG56" s="158"/>
      <c r="AH56" s="158"/>
      <c r="AI56" s="159"/>
    </row>
    <row r="57">
      <c r="B57" s="80"/>
      <c r="D57" s="27" t="str">
        <f>IMAGE("https://i.imgur.com/2nK1j4e.png")</f>
        <v/>
      </c>
      <c r="E57" s="34" t="s">
        <v>84</v>
      </c>
      <c r="F57" s="104" t="s">
        <v>114</v>
      </c>
      <c r="G57" s="105">
        <v>0.25</v>
      </c>
      <c r="H57" s="104">
        <f>IF($B$3,'API Importer'!D70,IF(ISNUMBER(F57),F57,IFERROR(ARABIC(F57),0)))</f>
        <v>0</v>
      </c>
      <c r="I57" s="34" t="str">
        <f t="shared" si="1"/>
        <v>∅</v>
      </c>
      <c r="J57" s="111" t="str">
        <f>IF(AND(H57&lt;11,H57&gt;0),"8 x "&amp;OFFSET('Minion Tiers'!$N$262,H57+1,0)&amp;" "&amp;OFFSET('Minion Tiers'!$N$262,H57+1,2),"")</f>
        <v/>
      </c>
      <c r="K57" s="133" t="str">
        <f>IF(AND(H57&lt;11,H57&gt;0),OFFSET('Minion Tiers'!$T$262,H57,0)/(1+G57),"")</f>
        <v/>
      </c>
      <c r="L57" s="108">
        <v>5.0</v>
      </c>
      <c r="M57" s="134">
        <f>IFS(H57+1&lt;=4,Bazaar!J52,1=1,Bazaar!M52/160)</f>
        <v>13.689</v>
      </c>
      <c r="N57" s="134">
        <f t="shared" si="2"/>
        <v>13.689</v>
      </c>
      <c r="O57" s="135">
        <f>IFERROR(IF(AND(N57*1&gt;0,H57&lt;11),OFFSET('Minion Tiers'!$Q$262,H57+1,0)*N57,""),"")</f>
        <v>1095.12</v>
      </c>
      <c r="Q57" s="136"/>
      <c r="R57" s="111" t="s">
        <v>86</v>
      </c>
      <c r="S57" s="111" t="s">
        <v>114</v>
      </c>
      <c r="T57" s="112">
        <v>0.25</v>
      </c>
      <c r="U57" s="111">
        <v>0.0</v>
      </c>
      <c r="V57" s="111" t="s">
        <v>112</v>
      </c>
      <c r="W57" s="111" t="s">
        <v>113</v>
      </c>
      <c r="X57" s="113" t="s">
        <v>113</v>
      </c>
      <c r="Z57" s="160"/>
      <c r="AA57" s="161" t="s">
        <v>51</v>
      </c>
      <c r="AB57" s="161" t="s">
        <v>112</v>
      </c>
      <c r="AC57" s="162">
        <v>71124.608</v>
      </c>
      <c r="AE57" s="152" t="str">
        <f t="shared" si="3"/>
        <v/>
      </c>
      <c r="AF57" s="160"/>
      <c r="AG57" s="161"/>
      <c r="AH57" s="161"/>
      <c r="AI57" s="162"/>
    </row>
    <row r="58">
      <c r="B58" s="80"/>
      <c r="D58" s="25" t="str">
        <f>IMAGE("https://i.imgur.com/IWClRO2.png")</f>
        <v/>
      </c>
      <c r="E58" s="37" t="s">
        <v>85</v>
      </c>
      <c r="F58" s="118" t="s">
        <v>114</v>
      </c>
      <c r="G58" s="119">
        <v>0.25</v>
      </c>
      <c r="H58" s="118">
        <f>IF($B$3,'API Importer'!D71,IF(ISNUMBER(F58),F58,IFERROR(ARABIC(F58),0)))</f>
        <v>0</v>
      </c>
      <c r="I58" s="37" t="str">
        <f t="shared" si="1"/>
        <v>∅</v>
      </c>
      <c r="J58" s="125" t="str">
        <f>IF(AND(H58&lt;11,H58&gt;0),"8 x "&amp;OFFSET('Minion Tiers'!$N$275,H58+1,0)&amp;" "&amp;OFFSET('Minion Tiers'!$N$275,H58+1,2),"")</f>
        <v/>
      </c>
      <c r="K58" s="121" t="str">
        <f>IF(AND(H58&lt;11,H58&gt;0),OFFSET('Minion Tiers'!$T$275,H58,0)/(1+G58),"")</f>
        <v/>
      </c>
      <c r="L58" s="122">
        <v>5.0</v>
      </c>
      <c r="M58" s="123">
        <f>IFS(H58+1&lt;=4,Bazaar!J53,1=1,Bazaar!M53/160)</f>
        <v>15.4</v>
      </c>
      <c r="N58" s="123">
        <f t="shared" si="2"/>
        <v>15.4</v>
      </c>
      <c r="O58" s="124">
        <f>IFERROR(IF(AND(N58*1&gt;0,H58&lt;11),OFFSET('Minion Tiers'!$Q$275,H58+1,0)*N58,""),"")</f>
        <v>1232</v>
      </c>
      <c r="Q58" s="163"/>
      <c r="R58" s="164" t="s">
        <v>62</v>
      </c>
      <c r="S58" s="164" t="s">
        <v>114</v>
      </c>
      <c r="T58" s="165">
        <v>0.25</v>
      </c>
      <c r="U58" s="164">
        <v>0.0</v>
      </c>
      <c r="V58" s="164" t="s">
        <v>112</v>
      </c>
      <c r="W58" s="164" t="s">
        <v>113</v>
      </c>
      <c r="X58" s="166" t="s">
        <v>120</v>
      </c>
      <c r="Z58" s="157"/>
      <c r="AA58" s="158"/>
      <c r="AB58" s="158"/>
      <c r="AC58" s="159"/>
      <c r="AE58" s="167" t="str">
        <f t="shared" si="3"/>
        <v/>
      </c>
      <c r="AF58" s="157"/>
      <c r="AG58" s="158"/>
      <c r="AH58" s="158"/>
      <c r="AI58" s="159"/>
    </row>
    <row r="59">
      <c r="B59" s="80"/>
      <c r="C59" s="12"/>
      <c r="D59" s="27" t="str">
        <f>IMAGE("https://i.imgur.com/raghxwE.png")</f>
        <v/>
      </c>
      <c r="E59" s="34" t="s">
        <v>86</v>
      </c>
      <c r="F59" s="104" t="s">
        <v>114</v>
      </c>
      <c r="G59" s="105">
        <v>0.25</v>
      </c>
      <c r="H59" s="104">
        <f>IF($B$3,'API Importer'!D72,IF(ISNUMBER(F59),F59,IFERROR(ARABIC(F59),0)))</f>
        <v>0</v>
      </c>
      <c r="I59" s="34" t="str">
        <f t="shared" si="1"/>
        <v>∅</v>
      </c>
      <c r="J59" s="111" t="str">
        <f>IF(AND(H59&lt;11,H59&gt;0),"8 x "&amp;OFFSET('Minion Tiers'!$N$288,H59+1,0)&amp;" "&amp;OFFSET('Minion Tiers'!$N$288,H59+1,2),"")</f>
        <v/>
      </c>
      <c r="K59" s="133" t="str">
        <f>IF(AND(H59&lt;11,H59&gt;0),OFFSET('Minion Tiers'!$T$288,H59,0)/(1+G59),"")</f>
        <v/>
      </c>
      <c r="L59" s="108"/>
      <c r="M59" s="168">
        <f>IFS(H59+1&lt;=4,Bazaar!J54,H59+1&lt;=10,Bazaar!M54/160,1=1,Bazaar!P54/160/160)</f>
        <v>7.784</v>
      </c>
      <c r="N59" s="134">
        <f t="shared" si="2"/>
        <v>7.784</v>
      </c>
      <c r="O59" s="135">
        <f>IFERROR(IF(AND(N59*1&gt;0,H59&lt;11),OFFSET('Minion Tiers'!$Q$275,H59+1,0)*N59,""),"")</f>
        <v>622.72</v>
      </c>
      <c r="Q59" s="163"/>
      <c r="R59" s="164" t="s">
        <v>66</v>
      </c>
      <c r="S59" s="164" t="s">
        <v>114</v>
      </c>
      <c r="T59" s="165">
        <v>0.25</v>
      </c>
      <c r="U59" s="164">
        <v>0.0</v>
      </c>
      <c r="V59" s="164" t="s">
        <v>112</v>
      </c>
      <c r="W59" s="164" t="s">
        <v>113</v>
      </c>
      <c r="X59" s="166" t="s">
        <v>120</v>
      </c>
      <c r="Z59" s="169"/>
      <c r="AA59" s="170"/>
      <c r="AB59" s="170"/>
      <c r="AC59" s="171"/>
      <c r="AE59" s="172"/>
      <c r="AF59" s="169"/>
      <c r="AG59" s="170"/>
      <c r="AH59" s="170"/>
      <c r="AI59" s="171"/>
    </row>
    <row r="60">
      <c r="B60" s="40"/>
      <c r="D60" s="173"/>
      <c r="E60" s="3"/>
      <c r="F60" s="3"/>
      <c r="G60" s="3"/>
      <c r="H60" s="3"/>
      <c r="I60" s="3"/>
      <c r="J60" s="3"/>
      <c r="K60" s="3"/>
      <c r="L60" s="3"/>
      <c r="M60" s="3"/>
      <c r="N60" s="3"/>
      <c r="O60" s="3"/>
      <c r="Q60" s="174"/>
      <c r="R60" s="3"/>
      <c r="S60" s="3"/>
      <c r="T60" s="3"/>
      <c r="U60" s="3"/>
      <c r="V60" s="3"/>
      <c r="W60" s="3"/>
      <c r="X60" s="3"/>
      <c r="Z60" s="80"/>
      <c r="AE60" s="81"/>
      <c r="AF60" s="81"/>
    </row>
  </sheetData>
  <mergeCells count="97">
    <mergeCell ref="Z3:AC3"/>
    <mergeCell ref="Z4:AC4"/>
    <mergeCell ref="Z2:AC2"/>
    <mergeCell ref="Z5:AC5"/>
    <mergeCell ref="AF5:AI5"/>
    <mergeCell ref="Z6:AA6"/>
    <mergeCell ref="AF6:AG6"/>
    <mergeCell ref="Z60:AC60"/>
    <mergeCell ref="AF60:AI60"/>
    <mergeCell ref="Z1:AC1"/>
    <mergeCell ref="AD1:AD60"/>
    <mergeCell ref="AF1:AI1"/>
    <mergeCell ref="AJ1:AJ60"/>
    <mergeCell ref="AF2:AI2"/>
    <mergeCell ref="AF3:AI3"/>
    <mergeCell ref="AF4:AI4"/>
    <mergeCell ref="B2:C2"/>
    <mergeCell ref="G2:I2"/>
    <mergeCell ref="K2:K3"/>
    <mergeCell ref="L2:L3"/>
    <mergeCell ref="B3:C3"/>
    <mergeCell ref="G3:I3"/>
    <mergeCell ref="B4:C4"/>
    <mergeCell ref="E4:J4"/>
    <mergeCell ref="K4:O4"/>
    <mergeCell ref="Q4:X4"/>
    <mergeCell ref="B5:C5"/>
    <mergeCell ref="D5:O5"/>
    <mergeCell ref="B1:C1"/>
    <mergeCell ref="B6:C6"/>
    <mergeCell ref="Q5:X5"/>
    <mergeCell ref="Q6:R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Q1:X1"/>
    <mergeCell ref="Q2:X3"/>
    <mergeCell ref="D60:O60"/>
    <mergeCell ref="Q60:X60"/>
    <mergeCell ref="A1:A60"/>
    <mergeCell ref="D1:D4"/>
    <mergeCell ref="E1:O1"/>
    <mergeCell ref="P1:P60"/>
    <mergeCell ref="Y1:Y60"/>
    <mergeCell ref="M2:N3"/>
    <mergeCell ref="D6:E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s>
  <conditionalFormatting sqref="F7:F59">
    <cfRule type="expression" dxfId="3" priority="1">
      <formula>$B$3=TRUE</formula>
    </cfRule>
  </conditionalFormatting>
  <dataValidations>
    <dataValidation type="list" allowBlank="1" sqref="F7:F59">
      <formula1>"∅,I,II,III,IV,V,VI,VII,VIII,IX,X,XI,XII"</formula1>
    </dataValidation>
    <dataValidation type="list" allowBlank="1" showErrorMessage="1" sqref="Q5">
      <formula1>"Fastest Upgrades,Fastest Non-Purchaseable Upgrades"</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9000"/>
    <outlinePr summaryBelow="0" summaryRight="0"/>
  </sheetPr>
  <sheetViews>
    <sheetView workbookViewId="0"/>
  </sheetViews>
  <sheetFormatPr customHeight="1" defaultColWidth="12.63" defaultRowHeight="15.75"/>
  <cols>
    <col customWidth="1" min="1" max="1" width="4.5"/>
    <col customWidth="1" min="2" max="2" width="3.25"/>
    <col customWidth="1" min="3" max="3" width="11.38"/>
    <col customWidth="1" hidden="1" min="4" max="4" width="12.38"/>
    <col customWidth="1" min="5" max="5" width="15.75"/>
    <col customWidth="1" hidden="1" min="6" max="6" width="15.75"/>
    <col customWidth="1" min="7" max="7" width="13.88"/>
    <col customWidth="1" min="8" max="8" width="10.75"/>
    <col customWidth="1" min="9" max="9" width="9.5"/>
    <col customWidth="1" hidden="1" min="10" max="10" width="10.13"/>
    <col customWidth="1" min="11" max="11" width="10.75"/>
    <col customWidth="1" hidden="1" min="12" max="14" width="7.0"/>
    <col customWidth="1" min="15" max="15" width="11.38"/>
    <col customWidth="1" min="16" max="16" width="8.13"/>
    <col customWidth="1" min="17" max="17" width="20.88"/>
    <col customWidth="1" hidden="1" min="18" max="20" width="7.63"/>
    <col customWidth="1" min="21" max="21" width="8.88"/>
    <col customWidth="1" min="22" max="22" width="8.13"/>
    <col customWidth="1" hidden="1" min="24" max="24" width="12.0"/>
    <col customWidth="1" hidden="1" min="25" max="25" width="10.13"/>
    <col customWidth="1" min="26" max="26" width="13.88"/>
    <col customWidth="1" min="27" max="28" width="3.25"/>
    <col customWidth="1" min="31" max="32" width="3.25"/>
    <col customWidth="1" min="34" max="34" width="13.88"/>
    <col customWidth="1" min="35" max="35" width="4.5"/>
  </cols>
  <sheetData>
    <row r="1">
      <c r="A1" s="80"/>
      <c r="B1" s="40"/>
      <c r="AA1" s="175"/>
      <c r="AB1" s="175"/>
      <c r="AE1" s="176"/>
      <c r="AF1" s="175"/>
      <c r="AI1" s="40"/>
    </row>
    <row r="2">
      <c r="B2" s="99" t="s">
        <v>101</v>
      </c>
      <c r="C2" s="17"/>
      <c r="D2" s="18" t="s">
        <v>121</v>
      </c>
      <c r="E2" s="16" t="s">
        <v>122</v>
      </c>
      <c r="F2" s="18" t="s">
        <v>103</v>
      </c>
      <c r="G2" s="18" t="s">
        <v>123</v>
      </c>
      <c r="H2" s="18" t="s">
        <v>102</v>
      </c>
      <c r="I2" s="18" t="s">
        <v>124</v>
      </c>
      <c r="J2" s="18" t="s">
        <v>125</v>
      </c>
      <c r="K2" s="16" t="s">
        <v>126</v>
      </c>
      <c r="L2" s="18" t="s">
        <v>127</v>
      </c>
      <c r="M2" s="18" t="s">
        <v>128</v>
      </c>
      <c r="N2" s="18" t="s">
        <v>129</v>
      </c>
      <c r="O2" s="18" t="s">
        <v>130</v>
      </c>
      <c r="P2" s="18" t="s">
        <v>131</v>
      </c>
      <c r="Q2" s="19" t="s">
        <v>132</v>
      </c>
      <c r="R2" s="177" t="s">
        <v>133</v>
      </c>
      <c r="S2" s="177" t="s">
        <v>134</v>
      </c>
      <c r="T2" s="177" t="s">
        <v>135</v>
      </c>
      <c r="U2" s="177" t="s">
        <v>136</v>
      </c>
      <c r="V2" s="18" t="s">
        <v>137</v>
      </c>
      <c r="W2" s="18" t="s">
        <v>138</v>
      </c>
      <c r="X2" s="178" t="s">
        <v>139</v>
      </c>
      <c r="Y2" s="179" t="s">
        <v>140</v>
      </c>
      <c r="Z2" s="19" t="s">
        <v>141</v>
      </c>
      <c r="AB2" s="16" t="s">
        <v>142</v>
      </c>
      <c r="AC2" s="17"/>
      <c r="AD2" s="19" t="s">
        <v>138</v>
      </c>
      <c r="AF2" s="16" t="s">
        <v>142</v>
      </c>
      <c r="AG2" s="17"/>
      <c r="AH2" s="19" t="s">
        <v>141</v>
      </c>
    </row>
    <row r="3">
      <c r="B3" s="27" t="str">
        <f>'Minion Checker'!D7</f>
        <v/>
      </c>
      <c r="C3" s="34" t="str">
        <f>'Minion Checker'!E7</f>
        <v>Cobblestone</v>
      </c>
      <c r="D3" s="34" t="s">
        <v>29</v>
      </c>
      <c r="E3" s="180">
        <f>IFERROR(ROMAN('Minion Checker'!H7),0)</f>
        <v>0</v>
      </c>
      <c r="F3" s="104">
        <f t="shared" ref="F3:F55" si="1">IF(ISNUMBER(E3),E3,IFERROR(ARABIC(E3),0))</f>
        <v>0</v>
      </c>
      <c r="G3" s="104">
        <v>1.0</v>
      </c>
      <c r="H3" s="181">
        <v>0.25</v>
      </c>
      <c r="I3" s="182" t="b">
        <v>1</v>
      </c>
      <c r="J3" s="183" t="str">
        <f>IF(AND(F3&lt;=11,F3&gt;0),OFFSET('Minion Tiers'!$I$2,F3,0),"")</f>
        <v/>
      </c>
      <c r="K3" s="184" t="str">
        <f t="shared" ref="K3:K55" si="2">IFERROR(IF(J3/(1+H3)&gt;0,J3/(1+H3),"N/A"),"N/A")</f>
        <v>N/A</v>
      </c>
      <c r="L3" s="108">
        <v>1.0</v>
      </c>
      <c r="M3" s="108"/>
      <c r="N3" s="108"/>
      <c r="O3" s="185">
        <f t="shared" ref="O3:O30" si="3">IFERROR(G3/K3*L3/2*3600,0)</f>
        <v>0</v>
      </c>
      <c r="P3" s="185">
        <f t="shared" ref="P3:P30" si="4">IFERROR(G3/K3*(L3+M3+N3)/2*3600,0)</f>
        <v>0</v>
      </c>
      <c r="Q3" s="186" t="str">
        <f t="shared" ref="Q3:Q55" si="5">IFERROR(TEXT(P3,IF(MOD(P3,1)&lt;0.05,"#,##0","#,##0.0"))&amp;" "&amp;IF(P3&gt;O3,"Items",D3)&amp;"/h","N/A")</f>
        <v>0 Cobblestone/h</v>
      </c>
      <c r="R3" s="185">
        <v>1.0</v>
      </c>
      <c r="S3" s="185"/>
      <c r="T3" s="185"/>
      <c r="U3" s="185">
        <f t="shared" ref="U3:U55" si="6">L3*R3+M3*S3+N3*T3</f>
        <v>1</v>
      </c>
      <c r="V3" s="187">
        <f t="shared" ref="V3:V30" si="7">IFERROR(G3/K3/2*3600,0)</f>
        <v>0</v>
      </c>
      <c r="W3" s="188">
        <f t="shared" ref="W3:W55" si="8">IFERROR(U3*V3+(P3*0.1*8*I3),0)</f>
        <v>0</v>
      </c>
      <c r="X3" s="189">
        <f t="array" ref="X3:X55">IFERROR(Bazaar!F56:F108,"?")</f>
        <v>5.00096875</v>
      </c>
      <c r="Y3" s="190">
        <f>(X3*L3+Bazaar!H56*M3+Bazaar!J56*N3)</f>
        <v>5.00096875</v>
      </c>
      <c r="Z3" s="191">
        <f t="shared" ref="Z3:Z55" si="9">IFERROR(Y3*V3+(P3*0.1*$X$14*I3),"?")</f>
        <v>0</v>
      </c>
      <c r="AB3" s="27" t="str">
        <f t="array" ref="AB3:AD56">SORT({B3:C56,W3:W56},3,FALSE)</f>
        <v/>
      </c>
      <c r="AC3" s="34" t="s">
        <v>29</v>
      </c>
      <c r="AD3" s="191">
        <v>0.0</v>
      </c>
      <c r="AF3" s="27" t="str">
        <f t="array" ref="AF3:AH56">SORT({B3:C56,Z3:Z56},3,FALSE)</f>
        <v/>
      </c>
      <c r="AG3" s="34" t="s">
        <v>29</v>
      </c>
      <c r="AH3" s="191">
        <v>0.0</v>
      </c>
    </row>
    <row r="4">
      <c r="B4" s="25" t="str">
        <f>'Minion Checker'!D8</f>
        <v/>
      </c>
      <c r="C4" s="37" t="str">
        <f>'Minion Checker'!E8</f>
        <v>Obsidian</v>
      </c>
      <c r="D4" s="37" t="s">
        <v>30</v>
      </c>
      <c r="E4" s="192">
        <f>IFERROR(ROMAN('Minion Checker'!H8),0)</f>
        <v>0</v>
      </c>
      <c r="F4" s="118">
        <f t="shared" si="1"/>
        <v>0</v>
      </c>
      <c r="G4" s="193">
        <v>1.0</v>
      </c>
      <c r="H4" s="194">
        <v>0.25</v>
      </c>
      <c r="I4" s="195" t="b">
        <v>1</v>
      </c>
      <c r="J4" s="196" t="str">
        <f>IF(AND(F4&lt;=11,F4&gt;0),OFFSET('Minion Tiers'!$I$15,F4,0),"")</f>
        <v/>
      </c>
      <c r="K4" s="197" t="str">
        <f t="shared" si="2"/>
        <v>N/A</v>
      </c>
      <c r="L4" s="122">
        <v>1.0</v>
      </c>
      <c r="M4" s="122"/>
      <c r="N4" s="122"/>
      <c r="O4" s="198">
        <f t="shared" si="3"/>
        <v>0</v>
      </c>
      <c r="P4" s="198">
        <f t="shared" si="4"/>
        <v>0</v>
      </c>
      <c r="Q4" s="199" t="str">
        <f t="shared" si="5"/>
        <v>0 Obsidian/h</v>
      </c>
      <c r="R4" s="198">
        <v>12.0</v>
      </c>
      <c r="S4" s="198"/>
      <c r="T4" s="198"/>
      <c r="U4" s="198">
        <f t="shared" si="6"/>
        <v>12</v>
      </c>
      <c r="V4" s="200">
        <f t="shared" si="7"/>
        <v>0</v>
      </c>
      <c r="W4" s="201">
        <f t="shared" si="8"/>
        <v>0</v>
      </c>
      <c r="X4" s="202">
        <v>27.499374999999997</v>
      </c>
      <c r="Y4" s="203">
        <f>(X4*L4+Bazaar!H57*M4+Bazaar!J57*N4)</f>
        <v>27.499375</v>
      </c>
      <c r="Z4" s="204">
        <f t="shared" si="9"/>
        <v>0</v>
      </c>
      <c r="AB4" s="25"/>
      <c r="AC4" s="37" t="s">
        <v>30</v>
      </c>
      <c r="AD4" s="204">
        <v>0.0</v>
      </c>
      <c r="AF4" s="25"/>
      <c r="AG4" s="37" t="s">
        <v>30</v>
      </c>
      <c r="AH4" s="204">
        <v>0.0</v>
      </c>
    </row>
    <row r="5">
      <c r="B5" s="27" t="str">
        <f>'Minion Checker'!D9</f>
        <v/>
      </c>
      <c r="C5" s="34" t="str">
        <f>'Minion Checker'!E9</f>
        <v>Glowstone</v>
      </c>
      <c r="D5" s="34" t="s">
        <v>143</v>
      </c>
      <c r="E5" s="180">
        <f>IFERROR(ROMAN('Minion Checker'!H9),0)</f>
        <v>0</v>
      </c>
      <c r="F5" s="104">
        <f t="shared" si="1"/>
        <v>0</v>
      </c>
      <c r="G5" s="205">
        <v>1.0</v>
      </c>
      <c r="H5" s="181">
        <v>0.25</v>
      </c>
      <c r="I5" s="206" t="b">
        <v>1</v>
      </c>
      <c r="J5" s="207" t="str">
        <f>IF(AND(F5&lt;=11,F5&gt;0),OFFSET('Minion Tiers'!$I$28,F5,0),"")</f>
        <v/>
      </c>
      <c r="K5" s="184" t="str">
        <f t="shared" si="2"/>
        <v>N/A</v>
      </c>
      <c r="L5" s="108">
        <v>3.0</v>
      </c>
      <c r="M5" s="108"/>
      <c r="N5" s="108"/>
      <c r="O5" s="185">
        <f t="shared" si="3"/>
        <v>0</v>
      </c>
      <c r="P5" s="185">
        <f t="shared" si="4"/>
        <v>0</v>
      </c>
      <c r="Q5" s="186" t="str">
        <f t="shared" si="5"/>
        <v>0 Glowstone Dust/h</v>
      </c>
      <c r="R5" s="185">
        <v>2.0</v>
      </c>
      <c r="S5" s="185"/>
      <c r="T5" s="185"/>
      <c r="U5" s="185">
        <f t="shared" si="6"/>
        <v>6</v>
      </c>
      <c r="V5" s="187">
        <f t="shared" si="7"/>
        <v>0</v>
      </c>
      <c r="W5" s="188">
        <f t="shared" si="8"/>
        <v>0</v>
      </c>
      <c r="X5" s="189">
        <v>11.841381250000001</v>
      </c>
      <c r="Y5" s="190">
        <f>(X5*L5+Bazaar!H58*M5+Bazaar!J58*N5)</f>
        <v>35.52414375</v>
      </c>
      <c r="Z5" s="191">
        <f t="shared" si="9"/>
        <v>0</v>
      </c>
      <c r="AB5" s="27"/>
      <c r="AC5" s="34" t="s">
        <v>31</v>
      </c>
      <c r="AD5" s="191">
        <v>0.0</v>
      </c>
      <c r="AF5" s="27"/>
      <c r="AG5" s="34" t="s">
        <v>31</v>
      </c>
      <c r="AH5" s="191">
        <v>0.0</v>
      </c>
    </row>
    <row r="6">
      <c r="B6" s="25" t="str">
        <f>'Minion Checker'!D10</f>
        <v/>
      </c>
      <c r="C6" s="37" t="str">
        <f>'Minion Checker'!E10</f>
        <v>Gravel</v>
      </c>
      <c r="D6" s="37" t="s">
        <v>144</v>
      </c>
      <c r="E6" s="192">
        <f>IFERROR(ROMAN('Minion Checker'!H10),0)</f>
        <v>0</v>
      </c>
      <c r="F6" s="118">
        <f t="shared" si="1"/>
        <v>0</v>
      </c>
      <c r="G6" s="193">
        <v>1.0</v>
      </c>
      <c r="H6" s="194">
        <v>0.25</v>
      </c>
      <c r="I6" s="208" t="b">
        <v>1</v>
      </c>
      <c r="J6" s="196" t="str">
        <f>IF(AND(F6&lt;=11,F6&gt;0),OFFSET('Minion Tiers'!$I$41,F6,0),"")</f>
        <v/>
      </c>
      <c r="K6" s="197" t="str">
        <f t="shared" si="2"/>
        <v>N/A</v>
      </c>
      <c r="L6" s="122">
        <v>1.0</v>
      </c>
      <c r="M6" s="122"/>
      <c r="N6" s="122"/>
      <c r="O6" s="198">
        <f t="shared" si="3"/>
        <v>0</v>
      </c>
      <c r="P6" s="198">
        <f t="shared" si="4"/>
        <v>0</v>
      </c>
      <c r="Q6" s="199" t="str">
        <f t="shared" si="5"/>
        <v>0 Flint/h</v>
      </c>
      <c r="R6" s="198">
        <v>4.0</v>
      </c>
      <c r="S6" s="198"/>
      <c r="T6" s="198"/>
      <c r="U6" s="198">
        <f t="shared" si="6"/>
        <v>4</v>
      </c>
      <c r="V6" s="200">
        <f t="shared" si="7"/>
        <v>0</v>
      </c>
      <c r="W6" s="201">
        <f t="shared" si="8"/>
        <v>0</v>
      </c>
      <c r="X6" s="202">
        <v>41.32125</v>
      </c>
      <c r="Y6" s="203">
        <f>(X6*L6+Bazaar!H59*M6+Bazaar!J59*N6)</f>
        <v>41.32125</v>
      </c>
      <c r="Z6" s="204">
        <f t="shared" si="9"/>
        <v>0</v>
      </c>
      <c r="AB6" s="25"/>
      <c r="AC6" s="37" t="s">
        <v>32</v>
      </c>
      <c r="AD6" s="204">
        <v>0.0</v>
      </c>
      <c r="AF6" s="25"/>
      <c r="AG6" s="37" t="s">
        <v>32</v>
      </c>
      <c r="AH6" s="204">
        <v>0.0</v>
      </c>
    </row>
    <row r="7">
      <c r="B7" s="27" t="str">
        <f>'Minion Checker'!D11</f>
        <v/>
      </c>
      <c r="C7" s="34" t="str">
        <f>'Minion Checker'!E11</f>
        <v>Sand</v>
      </c>
      <c r="D7" s="34" t="s">
        <v>33</v>
      </c>
      <c r="E7" s="180">
        <f>IFERROR(ROMAN('Minion Checker'!H11),0)</f>
        <v>0</v>
      </c>
      <c r="F7" s="104">
        <f t="shared" si="1"/>
        <v>0</v>
      </c>
      <c r="G7" s="205">
        <v>1.0</v>
      </c>
      <c r="H7" s="181">
        <v>0.25</v>
      </c>
      <c r="I7" s="206" t="b">
        <v>1</v>
      </c>
      <c r="J7" s="207" t="str">
        <f>IF(AND(F7&lt;=11,F7&gt;0),OFFSET('Minion Tiers'!$I$54,F7,0),"")</f>
        <v/>
      </c>
      <c r="K7" s="184" t="str">
        <f t="shared" si="2"/>
        <v>N/A</v>
      </c>
      <c r="L7" s="108">
        <v>1.0</v>
      </c>
      <c r="M7" s="108"/>
      <c r="N7" s="108"/>
      <c r="O7" s="185">
        <f t="shared" si="3"/>
        <v>0</v>
      </c>
      <c r="P7" s="185">
        <f t="shared" si="4"/>
        <v>0</v>
      </c>
      <c r="Q7" s="186" t="str">
        <f t="shared" si="5"/>
        <v>0 Sand/h</v>
      </c>
      <c r="R7" s="185">
        <v>2.0</v>
      </c>
      <c r="S7" s="185"/>
      <c r="T7" s="185"/>
      <c r="U7" s="185">
        <f t="shared" si="6"/>
        <v>2</v>
      </c>
      <c r="V7" s="187">
        <f t="shared" si="7"/>
        <v>0</v>
      </c>
      <c r="W7" s="188">
        <f t="shared" si="8"/>
        <v>0</v>
      </c>
      <c r="X7" s="189">
        <v>17.7163625</v>
      </c>
      <c r="Y7" s="190">
        <f>(X7*L7+Bazaar!H60*M7+Bazaar!J60*N7)</f>
        <v>17.7163625</v>
      </c>
      <c r="Z7" s="191">
        <f t="shared" si="9"/>
        <v>0</v>
      </c>
      <c r="AB7" s="27"/>
      <c r="AC7" s="34" t="s">
        <v>33</v>
      </c>
      <c r="AD7" s="191">
        <v>0.0</v>
      </c>
      <c r="AF7" s="27"/>
      <c r="AG7" s="34" t="s">
        <v>33</v>
      </c>
      <c r="AH7" s="191">
        <v>0.0</v>
      </c>
    </row>
    <row r="8">
      <c r="B8" s="25" t="str">
        <f>'Minion Checker'!D12</f>
        <v/>
      </c>
      <c r="C8" s="37" t="str">
        <f>'Minion Checker'!E12</f>
        <v>Clay</v>
      </c>
      <c r="D8" s="37" t="s">
        <v>34</v>
      </c>
      <c r="E8" s="192">
        <f>IFERROR(ROMAN('Minion Checker'!H12),0)</f>
        <v>0</v>
      </c>
      <c r="F8" s="118">
        <f t="shared" si="1"/>
        <v>0</v>
      </c>
      <c r="G8" s="193">
        <v>1.0</v>
      </c>
      <c r="H8" s="194">
        <v>0.25</v>
      </c>
      <c r="I8" s="208" t="b">
        <v>1</v>
      </c>
      <c r="J8" s="196" t="str">
        <f>IF(AND(F8&lt;=11,F8&gt;0),OFFSET('Minion Tiers'!$I$67,F8,0),"")</f>
        <v/>
      </c>
      <c r="K8" s="197" t="str">
        <f t="shared" si="2"/>
        <v>N/A</v>
      </c>
      <c r="L8" s="122">
        <v>4.0</v>
      </c>
      <c r="M8" s="122"/>
      <c r="N8" s="122"/>
      <c r="O8" s="198">
        <f t="shared" si="3"/>
        <v>0</v>
      </c>
      <c r="P8" s="198">
        <f t="shared" si="4"/>
        <v>0</v>
      </c>
      <c r="Q8" s="199" t="str">
        <f t="shared" si="5"/>
        <v>0 Clay/h</v>
      </c>
      <c r="R8" s="198">
        <v>3.0</v>
      </c>
      <c r="S8" s="198"/>
      <c r="T8" s="198"/>
      <c r="U8" s="198">
        <f t="shared" si="6"/>
        <v>12</v>
      </c>
      <c r="V8" s="200">
        <f t="shared" si="7"/>
        <v>0</v>
      </c>
      <c r="W8" s="201">
        <f t="shared" si="8"/>
        <v>0</v>
      </c>
      <c r="X8" s="202">
        <v>2.8641125</v>
      </c>
      <c r="Y8" s="203">
        <f>(X8*L8+Bazaar!H61*M8+Bazaar!J61*N8)</f>
        <v>11.45645</v>
      </c>
      <c r="Z8" s="204">
        <f t="shared" si="9"/>
        <v>0</v>
      </c>
      <c r="AB8" s="25"/>
      <c r="AC8" s="37" t="s">
        <v>34</v>
      </c>
      <c r="AD8" s="204">
        <v>0.0</v>
      </c>
      <c r="AF8" s="25"/>
      <c r="AG8" s="37" t="s">
        <v>34</v>
      </c>
      <c r="AH8" s="204">
        <v>0.0</v>
      </c>
    </row>
    <row r="9">
      <c r="B9" s="27" t="str">
        <f>'Minion Checker'!D13</f>
        <v/>
      </c>
      <c r="C9" s="34" t="str">
        <f>'Minion Checker'!E13</f>
        <v>Ice</v>
      </c>
      <c r="D9" s="34" t="s">
        <v>35</v>
      </c>
      <c r="E9" s="180">
        <f>IFERROR(ROMAN('Minion Checker'!H13),0)</f>
        <v>0</v>
      </c>
      <c r="F9" s="104">
        <f t="shared" si="1"/>
        <v>0</v>
      </c>
      <c r="G9" s="205">
        <v>1.0</v>
      </c>
      <c r="H9" s="181">
        <v>0.25</v>
      </c>
      <c r="I9" s="206" t="b">
        <v>1</v>
      </c>
      <c r="J9" s="207" t="str">
        <f>IF(AND(F9&lt;=11,F9&gt;0),OFFSET('Minion Tiers'!$I$80,F9,0),"")</f>
        <v/>
      </c>
      <c r="K9" s="184" t="str">
        <f t="shared" si="2"/>
        <v>N/A</v>
      </c>
      <c r="L9" s="108">
        <v>1.0</v>
      </c>
      <c r="M9" s="108"/>
      <c r="N9" s="108"/>
      <c r="O9" s="185">
        <f t="shared" si="3"/>
        <v>0</v>
      </c>
      <c r="P9" s="185">
        <f t="shared" si="4"/>
        <v>0</v>
      </c>
      <c r="Q9" s="186" t="str">
        <f t="shared" si="5"/>
        <v>0 Ice/h</v>
      </c>
      <c r="R9" s="185">
        <v>0.5</v>
      </c>
      <c r="S9" s="185"/>
      <c r="T9" s="185"/>
      <c r="U9" s="185">
        <f t="shared" si="6"/>
        <v>0.5</v>
      </c>
      <c r="V9" s="187">
        <f t="shared" si="7"/>
        <v>0</v>
      </c>
      <c r="W9" s="188">
        <f t="shared" si="8"/>
        <v>0</v>
      </c>
      <c r="X9" s="189">
        <v>4.4082187500000005</v>
      </c>
      <c r="Y9" s="190">
        <f>(X9*L9+Bazaar!H62*M9+Bazaar!J62*N9)</f>
        <v>4.40821875</v>
      </c>
      <c r="Z9" s="191">
        <f t="shared" si="9"/>
        <v>0</v>
      </c>
      <c r="AB9" s="27"/>
      <c r="AC9" s="34" t="s">
        <v>35</v>
      </c>
      <c r="AD9" s="191">
        <v>0.0</v>
      </c>
      <c r="AF9" s="27"/>
      <c r="AG9" s="34" t="s">
        <v>35</v>
      </c>
      <c r="AH9" s="191">
        <v>0.0</v>
      </c>
    </row>
    <row r="10">
      <c r="B10" s="25" t="str">
        <f>'Minion Checker'!D14</f>
        <v/>
      </c>
      <c r="C10" s="37" t="str">
        <f>'Minion Checker'!E14</f>
        <v>Snow</v>
      </c>
      <c r="D10" s="37" t="s">
        <v>145</v>
      </c>
      <c r="E10" s="192">
        <f>IFERROR(ROMAN('Minion Checker'!H14),0)</f>
        <v>0</v>
      </c>
      <c r="F10" s="118">
        <f t="shared" si="1"/>
        <v>0</v>
      </c>
      <c r="G10" s="193">
        <v>1.0</v>
      </c>
      <c r="H10" s="194">
        <v>0.25</v>
      </c>
      <c r="I10" s="208" t="b">
        <v>1</v>
      </c>
      <c r="J10" s="196" t="str">
        <f>IF(AND(F10&lt;=11,F10&gt;0),OFFSET('Minion Tiers'!$I$93,F10,0),"")</f>
        <v/>
      </c>
      <c r="K10" s="197" t="str">
        <f t="shared" si="2"/>
        <v>N/A</v>
      </c>
      <c r="L10" s="122">
        <v>4.0</v>
      </c>
      <c r="M10" s="122"/>
      <c r="N10" s="122"/>
      <c r="O10" s="198">
        <f t="shared" si="3"/>
        <v>0</v>
      </c>
      <c r="P10" s="198">
        <f t="shared" si="4"/>
        <v>0</v>
      </c>
      <c r="Q10" s="199" t="str">
        <f t="shared" si="5"/>
        <v>0 Snowballs/h</v>
      </c>
      <c r="R10" s="198">
        <v>1.0</v>
      </c>
      <c r="S10" s="198"/>
      <c r="T10" s="198"/>
      <c r="U10" s="198">
        <f t="shared" si="6"/>
        <v>4</v>
      </c>
      <c r="V10" s="200">
        <f t="shared" si="7"/>
        <v>0</v>
      </c>
      <c r="W10" s="201">
        <f t="shared" si="8"/>
        <v>0</v>
      </c>
      <c r="X10" s="202">
        <v>0.914525</v>
      </c>
      <c r="Y10" s="203">
        <f>(X10*L10+Bazaar!H63*M10+Bazaar!J63*N10)</f>
        <v>3.6581</v>
      </c>
      <c r="Z10" s="204">
        <f t="shared" si="9"/>
        <v>0</v>
      </c>
      <c r="AB10" s="25"/>
      <c r="AC10" s="37" t="s">
        <v>36</v>
      </c>
      <c r="AD10" s="204">
        <v>0.0</v>
      </c>
      <c r="AF10" s="209"/>
      <c r="AG10" s="210" t="s">
        <v>36</v>
      </c>
      <c r="AH10" s="211">
        <v>0.0</v>
      </c>
    </row>
    <row r="11">
      <c r="B11" s="27" t="str">
        <f>'Minion Checker'!D15</f>
        <v/>
      </c>
      <c r="C11" s="34" t="str">
        <f>'Minion Checker'!E15</f>
        <v>Coal</v>
      </c>
      <c r="D11" s="34" t="s">
        <v>37</v>
      </c>
      <c r="E11" s="180">
        <f>IFERROR(ROMAN('Minion Checker'!H15),0)</f>
        <v>0</v>
      </c>
      <c r="F11" s="104">
        <f t="shared" si="1"/>
        <v>0</v>
      </c>
      <c r="G11" s="205">
        <v>1.0</v>
      </c>
      <c r="H11" s="181">
        <v>0.25</v>
      </c>
      <c r="I11" s="206" t="b">
        <v>1</v>
      </c>
      <c r="J11" s="207" t="str">
        <f>IF(AND(F11&lt;=11,F11&gt;0),OFFSET('Minion Tiers'!$I$106,F11,0),"")</f>
        <v/>
      </c>
      <c r="K11" s="184" t="str">
        <f t="shared" si="2"/>
        <v>N/A</v>
      </c>
      <c r="L11" s="108">
        <v>1.0</v>
      </c>
      <c r="M11" s="108"/>
      <c r="N11" s="108"/>
      <c r="O11" s="185">
        <f t="shared" si="3"/>
        <v>0</v>
      </c>
      <c r="P11" s="185">
        <f t="shared" si="4"/>
        <v>0</v>
      </c>
      <c r="Q11" s="186" t="str">
        <f t="shared" si="5"/>
        <v>0 Coal/h</v>
      </c>
      <c r="R11" s="185">
        <v>2.0</v>
      </c>
      <c r="S11" s="185"/>
      <c r="T11" s="185"/>
      <c r="U11" s="185">
        <f t="shared" si="6"/>
        <v>2</v>
      </c>
      <c r="V11" s="187">
        <f t="shared" si="7"/>
        <v>0</v>
      </c>
      <c r="W11" s="188">
        <f t="shared" si="8"/>
        <v>0</v>
      </c>
      <c r="X11" s="189">
        <v>5.89105</v>
      </c>
      <c r="Y11" s="190">
        <f>(X11*L11+Bazaar!H64*M11+Bazaar!J64*N11)</f>
        <v>5.89105</v>
      </c>
      <c r="Z11" s="191">
        <f t="shared" si="9"/>
        <v>0</v>
      </c>
      <c r="AB11" s="27"/>
      <c r="AC11" s="34" t="s">
        <v>37</v>
      </c>
      <c r="AD11" s="191">
        <v>0.0</v>
      </c>
      <c r="AF11" s="212"/>
      <c r="AG11" s="213" t="s">
        <v>37</v>
      </c>
      <c r="AH11" s="214">
        <v>0.0</v>
      </c>
    </row>
    <row r="12">
      <c r="B12" s="25" t="str">
        <f>'Minion Checker'!D16</f>
        <v/>
      </c>
      <c r="C12" s="37" t="str">
        <f>'Minion Checker'!E16</f>
        <v>Iron</v>
      </c>
      <c r="D12" s="37" t="s">
        <v>38</v>
      </c>
      <c r="E12" s="192">
        <f>IFERROR(ROMAN('Minion Checker'!H16),0)</f>
        <v>0</v>
      </c>
      <c r="F12" s="118">
        <f t="shared" si="1"/>
        <v>0</v>
      </c>
      <c r="G12" s="193">
        <v>1.0</v>
      </c>
      <c r="H12" s="194">
        <v>0.25</v>
      </c>
      <c r="I12" s="195" t="b">
        <v>1</v>
      </c>
      <c r="J12" s="196" t="str">
        <f>IF(AND(F12&lt;=11,F12&gt;0),OFFSET('Minion Tiers'!$I$119,F12,0),"")</f>
        <v/>
      </c>
      <c r="K12" s="197" t="str">
        <f t="shared" si="2"/>
        <v>N/A</v>
      </c>
      <c r="L12" s="122">
        <v>1.0</v>
      </c>
      <c r="M12" s="122"/>
      <c r="N12" s="122"/>
      <c r="O12" s="198">
        <f t="shared" si="3"/>
        <v>0</v>
      </c>
      <c r="P12" s="198">
        <f t="shared" si="4"/>
        <v>0</v>
      </c>
      <c r="Q12" s="199" t="str">
        <f t="shared" si="5"/>
        <v>0 Iron/h</v>
      </c>
      <c r="R12" s="198">
        <v>3.0</v>
      </c>
      <c r="S12" s="198"/>
      <c r="T12" s="198"/>
      <c r="U12" s="198">
        <f t="shared" si="6"/>
        <v>3</v>
      </c>
      <c r="V12" s="200">
        <f t="shared" si="7"/>
        <v>0</v>
      </c>
      <c r="W12" s="201">
        <f t="shared" si="8"/>
        <v>0</v>
      </c>
      <c r="X12" s="202">
        <v>10.8015625</v>
      </c>
      <c r="Y12" s="203">
        <f>(X12*L12+Bazaar!H65*M12+Bazaar!J65*N12)</f>
        <v>10.8015625</v>
      </c>
      <c r="Z12" s="204">
        <f t="shared" si="9"/>
        <v>0</v>
      </c>
      <c r="AB12" s="25"/>
      <c r="AC12" s="37" t="s">
        <v>38</v>
      </c>
      <c r="AD12" s="204">
        <v>0.0</v>
      </c>
      <c r="AF12" s="209"/>
      <c r="AG12" s="210" t="s">
        <v>38</v>
      </c>
      <c r="AH12" s="211">
        <v>0.0</v>
      </c>
    </row>
    <row r="13">
      <c r="B13" s="27" t="str">
        <f>'Minion Checker'!D17</f>
        <v/>
      </c>
      <c r="C13" s="34" t="str">
        <f>'Minion Checker'!E17</f>
        <v>Gold</v>
      </c>
      <c r="D13" s="34" t="s">
        <v>39</v>
      </c>
      <c r="E13" s="180">
        <f>IFERROR(ROMAN('Minion Checker'!H17),0)</f>
        <v>0</v>
      </c>
      <c r="F13" s="104">
        <f t="shared" si="1"/>
        <v>0</v>
      </c>
      <c r="G13" s="205">
        <v>1.0</v>
      </c>
      <c r="H13" s="181">
        <v>0.25</v>
      </c>
      <c r="I13" s="206" t="b">
        <v>1</v>
      </c>
      <c r="J13" s="207" t="str">
        <f>IF(AND(F13&lt;=11,F13&gt;0),OFFSET('Minion Tiers'!$I$132,F13,0),"")</f>
        <v/>
      </c>
      <c r="K13" s="184" t="str">
        <f t="shared" si="2"/>
        <v>N/A</v>
      </c>
      <c r="L13" s="108">
        <v>1.0</v>
      </c>
      <c r="M13" s="108"/>
      <c r="N13" s="108"/>
      <c r="O13" s="185">
        <f t="shared" si="3"/>
        <v>0</v>
      </c>
      <c r="P13" s="185">
        <f t="shared" si="4"/>
        <v>0</v>
      </c>
      <c r="Q13" s="186" t="str">
        <f t="shared" si="5"/>
        <v>0 Gold/h</v>
      </c>
      <c r="R13" s="185">
        <v>4.0</v>
      </c>
      <c r="S13" s="185"/>
      <c r="T13" s="185"/>
      <c r="U13" s="185">
        <f t="shared" si="6"/>
        <v>4</v>
      </c>
      <c r="V13" s="187">
        <f t="shared" si="7"/>
        <v>0</v>
      </c>
      <c r="W13" s="188">
        <f t="shared" si="8"/>
        <v>0</v>
      </c>
      <c r="X13" s="189">
        <v>3.9784374999999996</v>
      </c>
      <c r="Y13" s="190">
        <f>(X13*L13+Bazaar!H66*M13+Bazaar!J66*N13)</f>
        <v>3.9784375</v>
      </c>
      <c r="Z13" s="191">
        <f t="shared" si="9"/>
        <v>0</v>
      </c>
      <c r="AB13" s="27"/>
      <c r="AC13" s="34" t="s">
        <v>39</v>
      </c>
      <c r="AD13" s="191">
        <v>0.0</v>
      </c>
      <c r="AF13" s="212"/>
      <c r="AG13" s="213" t="s">
        <v>39</v>
      </c>
      <c r="AH13" s="214">
        <v>0.0</v>
      </c>
    </row>
    <row r="14">
      <c r="B14" s="25" t="str">
        <f>'Minion Checker'!D18</f>
        <v/>
      </c>
      <c r="C14" s="37" t="str">
        <f>'Minion Checker'!E18</f>
        <v>Diamond</v>
      </c>
      <c r="D14" s="37" t="s">
        <v>40</v>
      </c>
      <c r="E14" s="192">
        <f>IFERROR(ROMAN('Minion Checker'!H18),0)</f>
        <v>0</v>
      </c>
      <c r="F14" s="118">
        <f t="shared" si="1"/>
        <v>0</v>
      </c>
      <c r="G14" s="193">
        <v>1.0</v>
      </c>
      <c r="H14" s="194">
        <v>0.25</v>
      </c>
      <c r="I14" s="208" t="b">
        <v>1</v>
      </c>
      <c r="J14" s="196" t="str">
        <f>IF(AND(F14&lt;=11,F14&gt;0),OFFSET('Minion Tiers'!$I$145,F14,0),"")</f>
        <v/>
      </c>
      <c r="K14" s="197" t="str">
        <f t="shared" si="2"/>
        <v>N/A</v>
      </c>
      <c r="L14" s="122">
        <v>1.0</v>
      </c>
      <c r="M14" s="122"/>
      <c r="N14" s="122"/>
      <c r="O14" s="198">
        <f t="shared" si="3"/>
        <v>0</v>
      </c>
      <c r="P14" s="198">
        <f t="shared" si="4"/>
        <v>0</v>
      </c>
      <c r="Q14" s="199" t="str">
        <f t="shared" si="5"/>
        <v>0 Diamond/h</v>
      </c>
      <c r="R14" s="198">
        <v>8.0</v>
      </c>
      <c r="S14" s="198"/>
      <c r="T14" s="198"/>
      <c r="U14" s="198">
        <f t="shared" si="6"/>
        <v>8</v>
      </c>
      <c r="V14" s="200">
        <f t="shared" si="7"/>
        <v>0</v>
      </c>
      <c r="W14" s="201">
        <f t="shared" si="8"/>
        <v>0</v>
      </c>
      <c r="X14" s="202">
        <v>8.56876875</v>
      </c>
      <c r="Y14" s="203">
        <f>(X14*L14+Bazaar!H67*M14+Bazaar!J67*N14)</f>
        <v>8.56876875</v>
      </c>
      <c r="Z14" s="204">
        <f t="shared" si="9"/>
        <v>0</v>
      </c>
      <c r="AB14" s="25"/>
      <c r="AC14" s="37" t="s">
        <v>40</v>
      </c>
      <c r="AD14" s="204">
        <v>0.0</v>
      </c>
      <c r="AF14" s="209"/>
      <c r="AG14" s="210" t="s">
        <v>40</v>
      </c>
      <c r="AH14" s="211">
        <v>0.0</v>
      </c>
    </row>
    <row r="15">
      <c r="B15" s="27" t="str">
        <f>'Minion Checker'!D19</f>
        <v/>
      </c>
      <c r="C15" s="34" t="str">
        <f>'Minion Checker'!E19</f>
        <v>Lapis</v>
      </c>
      <c r="D15" s="34" t="s">
        <v>41</v>
      </c>
      <c r="E15" s="180">
        <f>IFERROR(ROMAN('Minion Checker'!H19),0)</f>
        <v>0</v>
      </c>
      <c r="F15" s="104">
        <f t="shared" si="1"/>
        <v>0</v>
      </c>
      <c r="G15" s="205">
        <v>1.0</v>
      </c>
      <c r="H15" s="181">
        <v>0.25</v>
      </c>
      <c r="I15" s="206" t="b">
        <v>1</v>
      </c>
      <c r="J15" s="207" t="str">
        <f>IF(AND(F15&lt;=11,F15&gt;0),OFFSET('Minion Tiers'!$I$158,F15,0),"")</f>
        <v/>
      </c>
      <c r="K15" s="184" t="str">
        <f t="shared" si="2"/>
        <v>N/A</v>
      </c>
      <c r="L15" s="108">
        <v>6.0</v>
      </c>
      <c r="M15" s="108"/>
      <c r="N15" s="108"/>
      <c r="O15" s="185">
        <f t="shared" si="3"/>
        <v>0</v>
      </c>
      <c r="P15" s="185">
        <f t="shared" si="4"/>
        <v>0</v>
      </c>
      <c r="Q15" s="186" t="str">
        <f t="shared" si="5"/>
        <v>0 Lapis/h</v>
      </c>
      <c r="R15" s="185">
        <v>1.0</v>
      </c>
      <c r="S15" s="185"/>
      <c r="T15" s="185"/>
      <c r="U15" s="185">
        <f t="shared" si="6"/>
        <v>6</v>
      </c>
      <c r="V15" s="187">
        <f t="shared" si="7"/>
        <v>0</v>
      </c>
      <c r="W15" s="188">
        <f t="shared" si="8"/>
        <v>0</v>
      </c>
      <c r="X15" s="189">
        <v>5.51914375</v>
      </c>
      <c r="Y15" s="190">
        <f>(X15*L15+Bazaar!H68*M15+Bazaar!J68*N15)</f>
        <v>33.1148625</v>
      </c>
      <c r="Z15" s="191">
        <f t="shared" si="9"/>
        <v>0</v>
      </c>
      <c r="AB15" s="27"/>
      <c r="AC15" s="34" t="s">
        <v>41</v>
      </c>
      <c r="AD15" s="191">
        <v>0.0</v>
      </c>
      <c r="AF15" s="212"/>
      <c r="AG15" s="213" t="s">
        <v>41</v>
      </c>
      <c r="AH15" s="214">
        <v>0.0</v>
      </c>
    </row>
    <row r="16">
      <c r="B16" s="25" t="str">
        <f>'Minion Checker'!D20</f>
        <v/>
      </c>
      <c r="C16" s="37" t="str">
        <f>'Minion Checker'!E20</f>
        <v>Redstone</v>
      </c>
      <c r="D16" s="37" t="s">
        <v>42</v>
      </c>
      <c r="E16" s="192">
        <f>IFERROR(ROMAN('Minion Checker'!H20),0)</f>
        <v>0</v>
      </c>
      <c r="F16" s="118">
        <f t="shared" si="1"/>
        <v>0</v>
      </c>
      <c r="G16" s="193">
        <v>1.0</v>
      </c>
      <c r="H16" s="194">
        <v>0.25</v>
      </c>
      <c r="I16" s="208" t="b">
        <v>1</v>
      </c>
      <c r="J16" s="196" t="str">
        <f>IF(AND(F16&lt;=11,F16&gt;0),OFFSET('Minion Tiers'!$I$171,F16,0),"")</f>
        <v/>
      </c>
      <c r="K16" s="197" t="str">
        <f t="shared" si="2"/>
        <v>N/A</v>
      </c>
      <c r="L16" s="122">
        <v>4.5</v>
      </c>
      <c r="M16" s="122"/>
      <c r="N16" s="122"/>
      <c r="O16" s="198">
        <f t="shared" si="3"/>
        <v>0</v>
      </c>
      <c r="P16" s="198">
        <f t="shared" si="4"/>
        <v>0</v>
      </c>
      <c r="Q16" s="199" t="str">
        <f t="shared" si="5"/>
        <v>0 Redstone/h</v>
      </c>
      <c r="R16" s="198">
        <v>1.0</v>
      </c>
      <c r="S16" s="198"/>
      <c r="T16" s="198"/>
      <c r="U16" s="198">
        <f t="shared" si="6"/>
        <v>4.5</v>
      </c>
      <c r="V16" s="200">
        <f t="shared" si="7"/>
        <v>0</v>
      </c>
      <c r="W16" s="201">
        <f t="shared" si="8"/>
        <v>0</v>
      </c>
      <c r="X16" s="202">
        <v>2.0303125</v>
      </c>
      <c r="Y16" s="203">
        <f>(X16*L16+Bazaar!H69*M16+Bazaar!J69*N16)</f>
        <v>9.13640625</v>
      </c>
      <c r="Z16" s="204">
        <f t="shared" si="9"/>
        <v>0</v>
      </c>
      <c r="AB16" s="25"/>
      <c r="AC16" s="37" t="s">
        <v>42</v>
      </c>
      <c r="AD16" s="204">
        <v>0.0</v>
      </c>
      <c r="AF16" s="209"/>
      <c r="AG16" s="210" t="s">
        <v>42</v>
      </c>
      <c r="AH16" s="211">
        <v>0.0</v>
      </c>
    </row>
    <row r="17">
      <c r="B17" s="27" t="str">
        <f>'Minion Checker'!D21</f>
        <v/>
      </c>
      <c r="C17" s="34" t="str">
        <f>'Minion Checker'!E21</f>
        <v>Emerald</v>
      </c>
      <c r="D17" s="34" t="s">
        <v>43</v>
      </c>
      <c r="E17" s="180">
        <f>IFERROR(ROMAN('Minion Checker'!H21),0)</f>
        <v>0</v>
      </c>
      <c r="F17" s="104">
        <f t="shared" si="1"/>
        <v>0</v>
      </c>
      <c r="G17" s="205">
        <v>1.0</v>
      </c>
      <c r="H17" s="181">
        <v>0.25</v>
      </c>
      <c r="I17" s="206" t="b">
        <v>1</v>
      </c>
      <c r="J17" s="207" t="str">
        <f>IF(AND(F17&lt;=11,F17&gt;0),OFFSET('Minion Tiers'!$I$184,F17,0),"")</f>
        <v/>
      </c>
      <c r="K17" s="184" t="str">
        <f t="shared" si="2"/>
        <v>N/A</v>
      </c>
      <c r="L17" s="108">
        <v>1.0</v>
      </c>
      <c r="M17" s="108"/>
      <c r="N17" s="108"/>
      <c r="O17" s="185">
        <f t="shared" si="3"/>
        <v>0</v>
      </c>
      <c r="P17" s="185">
        <f t="shared" si="4"/>
        <v>0</v>
      </c>
      <c r="Q17" s="186" t="str">
        <f t="shared" si="5"/>
        <v>0 Emerald/h</v>
      </c>
      <c r="R17" s="185">
        <v>6.0</v>
      </c>
      <c r="S17" s="185"/>
      <c r="T17" s="185"/>
      <c r="U17" s="185">
        <f t="shared" si="6"/>
        <v>6</v>
      </c>
      <c r="V17" s="187">
        <f t="shared" si="7"/>
        <v>0</v>
      </c>
      <c r="W17" s="188">
        <f t="shared" si="8"/>
        <v>0</v>
      </c>
      <c r="X17" s="189">
        <v>7.009475</v>
      </c>
      <c r="Y17" s="190">
        <f>(X17*L17+Bazaar!H70*M17+Bazaar!J70*N17)</f>
        <v>7.009475</v>
      </c>
      <c r="Z17" s="191">
        <f t="shared" si="9"/>
        <v>0</v>
      </c>
      <c r="AB17" s="27"/>
      <c r="AC17" s="34" t="s">
        <v>43</v>
      </c>
      <c r="AD17" s="191">
        <v>0.0</v>
      </c>
      <c r="AF17" s="212"/>
      <c r="AG17" s="213" t="s">
        <v>43</v>
      </c>
      <c r="AH17" s="214">
        <v>0.0</v>
      </c>
    </row>
    <row r="18">
      <c r="B18" s="25" t="str">
        <f>'Minion Checker'!D22</f>
        <v/>
      </c>
      <c r="C18" s="37" t="str">
        <f>'Minion Checker'!E22</f>
        <v>Quartz</v>
      </c>
      <c r="D18" s="37" t="s">
        <v>44</v>
      </c>
      <c r="E18" s="192">
        <f>IFERROR(ROMAN('Minion Checker'!H22),0)</f>
        <v>0</v>
      </c>
      <c r="F18" s="118">
        <f t="shared" si="1"/>
        <v>0</v>
      </c>
      <c r="G18" s="193">
        <v>1.0</v>
      </c>
      <c r="H18" s="194">
        <v>0.25</v>
      </c>
      <c r="I18" s="208" t="b">
        <v>1</v>
      </c>
      <c r="J18" s="196" t="str">
        <f>IF(AND(F18&lt;=11,F18&gt;0),OFFSET('Minion Tiers'!$I$197,F18,0),"")</f>
        <v/>
      </c>
      <c r="K18" s="197" t="str">
        <f t="shared" si="2"/>
        <v>N/A</v>
      </c>
      <c r="L18" s="122">
        <v>1.0</v>
      </c>
      <c r="M18" s="122"/>
      <c r="N18" s="122"/>
      <c r="O18" s="198">
        <f t="shared" si="3"/>
        <v>0</v>
      </c>
      <c r="P18" s="198">
        <f t="shared" si="4"/>
        <v>0</v>
      </c>
      <c r="Q18" s="199" t="str">
        <f t="shared" si="5"/>
        <v>0 Quartz/h</v>
      </c>
      <c r="R18" s="198">
        <v>4.0</v>
      </c>
      <c r="S18" s="198"/>
      <c r="T18" s="198"/>
      <c r="U18" s="198">
        <f t="shared" si="6"/>
        <v>4</v>
      </c>
      <c r="V18" s="200">
        <f t="shared" si="7"/>
        <v>0</v>
      </c>
      <c r="W18" s="201">
        <f t="shared" si="8"/>
        <v>0</v>
      </c>
      <c r="X18" s="202">
        <v>24.77013125</v>
      </c>
      <c r="Y18" s="203">
        <f>(X18*L18+Bazaar!H71*M18+Bazaar!J71*N18)</f>
        <v>24.77013125</v>
      </c>
      <c r="Z18" s="204">
        <f t="shared" si="9"/>
        <v>0</v>
      </c>
      <c r="AB18" s="25"/>
      <c r="AC18" s="37" t="s">
        <v>44</v>
      </c>
      <c r="AD18" s="204">
        <v>0.0</v>
      </c>
      <c r="AF18" s="209"/>
      <c r="AG18" s="210" t="s">
        <v>44</v>
      </c>
      <c r="AH18" s="211">
        <v>0.0</v>
      </c>
    </row>
    <row r="19">
      <c r="B19" s="27" t="str">
        <f>'Minion Checker'!D23</f>
        <v/>
      </c>
      <c r="C19" s="34" t="str">
        <f>'Minion Checker'!E23</f>
        <v>End Stone</v>
      </c>
      <c r="D19" s="34" t="s">
        <v>117</v>
      </c>
      <c r="E19" s="180">
        <f>IFERROR(ROMAN('Minion Checker'!H23),0)</f>
        <v>0</v>
      </c>
      <c r="F19" s="104">
        <f t="shared" si="1"/>
        <v>0</v>
      </c>
      <c r="G19" s="205">
        <v>1.0</v>
      </c>
      <c r="H19" s="181">
        <v>0.25</v>
      </c>
      <c r="I19" s="206" t="b">
        <v>1</v>
      </c>
      <c r="J19" s="207" t="str">
        <f>IF(AND(F19&lt;=11,F19&gt;0),OFFSET('Minion Tiers'!$I$210,F19,0),"")</f>
        <v/>
      </c>
      <c r="K19" s="184" t="str">
        <f t="shared" si="2"/>
        <v>N/A</v>
      </c>
      <c r="L19" s="108">
        <v>1.0</v>
      </c>
      <c r="M19" s="108"/>
      <c r="N19" s="108"/>
      <c r="O19" s="185">
        <f t="shared" si="3"/>
        <v>0</v>
      </c>
      <c r="P19" s="185">
        <f t="shared" si="4"/>
        <v>0</v>
      </c>
      <c r="Q19" s="186" t="str">
        <f t="shared" si="5"/>
        <v>0 End Stone/h</v>
      </c>
      <c r="R19" s="185">
        <v>2.0</v>
      </c>
      <c r="S19" s="185"/>
      <c r="T19" s="185"/>
      <c r="U19" s="185">
        <f t="shared" si="6"/>
        <v>2</v>
      </c>
      <c r="V19" s="187">
        <f t="shared" si="7"/>
        <v>0</v>
      </c>
      <c r="W19" s="188">
        <f t="shared" si="8"/>
        <v>0</v>
      </c>
      <c r="X19" s="189">
        <v>1.9921875</v>
      </c>
      <c r="Y19" s="190">
        <f>(X19*L19+Bazaar!H72*M19+Bazaar!J72*N19)</f>
        <v>1.9921875</v>
      </c>
      <c r="Z19" s="191">
        <f t="shared" si="9"/>
        <v>0</v>
      </c>
      <c r="AB19" s="27"/>
      <c r="AC19" s="34" t="s">
        <v>117</v>
      </c>
      <c r="AD19" s="191">
        <v>0.0</v>
      </c>
      <c r="AF19" s="212"/>
      <c r="AG19" s="213" t="s">
        <v>117</v>
      </c>
      <c r="AH19" s="214">
        <v>0.0</v>
      </c>
    </row>
    <row r="20">
      <c r="B20" s="25" t="str">
        <f>'Minion Checker'!D24</f>
        <v/>
      </c>
      <c r="C20" s="37" t="str">
        <f>'Minion Checker'!E24</f>
        <v>Wheat</v>
      </c>
      <c r="D20" s="37" t="s">
        <v>47</v>
      </c>
      <c r="E20" s="192">
        <f>IFERROR(ROMAN('Minion Checker'!H24),0)</f>
        <v>0</v>
      </c>
      <c r="F20" s="118">
        <f t="shared" si="1"/>
        <v>0</v>
      </c>
      <c r="G20" s="193">
        <v>1.0</v>
      </c>
      <c r="H20" s="194">
        <v>0.25</v>
      </c>
      <c r="I20" s="195" t="b">
        <v>1</v>
      </c>
      <c r="J20" s="196" t="str">
        <f>IF(AND(F20&lt;=11,F20&gt;0),OFFSET('Minion Tiers'!$I$223,F20,0),"")</f>
        <v/>
      </c>
      <c r="K20" s="197" t="str">
        <f t="shared" si="2"/>
        <v>N/A</v>
      </c>
      <c r="L20" s="122">
        <v>1.0</v>
      </c>
      <c r="M20" s="122">
        <v>1.0</v>
      </c>
      <c r="N20" s="122"/>
      <c r="O20" s="198">
        <f t="shared" si="3"/>
        <v>0</v>
      </c>
      <c r="P20" s="198">
        <f t="shared" si="4"/>
        <v>0</v>
      </c>
      <c r="Q20" s="199" t="str">
        <f t="shared" si="5"/>
        <v>0 Wheat/h</v>
      </c>
      <c r="R20" s="198">
        <v>1.0</v>
      </c>
      <c r="S20" s="198">
        <v>0.5</v>
      </c>
      <c r="T20" s="198"/>
      <c r="U20" s="198">
        <f t="shared" si="6"/>
        <v>1.5</v>
      </c>
      <c r="V20" s="200">
        <f t="shared" si="7"/>
        <v>0</v>
      </c>
      <c r="W20" s="201">
        <f t="shared" si="8"/>
        <v>0</v>
      </c>
      <c r="X20" s="202">
        <v>4.999</v>
      </c>
      <c r="Y20" s="203">
        <f>(X20*L20+Bazaar!H73*M20+Bazaar!J73*N20)</f>
        <v>7.987</v>
      </c>
      <c r="Z20" s="204">
        <f t="shared" si="9"/>
        <v>0</v>
      </c>
      <c r="AB20" s="25"/>
      <c r="AC20" s="37" t="s">
        <v>47</v>
      </c>
      <c r="AD20" s="204">
        <v>0.0</v>
      </c>
      <c r="AF20" s="209"/>
      <c r="AG20" s="210" t="s">
        <v>47</v>
      </c>
      <c r="AH20" s="211">
        <v>0.0</v>
      </c>
    </row>
    <row r="21">
      <c r="B21" s="27" t="str">
        <f>'Minion Checker'!D25</f>
        <v/>
      </c>
      <c r="C21" s="34" t="str">
        <f>'Minion Checker'!E25</f>
        <v>Melon</v>
      </c>
      <c r="D21" s="34" t="s">
        <v>146</v>
      </c>
      <c r="E21" s="180">
        <f>IFERROR(ROMAN('Minion Checker'!H25),0)</f>
        <v>0</v>
      </c>
      <c r="F21" s="104">
        <f t="shared" si="1"/>
        <v>0</v>
      </c>
      <c r="G21" s="205">
        <v>1.0</v>
      </c>
      <c r="H21" s="181">
        <v>0.25</v>
      </c>
      <c r="I21" s="206" t="b">
        <v>1</v>
      </c>
      <c r="J21" s="207" t="str">
        <f>IF(AND(F21&lt;=11,F21&gt;0),OFFSET('Minion Tiers'!$I$236,F21,0),"")</f>
        <v/>
      </c>
      <c r="K21" s="184" t="str">
        <f t="shared" si="2"/>
        <v>N/A</v>
      </c>
      <c r="L21" s="108">
        <v>6.0</v>
      </c>
      <c r="M21" s="108"/>
      <c r="N21" s="108"/>
      <c r="O21" s="185">
        <f t="shared" si="3"/>
        <v>0</v>
      </c>
      <c r="P21" s="185">
        <f t="shared" si="4"/>
        <v>0</v>
      </c>
      <c r="Q21" s="186" t="str">
        <f t="shared" si="5"/>
        <v>0 Melon Slice/h</v>
      </c>
      <c r="R21" s="185">
        <v>1.0</v>
      </c>
      <c r="S21" s="185"/>
      <c r="T21" s="185"/>
      <c r="U21" s="185">
        <f t="shared" si="6"/>
        <v>6</v>
      </c>
      <c r="V21" s="187">
        <f t="shared" si="7"/>
        <v>0</v>
      </c>
      <c r="W21" s="188">
        <f t="shared" si="8"/>
        <v>0</v>
      </c>
      <c r="X21" s="189">
        <v>2.1715062499999997</v>
      </c>
      <c r="Y21" s="190">
        <f>(X21*L21+Bazaar!H74*M21+Bazaar!J74*N21)</f>
        <v>13.0290375</v>
      </c>
      <c r="Z21" s="191">
        <f t="shared" si="9"/>
        <v>0</v>
      </c>
      <c r="AB21" s="27"/>
      <c r="AC21" s="34" t="s">
        <v>48</v>
      </c>
      <c r="AD21" s="191">
        <v>0.0</v>
      </c>
      <c r="AF21" s="212"/>
      <c r="AG21" s="213" t="s">
        <v>48</v>
      </c>
      <c r="AH21" s="214">
        <v>0.0</v>
      </c>
    </row>
    <row r="22">
      <c r="B22" s="25" t="str">
        <f>'Minion Checker'!D26</f>
        <v/>
      </c>
      <c r="C22" s="37" t="str">
        <f>'Minion Checker'!E26</f>
        <v>Pumpkin</v>
      </c>
      <c r="D22" s="37" t="s">
        <v>49</v>
      </c>
      <c r="E22" s="192">
        <f>IFERROR(ROMAN('Minion Checker'!H26),0)</f>
        <v>0</v>
      </c>
      <c r="F22" s="118">
        <f t="shared" si="1"/>
        <v>0</v>
      </c>
      <c r="G22" s="193">
        <v>1.0</v>
      </c>
      <c r="H22" s="194">
        <v>0.25</v>
      </c>
      <c r="I22" s="208" t="b">
        <v>1</v>
      </c>
      <c r="J22" s="196" t="str">
        <f>IF(AND(F22&lt;=11,F22&gt;0),OFFSET('Minion Tiers'!$I$249,F22,0),"")</f>
        <v/>
      </c>
      <c r="K22" s="197" t="str">
        <f t="shared" si="2"/>
        <v>N/A</v>
      </c>
      <c r="L22" s="122">
        <v>1.0</v>
      </c>
      <c r="M22" s="122"/>
      <c r="N22" s="122"/>
      <c r="O22" s="198">
        <f t="shared" si="3"/>
        <v>0</v>
      </c>
      <c r="P22" s="198">
        <f t="shared" si="4"/>
        <v>0</v>
      </c>
      <c r="Q22" s="199" t="str">
        <f t="shared" si="5"/>
        <v>0 Pumpkin/h</v>
      </c>
      <c r="R22" s="198">
        <v>4.0</v>
      </c>
      <c r="S22" s="198"/>
      <c r="T22" s="198"/>
      <c r="U22" s="198">
        <f t="shared" si="6"/>
        <v>4</v>
      </c>
      <c r="V22" s="200">
        <f t="shared" si="7"/>
        <v>0</v>
      </c>
      <c r="W22" s="201">
        <f t="shared" si="8"/>
        <v>0</v>
      </c>
      <c r="X22" s="202">
        <v>9.9573875</v>
      </c>
      <c r="Y22" s="203">
        <f>(X22*L22+Bazaar!H75*M22+Bazaar!J75*N22)</f>
        <v>9.9573875</v>
      </c>
      <c r="Z22" s="204">
        <f t="shared" si="9"/>
        <v>0</v>
      </c>
      <c r="AB22" s="25"/>
      <c r="AC22" s="37" t="s">
        <v>49</v>
      </c>
      <c r="AD22" s="204">
        <v>0.0</v>
      </c>
      <c r="AF22" s="209"/>
      <c r="AG22" s="210" t="s">
        <v>49</v>
      </c>
      <c r="AH22" s="211">
        <v>0.0</v>
      </c>
    </row>
    <row r="23">
      <c r="B23" s="27" t="str">
        <f>'Minion Checker'!D27</f>
        <v/>
      </c>
      <c r="C23" s="34" t="str">
        <f>'Minion Checker'!E27</f>
        <v>Carrot</v>
      </c>
      <c r="D23" s="34" t="s">
        <v>50</v>
      </c>
      <c r="E23" s="180">
        <f>IFERROR(ROMAN('Minion Checker'!H27),0)</f>
        <v>0</v>
      </c>
      <c r="F23" s="104">
        <f t="shared" si="1"/>
        <v>0</v>
      </c>
      <c r="G23" s="205">
        <v>1.0</v>
      </c>
      <c r="H23" s="181">
        <v>0.25</v>
      </c>
      <c r="I23" s="206" t="b">
        <v>1</v>
      </c>
      <c r="J23" s="207" t="str">
        <f>IF(AND(F23&lt;=11,F23&gt;0),OFFSET('Minion Tiers'!$I$262,F23,0),"")</f>
        <v/>
      </c>
      <c r="K23" s="184" t="str">
        <f t="shared" si="2"/>
        <v>N/A</v>
      </c>
      <c r="L23" s="108">
        <v>3.0</v>
      </c>
      <c r="M23" s="108"/>
      <c r="N23" s="108"/>
      <c r="O23" s="185">
        <f t="shared" si="3"/>
        <v>0</v>
      </c>
      <c r="P23" s="185">
        <f t="shared" si="4"/>
        <v>0</v>
      </c>
      <c r="Q23" s="186" t="str">
        <f t="shared" si="5"/>
        <v>0 Carrot/h</v>
      </c>
      <c r="R23" s="185">
        <v>1.0</v>
      </c>
      <c r="S23" s="185"/>
      <c r="T23" s="185"/>
      <c r="U23" s="185">
        <f t="shared" si="6"/>
        <v>3</v>
      </c>
      <c r="V23" s="187">
        <f t="shared" si="7"/>
        <v>0</v>
      </c>
      <c r="W23" s="188">
        <f t="shared" si="8"/>
        <v>0</v>
      </c>
      <c r="X23" s="189">
        <v>3.7170125</v>
      </c>
      <c r="Y23" s="190">
        <f>(X23*L23+Bazaar!H76*M23+Bazaar!J76*N23)</f>
        <v>11.1510375</v>
      </c>
      <c r="Z23" s="191">
        <f t="shared" si="9"/>
        <v>0</v>
      </c>
      <c r="AB23" s="27"/>
      <c r="AC23" s="34" t="s">
        <v>50</v>
      </c>
      <c r="AD23" s="191">
        <v>0.0</v>
      </c>
      <c r="AF23" s="212"/>
      <c r="AG23" s="213" t="s">
        <v>50</v>
      </c>
      <c r="AH23" s="214">
        <v>0.0</v>
      </c>
    </row>
    <row r="24">
      <c r="B24" s="25" t="str">
        <f>'Minion Checker'!D28</f>
        <v/>
      </c>
      <c r="C24" s="37" t="str">
        <f>'Minion Checker'!E28</f>
        <v>Potato</v>
      </c>
      <c r="D24" s="37" t="s">
        <v>51</v>
      </c>
      <c r="E24" s="192">
        <f>IFERROR(ROMAN('Minion Checker'!H28),0)</f>
        <v>0</v>
      </c>
      <c r="F24" s="118">
        <f t="shared" si="1"/>
        <v>0</v>
      </c>
      <c r="G24" s="193">
        <v>1.0</v>
      </c>
      <c r="H24" s="194">
        <v>0.25</v>
      </c>
      <c r="I24" s="208" t="b">
        <v>1</v>
      </c>
      <c r="J24" s="196" t="str">
        <f>IF(AND(F24&lt;=11,F24&gt;0),OFFSET('Minion Tiers'!$I$275,F24,0),"")</f>
        <v/>
      </c>
      <c r="K24" s="197" t="str">
        <f t="shared" si="2"/>
        <v>N/A</v>
      </c>
      <c r="L24" s="122">
        <v>3.0</v>
      </c>
      <c r="M24" s="122"/>
      <c r="N24" s="122"/>
      <c r="O24" s="198">
        <f t="shared" si="3"/>
        <v>0</v>
      </c>
      <c r="P24" s="198">
        <f t="shared" si="4"/>
        <v>0</v>
      </c>
      <c r="Q24" s="199" t="str">
        <f t="shared" si="5"/>
        <v>0 Potato/h</v>
      </c>
      <c r="R24" s="198">
        <v>1.0</v>
      </c>
      <c r="S24" s="198"/>
      <c r="T24" s="198"/>
      <c r="U24" s="198">
        <f t="shared" si="6"/>
        <v>3</v>
      </c>
      <c r="V24" s="200">
        <f t="shared" si="7"/>
        <v>0</v>
      </c>
      <c r="W24" s="201">
        <f t="shared" si="8"/>
        <v>0</v>
      </c>
      <c r="X24" s="202">
        <v>3.0522375</v>
      </c>
      <c r="Y24" s="203">
        <f>(X24*L24+Bazaar!H77*M24+Bazaar!J77*N24)</f>
        <v>9.1567125</v>
      </c>
      <c r="Z24" s="204">
        <f t="shared" si="9"/>
        <v>0</v>
      </c>
      <c r="AB24" s="25"/>
      <c r="AC24" s="37" t="s">
        <v>51</v>
      </c>
      <c r="AD24" s="204">
        <v>0.0</v>
      </c>
      <c r="AF24" s="209"/>
      <c r="AG24" s="210" t="s">
        <v>51</v>
      </c>
      <c r="AH24" s="211">
        <v>0.0</v>
      </c>
    </row>
    <row r="25">
      <c r="B25" s="27" t="str">
        <f>'Minion Checker'!D29</f>
        <v/>
      </c>
      <c r="C25" s="34" t="str">
        <f>'Minion Checker'!E29</f>
        <v>Mushroom</v>
      </c>
      <c r="D25" s="34" t="s">
        <v>52</v>
      </c>
      <c r="E25" s="180">
        <f>IFERROR(ROMAN('Minion Checker'!H29),0)</f>
        <v>0</v>
      </c>
      <c r="F25" s="104">
        <f t="shared" si="1"/>
        <v>0</v>
      </c>
      <c r="G25" s="205">
        <v>1.0</v>
      </c>
      <c r="H25" s="181">
        <v>0.25</v>
      </c>
      <c r="I25" s="206" t="b">
        <v>1</v>
      </c>
      <c r="J25" s="207" t="str">
        <f>IF(AND(F25&lt;=11,F25&gt;0),OFFSET('Minion Tiers'!$I$288,F25,0),"")</f>
        <v/>
      </c>
      <c r="K25" s="184" t="str">
        <f t="shared" si="2"/>
        <v>N/A</v>
      </c>
      <c r="L25" s="108">
        <v>0.5</v>
      </c>
      <c r="M25" s="108">
        <v>0.5</v>
      </c>
      <c r="N25" s="108"/>
      <c r="O25" s="185">
        <f t="shared" si="3"/>
        <v>0</v>
      </c>
      <c r="P25" s="185">
        <f t="shared" si="4"/>
        <v>0</v>
      </c>
      <c r="Q25" s="186" t="str">
        <f t="shared" si="5"/>
        <v>0 Mushroom/h</v>
      </c>
      <c r="R25" s="185">
        <v>4.0</v>
      </c>
      <c r="S25" s="185">
        <v>4.0</v>
      </c>
      <c r="T25" s="185"/>
      <c r="U25" s="185">
        <f t="shared" si="6"/>
        <v>4</v>
      </c>
      <c r="V25" s="187">
        <f t="shared" si="7"/>
        <v>0</v>
      </c>
      <c r="W25" s="188">
        <f t="shared" si="8"/>
        <v>0</v>
      </c>
      <c r="X25" s="189">
        <v>9.8755375</v>
      </c>
      <c r="Y25" s="190">
        <f>(X25*L25+Bazaar!H78*M25+Bazaar!J78*N25)</f>
        <v>9.818803125</v>
      </c>
      <c r="Z25" s="191">
        <f t="shared" si="9"/>
        <v>0</v>
      </c>
      <c r="AB25" s="27"/>
      <c r="AC25" s="34" t="s">
        <v>52</v>
      </c>
      <c r="AD25" s="191">
        <v>0.0</v>
      </c>
      <c r="AF25" s="212"/>
      <c r="AG25" s="213" t="s">
        <v>52</v>
      </c>
      <c r="AH25" s="214">
        <v>0.0</v>
      </c>
    </row>
    <row r="26">
      <c r="B26" s="25" t="str">
        <f>'Minion Checker'!D30</f>
        <v/>
      </c>
      <c r="C26" s="37" t="str">
        <f>'Minion Checker'!E30</f>
        <v>Cactus</v>
      </c>
      <c r="D26" s="37" t="s">
        <v>53</v>
      </c>
      <c r="E26" s="192">
        <f>IFERROR(ROMAN('Minion Checker'!H30),0)</f>
        <v>0</v>
      </c>
      <c r="F26" s="118">
        <f t="shared" si="1"/>
        <v>0</v>
      </c>
      <c r="G26" s="193">
        <v>1.0</v>
      </c>
      <c r="H26" s="194">
        <v>0.25</v>
      </c>
      <c r="I26" s="195" t="b">
        <v>1</v>
      </c>
      <c r="J26" s="196" t="str">
        <f>IF(AND(F26&lt;=11,F26&gt;0),OFFSET('Minion Tiers'!$I$301,F26,0),"")</f>
        <v/>
      </c>
      <c r="K26" s="197" t="str">
        <f t="shared" si="2"/>
        <v>N/A</v>
      </c>
      <c r="L26" s="122">
        <v>1.0</v>
      </c>
      <c r="M26" s="122"/>
      <c r="N26" s="122"/>
      <c r="O26" s="198">
        <f t="shared" si="3"/>
        <v>0</v>
      </c>
      <c r="P26" s="198">
        <f t="shared" si="4"/>
        <v>0</v>
      </c>
      <c r="Q26" s="199" t="str">
        <f t="shared" si="5"/>
        <v>0 Cactus/h</v>
      </c>
      <c r="R26" s="198">
        <v>1.0</v>
      </c>
      <c r="S26" s="198"/>
      <c r="T26" s="198"/>
      <c r="U26" s="198">
        <f t="shared" si="6"/>
        <v>1</v>
      </c>
      <c r="V26" s="200">
        <f t="shared" si="7"/>
        <v>0</v>
      </c>
      <c r="W26" s="201">
        <f t="shared" si="8"/>
        <v>0</v>
      </c>
      <c r="X26" s="202">
        <v>6.6450000000000005</v>
      </c>
      <c r="Y26" s="203">
        <f>(X26*L26+Bazaar!H79*M26+Bazaar!J79*N26)</f>
        <v>6.645</v>
      </c>
      <c r="Z26" s="204">
        <f t="shared" si="9"/>
        <v>0</v>
      </c>
      <c r="AB26" s="25"/>
      <c r="AC26" s="37" t="s">
        <v>53</v>
      </c>
      <c r="AD26" s="204">
        <v>0.0</v>
      </c>
      <c r="AF26" s="209"/>
      <c r="AG26" s="210" t="s">
        <v>53</v>
      </c>
      <c r="AH26" s="211">
        <v>0.0</v>
      </c>
    </row>
    <row r="27">
      <c r="B27" s="27" t="str">
        <f>'Minion Checker'!D31</f>
        <v/>
      </c>
      <c r="C27" s="34" t="str">
        <f>'Minion Checker'!E31</f>
        <v>Cocoa Beans</v>
      </c>
      <c r="D27" s="34" t="s">
        <v>115</v>
      </c>
      <c r="E27" s="180">
        <f>IFERROR(ROMAN('Minion Checker'!H31),0)</f>
        <v>0</v>
      </c>
      <c r="F27" s="104">
        <f t="shared" si="1"/>
        <v>0</v>
      </c>
      <c r="G27" s="205">
        <v>1.0</v>
      </c>
      <c r="H27" s="181">
        <v>0.25</v>
      </c>
      <c r="I27" s="206" t="b">
        <v>1</v>
      </c>
      <c r="J27" s="207" t="str">
        <f>IF(AND(F27&lt;=11,F27&gt;0),OFFSET('Minion Tiers'!$I$314,F27,0),"")</f>
        <v/>
      </c>
      <c r="K27" s="184" t="str">
        <f t="shared" si="2"/>
        <v>N/A</v>
      </c>
      <c r="L27" s="108">
        <v>3.0</v>
      </c>
      <c r="M27" s="108"/>
      <c r="N27" s="108"/>
      <c r="O27" s="185">
        <f t="shared" si="3"/>
        <v>0</v>
      </c>
      <c r="P27" s="185">
        <f t="shared" si="4"/>
        <v>0</v>
      </c>
      <c r="Q27" s="186" t="str">
        <f t="shared" si="5"/>
        <v>0 Cocoa Beans/h</v>
      </c>
      <c r="R27" s="185">
        <v>3.0</v>
      </c>
      <c r="S27" s="185"/>
      <c r="T27" s="185"/>
      <c r="U27" s="185">
        <f t="shared" si="6"/>
        <v>9</v>
      </c>
      <c r="V27" s="187">
        <f t="shared" si="7"/>
        <v>0</v>
      </c>
      <c r="W27" s="188">
        <f t="shared" si="8"/>
        <v>0</v>
      </c>
      <c r="X27" s="189">
        <v>4.070225</v>
      </c>
      <c r="Y27" s="190">
        <f>(X27*L27+Bazaar!H80*M27+Bazaar!J80*N27)</f>
        <v>12.210675</v>
      </c>
      <c r="Z27" s="191">
        <f t="shared" si="9"/>
        <v>0</v>
      </c>
      <c r="AB27" s="27"/>
      <c r="AC27" s="34" t="s">
        <v>115</v>
      </c>
      <c r="AD27" s="191">
        <v>0.0</v>
      </c>
      <c r="AF27" s="212"/>
      <c r="AG27" s="213" t="s">
        <v>115</v>
      </c>
      <c r="AH27" s="214">
        <v>0.0</v>
      </c>
    </row>
    <row r="28">
      <c r="B28" s="25" t="str">
        <f>'Minion Checker'!D32</f>
        <v/>
      </c>
      <c r="C28" s="37" t="str">
        <f>'Minion Checker'!E32</f>
        <v>Sugar Cane</v>
      </c>
      <c r="D28" s="37" t="s">
        <v>55</v>
      </c>
      <c r="E28" s="192">
        <f>IFERROR(ROMAN('Minion Checker'!H32),0)</f>
        <v>0</v>
      </c>
      <c r="F28" s="118">
        <f t="shared" si="1"/>
        <v>0</v>
      </c>
      <c r="G28" s="193">
        <v>1.0</v>
      </c>
      <c r="H28" s="194">
        <v>0.25</v>
      </c>
      <c r="I28" s="208" t="b">
        <v>1</v>
      </c>
      <c r="J28" s="196" t="str">
        <f>IF(AND(F28&lt;=11,F28&gt;0),OFFSET('Minion Tiers'!$I$327,F28,0),"")</f>
        <v/>
      </c>
      <c r="K28" s="197" t="str">
        <f t="shared" si="2"/>
        <v>N/A</v>
      </c>
      <c r="L28" s="122">
        <v>1.0</v>
      </c>
      <c r="M28" s="122"/>
      <c r="N28" s="122"/>
      <c r="O28" s="198">
        <f t="shared" si="3"/>
        <v>0</v>
      </c>
      <c r="P28" s="198">
        <f t="shared" si="4"/>
        <v>0</v>
      </c>
      <c r="Q28" s="199" t="str">
        <f t="shared" si="5"/>
        <v>0 Sugar Cane/h</v>
      </c>
      <c r="R28" s="198">
        <v>2.0</v>
      </c>
      <c r="S28" s="198"/>
      <c r="T28" s="198"/>
      <c r="U28" s="198">
        <f t="shared" si="6"/>
        <v>2</v>
      </c>
      <c r="V28" s="200">
        <f t="shared" si="7"/>
        <v>0</v>
      </c>
      <c r="W28" s="201">
        <f t="shared" si="8"/>
        <v>0</v>
      </c>
      <c r="X28" s="202">
        <v>4.3012625</v>
      </c>
      <c r="Y28" s="203">
        <f>(X28*L28+Bazaar!H81*M28+Bazaar!J81*N28)</f>
        <v>4.3012625</v>
      </c>
      <c r="Z28" s="204">
        <f t="shared" si="9"/>
        <v>0</v>
      </c>
      <c r="AB28" s="25"/>
      <c r="AC28" s="37" t="s">
        <v>55</v>
      </c>
      <c r="AD28" s="204">
        <v>0.0</v>
      </c>
      <c r="AF28" s="209"/>
      <c r="AG28" s="210" t="s">
        <v>55</v>
      </c>
      <c r="AH28" s="211">
        <v>0.0</v>
      </c>
    </row>
    <row r="29">
      <c r="B29" s="27" t="str">
        <f>'Minion Checker'!D33</f>
        <v/>
      </c>
      <c r="C29" s="34" t="str">
        <f>'Minion Checker'!E33</f>
        <v>Nether Wart</v>
      </c>
      <c r="D29" s="34" t="s">
        <v>116</v>
      </c>
      <c r="E29" s="180">
        <f>IFERROR(ROMAN('Minion Checker'!H33),0)</f>
        <v>0</v>
      </c>
      <c r="F29" s="104">
        <f t="shared" si="1"/>
        <v>0</v>
      </c>
      <c r="G29" s="205">
        <v>1.0</v>
      </c>
      <c r="H29" s="181">
        <v>0.25</v>
      </c>
      <c r="I29" s="206" t="b">
        <v>1</v>
      </c>
      <c r="J29" s="207" t="str">
        <f>IF(AND(F29&lt;=11,F29&gt;0),OFFSET('Minion Tiers'!$I$340,F29,0),"")</f>
        <v/>
      </c>
      <c r="K29" s="184" t="str">
        <f t="shared" si="2"/>
        <v>N/A</v>
      </c>
      <c r="L29" s="108">
        <v>1.0</v>
      </c>
      <c r="M29" s="108"/>
      <c r="N29" s="108"/>
      <c r="O29" s="185">
        <f t="shared" si="3"/>
        <v>0</v>
      </c>
      <c r="P29" s="185">
        <f t="shared" si="4"/>
        <v>0</v>
      </c>
      <c r="Q29" s="186" t="str">
        <f t="shared" si="5"/>
        <v>0 Nether Wart/h</v>
      </c>
      <c r="R29" s="185">
        <v>3.0</v>
      </c>
      <c r="S29" s="185"/>
      <c r="T29" s="185"/>
      <c r="U29" s="185">
        <f t="shared" si="6"/>
        <v>3</v>
      </c>
      <c r="V29" s="187">
        <f t="shared" si="7"/>
        <v>0</v>
      </c>
      <c r="W29" s="188">
        <f t="shared" si="8"/>
        <v>0</v>
      </c>
      <c r="X29" s="189">
        <v>3.9606250000000003</v>
      </c>
      <c r="Y29" s="190">
        <f>(X29*L29+Bazaar!H82*M29+Bazaar!J82*N29)</f>
        <v>3.960625</v>
      </c>
      <c r="Z29" s="191">
        <f t="shared" si="9"/>
        <v>0</v>
      </c>
      <c r="AB29" s="27"/>
      <c r="AC29" s="34" t="s">
        <v>116</v>
      </c>
      <c r="AD29" s="191">
        <v>0.0</v>
      </c>
      <c r="AF29" s="212"/>
      <c r="AG29" s="213" t="s">
        <v>116</v>
      </c>
      <c r="AH29" s="214">
        <v>0.0</v>
      </c>
    </row>
    <row r="30">
      <c r="B30" s="25" t="str">
        <f>'Minion Checker'!D34</f>
        <v/>
      </c>
      <c r="C30" s="37" t="str">
        <f>'Minion Checker'!E34</f>
        <v>Flower</v>
      </c>
      <c r="D30" s="37" t="s">
        <v>59</v>
      </c>
      <c r="E30" s="192">
        <f>IFERROR(ROMAN('Minion Checker'!H34),0)</f>
        <v>0</v>
      </c>
      <c r="F30" s="118">
        <f t="shared" si="1"/>
        <v>0</v>
      </c>
      <c r="G30" s="193">
        <v>1.0</v>
      </c>
      <c r="H30" s="194">
        <v>0.25</v>
      </c>
      <c r="I30" s="208" t="b">
        <v>1</v>
      </c>
      <c r="J30" s="196" t="str">
        <f>IF(AND(F30&lt;=11,F30&gt;0),OFFSET('Minion Tiers'!$I$353,F30,0),"")</f>
        <v/>
      </c>
      <c r="K30" s="197" t="str">
        <f t="shared" si="2"/>
        <v>N/A</v>
      </c>
      <c r="L30" s="122">
        <v>0.8</v>
      </c>
      <c r="M30" s="122">
        <v>0.2</v>
      </c>
      <c r="N30" s="122"/>
      <c r="O30" s="198">
        <f t="shared" si="3"/>
        <v>0</v>
      </c>
      <c r="P30" s="198">
        <f t="shared" si="4"/>
        <v>0</v>
      </c>
      <c r="Q30" s="199" t="str">
        <f t="shared" si="5"/>
        <v>0 Flower/h</v>
      </c>
      <c r="R30" s="198">
        <v>1.0</v>
      </c>
      <c r="S30" s="198">
        <v>2.0</v>
      </c>
      <c r="T30" s="198"/>
      <c r="U30" s="198">
        <f t="shared" si="6"/>
        <v>1.2</v>
      </c>
      <c r="V30" s="200">
        <f t="shared" si="7"/>
        <v>0</v>
      </c>
      <c r="W30" s="201">
        <f t="shared" si="8"/>
        <v>0</v>
      </c>
      <c r="X30" s="202"/>
      <c r="Y30" s="203">
        <f>(X30*L30+Bazaar!H83*M30+Bazaar!J83*N30)</f>
        <v>0</v>
      </c>
      <c r="Z30" s="204">
        <f t="shared" si="9"/>
        <v>0</v>
      </c>
      <c r="AB30" s="25"/>
      <c r="AC30" s="37" t="s">
        <v>59</v>
      </c>
      <c r="AD30" s="204">
        <v>0.0</v>
      </c>
      <c r="AF30" s="209"/>
      <c r="AG30" s="210" t="s">
        <v>59</v>
      </c>
      <c r="AH30" s="211">
        <v>0.0</v>
      </c>
    </row>
    <row r="31">
      <c r="B31" s="27" t="str">
        <f>'Minion Checker'!D35</f>
        <v/>
      </c>
      <c r="C31" s="34" t="str">
        <f>'Minion Checker'!E35</f>
        <v>Fish</v>
      </c>
      <c r="D31" s="34" t="s">
        <v>119</v>
      </c>
      <c r="E31" s="180">
        <f>IFERROR(ROMAN('Minion Checker'!H35),0)</f>
        <v>0</v>
      </c>
      <c r="F31" s="104">
        <f t="shared" si="1"/>
        <v>0</v>
      </c>
      <c r="G31" s="205">
        <v>1.0</v>
      </c>
      <c r="H31" s="181">
        <v>0.25</v>
      </c>
      <c r="I31" s="206" t="b">
        <v>1</v>
      </c>
      <c r="J31" s="207" t="str">
        <f>IF(AND(F31&lt;=11,F31&gt;0),OFFSET('Minion Tiers'!$I$366,F31,0),"")</f>
        <v/>
      </c>
      <c r="K31" s="184" t="str">
        <f t="shared" si="2"/>
        <v>N/A</v>
      </c>
      <c r="L31" s="108">
        <v>1.0</v>
      </c>
      <c r="M31" s="108"/>
      <c r="N31" s="108"/>
      <c r="O31" s="185">
        <f>IFERROR(G31/K31*L31*3600,0)</f>
        <v>0</v>
      </c>
      <c r="P31" s="185">
        <f>IFERROR(G31/K31*(L31+M31+N31)*3600,0)</f>
        <v>0</v>
      </c>
      <c r="Q31" s="186" t="str">
        <f t="shared" si="5"/>
        <v>0 Fish/h</v>
      </c>
      <c r="R31" s="185">
        <v>10.0</v>
      </c>
      <c r="S31" s="185"/>
      <c r="T31" s="185"/>
      <c r="U31" s="185">
        <f t="shared" si="6"/>
        <v>10</v>
      </c>
      <c r="V31" s="187">
        <f>IFERROR(G31/K31*3600,0)</f>
        <v>0</v>
      </c>
      <c r="W31" s="188">
        <f t="shared" si="8"/>
        <v>0</v>
      </c>
      <c r="X31" s="189">
        <v>6.90453125</v>
      </c>
      <c r="Y31" s="190">
        <f>(X31*L31+Bazaar!H84*M31+Bazaar!J84*N31)</f>
        <v>6.90453125</v>
      </c>
      <c r="Z31" s="191">
        <f t="shared" si="9"/>
        <v>0</v>
      </c>
      <c r="AB31" s="27"/>
      <c r="AC31" s="34" t="s">
        <v>119</v>
      </c>
      <c r="AD31" s="191">
        <v>0.0</v>
      </c>
      <c r="AF31" s="212"/>
      <c r="AG31" s="213" t="s">
        <v>119</v>
      </c>
      <c r="AH31" s="214">
        <v>0.0</v>
      </c>
    </row>
    <row r="32">
      <c r="B32" s="25" t="str">
        <f>'Minion Checker'!D36</f>
        <v/>
      </c>
      <c r="C32" s="37" t="str">
        <f>'Minion Checker'!E36</f>
        <v>Zombie</v>
      </c>
      <c r="D32" s="37" t="s">
        <v>147</v>
      </c>
      <c r="E32" s="192">
        <f>IFERROR(ROMAN('Minion Checker'!H36),0)</f>
        <v>0</v>
      </c>
      <c r="F32" s="118">
        <f t="shared" si="1"/>
        <v>0</v>
      </c>
      <c r="G32" s="193">
        <v>1.0</v>
      </c>
      <c r="H32" s="194">
        <v>0.25</v>
      </c>
      <c r="I32" s="208" t="b">
        <v>1</v>
      </c>
      <c r="J32" s="207" t="str">
        <f>IF(AND(F32&lt;=11,F32&gt;0),OFFSET('Minion Tiers'!$I$379,F32,0),"")</f>
        <v/>
      </c>
      <c r="K32" s="197" t="str">
        <f t="shared" si="2"/>
        <v>N/A</v>
      </c>
      <c r="L32" s="122">
        <v>1.0</v>
      </c>
      <c r="M32" s="122"/>
      <c r="N32" s="122"/>
      <c r="O32" s="198">
        <f t="shared" ref="O32:O55" si="10">IFERROR(G32/K32*L32/2*3600,0)</f>
        <v>0</v>
      </c>
      <c r="P32" s="198">
        <f t="shared" ref="P32:P55" si="11">IFERROR(G32/K32*(L32+M32+N32)/2*3600,0)</f>
        <v>0</v>
      </c>
      <c r="Q32" s="215" t="str">
        <f t="shared" si="5"/>
        <v>0 Rotten Flesh/h</v>
      </c>
      <c r="R32" s="198">
        <v>2.0</v>
      </c>
      <c r="S32" s="198"/>
      <c r="T32" s="198"/>
      <c r="U32" s="198">
        <f t="shared" si="6"/>
        <v>2</v>
      </c>
      <c r="V32" s="200">
        <f t="shared" ref="V32:V55" si="12">IFERROR(G32/K32/2*3600,0)</f>
        <v>0</v>
      </c>
      <c r="W32" s="200">
        <f t="shared" si="8"/>
        <v>0</v>
      </c>
      <c r="X32" s="216">
        <v>5.6248249999999995</v>
      </c>
      <c r="Y32" s="198">
        <f>(X32*L32+Bazaar!H85*M32+Bazaar!J85*N32)</f>
        <v>5.624825</v>
      </c>
      <c r="Z32" s="217">
        <f t="shared" si="9"/>
        <v>0</v>
      </c>
      <c r="AB32" s="25"/>
      <c r="AC32" s="37" t="s">
        <v>61</v>
      </c>
      <c r="AD32" s="204">
        <v>0.0</v>
      </c>
      <c r="AF32" s="209"/>
      <c r="AG32" s="210" t="s">
        <v>61</v>
      </c>
      <c r="AH32" s="211">
        <v>0.0</v>
      </c>
    </row>
    <row r="33">
      <c r="B33" s="27" t="str">
        <f>'Minion Checker'!D37</f>
        <v/>
      </c>
      <c r="C33" s="34" t="str">
        <f>'Minion Checker'!E37</f>
        <v>Revenant</v>
      </c>
      <c r="D33" s="34" t="s">
        <v>147</v>
      </c>
      <c r="E33" s="180">
        <f>IFERROR(ROMAN('Minion Checker'!H37),0)</f>
        <v>0</v>
      </c>
      <c r="F33" s="104">
        <f t="shared" si="1"/>
        <v>0</v>
      </c>
      <c r="G33" s="205">
        <v>1.0</v>
      </c>
      <c r="H33" s="181">
        <v>0.25</v>
      </c>
      <c r="I33" s="206" t="b">
        <v>1</v>
      </c>
      <c r="J33" s="207" t="str">
        <f>IF(AND(F33&lt;=11,F33&gt;0),OFFSET('Minion Tiers'!$S$2,F33,0),"")</f>
        <v/>
      </c>
      <c r="K33" s="184" t="str">
        <f t="shared" si="2"/>
        <v>N/A</v>
      </c>
      <c r="L33" s="108">
        <v>3.0</v>
      </c>
      <c r="M33" s="108">
        <v>0.2</v>
      </c>
      <c r="N33" s="108"/>
      <c r="O33" s="185">
        <f t="shared" si="10"/>
        <v>0</v>
      </c>
      <c r="P33" s="185">
        <f t="shared" si="11"/>
        <v>0</v>
      </c>
      <c r="Q33" s="186" t="str">
        <f t="shared" si="5"/>
        <v>0 Rotten Flesh/h</v>
      </c>
      <c r="R33" s="185">
        <v>2.0</v>
      </c>
      <c r="S33" s="185">
        <v>8.0</v>
      </c>
      <c r="T33" s="185"/>
      <c r="U33" s="185">
        <f t="shared" si="6"/>
        <v>7.6</v>
      </c>
      <c r="V33" s="187">
        <f t="shared" si="12"/>
        <v>0</v>
      </c>
      <c r="W33" s="188">
        <f t="shared" si="8"/>
        <v>0</v>
      </c>
      <c r="X33" s="189">
        <v>5.6248249999999995</v>
      </c>
      <c r="Y33" s="190">
        <f>(X33*L33+Bazaar!H86*M33+Bazaar!J86*N33)</f>
        <v>18.58822875</v>
      </c>
      <c r="Z33" s="191">
        <f t="shared" si="9"/>
        <v>0</v>
      </c>
      <c r="AB33" s="27"/>
      <c r="AC33" s="34" t="s">
        <v>62</v>
      </c>
      <c r="AD33" s="191">
        <v>0.0</v>
      </c>
      <c r="AF33" s="212"/>
      <c r="AG33" s="213" t="s">
        <v>62</v>
      </c>
      <c r="AH33" s="214">
        <v>0.0</v>
      </c>
    </row>
    <row r="34">
      <c r="B34" s="25" t="str">
        <f>'Minion Checker'!D38</f>
        <v/>
      </c>
      <c r="C34" s="37" t="str">
        <f>'Minion Checker'!E38</f>
        <v>Skeleton</v>
      </c>
      <c r="D34" s="37" t="s">
        <v>148</v>
      </c>
      <c r="E34" s="192">
        <f>IFERROR(ROMAN('Minion Checker'!H38),0)</f>
        <v>0</v>
      </c>
      <c r="F34" s="118">
        <f t="shared" si="1"/>
        <v>0</v>
      </c>
      <c r="G34" s="193">
        <v>1.0</v>
      </c>
      <c r="H34" s="194">
        <v>0.25</v>
      </c>
      <c r="I34" s="195" t="b">
        <v>1</v>
      </c>
      <c r="J34" s="196" t="str">
        <f>IF(AND(F34&lt;=11,F34&gt;0),OFFSET('Minion Tiers'!$S$15,F34,0),"")</f>
        <v/>
      </c>
      <c r="K34" s="197" t="str">
        <f t="shared" si="2"/>
        <v>N/A</v>
      </c>
      <c r="L34" s="122">
        <v>1.0</v>
      </c>
      <c r="M34" s="122"/>
      <c r="N34" s="122"/>
      <c r="O34" s="198">
        <f t="shared" si="10"/>
        <v>0</v>
      </c>
      <c r="P34" s="198">
        <f t="shared" si="11"/>
        <v>0</v>
      </c>
      <c r="Q34" s="199" t="str">
        <f t="shared" si="5"/>
        <v>0 Bone/h</v>
      </c>
      <c r="R34" s="198">
        <v>2.0</v>
      </c>
      <c r="S34" s="198"/>
      <c r="T34" s="198"/>
      <c r="U34" s="198">
        <f t="shared" si="6"/>
        <v>2</v>
      </c>
      <c r="V34" s="200">
        <f t="shared" si="12"/>
        <v>0</v>
      </c>
      <c r="W34" s="201">
        <f t="shared" si="8"/>
        <v>0</v>
      </c>
      <c r="X34" s="202">
        <v>5.860675</v>
      </c>
      <c r="Y34" s="203">
        <f>(X34*L34+Bazaar!H87*M34+Bazaar!J87*N34)</f>
        <v>5.860675</v>
      </c>
      <c r="Z34" s="204">
        <f t="shared" si="9"/>
        <v>0</v>
      </c>
      <c r="AB34" s="25"/>
      <c r="AC34" s="37" t="s">
        <v>63</v>
      </c>
      <c r="AD34" s="204">
        <v>0.0</v>
      </c>
      <c r="AF34" s="209"/>
      <c r="AG34" s="210" t="s">
        <v>63</v>
      </c>
      <c r="AH34" s="211">
        <v>0.0</v>
      </c>
    </row>
    <row r="35">
      <c r="B35" s="27" t="str">
        <f>'Minion Checker'!D39</f>
        <v/>
      </c>
      <c r="C35" s="34" t="str">
        <f>'Minion Checker'!E39</f>
        <v>Creeper</v>
      </c>
      <c r="D35" s="34" t="s">
        <v>149</v>
      </c>
      <c r="E35" s="180">
        <f>IFERROR(ROMAN('Minion Checker'!H39),0)</f>
        <v>0</v>
      </c>
      <c r="F35" s="104">
        <f t="shared" si="1"/>
        <v>0</v>
      </c>
      <c r="G35" s="205">
        <v>1.0</v>
      </c>
      <c r="H35" s="181">
        <v>0.25</v>
      </c>
      <c r="I35" s="206" t="b">
        <v>1</v>
      </c>
      <c r="J35" s="207" t="str">
        <f>IF(AND(F35&lt;=11,F35&gt;0),OFFSET('Minion Tiers'!$S$28,F35,0),"")</f>
        <v/>
      </c>
      <c r="K35" s="184" t="str">
        <f t="shared" si="2"/>
        <v>N/A</v>
      </c>
      <c r="L35" s="108">
        <v>1.0</v>
      </c>
      <c r="M35" s="108"/>
      <c r="N35" s="108"/>
      <c r="O35" s="185">
        <f t="shared" si="10"/>
        <v>0</v>
      </c>
      <c r="P35" s="185">
        <f t="shared" si="11"/>
        <v>0</v>
      </c>
      <c r="Q35" s="186" t="str">
        <f t="shared" si="5"/>
        <v>0 Gunpowder/h</v>
      </c>
      <c r="R35" s="185">
        <v>4.0</v>
      </c>
      <c r="S35" s="185"/>
      <c r="T35" s="185"/>
      <c r="U35" s="185">
        <f t="shared" si="6"/>
        <v>4</v>
      </c>
      <c r="V35" s="187">
        <f t="shared" si="12"/>
        <v>0</v>
      </c>
      <c r="W35" s="188">
        <f t="shared" si="8"/>
        <v>0</v>
      </c>
      <c r="X35" s="189">
        <v>27.345625000000002</v>
      </c>
      <c r="Y35" s="190">
        <f>(X35*L35+Bazaar!H88*M35+Bazaar!J88*N35)</f>
        <v>27.345625</v>
      </c>
      <c r="Z35" s="191">
        <f t="shared" si="9"/>
        <v>0</v>
      </c>
      <c r="AB35" s="27"/>
      <c r="AC35" s="34" t="s">
        <v>64</v>
      </c>
      <c r="AD35" s="191">
        <v>0.0</v>
      </c>
      <c r="AF35" s="212"/>
      <c r="AG35" s="213" t="s">
        <v>64</v>
      </c>
      <c r="AH35" s="214">
        <v>0.0</v>
      </c>
    </row>
    <row r="36">
      <c r="B36" s="25" t="str">
        <f>'Minion Checker'!D40</f>
        <v/>
      </c>
      <c r="C36" s="37" t="str">
        <f>'Minion Checker'!E40</f>
        <v>Spider</v>
      </c>
      <c r="D36" s="37" t="s">
        <v>150</v>
      </c>
      <c r="E36" s="192">
        <f>IFERROR(ROMAN('Minion Checker'!H40),0)</f>
        <v>0</v>
      </c>
      <c r="F36" s="118">
        <f t="shared" si="1"/>
        <v>0</v>
      </c>
      <c r="G36" s="193">
        <v>1.0</v>
      </c>
      <c r="H36" s="194">
        <v>0.25</v>
      </c>
      <c r="I36" s="208" t="b">
        <v>1</v>
      </c>
      <c r="J36" s="196" t="str">
        <f>IF(AND(F36&lt;=11,F36&gt;0),OFFSET('Minion Tiers'!$S$41,F36,0),"")</f>
        <v/>
      </c>
      <c r="K36" s="197" t="str">
        <f t="shared" si="2"/>
        <v>N/A</v>
      </c>
      <c r="L36" s="218">
        <v>1.0</v>
      </c>
      <c r="M36" s="218">
        <v>0.5</v>
      </c>
      <c r="N36" s="218"/>
      <c r="O36" s="198">
        <f t="shared" si="10"/>
        <v>0</v>
      </c>
      <c r="P36" s="198">
        <f t="shared" si="11"/>
        <v>0</v>
      </c>
      <c r="Q36" s="215" t="str">
        <f t="shared" si="5"/>
        <v>0 String/h</v>
      </c>
      <c r="R36" s="198">
        <v>3.0</v>
      </c>
      <c r="S36" s="198">
        <v>3.0</v>
      </c>
      <c r="T36" s="198"/>
      <c r="U36" s="198">
        <f t="shared" si="6"/>
        <v>4.5</v>
      </c>
      <c r="V36" s="200">
        <f t="shared" si="12"/>
        <v>0</v>
      </c>
      <c r="W36" s="200">
        <f t="shared" si="8"/>
        <v>0</v>
      </c>
      <c r="X36" s="216">
        <v>12.015286458333334</v>
      </c>
      <c r="Y36" s="198">
        <f>(X36*L36+Bazaar!H89*M36+Bazaar!J89*N36)</f>
        <v>16.98138021</v>
      </c>
      <c r="Z36" s="217">
        <f t="shared" si="9"/>
        <v>0</v>
      </c>
      <c r="AB36" s="25"/>
      <c r="AC36" s="37" t="s">
        <v>65</v>
      </c>
      <c r="AD36" s="204">
        <v>0.0</v>
      </c>
      <c r="AF36" s="209"/>
      <c r="AG36" s="210" t="s">
        <v>65</v>
      </c>
      <c r="AH36" s="211">
        <v>0.0</v>
      </c>
    </row>
    <row r="37">
      <c r="B37" s="27" t="str">
        <f>'Minion Checker'!D41</f>
        <v/>
      </c>
      <c r="C37" s="34" t="str">
        <f>'Minion Checker'!E41</f>
        <v>Tarantula</v>
      </c>
      <c r="D37" s="34" t="s">
        <v>150</v>
      </c>
      <c r="E37" s="180">
        <f>IFERROR(ROMAN('Minion Checker'!H41),0)</f>
        <v>0</v>
      </c>
      <c r="F37" s="104">
        <f t="shared" si="1"/>
        <v>0</v>
      </c>
      <c r="G37" s="205">
        <v>1.0</v>
      </c>
      <c r="H37" s="181">
        <v>0.25</v>
      </c>
      <c r="I37" s="206" t="b">
        <v>1</v>
      </c>
      <c r="J37" s="207" t="str">
        <f>IF(AND(F37&lt;=11,F37&gt;0),OFFSET('Minion Tiers'!$S$54,F37,0),"")</f>
        <v/>
      </c>
      <c r="K37" s="184" t="str">
        <f t="shared" si="2"/>
        <v>N/A</v>
      </c>
      <c r="L37" s="219">
        <f>3.16</f>
        <v>3.16</v>
      </c>
      <c r="M37" s="108">
        <v>1.0</v>
      </c>
      <c r="N37" s="108">
        <v>0.2</v>
      </c>
      <c r="O37" s="185">
        <f t="shared" si="10"/>
        <v>0</v>
      </c>
      <c r="P37" s="185">
        <f t="shared" si="11"/>
        <v>0</v>
      </c>
      <c r="Q37" s="186" t="str">
        <f t="shared" si="5"/>
        <v>0 String/h</v>
      </c>
      <c r="R37" s="185">
        <v>3.0</v>
      </c>
      <c r="S37" s="185">
        <v>3.0</v>
      </c>
      <c r="T37" s="185">
        <v>3.0</v>
      </c>
      <c r="U37" s="185">
        <f t="shared" si="6"/>
        <v>13.08</v>
      </c>
      <c r="V37" s="187">
        <f t="shared" si="12"/>
        <v>0</v>
      </c>
      <c r="W37" s="188">
        <f t="shared" si="8"/>
        <v>0</v>
      </c>
      <c r="X37" s="189">
        <v>12.015286458333334</v>
      </c>
      <c r="Y37" s="190">
        <f>(X37*L37+Bazaar!H90*M37+Bazaar!J90*N37)</f>
        <v>50.06080521</v>
      </c>
      <c r="Z37" s="191">
        <f t="shared" si="9"/>
        <v>0</v>
      </c>
      <c r="AB37" s="27"/>
      <c r="AC37" s="34" t="s">
        <v>66</v>
      </c>
      <c r="AD37" s="191">
        <v>0.0</v>
      </c>
      <c r="AF37" s="212"/>
      <c r="AG37" s="213" t="s">
        <v>66</v>
      </c>
      <c r="AH37" s="214">
        <v>0.0</v>
      </c>
    </row>
    <row r="38">
      <c r="B38" s="25" t="str">
        <f>'Minion Checker'!D42</f>
        <v/>
      </c>
      <c r="C38" s="37" t="str">
        <f>'Minion Checker'!E42</f>
        <v>Cave Spider</v>
      </c>
      <c r="D38" s="37" t="s">
        <v>151</v>
      </c>
      <c r="E38" s="192">
        <f>IFERROR(ROMAN('Minion Checker'!H42),0)</f>
        <v>0</v>
      </c>
      <c r="F38" s="118">
        <f t="shared" si="1"/>
        <v>0</v>
      </c>
      <c r="G38" s="193">
        <v>1.0</v>
      </c>
      <c r="H38" s="194">
        <v>0.25</v>
      </c>
      <c r="I38" s="208" t="b">
        <v>1</v>
      </c>
      <c r="J38" s="196" t="str">
        <f>IF(AND(F38&lt;=11,F38&gt;0),OFFSET('Minion Tiers'!$S$67,F38,0),"")</f>
        <v/>
      </c>
      <c r="K38" s="197" t="str">
        <f t="shared" si="2"/>
        <v>N/A</v>
      </c>
      <c r="L38" s="122">
        <v>0.5</v>
      </c>
      <c r="M38" s="122">
        <v>1.0</v>
      </c>
      <c r="N38" s="122"/>
      <c r="O38" s="198">
        <f t="shared" si="10"/>
        <v>0</v>
      </c>
      <c r="P38" s="198">
        <f t="shared" si="11"/>
        <v>0</v>
      </c>
      <c r="Q38" s="199" t="str">
        <f t="shared" si="5"/>
        <v>0 Spider Eye/h</v>
      </c>
      <c r="R38" s="198">
        <v>3.0</v>
      </c>
      <c r="S38" s="198">
        <v>3.0</v>
      </c>
      <c r="T38" s="198"/>
      <c r="U38" s="198">
        <f t="shared" si="6"/>
        <v>4.5</v>
      </c>
      <c r="V38" s="200">
        <f t="shared" si="12"/>
        <v>0</v>
      </c>
      <c r="W38" s="201">
        <f t="shared" si="8"/>
        <v>0</v>
      </c>
      <c r="X38" s="202">
        <v>9.932187500000001</v>
      </c>
      <c r="Y38" s="203">
        <f>(X38*L38+Bazaar!H91*M38+Bazaar!J91*N38)</f>
        <v>16.98138021</v>
      </c>
      <c r="Z38" s="204">
        <f t="shared" si="9"/>
        <v>0</v>
      </c>
      <c r="AB38" s="25"/>
      <c r="AC38" s="37" t="s">
        <v>118</v>
      </c>
      <c r="AD38" s="204">
        <v>0.0</v>
      </c>
      <c r="AF38" s="209"/>
      <c r="AG38" s="210" t="s">
        <v>118</v>
      </c>
      <c r="AH38" s="211">
        <v>0.0</v>
      </c>
    </row>
    <row r="39">
      <c r="B39" s="27" t="str">
        <f>'Minion Checker'!D43</f>
        <v/>
      </c>
      <c r="C39" s="34" t="str">
        <f>'Minion Checker'!E43</f>
        <v>Blaze</v>
      </c>
      <c r="D39" s="34" t="s">
        <v>152</v>
      </c>
      <c r="E39" s="180">
        <f>IFERROR(ROMAN('Minion Checker'!H43),0)</f>
        <v>0</v>
      </c>
      <c r="F39" s="104">
        <f t="shared" si="1"/>
        <v>0</v>
      </c>
      <c r="G39" s="205">
        <v>1.0</v>
      </c>
      <c r="H39" s="181">
        <v>0.25</v>
      </c>
      <c r="I39" s="206" t="b">
        <v>1</v>
      </c>
      <c r="J39" s="207" t="str">
        <f>IF(AND(F39&lt;=11,F39&gt;0),OFFSET('Minion Tiers'!$S$80,F39,0),"")</f>
        <v/>
      </c>
      <c r="K39" s="184" t="str">
        <f t="shared" si="2"/>
        <v>N/A</v>
      </c>
      <c r="L39" s="108">
        <v>1.0</v>
      </c>
      <c r="M39" s="108"/>
      <c r="N39" s="108"/>
      <c r="O39" s="185">
        <f t="shared" si="10"/>
        <v>0</v>
      </c>
      <c r="P39" s="185">
        <f t="shared" si="11"/>
        <v>0</v>
      </c>
      <c r="Q39" s="186" t="str">
        <f t="shared" si="5"/>
        <v>0 Blaze Rod/h</v>
      </c>
      <c r="R39" s="185">
        <v>9.0</v>
      </c>
      <c r="S39" s="185"/>
      <c r="T39" s="185"/>
      <c r="U39" s="185">
        <f t="shared" si="6"/>
        <v>9</v>
      </c>
      <c r="V39" s="187">
        <f t="shared" si="12"/>
        <v>0</v>
      </c>
      <c r="W39" s="188">
        <f t="shared" si="8"/>
        <v>0</v>
      </c>
      <c r="X39" s="189">
        <v>16.202481249999998</v>
      </c>
      <c r="Y39" s="190">
        <f>(X39*L39+Bazaar!H92*M39+Bazaar!J92*N39)</f>
        <v>16.20248125</v>
      </c>
      <c r="Z39" s="191">
        <f t="shared" si="9"/>
        <v>0</v>
      </c>
      <c r="AB39" s="27"/>
      <c r="AC39" s="34" t="s">
        <v>68</v>
      </c>
      <c r="AD39" s="191">
        <v>0.0</v>
      </c>
      <c r="AF39" s="212"/>
      <c r="AG39" s="213" t="s">
        <v>68</v>
      </c>
      <c r="AH39" s="214">
        <v>0.0</v>
      </c>
    </row>
    <row r="40">
      <c r="B40" s="25" t="str">
        <f>'Minion Checker'!D44</f>
        <v/>
      </c>
      <c r="C40" s="37" t="str">
        <f>'Minion Checker'!E44</f>
        <v>Magma Cube</v>
      </c>
      <c r="D40" s="37" t="s">
        <v>153</v>
      </c>
      <c r="E40" s="192">
        <f>IFERROR(ROMAN('Minion Checker'!H44),0)</f>
        <v>0</v>
      </c>
      <c r="F40" s="118">
        <f t="shared" si="1"/>
        <v>0</v>
      </c>
      <c r="G40" s="193">
        <v>1.0</v>
      </c>
      <c r="H40" s="194">
        <v>0.25</v>
      </c>
      <c r="I40" s="195" t="b">
        <v>1</v>
      </c>
      <c r="J40" s="196" t="str">
        <f>IF(AND(F40&lt;=11,F40&gt;0),OFFSET('Minion Tiers'!$S$93,F40,0),"")</f>
        <v/>
      </c>
      <c r="K40" s="197" t="str">
        <f t="shared" si="2"/>
        <v>N/A</v>
      </c>
      <c r="L40" s="122">
        <v>1.8</v>
      </c>
      <c r="M40" s="122"/>
      <c r="N40" s="122"/>
      <c r="O40" s="198">
        <f t="shared" si="10"/>
        <v>0</v>
      </c>
      <c r="P40" s="198">
        <f t="shared" si="11"/>
        <v>0</v>
      </c>
      <c r="Q40" s="199" t="str">
        <f t="shared" si="5"/>
        <v>0 Magma Cream/h</v>
      </c>
      <c r="R40" s="198">
        <v>8.0</v>
      </c>
      <c r="S40" s="198"/>
      <c r="T40" s="198"/>
      <c r="U40" s="198">
        <f t="shared" si="6"/>
        <v>14.4</v>
      </c>
      <c r="V40" s="200">
        <f t="shared" si="12"/>
        <v>0</v>
      </c>
      <c r="W40" s="201">
        <f t="shared" si="8"/>
        <v>0</v>
      </c>
      <c r="X40" s="202">
        <v>24.99156875</v>
      </c>
      <c r="Y40" s="203">
        <f>(X40*L40+Bazaar!H93*M40+Bazaar!J93*N40)</f>
        <v>44.98482375</v>
      </c>
      <c r="Z40" s="204">
        <f t="shared" si="9"/>
        <v>0</v>
      </c>
      <c r="AB40" s="25"/>
      <c r="AC40" s="37" t="s">
        <v>69</v>
      </c>
      <c r="AD40" s="204">
        <v>0.0</v>
      </c>
      <c r="AF40" s="209"/>
      <c r="AG40" s="210" t="s">
        <v>69</v>
      </c>
      <c r="AH40" s="211">
        <v>0.0</v>
      </c>
    </row>
    <row r="41">
      <c r="B41" s="27" t="str">
        <f>'Minion Checker'!D45</f>
        <v/>
      </c>
      <c r="C41" s="34" t="str">
        <f>'Minion Checker'!E45</f>
        <v>Enderman</v>
      </c>
      <c r="D41" s="34" t="s">
        <v>154</v>
      </c>
      <c r="E41" s="180">
        <f>IFERROR(ROMAN('Minion Checker'!H45),0)</f>
        <v>0</v>
      </c>
      <c r="F41" s="104">
        <f t="shared" si="1"/>
        <v>0</v>
      </c>
      <c r="G41" s="205">
        <v>1.0</v>
      </c>
      <c r="H41" s="181">
        <v>0.25</v>
      </c>
      <c r="I41" s="206" t="b">
        <v>1</v>
      </c>
      <c r="J41" s="207" t="str">
        <f>IF(AND(F41&lt;=11,F41&gt;0),OFFSET('Minion Tiers'!$S$106,F41,0),"")</f>
        <v/>
      </c>
      <c r="K41" s="184" t="str">
        <f t="shared" si="2"/>
        <v>N/A</v>
      </c>
      <c r="L41" s="108">
        <v>1.0</v>
      </c>
      <c r="M41" s="108"/>
      <c r="N41" s="108"/>
      <c r="O41" s="185">
        <f t="shared" si="10"/>
        <v>0</v>
      </c>
      <c r="P41" s="185">
        <f t="shared" si="11"/>
        <v>0</v>
      </c>
      <c r="Q41" s="186" t="str">
        <f t="shared" si="5"/>
        <v>0 Ender Pearl/h</v>
      </c>
      <c r="R41" s="185">
        <v>10.0</v>
      </c>
      <c r="S41" s="185"/>
      <c r="T41" s="185"/>
      <c r="U41" s="185">
        <f t="shared" si="6"/>
        <v>10</v>
      </c>
      <c r="V41" s="187">
        <f t="shared" si="12"/>
        <v>0</v>
      </c>
      <c r="W41" s="188">
        <f t="shared" si="8"/>
        <v>0</v>
      </c>
      <c r="X41" s="189">
        <v>7.2204999999999995</v>
      </c>
      <c r="Y41" s="190">
        <f>(X41*L41+Bazaar!H94*M41+Bazaar!J94*N41)</f>
        <v>7.2205</v>
      </c>
      <c r="Z41" s="191">
        <f t="shared" si="9"/>
        <v>0</v>
      </c>
      <c r="AB41" s="27"/>
      <c r="AC41" s="34" t="s">
        <v>71</v>
      </c>
      <c r="AD41" s="191">
        <v>0.0</v>
      </c>
      <c r="AF41" s="212"/>
      <c r="AG41" s="213" t="s">
        <v>71</v>
      </c>
      <c r="AH41" s="214">
        <v>0.0</v>
      </c>
    </row>
    <row r="42">
      <c r="B42" s="25" t="str">
        <f>'Minion Checker'!D46</f>
        <v/>
      </c>
      <c r="C42" s="37" t="str">
        <f>'Minion Checker'!E46</f>
        <v>Ghast</v>
      </c>
      <c r="D42" s="37" t="s">
        <v>155</v>
      </c>
      <c r="E42" s="192">
        <f>IFERROR(ROMAN('Minion Checker'!H46),0)</f>
        <v>0</v>
      </c>
      <c r="F42" s="118">
        <f t="shared" si="1"/>
        <v>0</v>
      </c>
      <c r="G42" s="193">
        <v>1.0</v>
      </c>
      <c r="H42" s="194">
        <v>0.25</v>
      </c>
      <c r="I42" s="208" t="b">
        <v>1</v>
      </c>
      <c r="J42" s="196" t="str">
        <f>IF(AND(F42&lt;=11,F42&gt;0),OFFSET('Minion Tiers'!$S$119,F42,0),"")</f>
        <v/>
      </c>
      <c r="K42" s="197" t="str">
        <f t="shared" si="2"/>
        <v>N/A</v>
      </c>
      <c r="L42" s="122">
        <v>1.0</v>
      </c>
      <c r="M42" s="122"/>
      <c r="N42" s="122"/>
      <c r="O42" s="198">
        <f t="shared" si="10"/>
        <v>0</v>
      </c>
      <c r="P42" s="198">
        <f t="shared" si="11"/>
        <v>0</v>
      </c>
      <c r="Q42" s="199" t="str">
        <f t="shared" si="5"/>
        <v>0 Ghast Tear/h</v>
      </c>
      <c r="R42" s="198">
        <v>16.0</v>
      </c>
      <c r="S42" s="198"/>
      <c r="T42" s="198"/>
      <c r="U42" s="198">
        <f t="shared" si="6"/>
        <v>16</v>
      </c>
      <c r="V42" s="200">
        <f t="shared" si="12"/>
        <v>0</v>
      </c>
      <c r="W42" s="201">
        <f t="shared" si="8"/>
        <v>0</v>
      </c>
      <c r="X42" s="202">
        <v>117.94480000000001</v>
      </c>
      <c r="Y42" s="203">
        <f>(X42*L42+Bazaar!H95*M42+Bazaar!J95*N42)</f>
        <v>117.9448</v>
      </c>
      <c r="Z42" s="204">
        <f t="shared" si="9"/>
        <v>0</v>
      </c>
      <c r="AB42" s="25"/>
      <c r="AC42" s="37" t="s">
        <v>72</v>
      </c>
      <c r="AD42" s="204">
        <v>0.0</v>
      </c>
      <c r="AF42" s="209"/>
      <c r="AG42" s="210" t="s">
        <v>72</v>
      </c>
      <c r="AH42" s="211">
        <v>0.0</v>
      </c>
    </row>
    <row r="43">
      <c r="B43" s="27" t="str">
        <f>'Minion Checker'!D47</f>
        <v/>
      </c>
      <c r="C43" s="34" t="str">
        <f>'Minion Checker'!E47</f>
        <v>Slime</v>
      </c>
      <c r="D43" s="34" t="s">
        <v>156</v>
      </c>
      <c r="E43" s="180">
        <f>IFERROR(ROMAN('Minion Checker'!H47),0)</f>
        <v>0</v>
      </c>
      <c r="F43" s="104">
        <f t="shared" si="1"/>
        <v>0</v>
      </c>
      <c r="G43" s="205">
        <v>1.0</v>
      </c>
      <c r="H43" s="181">
        <v>0.25</v>
      </c>
      <c r="I43" s="206" t="b">
        <v>1</v>
      </c>
      <c r="J43" s="207" t="str">
        <f>IF(AND(F43&lt;=11,F43&gt;0),OFFSET('Minion Tiers'!$S$132,F43,0),"")</f>
        <v/>
      </c>
      <c r="K43" s="184" t="str">
        <f t="shared" si="2"/>
        <v>N/A</v>
      </c>
      <c r="L43" s="108">
        <v>1.8</v>
      </c>
      <c r="M43" s="108"/>
      <c r="N43" s="108"/>
      <c r="O43" s="185">
        <f t="shared" si="10"/>
        <v>0</v>
      </c>
      <c r="P43" s="185">
        <f t="shared" si="11"/>
        <v>0</v>
      </c>
      <c r="Q43" s="186" t="str">
        <f t="shared" si="5"/>
        <v>0 Slimeball/h</v>
      </c>
      <c r="R43" s="190">
        <v>5.0</v>
      </c>
      <c r="S43" s="190"/>
      <c r="T43" s="190"/>
      <c r="U43" s="190">
        <f t="shared" si="6"/>
        <v>9</v>
      </c>
      <c r="V43" s="187">
        <f t="shared" si="12"/>
        <v>0</v>
      </c>
      <c r="W43" s="188">
        <f t="shared" si="8"/>
        <v>0</v>
      </c>
      <c r="X43" s="189">
        <v>12.176781250000001</v>
      </c>
      <c r="Y43" s="190">
        <f>(X43*L43+Bazaar!H96*M43+Bazaar!J96*N43)</f>
        <v>21.91820625</v>
      </c>
      <c r="Z43" s="191">
        <f t="shared" si="9"/>
        <v>0</v>
      </c>
      <c r="AB43" s="27"/>
      <c r="AC43" s="34" t="s">
        <v>73</v>
      </c>
      <c r="AD43" s="191">
        <v>0.0</v>
      </c>
      <c r="AF43" s="212"/>
      <c r="AG43" s="213" t="s">
        <v>73</v>
      </c>
      <c r="AH43" s="214">
        <v>0.0</v>
      </c>
    </row>
    <row r="44">
      <c r="B44" s="25" t="str">
        <f>'Minion Checker'!D48</f>
        <v/>
      </c>
      <c r="C44" s="37" t="str">
        <f>'Minion Checker'!E48</f>
        <v>Cow</v>
      </c>
      <c r="D44" s="37" t="s">
        <v>157</v>
      </c>
      <c r="E44" s="192">
        <f>IFERROR(ROMAN('Minion Checker'!H48),0)</f>
        <v>0</v>
      </c>
      <c r="F44" s="118">
        <f t="shared" si="1"/>
        <v>0</v>
      </c>
      <c r="G44" s="193">
        <v>1.0</v>
      </c>
      <c r="H44" s="194">
        <v>0.25</v>
      </c>
      <c r="I44" s="208" t="b">
        <v>1</v>
      </c>
      <c r="J44" s="196" t="str">
        <f>IF(AND(F44&lt;=11,F44&gt;0),OFFSET('Minion Tiers'!$S$145,F44,0),"")</f>
        <v/>
      </c>
      <c r="K44" s="197" t="str">
        <f t="shared" si="2"/>
        <v>N/A</v>
      </c>
      <c r="L44" s="122">
        <v>1.0</v>
      </c>
      <c r="M44" s="122">
        <v>1.0</v>
      </c>
      <c r="N44" s="122"/>
      <c r="O44" s="198">
        <f t="shared" si="10"/>
        <v>0</v>
      </c>
      <c r="P44" s="198">
        <f t="shared" si="11"/>
        <v>0</v>
      </c>
      <c r="Q44" s="199" t="str">
        <f t="shared" si="5"/>
        <v>0 Raw Beef/h</v>
      </c>
      <c r="R44" s="198">
        <v>4.0</v>
      </c>
      <c r="S44" s="198">
        <v>3.0</v>
      </c>
      <c r="T44" s="198"/>
      <c r="U44" s="198">
        <f t="shared" si="6"/>
        <v>7</v>
      </c>
      <c r="V44" s="200">
        <f t="shared" si="12"/>
        <v>0</v>
      </c>
      <c r="W44" s="201">
        <f t="shared" si="8"/>
        <v>0</v>
      </c>
      <c r="X44" s="202">
        <v>3.8234375</v>
      </c>
      <c r="Y44" s="203">
        <f>(X44*L44+Bazaar!H97*M44+Bazaar!J97*N44)</f>
        <v>18.99484028</v>
      </c>
      <c r="Z44" s="204">
        <f t="shared" si="9"/>
        <v>0</v>
      </c>
      <c r="AB44" s="25"/>
      <c r="AC44" s="37" t="s">
        <v>74</v>
      </c>
      <c r="AD44" s="204">
        <v>0.0</v>
      </c>
      <c r="AF44" s="209"/>
      <c r="AG44" s="210" t="s">
        <v>74</v>
      </c>
      <c r="AH44" s="211">
        <v>0.0</v>
      </c>
    </row>
    <row r="45">
      <c r="B45" s="27" t="str">
        <f>'Minion Checker'!D49</f>
        <v/>
      </c>
      <c r="C45" s="34" t="str">
        <f>'Minion Checker'!E49</f>
        <v>Pig</v>
      </c>
      <c r="D45" s="34" t="s">
        <v>158</v>
      </c>
      <c r="E45" s="180">
        <f>IFERROR(ROMAN('Minion Checker'!H49),0)</f>
        <v>0</v>
      </c>
      <c r="F45" s="104">
        <f t="shared" si="1"/>
        <v>0</v>
      </c>
      <c r="G45" s="205">
        <v>1.0</v>
      </c>
      <c r="H45" s="181">
        <v>0.25</v>
      </c>
      <c r="I45" s="206" t="b">
        <v>1</v>
      </c>
      <c r="J45" s="207" t="str">
        <f>IF(AND(F45&lt;=11,F45&gt;0),OFFSET('Minion Tiers'!$S$158,F45,0),"")</f>
        <v/>
      </c>
      <c r="K45" s="184" t="str">
        <f t="shared" si="2"/>
        <v>N/A</v>
      </c>
      <c r="L45" s="108">
        <v>1.0</v>
      </c>
      <c r="M45" s="108"/>
      <c r="N45" s="108"/>
      <c r="O45" s="185">
        <f t="shared" si="10"/>
        <v>0</v>
      </c>
      <c r="P45" s="185">
        <f t="shared" si="11"/>
        <v>0</v>
      </c>
      <c r="Q45" s="186" t="str">
        <f t="shared" si="5"/>
        <v>0 Raw Porkchop/h</v>
      </c>
      <c r="R45" s="190">
        <v>5.0</v>
      </c>
      <c r="S45" s="190"/>
      <c r="T45" s="190"/>
      <c r="U45" s="190">
        <f t="shared" si="6"/>
        <v>5</v>
      </c>
      <c r="V45" s="187">
        <f t="shared" si="12"/>
        <v>0</v>
      </c>
      <c r="W45" s="188">
        <f t="shared" si="8"/>
        <v>0</v>
      </c>
      <c r="X45" s="189">
        <v>42.9084625</v>
      </c>
      <c r="Y45" s="190">
        <f>(X45*L45+Bazaar!H98*M45+Bazaar!J98*N45)</f>
        <v>42.9084625</v>
      </c>
      <c r="Z45" s="191">
        <f t="shared" si="9"/>
        <v>0</v>
      </c>
      <c r="AB45" s="27"/>
      <c r="AC45" s="34" t="s">
        <v>75</v>
      </c>
      <c r="AD45" s="191">
        <v>0.0</v>
      </c>
      <c r="AF45" s="212"/>
      <c r="AG45" s="213" t="s">
        <v>75</v>
      </c>
      <c r="AH45" s="214">
        <v>0.0</v>
      </c>
    </row>
    <row r="46">
      <c r="B46" s="25" t="str">
        <f>'Minion Checker'!D50</f>
        <v/>
      </c>
      <c r="C46" s="37" t="str">
        <f>'Minion Checker'!E50</f>
        <v>Chicken</v>
      </c>
      <c r="D46" s="37" t="s">
        <v>159</v>
      </c>
      <c r="E46" s="192">
        <f>IFERROR(ROMAN('Minion Checker'!H50),0)</f>
        <v>0</v>
      </c>
      <c r="F46" s="118">
        <f t="shared" si="1"/>
        <v>0</v>
      </c>
      <c r="G46" s="193">
        <v>1.0</v>
      </c>
      <c r="H46" s="194">
        <v>0.25</v>
      </c>
      <c r="I46" s="208" t="b">
        <v>1</v>
      </c>
      <c r="J46" s="196" t="str">
        <f>IF(AND(F46&lt;=11,F46&gt;0),OFFSET('Minion Tiers'!$S$171,F46,0),"")</f>
        <v/>
      </c>
      <c r="K46" s="197" t="str">
        <f t="shared" si="2"/>
        <v>N/A</v>
      </c>
      <c r="L46" s="122">
        <v>1.0</v>
      </c>
      <c r="M46" s="122">
        <v>1.0</v>
      </c>
      <c r="N46" s="122">
        <v>1.0</v>
      </c>
      <c r="O46" s="198">
        <f t="shared" si="10"/>
        <v>0</v>
      </c>
      <c r="P46" s="198">
        <f t="shared" si="11"/>
        <v>0</v>
      </c>
      <c r="Q46" s="199" t="str">
        <f t="shared" si="5"/>
        <v>0 Raw Chicken/h</v>
      </c>
      <c r="R46" s="198">
        <v>4.0</v>
      </c>
      <c r="S46" s="198">
        <v>3.0</v>
      </c>
      <c r="T46" s="198">
        <v>1.0</v>
      </c>
      <c r="U46" s="198">
        <f t="shared" si="6"/>
        <v>8</v>
      </c>
      <c r="V46" s="200">
        <f t="shared" si="12"/>
        <v>0</v>
      </c>
      <c r="W46" s="201">
        <f t="shared" si="8"/>
        <v>0</v>
      </c>
      <c r="X46" s="202">
        <v>4.05900625</v>
      </c>
      <c r="Y46" s="203">
        <f>(X46*L46+Bazaar!H99*M46+Bazaar!J99*N46)</f>
        <v>33.72699236</v>
      </c>
      <c r="Z46" s="204">
        <f t="shared" si="9"/>
        <v>0</v>
      </c>
      <c r="AB46" s="25"/>
      <c r="AC46" s="37" t="s">
        <v>76</v>
      </c>
      <c r="AD46" s="204">
        <v>0.0</v>
      </c>
      <c r="AF46" s="209"/>
      <c r="AG46" s="210" t="s">
        <v>76</v>
      </c>
      <c r="AH46" s="211">
        <v>0.0</v>
      </c>
    </row>
    <row r="47">
      <c r="B47" s="27" t="str">
        <f>'Minion Checker'!D51</f>
        <v/>
      </c>
      <c r="C47" s="34" t="str">
        <f>'Minion Checker'!E51</f>
        <v>Sheep</v>
      </c>
      <c r="D47" s="34" t="s">
        <v>160</v>
      </c>
      <c r="E47" s="180">
        <f>IFERROR(ROMAN('Minion Checker'!H51),0)</f>
        <v>0</v>
      </c>
      <c r="F47" s="104">
        <f t="shared" si="1"/>
        <v>0</v>
      </c>
      <c r="G47" s="205">
        <v>1.0</v>
      </c>
      <c r="H47" s="181">
        <v>0.25</v>
      </c>
      <c r="I47" s="206" t="b">
        <v>1</v>
      </c>
      <c r="J47" s="207" t="str">
        <f>IF(AND(F47&lt;=11,F47&gt;0),OFFSET('Minion Tiers'!$S$184,F47,0),"")</f>
        <v/>
      </c>
      <c r="K47" s="184" t="str">
        <f t="shared" si="2"/>
        <v>N/A</v>
      </c>
      <c r="L47" s="108">
        <v>1.0</v>
      </c>
      <c r="M47" s="108">
        <v>1.0</v>
      </c>
      <c r="N47" s="108"/>
      <c r="O47" s="185">
        <f t="shared" si="10"/>
        <v>0</v>
      </c>
      <c r="P47" s="185">
        <f t="shared" si="11"/>
        <v>0</v>
      </c>
      <c r="Q47" s="186" t="str">
        <f t="shared" si="5"/>
        <v>0 Raw Mutton/h</v>
      </c>
      <c r="R47" s="185">
        <v>5.0</v>
      </c>
      <c r="S47" s="185">
        <v>2.0</v>
      </c>
      <c r="T47" s="185"/>
      <c r="U47" s="185">
        <f t="shared" si="6"/>
        <v>7</v>
      </c>
      <c r="V47" s="187">
        <f t="shared" si="12"/>
        <v>0</v>
      </c>
      <c r="W47" s="188">
        <f t="shared" si="8"/>
        <v>0</v>
      </c>
      <c r="X47" s="189">
        <v>28.177018750000002</v>
      </c>
      <c r="Y47" s="190">
        <f>(X47*L47+Bazaar!H100*M47+Bazaar!J100*N47)</f>
        <v>28.17701875</v>
      </c>
      <c r="Z47" s="191">
        <f t="shared" si="9"/>
        <v>0</v>
      </c>
      <c r="AB47" s="27"/>
      <c r="AC47" s="34" t="s">
        <v>77</v>
      </c>
      <c r="AD47" s="191">
        <v>0.0</v>
      </c>
      <c r="AF47" s="212"/>
      <c r="AG47" s="213" t="s">
        <v>77</v>
      </c>
      <c r="AH47" s="214">
        <v>0.0</v>
      </c>
    </row>
    <row r="48">
      <c r="B48" s="25" t="str">
        <f>'Minion Checker'!D52</f>
        <v/>
      </c>
      <c r="C48" s="37" t="str">
        <f>'Minion Checker'!E52</f>
        <v>Rabbit</v>
      </c>
      <c r="D48" s="37" t="s">
        <v>161</v>
      </c>
      <c r="E48" s="192">
        <f>IFERROR(ROMAN('Minion Checker'!H52),0)</f>
        <v>0</v>
      </c>
      <c r="F48" s="118">
        <f t="shared" si="1"/>
        <v>0</v>
      </c>
      <c r="G48" s="193">
        <v>1.0</v>
      </c>
      <c r="H48" s="194">
        <v>0.25</v>
      </c>
      <c r="I48" s="195" t="b">
        <v>1</v>
      </c>
      <c r="J48" s="196" t="str">
        <f>IF(AND(F48&lt;=11,F48&gt;0),OFFSET('Minion Tiers'!$S$197,F48,0),"")</f>
        <v/>
      </c>
      <c r="K48" s="197" t="str">
        <f t="shared" si="2"/>
        <v>N/A</v>
      </c>
      <c r="L48" s="122">
        <v>1.0</v>
      </c>
      <c r="M48" s="218">
        <v>0.35</v>
      </c>
      <c r="N48" s="218">
        <v>0.35</v>
      </c>
      <c r="O48" s="198">
        <f t="shared" si="10"/>
        <v>0</v>
      </c>
      <c r="P48" s="198">
        <f t="shared" si="11"/>
        <v>0</v>
      </c>
      <c r="Q48" s="199" t="str">
        <f t="shared" si="5"/>
        <v>0 Raw Rabbit/h</v>
      </c>
      <c r="R48" s="198">
        <v>4.0</v>
      </c>
      <c r="S48" s="198">
        <v>5.0</v>
      </c>
      <c r="T48" s="198">
        <v>5.0</v>
      </c>
      <c r="U48" s="198">
        <f t="shared" si="6"/>
        <v>7.5</v>
      </c>
      <c r="V48" s="200">
        <f t="shared" si="12"/>
        <v>0</v>
      </c>
      <c r="W48" s="201">
        <f t="shared" si="8"/>
        <v>0</v>
      </c>
      <c r="X48" s="202">
        <v>0.5948125</v>
      </c>
      <c r="Y48" s="203">
        <f>(X48*L48+Bazaar!H101*M48+Bazaar!J101*N48)</f>
        <v>12.16631781</v>
      </c>
      <c r="Z48" s="204">
        <f t="shared" si="9"/>
        <v>0</v>
      </c>
      <c r="AB48" s="25"/>
      <c r="AC48" s="37" t="s">
        <v>78</v>
      </c>
      <c r="AD48" s="204">
        <v>0.0</v>
      </c>
      <c r="AF48" s="209"/>
      <c r="AG48" s="210" t="s">
        <v>78</v>
      </c>
      <c r="AH48" s="211">
        <v>0.0</v>
      </c>
    </row>
    <row r="49">
      <c r="B49" s="27" t="str">
        <f>'Minion Checker'!D53</f>
        <v/>
      </c>
      <c r="C49" s="34" t="str">
        <f>'Minion Checker'!E53</f>
        <v>Oak</v>
      </c>
      <c r="D49" s="34" t="s">
        <v>162</v>
      </c>
      <c r="E49" s="180">
        <f>IFERROR(ROMAN('Minion Checker'!H53),0)</f>
        <v>0</v>
      </c>
      <c r="F49" s="104">
        <f t="shared" si="1"/>
        <v>0</v>
      </c>
      <c r="G49" s="205">
        <v>1.0</v>
      </c>
      <c r="H49" s="181">
        <v>0.25</v>
      </c>
      <c r="I49" s="206" t="b">
        <v>1</v>
      </c>
      <c r="J49" s="207" t="str">
        <f>IF(AND(F49&lt;=11,F49&gt;0),OFFSET('Minion Tiers'!$S$210,F49,0),"")</f>
        <v/>
      </c>
      <c r="K49" s="184" t="str">
        <f t="shared" si="2"/>
        <v>N/A</v>
      </c>
      <c r="L49" s="108">
        <v>4.0</v>
      </c>
      <c r="M49" s="108"/>
      <c r="N49" s="108"/>
      <c r="O49" s="185">
        <f t="shared" si="10"/>
        <v>0</v>
      </c>
      <c r="P49" s="185">
        <f t="shared" si="11"/>
        <v>0</v>
      </c>
      <c r="Q49" s="186" t="str">
        <f t="shared" si="5"/>
        <v>0 Oak Wood/h</v>
      </c>
      <c r="R49" s="185">
        <v>2.0</v>
      </c>
      <c r="S49" s="185"/>
      <c r="T49" s="185"/>
      <c r="U49" s="185">
        <f t="shared" si="6"/>
        <v>8</v>
      </c>
      <c r="V49" s="187">
        <f t="shared" si="12"/>
        <v>0</v>
      </c>
      <c r="W49" s="188">
        <f t="shared" si="8"/>
        <v>0</v>
      </c>
      <c r="X49" s="189">
        <v>8.844375</v>
      </c>
      <c r="Y49" s="190">
        <f>(X49*L49+Bazaar!H102*M49+Bazaar!J102*N49)</f>
        <v>35.3775</v>
      </c>
      <c r="Z49" s="191">
        <f t="shared" si="9"/>
        <v>0</v>
      </c>
      <c r="AB49" s="27"/>
      <c r="AC49" s="34" t="s">
        <v>79</v>
      </c>
      <c r="AD49" s="191">
        <v>0.0</v>
      </c>
      <c r="AF49" s="212"/>
      <c r="AG49" s="213" t="s">
        <v>79</v>
      </c>
      <c r="AH49" s="214">
        <v>0.0</v>
      </c>
    </row>
    <row r="50">
      <c r="B50" s="25" t="str">
        <f>'Minion Checker'!D54</f>
        <v/>
      </c>
      <c r="C50" s="37" t="str">
        <f>'Minion Checker'!E54</f>
        <v>Spruce</v>
      </c>
      <c r="D50" s="37" t="s">
        <v>163</v>
      </c>
      <c r="E50" s="192">
        <f>IFERROR(ROMAN('Minion Checker'!H54),0)</f>
        <v>0</v>
      </c>
      <c r="F50" s="118">
        <f t="shared" si="1"/>
        <v>0</v>
      </c>
      <c r="G50" s="193">
        <v>1.0</v>
      </c>
      <c r="H50" s="194">
        <v>0.25</v>
      </c>
      <c r="I50" s="208" t="b">
        <v>1</v>
      </c>
      <c r="J50" s="196" t="str">
        <f>IF(AND(F50&lt;=11,F50&gt;0),OFFSET('Minion Tiers'!$S$223,F50,0),"")</f>
        <v/>
      </c>
      <c r="K50" s="197" t="str">
        <f t="shared" si="2"/>
        <v>N/A</v>
      </c>
      <c r="L50" s="122">
        <v>4.0</v>
      </c>
      <c r="M50" s="122"/>
      <c r="N50" s="122"/>
      <c r="O50" s="198">
        <f t="shared" si="10"/>
        <v>0</v>
      </c>
      <c r="P50" s="198">
        <f t="shared" si="11"/>
        <v>0</v>
      </c>
      <c r="Q50" s="199" t="str">
        <f t="shared" si="5"/>
        <v>0 Spruce Wood/h</v>
      </c>
      <c r="R50" s="198">
        <v>2.0</v>
      </c>
      <c r="S50" s="198"/>
      <c r="T50" s="198"/>
      <c r="U50" s="198">
        <f t="shared" si="6"/>
        <v>8</v>
      </c>
      <c r="V50" s="200">
        <f t="shared" si="12"/>
        <v>0</v>
      </c>
      <c r="W50" s="201">
        <f t="shared" si="8"/>
        <v>0</v>
      </c>
      <c r="X50" s="202">
        <v>12.985737499999999</v>
      </c>
      <c r="Y50" s="203">
        <f>(X50*L50+Bazaar!H103*M50+Bazaar!J103*N50)</f>
        <v>51.94295</v>
      </c>
      <c r="Z50" s="204">
        <f t="shared" si="9"/>
        <v>0</v>
      </c>
      <c r="AB50" s="25"/>
      <c r="AC50" s="37" t="s">
        <v>80</v>
      </c>
      <c r="AD50" s="204">
        <v>0.0</v>
      </c>
      <c r="AF50" s="209"/>
      <c r="AG50" s="210" t="s">
        <v>80</v>
      </c>
      <c r="AH50" s="211">
        <v>0.0</v>
      </c>
    </row>
    <row r="51">
      <c r="B51" s="27" t="str">
        <f>'Minion Checker'!D55</f>
        <v/>
      </c>
      <c r="C51" s="34" t="str">
        <f>'Minion Checker'!E55</f>
        <v>Birch</v>
      </c>
      <c r="D51" s="34" t="s">
        <v>164</v>
      </c>
      <c r="E51" s="180">
        <f>IFERROR(ROMAN('Minion Checker'!H55),0)</f>
        <v>0</v>
      </c>
      <c r="F51" s="104">
        <f t="shared" si="1"/>
        <v>0</v>
      </c>
      <c r="G51" s="205">
        <v>1.0</v>
      </c>
      <c r="H51" s="181">
        <v>0.25</v>
      </c>
      <c r="I51" s="206" t="b">
        <v>1</v>
      </c>
      <c r="J51" s="207" t="str">
        <f>IF(AND(F51&lt;=11,F51&gt;0),OFFSET('Minion Tiers'!$S$236,F51,0),"")</f>
        <v/>
      </c>
      <c r="K51" s="184" t="str">
        <f t="shared" si="2"/>
        <v>N/A</v>
      </c>
      <c r="L51" s="108">
        <v>4.0</v>
      </c>
      <c r="M51" s="108"/>
      <c r="N51" s="108"/>
      <c r="O51" s="185">
        <f t="shared" si="10"/>
        <v>0</v>
      </c>
      <c r="P51" s="185">
        <f t="shared" si="11"/>
        <v>0</v>
      </c>
      <c r="Q51" s="186" t="str">
        <f t="shared" si="5"/>
        <v>0 Birch Wood/h</v>
      </c>
      <c r="R51" s="185">
        <v>2.0</v>
      </c>
      <c r="S51" s="185"/>
      <c r="T51" s="185"/>
      <c r="U51" s="185">
        <f t="shared" si="6"/>
        <v>8</v>
      </c>
      <c r="V51" s="187">
        <f t="shared" si="12"/>
        <v>0</v>
      </c>
      <c r="W51" s="188">
        <f t="shared" si="8"/>
        <v>0</v>
      </c>
      <c r="X51" s="189">
        <v>7.6425</v>
      </c>
      <c r="Y51" s="190">
        <f>(X51*L51+Bazaar!H104*M51+Bazaar!J104*N51)</f>
        <v>30.57</v>
      </c>
      <c r="Z51" s="191">
        <f t="shared" si="9"/>
        <v>0</v>
      </c>
      <c r="AB51" s="27"/>
      <c r="AC51" s="34" t="s">
        <v>81</v>
      </c>
      <c r="AD51" s="191">
        <v>0.0</v>
      </c>
      <c r="AF51" s="212"/>
      <c r="AG51" s="213" t="s">
        <v>81</v>
      </c>
      <c r="AH51" s="214">
        <v>0.0</v>
      </c>
    </row>
    <row r="52">
      <c r="B52" s="25" t="str">
        <f>'Minion Checker'!D56</f>
        <v/>
      </c>
      <c r="C52" s="37" t="str">
        <f>'Minion Checker'!E56</f>
        <v>Dark Oak</v>
      </c>
      <c r="D52" s="37" t="s">
        <v>165</v>
      </c>
      <c r="E52" s="192">
        <f>IFERROR(ROMAN('Minion Checker'!H56),0)</f>
        <v>0</v>
      </c>
      <c r="F52" s="118">
        <f t="shared" si="1"/>
        <v>0</v>
      </c>
      <c r="G52" s="193">
        <v>1.0</v>
      </c>
      <c r="H52" s="194">
        <v>0.25</v>
      </c>
      <c r="I52" s="208" t="b">
        <v>1</v>
      </c>
      <c r="J52" s="196" t="str">
        <f>IF(AND(F52&lt;=11,F52&gt;0),OFFSET('Minion Tiers'!$S$249,F52,0),"")</f>
        <v/>
      </c>
      <c r="K52" s="197" t="str">
        <f t="shared" si="2"/>
        <v>N/A</v>
      </c>
      <c r="L52" s="122">
        <v>4.0</v>
      </c>
      <c r="M52" s="122"/>
      <c r="N52" s="122"/>
      <c r="O52" s="198">
        <f t="shared" si="10"/>
        <v>0</v>
      </c>
      <c r="P52" s="198">
        <f t="shared" si="11"/>
        <v>0</v>
      </c>
      <c r="Q52" s="199" t="str">
        <f t="shared" si="5"/>
        <v>0 Dark Oak Wood/h</v>
      </c>
      <c r="R52" s="198">
        <v>2.0</v>
      </c>
      <c r="S52" s="198"/>
      <c r="T52" s="198"/>
      <c r="U52" s="198">
        <f t="shared" si="6"/>
        <v>8</v>
      </c>
      <c r="V52" s="200">
        <f t="shared" si="12"/>
        <v>0</v>
      </c>
      <c r="W52" s="201">
        <f t="shared" si="8"/>
        <v>0</v>
      </c>
      <c r="X52" s="202">
        <v>8.891256250000001</v>
      </c>
      <c r="Y52" s="203">
        <f>(X52*L52+Bazaar!H105*M52+Bazaar!J105*N52)</f>
        <v>35.565025</v>
      </c>
      <c r="Z52" s="204">
        <f t="shared" si="9"/>
        <v>0</v>
      </c>
      <c r="AB52" s="25"/>
      <c r="AC52" s="37" t="s">
        <v>82</v>
      </c>
      <c r="AD52" s="204">
        <v>0.0</v>
      </c>
      <c r="AF52" s="209"/>
      <c r="AG52" s="210" t="s">
        <v>82</v>
      </c>
      <c r="AH52" s="211">
        <v>0.0</v>
      </c>
    </row>
    <row r="53">
      <c r="B53" s="27" t="str">
        <f>'Minion Checker'!D57</f>
        <v/>
      </c>
      <c r="C53" s="34" t="str">
        <f>'Minion Checker'!E57</f>
        <v>Acacia</v>
      </c>
      <c r="D53" s="34" t="s">
        <v>166</v>
      </c>
      <c r="E53" s="180">
        <f>IFERROR(ROMAN('Minion Checker'!H57),0)</f>
        <v>0</v>
      </c>
      <c r="F53" s="104">
        <f t="shared" si="1"/>
        <v>0</v>
      </c>
      <c r="G53" s="205">
        <v>1.0</v>
      </c>
      <c r="H53" s="181">
        <v>0.25</v>
      </c>
      <c r="I53" s="206" t="b">
        <v>1</v>
      </c>
      <c r="J53" s="207" t="str">
        <f>IF(AND(F53&lt;=11,F53&gt;0),OFFSET('Minion Tiers'!$S$262,F53,0),"")</f>
        <v/>
      </c>
      <c r="K53" s="184" t="str">
        <f t="shared" si="2"/>
        <v>N/A</v>
      </c>
      <c r="L53" s="108">
        <v>4.0</v>
      </c>
      <c r="M53" s="108"/>
      <c r="N53" s="108"/>
      <c r="O53" s="185">
        <f t="shared" si="10"/>
        <v>0</v>
      </c>
      <c r="P53" s="185">
        <f t="shared" si="11"/>
        <v>0</v>
      </c>
      <c r="Q53" s="186" t="str">
        <f t="shared" si="5"/>
        <v>0 Acacia Wood/h</v>
      </c>
      <c r="R53" s="185">
        <v>2.0</v>
      </c>
      <c r="S53" s="185"/>
      <c r="T53" s="185"/>
      <c r="U53" s="185">
        <f t="shared" si="6"/>
        <v>8</v>
      </c>
      <c r="V53" s="187">
        <f t="shared" si="12"/>
        <v>0</v>
      </c>
      <c r="W53" s="188">
        <f t="shared" si="8"/>
        <v>0</v>
      </c>
      <c r="X53" s="189">
        <v>14.527975000000001</v>
      </c>
      <c r="Y53" s="190">
        <f>(X53*L53+Bazaar!H106*M53+Bazaar!J106*N53)</f>
        <v>58.1119</v>
      </c>
      <c r="Z53" s="191">
        <f t="shared" si="9"/>
        <v>0</v>
      </c>
      <c r="AB53" s="27"/>
      <c r="AC53" s="34" t="s">
        <v>84</v>
      </c>
      <c r="AD53" s="191">
        <v>0.0</v>
      </c>
      <c r="AF53" s="212"/>
      <c r="AG53" s="213" t="s">
        <v>84</v>
      </c>
      <c r="AH53" s="214">
        <v>0.0</v>
      </c>
    </row>
    <row r="54">
      <c r="B54" s="43" t="str">
        <f>'Minion Checker'!D58</f>
        <v/>
      </c>
      <c r="C54" s="44" t="str">
        <f>'Minion Checker'!E58</f>
        <v>Jungle</v>
      </c>
      <c r="D54" s="44" t="s">
        <v>167</v>
      </c>
      <c r="E54" s="192">
        <f>IFERROR(ROMAN('Minion Checker'!H58),0)</f>
        <v>0</v>
      </c>
      <c r="F54" s="118">
        <f t="shared" si="1"/>
        <v>0</v>
      </c>
      <c r="G54" s="193">
        <v>1.0</v>
      </c>
      <c r="H54" s="194">
        <v>0.25</v>
      </c>
      <c r="I54" s="208" t="b">
        <v>1</v>
      </c>
      <c r="J54" s="220" t="str">
        <f>IF(AND(F54&lt;=11,F54&gt;0),OFFSET('Minion Tiers'!$S$275,F54,0),"")</f>
        <v/>
      </c>
      <c r="K54" s="221" t="str">
        <f t="shared" si="2"/>
        <v>N/A</v>
      </c>
      <c r="L54" s="222">
        <v>4.0</v>
      </c>
      <c r="M54" s="222"/>
      <c r="N54" s="222"/>
      <c r="O54" s="223">
        <f t="shared" si="10"/>
        <v>0</v>
      </c>
      <c r="P54" s="223">
        <f t="shared" si="11"/>
        <v>0</v>
      </c>
      <c r="Q54" s="224" t="str">
        <f t="shared" si="5"/>
        <v>0 Jungle Wood/h</v>
      </c>
      <c r="R54" s="223">
        <v>2.0</v>
      </c>
      <c r="S54" s="223"/>
      <c r="T54" s="223"/>
      <c r="U54" s="223">
        <f t="shared" si="6"/>
        <v>8</v>
      </c>
      <c r="V54" s="225">
        <f t="shared" si="12"/>
        <v>0</v>
      </c>
      <c r="W54" s="226">
        <f t="shared" si="8"/>
        <v>0</v>
      </c>
      <c r="X54" s="227">
        <v>15.3036</v>
      </c>
      <c r="Y54" s="228">
        <f>(X54*L54+Bazaar!H107*M54+Bazaar!J107*N54)</f>
        <v>61.2144</v>
      </c>
      <c r="Z54" s="229">
        <f t="shared" si="9"/>
        <v>0</v>
      </c>
      <c r="AB54" s="25"/>
      <c r="AC54" s="37" t="s">
        <v>85</v>
      </c>
      <c r="AD54" s="204">
        <v>0.0</v>
      </c>
      <c r="AF54" s="209"/>
      <c r="AG54" s="210" t="s">
        <v>85</v>
      </c>
      <c r="AH54" s="211">
        <v>0.0</v>
      </c>
    </row>
    <row r="55">
      <c r="B55" s="27" t="str">
        <f>'Minion Checker'!D59</f>
        <v/>
      </c>
      <c r="C55" s="34" t="str">
        <f>'Minion Checker'!E59</f>
        <v>Mithril</v>
      </c>
      <c r="D55" s="34" t="s">
        <v>86</v>
      </c>
      <c r="E55" s="180">
        <f>IFERROR(ROMAN('Minion Checker'!H59),0)</f>
        <v>0</v>
      </c>
      <c r="F55" s="104">
        <f t="shared" si="1"/>
        <v>0</v>
      </c>
      <c r="G55" s="205">
        <v>1.0</v>
      </c>
      <c r="H55" s="181">
        <v>0.25</v>
      </c>
      <c r="I55" s="206" t="b">
        <v>1</v>
      </c>
      <c r="J55" s="207" t="str">
        <f>IF(AND(F55&lt;=11,F55&gt;0),OFFSET('Minion Tiers'!$S$288,F55,0),"")</f>
        <v/>
      </c>
      <c r="K55" s="184" t="str">
        <f t="shared" si="2"/>
        <v>N/A</v>
      </c>
      <c r="L55" s="108">
        <v>2.0</v>
      </c>
      <c r="M55" s="108"/>
      <c r="N55" s="108"/>
      <c r="O55" s="185">
        <f t="shared" si="10"/>
        <v>0</v>
      </c>
      <c r="P55" s="185">
        <f t="shared" si="11"/>
        <v>0</v>
      </c>
      <c r="Q55" s="186" t="str">
        <f t="shared" si="5"/>
        <v>0 Mithril/h</v>
      </c>
      <c r="R55" s="185">
        <v>10.0</v>
      </c>
      <c r="S55" s="185"/>
      <c r="T55" s="185"/>
      <c r="U55" s="185">
        <f t="shared" si="6"/>
        <v>20</v>
      </c>
      <c r="V55" s="187">
        <f t="shared" si="12"/>
        <v>0</v>
      </c>
      <c r="W55" s="188">
        <f t="shared" si="8"/>
        <v>0</v>
      </c>
      <c r="X55" s="189">
        <v>8.506393749999999</v>
      </c>
      <c r="Y55" s="190">
        <f>(X55*L55+Bazaar!H108*M55+Bazaar!J108*N55)</f>
        <v>17.0127875</v>
      </c>
      <c r="Z55" s="191">
        <f t="shared" si="9"/>
        <v>0</v>
      </c>
      <c r="AB55" s="87"/>
      <c r="AC55" s="88" t="s">
        <v>86</v>
      </c>
      <c r="AD55" s="230">
        <v>0.0</v>
      </c>
      <c r="AF55" s="87"/>
      <c r="AG55" s="88" t="s">
        <v>86</v>
      </c>
      <c r="AH55" s="230">
        <v>0.0</v>
      </c>
    </row>
    <row r="56">
      <c r="B56" s="173"/>
      <c r="C56" s="3"/>
      <c r="D56" s="3"/>
      <c r="E56" s="3"/>
      <c r="F56" s="3"/>
      <c r="G56" s="3"/>
      <c r="H56" s="3"/>
      <c r="I56" s="3"/>
      <c r="J56" s="3"/>
      <c r="K56" s="3"/>
      <c r="L56" s="3"/>
      <c r="M56" s="3"/>
      <c r="N56" s="3"/>
      <c r="O56" s="3"/>
      <c r="P56" s="3"/>
      <c r="Q56" s="3"/>
      <c r="R56" s="3"/>
      <c r="S56" s="3"/>
      <c r="T56" s="3"/>
      <c r="U56" s="3"/>
      <c r="V56" s="3"/>
      <c r="W56" s="3"/>
      <c r="X56" s="3"/>
      <c r="Y56" s="3"/>
      <c r="Z56" s="3"/>
      <c r="AB56" s="40"/>
      <c r="AF56" s="40"/>
    </row>
  </sheetData>
  <mergeCells count="13">
    <mergeCell ref="AB1:AD1"/>
    <mergeCell ref="AB2:AC2"/>
    <mergeCell ref="B2:C2"/>
    <mergeCell ref="B56:Z56"/>
    <mergeCell ref="AB56:AD56"/>
    <mergeCell ref="AF56:AH56"/>
    <mergeCell ref="A1:A56"/>
    <mergeCell ref="B1:Z1"/>
    <mergeCell ref="AA1:AA56"/>
    <mergeCell ref="AE1:AE56"/>
    <mergeCell ref="AF1:AH1"/>
    <mergeCell ref="AI1:AI56"/>
    <mergeCell ref="AF2:AG2"/>
  </mergeCells>
  <dataValidations>
    <dataValidation type="list" allowBlank="1" sqref="E3:E55">
      <formula1>"∅,I,II,III,IV,V,VI,VII,VIII,IX,X,XI,XII"</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sheetViews>
  <sheetFormatPr customHeight="1" defaultColWidth="12.63" defaultRowHeight="15.75"/>
  <cols>
    <col customWidth="1" min="1" max="1" width="9.5"/>
    <col customWidth="1" hidden="1" min="2" max="2" width="9.5"/>
    <col customWidth="1" min="3" max="3" width="3.25"/>
    <col customWidth="1" min="4" max="4" width="15.13"/>
    <col customWidth="1" min="5" max="5" width="11.38"/>
    <col customWidth="1" min="6" max="8" width="12.63"/>
    <col customWidth="1" min="9" max="9" width="4.5"/>
    <col customWidth="1" min="10" max="10" width="16.38"/>
    <col customWidth="1" min="11" max="12" width="17.63"/>
    <col customWidth="1" min="13" max="13" width="15.13"/>
    <col customWidth="1" min="14" max="14" width="4.5"/>
    <col customWidth="1" min="15" max="17" width="9.5"/>
    <col customWidth="1" min="18" max="18" width="12.63"/>
  </cols>
  <sheetData>
    <row r="1">
      <c r="A1" s="231" t="s">
        <v>0</v>
      </c>
    </row>
    <row r="2">
      <c r="A2" s="232" t="s">
        <v>168</v>
      </c>
      <c r="B2" s="6"/>
      <c r="C2" s="6"/>
      <c r="D2" s="6"/>
      <c r="E2" s="6"/>
      <c r="F2" s="6"/>
      <c r="G2" s="6"/>
      <c r="H2" s="6"/>
      <c r="I2" s="6"/>
      <c r="J2" s="6"/>
      <c r="K2" s="6"/>
      <c r="L2" s="6"/>
      <c r="M2" s="6"/>
      <c r="N2" s="6"/>
      <c r="O2" s="6"/>
      <c r="P2" s="6"/>
      <c r="Q2" s="6"/>
      <c r="R2" s="6"/>
    </row>
    <row r="3">
      <c r="A3" s="80"/>
      <c r="B3" s="40"/>
      <c r="C3" s="233" t="str">
        <f>IF(Bazaar!$B$1=FALSE,"Bazaar data failed to load! Please use the reload checkbox in Bazaar tab, check if matdoesdev/skyleamoe are online and/or wait","")</f>
        <v/>
      </c>
      <c r="R3" s="40"/>
    </row>
    <row r="4">
      <c r="B4" s="83" t="s">
        <v>169</v>
      </c>
      <c r="C4" s="16" t="s">
        <v>101</v>
      </c>
      <c r="D4" s="17"/>
      <c r="E4" s="19" t="s">
        <v>170</v>
      </c>
      <c r="F4" s="234" t="s">
        <v>171</v>
      </c>
      <c r="G4" s="22"/>
      <c r="H4" s="40"/>
      <c r="I4" s="40"/>
      <c r="J4" s="235" t="s">
        <v>172</v>
      </c>
      <c r="K4" s="234" t="s">
        <v>173</v>
      </c>
      <c r="L4" s="16" t="s">
        <v>174</v>
      </c>
      <c r="M4" s="19" t="s">
        <v>137</v>
      </c>
      <c r="N4" s="40"/>
      <c r="O4" s="16" t="s">
        <v>127</v>
      </c>
      <c r="P4" s="18" t="s">
        <v>128</v>
      </c>
      <c r="Q4" s="19" t="s">
        <v>129</v>
      </c>
    </row>
    <row r="5">
      <c r="B5" s="90">
        <f>MATCH(D5,'Minion Sales'!C3:C32,0)-1</f>
        <v>12</v>
      </c>
      <c r="C5" s="236" t="str">
        <f>OFFSET('Minion Sales'!B3,$B5,0)</f>
        <v/>
      </c>
      <c r="D5" s="21" t="s">
        <v>41</v>
      </c>
      <c r="E5" s="237" t="s">
        <v>175</v>
      </c>
      <c r="F5" s="21" t="s">
        <v>176</v>
      </c>
      <c r="G5" s="7"/>
      <c r="J5" s="238" t="s">
        <v>177</v>
      </c>
      <c r="K5" s="21" t="s">
        <v>124</v>
      </c>
      <c r="L5" s="239">
        <f>(100%+$C$10)*(100%+$L$22)*(100%+$L$23)</f>
        <v>1.5</v>
      </c>
      <c r="M5" s="240">
        <f>1/E8/2*3600</f>
        <v>150</v>
      </c>
      <c r="O5" s="241">
        <f>OFFSET('Minion Sales'!L3,$B5,0)</f>
        <v>6</v>
      </c>
      <c r="P5" s="242" t="str">
        <f>OFFSET('Minion Sales'!M3,$B5,0)</f>
        <v/>
      </c>
      <c r="Q5" s="243" t="str">
        <f>OFFSET('Minion Sales'!N3,IF(AND($D$5="Chicken",$J$5&lt;&gt;"Enchanted Egg",$K$5&lt;&gt;"Enchanted Egg",),0,$B5),0)</f>
        <v/>
      </c>
    </row>
    <row r="6">
      <c r="B6" s="80"/>
      <c r="J6" s="40"/>
      <c r="K6" s="80"/>
      <c r="O6" s="80"/>
    </row>
    <row r="7">
      <c r="B7" s="83" t="s">
        <v>121</v>
      </c>
      <c r="C7" s="16" t="s">
        <v>125</v>
      </c>
      <c r="D7" s="17"/>
      <c r="E7" s="18" t="s">
        <v>126</v>
      </c>
      <c r="F7" s="16" t="s">
        <v>130</v>
      </c>
      <c r="G7" s="244" t="s">
        <v>178</v>
      </c>
      <c r="J7" s="245" t="s">
        <v>179</v>
      </c>
      <c r="K7" s="18" t="s">
        <v>180</v>
      </c>
      <c r="L7" s="246" t="s">
        <v>181</v>
      </c>
      <c r="M7" s="19" t="s">
        <v>182</v>
      </c>
      <c r="O7" s="245" t="s">
        <v>133</v>
      </c>
      <c r="P7" s="177" t="s">
        <v>134</v>
      </c>
      <c r="Q7" s="247" t="s">
        <v>135</v>
      </c>
    </row>
    <row r="8">
      <c r="B8" s="248" t="str">
        <f>OFFSET('Minion Sales'!D3,$B5,0)</f>
        <v>Lapis</v>
      </c>
      <c r="C8" s="249">
        <f>IF(AND(B14&lt;=11,B14&gt;0),IFERROR(OFFSET('Minion Tiers'!I2,$B$14+$B$20-2,0), OFFSET('Minion Tiers'!S2,$B$14+$B$23-2,0)),"")</f>
        <v>18</v>
      </c>
      <c r="D8" s="17"/>
      <c r="E8" s="250">
        <f>IFERROR($C$8/$L$5,"N/A")</f>
        <v>12</v>
      </c>
      <c r="F8" s="251">
        <f>1/E8*O5/2*3600</f>
        <v>900</v>
      </c>
      <c r="G8" s="252">
        <f>B30+(B30*0.1*$K$20)</f>
        <v>990</v>
      </c>
      <c r="J8" s="251">
        <f>O5*O8+P5*P8+Q5*Q8</f>
        <v>6</v>
      </c>
      <c r="K8" s="253">
        <f>IFERROR(J8*M5+(B30*0.1*8*$K$20),0)-$E$10</f>
        <v>1620</v>
      </c>
      <c r="L8" s="254">
        <f>IFERROR(O10*O5+P10*P5+Q10*Q5,"?")</f>
        <v>33.1148625</v>
      </c>
      <c r="M8" s="255">
        <f>IFERROR((L8*M5+(B30*0.1*$L$20*$K$20))-$E$10,"?")</f>
        <v>5738.418563</v>
      </c>
      <c r="O8" s="251">
        <f>OFFSET('Minion Sales'!R3,$B5,0)</f>
        <v>1</v>
      </c>
      <c r="P8" s="256" t="str">
        <f>OFFSET('Minion Sales'!S3,$B5,0)</f>
        <v/>
      </c>
      <c r="Q8" s="252" t="str">
        <f>OFFSET('Minion Sales'!T3,$B5,0)</f>
        <v/>
      </c>
    </row>
    <row r="9">
      <c r="B9" s="40"/>
      <c r="C9" s="16" t="s">
        <v>183</v>
      </c>
      <c r="D9" s="17"/>
      <c r="E9" s="19" t="s">
        <v>184</v>
      </c>
      <c r="F9" s="257" t="s">
        <v>185</v>
      </c>
      <c r="G9" s="22"/>
      <c r="J9" s="40"/>
      <c r="K9" s="83" t="s">
        <v>186</v>
      </c>
      <c r="L9" s="40"/>
      <c r="M9" s="83" t="s">
        <v>187</v>
      </c>
      <c r="O9" s="245" t="s">
        <v>188</v>
      </c>
      <c r="P9" s="177" t="s">
        <v>189</v>
      </c>
      <c r="Q9" s="247" t="s">
        <v>190</v>
      </c>
    </row>
    <row r="10">
      <c r="C10" s="258">
        <f>OFFSET(E14,$B$17,0)</f>
        <v>0.25</v>
      </c>
      <c r="D10" s="259"/>
      <c r="E10" s="260">
        <f>OFFSET(H14,$B$17,0)</f>
        <v>0</v>
      </c>
      <c r="F10" s="261" t="str">
        <f>IFERROR(TEXT(B30,IF(MOD(B30,1)&lt;0.05,"#,##0","#,##0.0"))&amp;" "&amp;IF(B30&gt;F8,"Items",B8)&amp;"/h","N/A")</f>
        <v>900 Lapis/h</v>
      </c>
      <c r="G10" s="262"/>
      <c r="K10" s="263">
        <f>K8*24</f>
        <v>38880</v>
      </c>
      <c r="M10" s="263">
        <f>IFERROR(M8*24,"?")</f>
        <v>137722.0455</v>
      </c>
      <c r="O10" s="251">
        <f>IFERROR(OFFSET(Bazaar!F56,$B5,0),"?")</f>
        <v>5.51914375</v>
      </c>
      <c r="P10" s="256" t="str">
        <f>IFERROR(OFFSET(Bazaar!H56,$B5,0),"?")</f>
        <v/>
      </c>
      <c r="Q10" s="252" t="str">
        <f>IFERROR(OFFSET(Bazaar!J56,$B5,0),"?")</f>
        <v/>
      </c>
    </row>
    <row r="11">
      <c r="C11" s="40"/>
      <c r="K11" s="40"/>
      <c r="M11" s="40"/>
      <c r="O11" s="40"/>
    </row>
    <row r="12">
      <c r="C12" s="16" t="s">
        <v>191</v>
      </c>
      <c r="D12" s="264"/>
      <c r="E12" s="264"/>
      <c r="F12" s="264"/>
      <c r="G12" s="264"/>
      <c r="H12" s="265"/>
      <c r="J12" s="16" t="s">
        <v>191</v>
      </c>
      <c r="K12" s="17"/>
      <c r="L12" s="265"/>
    </row>
    <row r="13">
      <c r="B13" s="83" t="s">
        <v>103</v>
      </c>
      <c r="C13" s="266" t="s">
        <v>171</v>
      </c>
      <c r="D13" s="267"/>
      <c r="E13" s="268" t="s">
        <v>192</v>
      </c>
      <c r="F13" s="268" t="s">
        <v>193</v>
      </c>
      <c r="G13" s="268" t="s">
        <v>194</v>
      </c>
      <c r="H13" s="269" t="s">
        <v>195</v>
      </c>
      <c r="J13" s="16" t="s">
        <v>196</v>
      </c>
      <c r="K13" s="234" t="s">
        <v>197</v>
      </c>
      <c r="L13" s="270" t="s">
        <v>198</v>
      </c>
      <c r="O13" s="271" t="s">
        <v>199</v>
      </c>
    </row>
    <row r="14">
      <c r="B14" s="272">
        <f>IF(ISNUMBER(E5),E5,IFERROR(ARABIC(E5),0))</f>
        <v>11</v>
      </c>
      <c r="C14" s="273" t="s">
        <v>37</v>
      </c>
      <c r="E14" s="274">
        <v>0.05</v>
      </c>
      <c r="F14" s="275">
        <v>0.5</v>
      </c>
      <c r="G14" s="276">
        <f>IFERROR(VLOOKUP(C14, Bazaar!$A$2:$B32, 2, FALSE),"?")</f>
        <v>4.7</v>
      </c>
      <c r="H14" s="277">
        <f t="shared" ref="H14:H26" si="1">IFERROR(G14/F14, 0)</f>
        <v>9.4</v>
      </c>
      <c r="J14" s="27" t="s">
        <v>124</v>
      </c>
      <c r="K14" s="278" t="str">
        <f>J14</f>
        <v>Diamond Spreading</v>
      </c>
      <c r="L14" s="279" t="str">
        <f>IF($J$5=J14,"",J14)</f>
        <v>Diamond Spreading</v>
      </c>
    </row>
    <row r="15">
      <c r="B15" s="40"/>
      <c r="C15" s="280" t="s">
        <v>200</v>
      </c>
      <c r="E15" s="281">
        <v>0.05</v>
      </c>
      <c r="F15" s="282">
        <v>5.0</v>
      </c>
      <c r="G15" s="283">
        <f>IFERROR(G14*9,"?")</f>
        <v>42.3</v>
      </c>
      <c r="H15" s="284">
        <f t="shared" si="1"/>
        <v>8.46</v>
      </c>
      <c r="J15" s="43" t="s">
        <v>201</v>
      </c>
      <c r="K15" s="285" t="str">
        <f>IF($D$5="Chicken",J15,"")</f>
        <v/>
      </c>
      <c r="L15" s="286" t="str">
        <f>IF(AND($J$5&lt;&gt;J15,$D$5="Chicken"),J15,"")</f>
        <v/>
      </c>
      <c r="O15" s="40"/>
    </row>
    <row r="16">
      <c r="B16" s="83" t="s">
        <v>202</v>
      </c>
      <c r="C16" s="273" t="s">
        <v>203</v>
      </c>
      <c r="E16" s="274">
        <v>0.05</v>
      </c>
      <c r="F16" s="275">
        <v>12.0</v>
      </c>
      <c r="G16" s="276">
        <f>IFERROR(VLOOKUP(C16, Bazaar!$A$2:$B32, 2, FALSE),"?")</f>
        <v>237.75</v>
      </c>
      <c r="H16" s="277">
        <f t="shared" si="1"/>
        <v>19.8125</v>
      </c>
      <c r="J16" s="27" t="s">
        <v>204</v>
      </c>
      <c r="K16" s="278" t="str">
        <f t="shared" ref="K16:K18" si="2">J16</f>
        <v>Expander</v>
      </c>
      <c r="L16" s="279" t="str">
        <f t="shared" ref="L16:L18" si="3">J16</f>
        <v>Expander</v>
      </c>
    </row>
    <row r="17">
      <c r="B17" s="272">
        <f>MATCH($F$5,$C$14:$C$27,0)-1</f>
        <v>6</v>
      </c>
      <c r="C17" s="280" t="s">
        <v>205</v>
      </c>
      <c r="E17" s="281">
        <v>0.1</v>
      </c>
      <c r="F17" s="282">
        <v>24.0</v>
      </c>
      <c r="G17" s="283">
        <f>IFERROR(VLOOKUP(C17, Bazaar!$A$2:$B32, 2, FALSE),"?")</f>
        <v>942.568</v>
      </c>
      <c r="H17" s="284">
        <f t="shared" si="1"/>
        <v>39.27366667</v>
      </c>
      <c r="J17" s="43" t="s">
        <v>177</v>
      </c>
      <c r="K17" s="285" t="str">
        <f t="shared" si="2"/>
        <v>Flycatcher</v>
      </c>
      <c r="L17" s="286" t="str">
        <f t="shared" si="3"/>
        <v>Flycatcher</v>
      </c>
    </row>
    <row r="18">
      <c r="B18" s="40"/>
      <c r="C18" s="273" t="s">
        <v>206</v>
      </c>
      <c r="E18" s="274">
        <v>0.2</v>
      </c>
      <c r="F18" s="275">
        <v>36.0</v>
      </c>
      <c r="G18" s="276">
        <f>IFERROR(VLOOKUP(C18, Bazaar!$A$2:$B32, 2, FALSE),"?")</f>
        <v>1461.024</v>
      </c>
      <c r="H18" s="277">
        <f t="shared" si="1"/>
        <v>40.584</v>
      </c>
      <c r="J18" s="87" t="s">
        <v>207</v>
      </c>
      <c r="K18" s="287" t="str">
        <f t="shared" si="2"/>
        <v>Any Other</v>
      </c>
      <c r="L18" s="288" t="str">
        <f t="shared" si="3"/>
        <v>Any Other</v>
      </c>
    </row>
    <row r="19">
      <c r="B19" s="83" t="s">
        <v>208</v>
      </c>
      <c r="C19" s="280" t="s">
        <v>209</v>
      </c>
      <c r="E19" s="289">
        <v>0.125</v>
      </c>
      <c r="F19" s="282">
        <v>0.0</v>
      </c>
      <c r="G19" s="283">
        <f>IFERROR(VLOOKUP("Enchanted quartz", Bazaar!$A$2:$B32, 2, FALSE)*64*3,"?")</f>
        <v>760938.432</v>
      </c>
      <c r="H19" s="284">
        <f t="shared" si="1"/>
        <v>0</v>
      </c>
      <c r="J19" s="235" t="s">
        <v>210</v>
      </c>
      <c r="K19" s="234" t="s">
        <v>211</v>
      </c>
      <c r="L19" s="290" t="s">
        <v>212</v>
      </c>
    </row>
    <row r="20">
      <c r="B20" s="272">
        <f>MATCH($D$5,'Minion Tiers'!C:C,0)</f>
        <v>158</v>
      </c>
      <c r="C20" s="273" t="s">
        <v>176</v>
      </c>
      <c r="E20" s="274">
        <v>0.25</v>
      </c>
      <c r="F20" s="275">
        <v>0.0</v>
      </c>
      <c r="G20" s="276">
        <f>IFERROR(VLOOKUP(C20, Bazaar!$A$2:$B32, 2, FALSE),"?")</f>
        <v>155383.015</v>
      </c>
      <c r="H20" s="277">
        <f t="shared" si="1"/>
        <v>0</v>
      </c>
      <c r="J20" s="27" t="s">
        <v>124</v>
      </c>
      <c r="K20" s="291" t="b">
        <f t="shared" ref="K20:K21" si="4">IF(OR($J$5=$J20,$K$5=$J20),TRUE,FALSE)</f>
        <v>1</v>
      </c>
      <c r="L20" s="292">
        <f>IFERROR(Bazaar!$F$67,"?")</f>
        <v>8.56876875</v>
      </c>
    </row>
    <row r="21">
      <c r="B21" s="40"/>
      <c r="C21" s="280" t="s">
        <v>213</v>
      </c>
      <c r="E21" s="281">
        <v>0.5</v>
      </c>
      <c r="F21" s="282">
        <v>24.0</v>
      </c>
      <c r="G21" s="283">
        <f>IFERROR(VLOOKUP(C21, Bazaar!$A$2:$B32, 2, FALSE),"?")</f>
        <v>43585.636</v>
      </c>
      <c r="H21" s="284">
        <f t="shared" si="1"/>
        <v>1816.068167</v>
      </c>
      <c r="J21" s="43" t="s">
        <v>201</v>
      </c>
      <c r="K21" s="293" t="b">
        <f t="shared" si="4"/>
        <v>0</v>
      </c>
      <c r="L21" s="294" t="s">
        <v>214</v>
      </c>
    </row>
    <row r="22">
      <c r="B22" s="83" t="s">
        <v>215</v>
      </c>
      <c r="C22" s="273" t="s">
        <v>216</v>
      </c>
      <c r="E22" s="274">
        <v>0.9</v>
      </c>
      <c r="F22" s="275">
        <v>5.0</v>
      </c>
      <c r="G22" s="276">
        <f>IFERROR(VLOOKUP(C22, Bazaar!$A$2:$B32, 2, FALSE),"?")</f>
        <v>26134.416</v>
      </c>
      <c r="H22" s="277">
        <f t="shared" si="1"/>
        <v>5226.8832</v>
      </c>
      <c r="J22" s="27" t="s">
        <v>204</v>
      </c>
      <c r="K22" s="283">
        <f t="shared" ref="K22:K23" si="5">IF($J$5=$J22,1,0)+IF($K$5=$J22,1,0)</f>
        <v>0</v>
      </c>
      <c r="L22" s="295">
        <f>K22*5%</f>
        <v>0</v>
      </c>
    </row>
    <row r="23">
      <c r="B23" s="272" t="str">
        <f>MATCH($D$5,'Minion Tiers'!M:M,0)</f>
        <v>#N/A</v>
      </c>
      <c r="C23" s="280" t="s">
        <v>217</v>
      </c>
      <c r="E23" s="281">
        <v>2.0</v>
      </c>
      <c r="F23" s="282">
        <v>3.0</v>
      </c>
      <c r="G23" s="283">
        <f>IFERROR(VLOOKUP(C23, Bazaar!$A$2:$B32, 2, FALSE),"?")</f>
        <v>167497.072</v>
      </c>
      <c r="H23" s="284">
        <f t="shared" si="1"/>
        <v>55832.35733</v>
      </c>
      <c r="J23" s="46" t="s">
        <v>177</v>
      </c>
      <c r="K23" s="296">
        <f t="shared" si="5"/>
        <v>1</v>
      </c>
      <c r="L23" s="297">
        <f>K23*20%</f>
        <v>0.2</v>
      </c>
    </row>
    <row r="24">
      <c r="B24" s="44"/>
      <c r="C24" s="273" t="s">
        <v>218</v>
      </c>
      <c r="E24" s="274">
        <v>3.0</v>
      </c>
      <c r="F24" s="275">
        <v>6.0</v>
      </c>
      <c r="G24" s="276">
        <f>IFERROR(VLOOKUP(C24, Bazaar!$A$2:$B32, 2, FALSE),"?")</f>
        <v>216230.041</v>
      </c>
      <c r="H24" s="277">
        <f t="shared" si="1"/>
        <v>36038.34017</v>
      </c>
      <c r="J24" s="298"/>
    </row>
    <row r="25">
      <c r="B25" s="44"/>
      <c r="C25" s="280" t="s">
        <v>219</v>
      </c>
      <c r="E25" s="281">
        <v>0.3</v>
      </c>
      <c r="F25" s="282">
        <v>0.0</v>
      </c>
      <c r="G25" s="299" t="s">
        <v>220</v>
      </c>
      <c r="H25" s="284">
        <f t="shared" si="1"/>
        <v>0</v>
      </c>
    </row>
    <row r="26">
      <c r="B26" s="44"/>
      <c r="C26" s="300" t="s">
        <v>221</v>
      </c>
      <c r="D26" s="301"/>
      <c r="E26" s="302">
        <v>0.35</v>
      </c>
      <c r="F26" s="303">
        <v>0.0</v>
      </c>
      <c r="G26" s="304" t="s">
        <v>220</v>
      </c>
      <c r="H26" s="305">
        <f t="shared" si="1"/>
        <v>0</v>
      </c>
    </row>
    <row r="27" hidden="1">
      <c r="B27" s="44"/>
      <c r="C27" s="306" t="s">
        <v>120</v>
      </c>
      <c r="E27" s="281">
        <v>0.0</v>
      </c>
      <c r="F27" s="282">
        <v>0.0</v>
      </c>
      <c r="G27" s="299">
        <v>0.0</v>
      </c>
      <c r="H27" s="299">
        <v>0.0</v>
      </c>
    </row>
    <row r="28">
      <c r="B28" s="40"/>
      <c r="C28" s="307"/>
      <c r="G28" s="40"/>
    </row>
    <row r="29">
      <c r="B29" s="83" t="s">
        <v>131</v>
      </c>
      <c r="C29" s="308" t="s">
        <v>210</v>
      </c>
      <c r="D29" s="309"/>
      <c r="E29" s="310" t="s">
        <v>192</v>
      </c>
      <c r="F29" s="311" t="s">
        <v>222</v>
      </c>
    </row>
    <row r="30">
      <c r="B30" s="312">
        <f>1/E8*(O5+P5+Q5)/2*3600</f>
        <v>900</v>
      </c>
      <c r="C30" s="280" t="s">
        <v>223</v>
      </c>
      <c r="E30" s="281">
        <v>0.05</v>
      </c>
      <c r="F30" s="313">
        <f>IFERROR(Bazaar!M17*16+Bazaar!M15*2,"?")</f>
        <v>64061.236</v>
      </c>
    </row>
    <row r="31">
      <c r="B31" s="40"/>
      <c r="C31" s="300" t="s">
        <v>177</v>
      </c>
      <c r="D31" s="301"/>
      <c r="E31" s="302">
        <v>0.2</v>
      </c>
      <c r="F31" s="314">
        <f>IFERROR(Bazaar!M36*17*6,"?")</f>
        <v>24582754.8</v>
      </c>
    </row>
    <row r="32">
      <c r="B32" s="80"/>
    </row>
  </sheetData>
  <mergeCells count="52">
    <mergeCell ref="F4:G4"/>
    <mergeCell ref="F5:G5"/>
    <mergeCell ref="B6:G6"/>
    <mergeCell ref="K6:M6"/>
    <mergeCell ref="C4:D4"/>
    <mergeCell ref="C7:D7"/>
    <mergeCell ref="C8:D8"/>
    <mergeCell ref="B9:B12"/>
    <mergeCell ref="C9:D9"/>
    <mergeCell ref="C10:D10"/>
    <mergeCell ref="F9:G9"/>
    <mergeCell ref="J9:J11"/>
    <mergeCell ref="F10:G10"/>
    <mergeCell ref="L9:L11"/>
    <mergeCell ref="C11:G11"/>
    <mergeCell ref="O6:Q6"/>
    <mergeCell ref="O11:Q12"/>
    <mergeCell ref="M11:M31"/>
    <mergeCell ref="O15:Q31"/>
    <mergeCell ref="C29:D29"/>
    <mergeCell ref="C30:D30"/>
    <mergeCell ref="C24:D24"/>
    <mergeCell ref="J24:L31"/>
    <mergeCell ref="C25:D25"/>
    <mergeCell ref="C26:D26"/>
    <mergeCell ref="C27:D27"/>
    <mergeCell ref="C28:F28"/>
    <mergeCell ref="G28:H31"/>
    <mergeCell ref="C31:D31"/>
    <mergeCell ref="B32:Q32"/>
    <mergeCell ref="A1:R1"/>
    <mergeCell ref="A2:R2"/>
    <mergeCell ref="A3:A32"/>
    <mergeCell ref="C3:Q3"/>
    <mergeCell ref="R3:R32"/>
    <mergeCell ref="N4:N31"/>
    <mergeCell ref="C15:D15"/>
    <mergeCell ref="H4:H11"/>
    <mergeCell ref="I4:I31"/>
    <mergeCell ref="C12:H12"/>
    <mergeCell ref="J12:L12"/>
    <mergeCell ref="C13:D13"/>
    <mergeCell ref="O13:Q14"/>
    <mergeCell ref="C14:D14"/>
    <mergeCell ref="C16:D16"/>
    <mergeCell ref="C17:D17"/>
    <mergeCell ref="C18:D18"/>
    <mergeCell ref="C19:D19"/>
    <mergeCell ref="C20:D20"/>
    <mergeCell ref="C21:D21"/>
    <mergeCell ref="C22:D22"/>
    <mergeCell ref="C23:D23"/>
  </mergeCells>
  <conditionalFormatting sqref="K7:K10 M7:M10">
    <cfRule type="cellIs" dxfId="4" priority="1" operator="lessThanOrEqual">
      <formula>0</formula>
    </cfRule>
  </conditionalFormatting>
  <dataValidations>
    <dataValidation type="list" allowBlank="1" showErrorMessage="1" sqref="D5">
      <formula1>'Minion Sales'!$C$3:$C32</formula1>
    </dataValidation>
    <dataValidation type="list" allowBlank="1" sqref="K5">
      <formula1>'Minion Optimizer'!$L$14:$L$18</formula1>
    </dataValidation>
    <dataValidation type="list" allowBlank="1" sqref="F5">
      <formula1>'Minion Optimizer'!$C$14:$D$27</formula1>
    </dataValidation>
    <dataValidation type="list" allowBlank="1" sqref="J5">
      <formula1>'Minion Optimizer'!$K$14:$K$18</formula1>
    </dataValidation>
    <dataValidation type="list" allowBlank="1" showErrorMessage="1" sqref="E5">
      <formula1>"I,II,III,IV,V,VI,VII,VIII,IX,X,XI,XII"</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34F5C"/>
    <outlinePr summaryBelow="0" summaryRight="0"/>
  </sheetPr>
  <sheetViews>
    <sheetView workbookViewId="0"/>
  </sheetViews>
  <sheetFormatPr customHeight="1" defaultColWidth="12.63" defaultRowHeight="15.75"/>
  <cols>
    <col customWidth="1" min="1" max="1" width="21.38"/>
    <col customWidth="1" min="2" max="2" width="10.13"/>
    <col customWidth="1" min="3" max="3" width="3.25"/>
    <col customWidth="1" hidden="1" min="4" max="4" width="10.63"/>
    <col customWidth="1" min="5" max="5" width="12.63"/>
    <col customWidth="1" min="6" max="6" width="6.38"/>
    <col customWidth="1" min="7" max="7" width="12.63"/>
    <col customWidth="1" min="8" max="8" width="6.38"/>
    <col customWidth="1" min="9" max="9" width="12.75"/>
    <col customWidth="1" min="10" max="10" width="7.63"/>
    <col customWidth="1" hidden="1" min="11" max="11" width="21.13"/>
    <col customWidth="1" min="12" max="12" width="13.88"/>
    <col customWidth="1" min="13" max="13" width="8.88"/>
    <col customWidth="1" hidden="1" min="14" max="14" width="21.38"/>
    <col customWidth="1" min="15" max="15" width="15.13"/>
    <col customWidth="1" min="16" max="16" width="8.88"/>
    <col customWidth="1" min="17" max="17" width="3.25"/>
    <col customWidth="1" min="19" max="19" width="7.63"/>
    <col customWidth="1" min="20" max="20" width="16.38"/>
  </cols>
  <sheetData>
    <row r="1">
      <c r="A1" s="315" t="s">
        <v>224</v>
      </c>
      <c r="B1" s="316" t="b">
        <f>IF(ISERROR(A2),FALSE,TRUE)</f>
        <v>1</v>
      </c>
      <c r="C1" s="317"/>
      <c r="D1" s="17"/>
      <c r="E1" s="318" t="s">
        <v>225</v>
      </c>
      <c r="F1" s="6"/>
      <c r="G1" s="318" t="s">
        <v>226</v>
      </c>
      <c r="H1" s="6"/>
      <c r="I1" s="319" t="s">
        <v>227</v>
      </c>
      <c r="J1" s="6"/>
      <c r="K1" s="318" t="s">
        <v>228</v>
      </c>
      <c r="L1" s="6"/>
      <c r="M1" s="6"/>
      <c r="N1" s="318" t="s">
        <v>229</v>
      </c>
      <c r="O1" s="6"/>
      <c r="P1" s="7"/>
      <c r="Q1" s="320"/>
      <c r="R1" s="321" t="s">
        <v>230</v>
      </c>
      <c r="S1" s="22"/>
      <c r="T1" s="257" t="s">
        <v>231</v>
      </c>
    </row>
    <row r="2">
      <c r="A2" s="322" t="str">
        <f>IFERROR(__xludf.DUMMYFUNCTION("IF($O$55,SORT(IF($O$56=""skyblock.matdoes.dev"",IMPORTHTML(""https://skyblock.matdoes.dev/bazaar/blaze_is_a_boomer"",""table""),IMPORTHTML(""https://""&amp;IF($O$56=""sky.shiiyu.moe"",""sky.shiiyu.moe"",""sky.lea.moe"")&amp;""/api/bazaar?html"",""table""))),""Ple"&amp;"ase re-enable the checkbox"")"),"§3Blue Goblin Egg")</f>
        <v>§3Blue Goblin Egg</v>
      </c>
      <c r="B2" s="323">
        <f>IFERROR(__xludf.DUMMYFUNCTION("""COMPUTED_VALUE"""),3935705.9)</f>
        <v>3935705.9</v>
      </c>
      <c r="C2" s="324" t="str">
        <f>'Minion Checker'!D7</f>
        <v/>
      </c>
      <c r="D2" s="325" t="str">
        <f>'Minion Checker'!E7</f>
        <v>Cobblestone</v>
      </c>
      <c r="E2" s="325" t="str">
        <f>'Minion Sales'!D3</f>
        <v>Cobblestone</v>
      </c>
      <c r="F2" s="326">
        <v>3.0</v>
      </c>
      <c r="G2" s="325"/>
      <c r="H2" s="327"/>
      <c r="I2" s="325" t="s">
        <v>29</v>
      </c>
      <c r="J2" s="328">
        <f t="shared" ref="J2:J28" si="1">VLOOKUP(I2,$A$2:$B1550,2)</f>
        <v>4.1</v>
      </c>
      <c r="K2" s="325" t="s">
        <v>232</v>
      </c>
      <c r="L2" s="325" t="str">
        <f t="array" ref="L2:L54">SUBSTITUTE(K2:K54,"Enchanted","E.")</f>
        <v>E. Cobblestone</v>
      </c>
      <c r="M2" s="326">
        <f t="shared" ref="M2:M28" si="2">VLOOKUP(K2,$A$2:$B1550,2)</f>
        <v>800.155</v>
      </c>
      <c r="N2" s="325"/>
      <c r="O2" s="325" t="str">
        <f t="array" ref="O2:O54">SUBSTITUTE(N2:N54,"Enchanted","E.")</f>
        <v/>
      </c>
      <c r="P2" s="329"/>
      <c r="R2" s="324" t="str">
        <f t="shared" ref="R2:R53" si="3">IF(F2&gt;0,E2,"")</f>
        <v>Cobblestone</v>
      </c>
      <c r="S2" s="330">
        <f t="shared" ref="S2:S16" si="4">IFERROR(J2/F2,"")</f>
        <v>1.366666667</v>
      </c>
      <c r="T2" s="329">
        <f t="shared" ref="T2:T16" si="5">IF(F2&gt;0,IFERROR(J2*0.99*640-F2*640,""),"")</f>
        <v>677.76</v>
      </c>
    </row>
    <row r="3">
      <c r="A3" s="331" t="str">
        <f>IFERROR(__xludf.DUMMYFUNCTION("""COMPUTED_VALUE"""),"§aGreen Goblin Egg")</f>
        <v>§aGreen Goblin Egg</v>
      </c>
      <c r="B3" s="332">
        <f>IFERROR(__xludf.DUMMYFUNCTION("""COMPUTED_VALUE"""),8817.362)</f>
        <v>8817.362</v>
      </c>
      <c r="C3" s="333" t="str">
        <f>'Minion Checker'!D8</f>
        <v/>
      </c>
      <c r="D3" s="334" t="str">
        <f>'Minion Checker'!E8</f>
        <v>Obsidian</v>
      </c>
      <c r="E3" s="334" t="s">
        <v>30</v>
      </c>
      <c r="F3" s="335">
        <v>50.0</v>
      </c>
      <c r="G3" s="334"/>
      <c r="H3" s="336"/>
      <c r="I3" s="334" t="s">
        <v>30</v>
      </c>
      <c r="J3" s="337">
        <f t="shared" si="1"/>
        <v>25.963</v>
      </c>
      <c r="K3" s="334" t="s">
        <v>233</v>
      </c>
      <c r="L3" s="334" t="s">
        <v>234</v>
      </c>
      <c r="M3" s="335">
        <f t="shared" si="2"/>
        <v>4399.9</v>
      </c>
      <c r="N3" s="334"/>
      <c r="O3" s="334" t="s">
        <v>113</v>
      </c>
      <c r="P3" s="338"/>
      <c r="R3" s="333" t="str">
        <f t="shared" si="3"/>
        <v>Obsidian</v>
      </c>
      <c r="S3" s="339">
        <f t="shared" si="4"/>
        <v>0.51926</v>
      </c>
      <c r="T3" s="338">
        <f t="shared" si="5"/>
        <v>-15549.8432</v>
      </c>
    </row>
    <row r="4">
      <c r="A4" s="340" t="str">
        <f>IFERROR(__xludf.DUMMYFUNCTION("""COMPUTED_VALUE"""),"§cRed Gift")</f>
        <v>§cRed Gift</v>
      </c>
      <c r="B4" s="323">
        <f>IFERROR(__xludf.DUMMYFUNCTION("""COMPUTED_VALUE"""),35781.658)</f>
        <v>35781.658</v>
      </c>
      <c r="C4" s="324" t="str">
        <f>'Minion Checker'!D9</f>
        <v/>
      </c>
      <c r="D4" s="325" t="str">
        <f>'Minion Checker'!E9</f>
        <v>Glowstone</v>
      </c>
      <c r="E4" s="325" t="s">
        <v>143</v>
      </c>
      <c r="F4" s="326"/>
      <c r="G4" s="325"/>
      <c r="H4" s="327"/>
      <c r="I4" s="325" t="s">
        <v>143</v>
      </c>
      <c r="J4" s="328">
        <f t="shared" si="1"/>
        <v>18.6</v>
      </c>
      <c r="K4" s="325" t="s">
        <v>235</v>
      </c>
      <c r="L4" s="325" t="s">
        <v>236</v>
      </c>
      <c r="M4" s="326">
        <f t="shared" si="2"/>
        <v>1894.621</v>
      </c>
      <c r="N4" s="325" t="s">
        <v>237</v>
      </c>
      <c r="O4" s="325" t="s">
        <v>238</v>
      </c>
      <c r="P4" s="329">
        <f>VLOOKUP(N4,$A$2:$B1550,2)</f>
        <v>50525.582</v>
      </c>
      <c r="R4" s="324" t="str">
        <f t="shared" si="3"/>
        <v/>
      </c>
      <c r="S4" s="330" t="str">
        <f t="shared" si="4"/>
        <v/>
      </c>
      <c r="T4" s="329" t="str">
        <f t="shared" si="5"/>
        <v/>
      </c>
    </row>
    <row r="5">
      <c r="A5" s="331" t="str">
        <f>IFERROR(__xludf.DUMMYFUNCTION("""COMPUTED_VALUE"""),"§cRed Goblin Egg")</f>
        <v>§cRed Goblin Egg</v>
      </c>
      <c r="B5" s="332">
        <f>IFERROR(__xludf.DUMMYFUNCTION("""COMPUTED_VALUE"""),20566.833)</f>
        <v>20566.833</v>
      </c>
      <c r="C5" s="333" t="str">
        <f>'Minion Checker'!D10</f>
        <v/>
      </c>
      <c r="D5" s="334" t="str">
        <f>'Minion Checker'!E10</f>
        <v>Gravel</v>
      </c>
      <c r="E5" s="334" t="s">
        <v>32</v>
      </c>
      <c r="F5" s="341">
        <v>4.333333333333333</v>
      </c>
      <c r="G5" s="334" t="s">
        <v>144</v>
      </c>
      <c r="H5" s="338">
        <v>6.0</v>
      </c>
      <c r="I5" s="334" t="s">
        <v>144</v>
      </c>
      <c r="J5" s="337">
        <f t="shared" si="1"/>
        <v>39.436</v>
      </c>
      <c r="K5" s="334" t="s">
        <v>239</v>
      </c>
      <c r="L5" s="334" t="s">
        <v>240</v>
      </c>
      <c r="M5" s="335">
        <f t="shared" si="2"/>
        <v>6611.4</v>
      </c>
      <c r="N5" s="334"/>
      <c r="O5" s="334" t="s">
        <v>113</v>
      </c>
      <c r="P5" s="338"/>
      <c r="R5" s="333" t="str">
        <f t="shared" si="3"/>
        <v>Gravel</v>
      </c>
      <c r="S5" s="339">
        <f t="shared" si="4"/>
        <v>9.100615385</v>
      </c>
      <c r="T5" s="338">
        <f t="shared" si="5"/>
        <v>22213.31627</v>
      </c>
    </row>
    <row r="6">
      <c r="A6" s="340" t="str">
        <f>IFERROR(__xludf.DUMMYFUNCTION("""COMPUTED_VALUE"""),"§eYellow Goblin Egg")</f>
        <v>§eYellow Goblin Egg</v>
      </c>
      <c r="B6" s="323">
        <f>IFERROR(__xludf.DUMMYFUNCTION("""COMPUTED_VALUE"""),27699.771)</f>
        <v>27699.771</v>
      </c>
      <c r="C6" s="324" t="str">
        <f>'Minion Checker'!D11</f>
        <v/>
      </c>
      <c r="D6" s="325" t="str">
        <f>'Minion Checker'!E11</f>
        <v>Sand</v>
      </c>
      <c r="E6" s="325" t="s">
        <v>33</v>
      </c>
      <c r="F6" s="326">
        <v>4.0</v>
      </c>
      <c r="G6" s="325"/>
      <c r="H6" s="327"/>
      <c r="I6" s="325" t="s">
        <v>33</v>
      </c>
      <c r="J6" s="328">
        <f t="shared" si="1"/>
        <v>23.745</v>
      </c>
      <c r="K6" s="325" t="s">
        <v>241</v>
      </c>
      <c r="L6" s="325" t="s">
        <v>242</v>
      </c>
      <c r="M6" s="326">
        <f t="shared" si="2"/>
        <v>2834.618</v>
      </c>
      <c r="N6" s="325"/>
      <c r="O6" s="325" t="s">
        <v>113</v>
      </c>
      <c r="P6" s="329"/>
      <c r="R6" s="324" t="str">
        <f t="shared" si="3"/>
        <v>Sand</v>
      </c>
      <c r="S6" s="330">
        <f t="shared" si="4"/>
        <v>5.93625</v>
      </c>
      <c r="T6" s="329">
        <f t="shared" si="5"/>
        <v>12484.832</v>
      </c>
    </row>
    <row r="7">
      <c r="A7" s="331" t="str">
        <f>IFERROR(__xludf.DUMMYFUNCTION("""COMPUTED_VALUE"""),"%%red%%Volcanic Rock")</f>
        <v>%%red%%Volcanic Rock</v>
      </c>
      <c r="B7" s="332">
        <f>IFERROR(__xludf.DUMMYFUNCTION("""COMPUTED_VALUE"""),1756064.45)</f>
        <v>1756064.45</v>
      </c>
      <c r="C7" s="333" t="str">
        <f>'Minion Checker'!D12</f>
        <v/>
      </c>
      <c r="D7" s="334" t="str">
        <f>'Minion Checker'!E12</f>
        <v>Clay</v>
      </c>
      <c r="E7" s="334" t="s">
        <v>243</v>
      </c>
      <c r="F7" s="335"/>
      <c r="G7" s="334"/>
      <c r="H7" s="336"/>
      <c r="I7" s="334" t="s">
        <v>34</v>
      </c>
      <c r="J7" s="337">
        <f t="shared" si="1"/>
        <v>29.1</v>
      </c>
      <c r="K7" s="334" t="s">
        <v>244</v>
      </c>
      <c r="L7" s="334" t="s">
        <v>245</v>
      </c>
      <c r="M7" s="335">
        <f t="shared" si="2"/>
        <v>458.258</v>
      </c>
      <c r="N7" s="334"/>
      <c r="O7" s="334" t="s">
        <v>113</v>
      </c>
      <c r="P7" s="338"/>
      <c r="R7" s="333" t="str">
        <f t="shared" si="3"/>
        <v/>
      </c>
      <c r="S7" s="339" t="str">
        <f t="shared" si="4"/>
        <v/>
      </c>
      <c r="T7" s="338" t="str">
        <f t="shared" si="5"/>
        <v/>
      </c>
    </row>
    <row r="8">
      <c r="A8" s="340" t="str">
        <f>IFERROR(__xludf.DUMMYFUNCTION("""COMPUTED_VALUE"""),"Absolute Ender Pearl")</f>
        <v>Absolute Ender Pearl</v>
      </c>
      <c r="B8" s="323">
        <f>IFERROR(__xludf.DUMMYFUNCTION("""COMPUTED_VALUE"""),10970.3)</f>
        <v>10970.3</v>
      </c>
      <c r="C8" s="324" t="str">
        <f>'Minion Checker'!D13</f>
        <v/>
      </c>
      <c r="D8" s="325" t="str">
        <f>'Minion Checker'!E13</f>
        <v>Ice</v>
      </c>
      <c r="E8" s="325" t="s">
        <v>35</v>
      </c>
      <c r="F8" s="326">
        <v>1.0</v>
      </c>
      <c r="G8" s="325"/>
      <c r="H8" s="327"/>
      <c r="I8" s="325" t="s">
        <v>35</v>
      </c>
      <c r="J8" s="328">
        <f t="shared" si="1"/>
        <v>4.265</v>
      </c>
      <c r="K8" s="325" t="s">
        <v>246</v>
      </c>
      <c r="L8" s="325" t="s">
        <v>246</v>
      </c>
      <c r="M8" s="326">
        <f t="shared" si="2"/>
        <v>44.878</v>
      </c>
      <c r="N8" s="325" t="s">
        <v>247</v>
      </c>
      <c r="O8" s="325" t="s">
        <v>248</v>
      </c>
      <c r="P8" s="329">
        <f t="shared" ref="P8:P17" si="6">VLOOKUP(N8,$A$2:$B1550,2)</f>
        <v>705.315</v>
      </c>
      <c r="R8" s="324" t="str">
        <f t="shared" si="3"/>
        <v>Ice</v>
      </c>
      <c r="S8" s="330">
        <f t="shared" si="4"/>
        <v>4.265</v>
      </c>
      <c r="T8" s="329">
        <f t="shared" si="5"/>
        <v>2062.304</v>
      </c>
    </row>
    <row r="9">
      <c r="A9" s="331" t="str">
        <f>IFERROR(__xludf.DUMMYFUNCTION("""COMPUTED_VALUE"""),"Acacia Birdhouse")</f>
        <v>Acacia Birdhouse</v>
      </c>
      <c r="B9" s="332">
        <f>IFERROR(__xludf.DUMMYFUNCTION("""COMPUTED_VALUE"""),1043690.35)</f>
        <v>1043690.35</v>
      </c>
      <c r="C9" s="333" t="str">
        <f>'Minion Checker'!D14</f>
        <v/>
      </c>
      <c r="D9" s="334" t="str">
        <f>'Minion Checker'!E14</f>
        <v>Snow</v>
      </c>
      <c r="E9" s="334" t="s">
        <v>249</v>
      </c>
      <c r="F9" s="335"/>
      <c r="G9" s="334"/>
      <c r="H9" s="336"/>
      <c r="I9" s="334" t="s">
        <v>249</v>
      </c>
      <c r="J9" s="337">
        <f t="shared" si="1"/>
        <v>4.15</v>
      </c>
      <c r="K9" s="334" t="s">
        <v>250</v>
      </c>
      <c r="L9" s="334" t="s">
        <v>250</v>
      </c>
      <c r="M9" s="335">
        <f t="shared" si="2"/>
        <v>7.142</v>
      </c>
      <c r="N9" s="334" t="s">
        <v>251</v>
      </c>
      <c r="O9" s="334" t="s">
        <v>252</v>
      </c>
      <c r="P9" s="338">
        <f t="shared" si="6"/>
        <v>585.296</v>
      </c>
      <c r="R9" s="333" t="str">
        <f t="shared" si="3"/>
        <v/>
      </c>
      <c r="S9" s="339" t="str">
        <f t="shared" si="4"/>
        <v/>
      </c>
      <c r="T9" s="338" t="str">
        <f t="shared" si="5"/>
        <v/>
      </c>
    </row>
    <row r="10">
      <c r="A10" s="340" t="str">
        <f>IFERROR(__xludf.DUMMYFUNCTION("""COMPUTED_VALUE"""),"Acacia Wood")</f>
        <v>Acacia Wood</v>
      </c>
      <c r="B10" s="323">
        <f>IFERROR(__xludf.DUMMYFUNCTION("""COMPUTED_VALUE"""),13.689)</f>
        <v>13.689</v>
      </c>
      <c r="C10" s="324" t="str">
        <f>'Minion Checker'!D15</f>
        <v/>
      </c>
      <c r="D10" s="325" t="str">
        <f>'Minion Checker'!E15</f>
        <v>Coal</v>
      </c>
      <c r="E10" s="325" t="s">
        <v>37</v>
      </c>
      <c r="F10" s="326">
        <v>4.0</v>
      </c>
      <c r="G10" s="325"/>
      <c r="H10" s="327"/>
      <c r="I10" s="325" t="s">
        <v>37</v>
      </c>
      <c r="J10" s="328">
        <f t="shared" si="1"/>
        <v>4.7</v>
      </c>
      <c r="K10" s="325" t="s">
        <v>205</v>
      </c>
      <c r="L10" s="325" t="s">
        <v>253</v>
      </c>
      <c r="M10" s="326">
        <f t="shared" si="2"/>
        <v>942.568</v>
      </c>
      <c r="N10" s="325" t="str">
        <f>"Enchanted "&amp;IF(O56="skyblock.matdoes.dev","Coal Block","Block of Coal")</f>
        <v>Enchanted Block of Coal</v>
      </c>
      <c r="O10" s="325" t="s">
        <v>254</v>
      </c>
      <c r="P10" s="329">
        <f t="shared" si="6"/>
        <v>67355.024</v>
      </c>
      <c r="R10" s="324" t="str">
        <f t="shared" si="3"/>
        <v>Coal</v>
      </c>
      <c r="S10" s="330">
        <f t="shared" si="4"/>
        <v>1.175</v>
      </c>
      <c r="T10" s="329">
        <f t="shared" si="5"/>
        <v>417.92</v>
      </c>
    </row>
    <row r="11">
      <c r="A11" s="331" t="str">
        <f>IFERROR(__xludf.DUMMYFUNCTION("""COMPUTED_VALUE"""),"Agarimoo Tongue")</f>
        <v>Agarimoo Tongue</v>
      </c>
      <c r="B11" s="332">
        <f>IFERROR(__xludf.DUMMYFUNCTION("""COMPUTED_VALUE"""),10675.966)</f>
        <v>10675.966</v>
      </c>
      <c r="C11" s="333" t="str">
        <f>'Minion Checker'!D16</f>
        <v/>
      </c>
      <c r="D11" s="334" t="str">
        <f>'Minion Checker'!E16</f>
        <v>Iron</v>
      </c>
      <c r="E11" s="334" t="s">
        <v>255</v>
      </c>
      <c r="F11" s="335">
        <v>5.0</v>
      </c>
      <c r="G11" s="334"/>
      <c r="H11" s="336"/>
      <c r="I11" s="334" t="s">
        <v>255</v>
      </c>
      <c r="J11" s="337">
        <f t="shared" si="1"/>
        <v>10.049</v>
      </c>
      <c r="K11" s="334" t="str">
        <f>"Enchanted Iron"&amp;IF(O56="skyblock.matdoes.dev"," Ingot","")</f>
        <v>Enchanted Iron</v>
      </c>
      <c r="L11" s="334" t="s">
        <v>256</v>
      </c>
      <c r="M11" s="335">
        <f t="shared" si="2"/>
        <v>1728.25</v>
      </c>
      <c r="N11" s="334" t="s">
        <v>257</v>
      </c>
      <c r="O11" s="334" t="s">
        <v>258</v>
      </c>
      <c r="P11" s="338">
        <f t="shared" si="6"/>
        <v>245844.451</v>
      </c>
      <c r="R11" s="333" t="str">
        <f t="shared" si="3"/>
        <v>Iron Ingot</v>
      </c>
      <c r="S11" s="339">
        <f t="shared" si="4"/>
        <v>2.0098</v>
      </c>
      <c r="T11" s="338">
        <f t="shared" si="5"/>
        <v>3167.0464</v>
      </c>
    </row>
    <row r="12">
      <c r="A12" s="340" t="str">
        <f>IFERROR(__xludf.DUMMYFUNCTION("""COMPUTED_VALUE"""),"Amalgamated Crimsonite")</f>
        <v>Amalgamated Crimsonite</v>
      </c>
      <c r="B12" s="323">
        <f>IFERROR(__xludf.DUMMYFUNCTION("""COMPUTED_VALUE"""),118995.55)</f>
        <v>118995.55</v>
      </c>
      <c r="C12" s="324" t="str">
        <f>'Minion Checker'!D17</f>
        <v/>
      </c>
      <c r="D12" s="325" t="str">
        <f>'Minion Checker'!E17</f>
        <v>Gold</v>
      </c>
      <c r="E12" s="325" t="s">
        <v>259</v>
      </c>
      <c r="F12" s="342">
        <v>5.5</v>
      </c>
      <c r="G12" s="325"/>
      <c r="H12" s="327"/>
      <c r="I12" s="325" t="s">
        <v>259</v>
      </c>
      <c r="J12" s="328">
        <f t="shared" si="1"/>
        <v>4.704</v>
      </c>
      <c r="K12" s="325" t="str">
        <f>"Enchanted Gold"&amp;IF(O56="skyblock.matdoes.dev"," Ingot","")</f>
        <v>Enchanted Gold</v>
      </c>
      <c r="L12" s="325" t="s">
        <v>260</v>
      </c>
      <c r="M12" s="326">
        <f t="shared" si="2"/>
        <v>636.55</v>
      </c>
      <c r="N12" s="325" t="s">
        <v>261</v>
      </c>
      <c r="O12" s="325" t="s">
        <v>262</v>
      </c>
      <c r="P12" s="329">
        <f t="shared" si="6"/>
        <v>100915.172</v>
      </c>
      <c r="R12" s="324" t="str">
        <f t="shared" si="3"/>
        <v>Gold Ingot</v>
      </c>
      <c r="S12" s="330">
        <f t="shared" si="4"/>
        <v>0.8552727273</v>
      </c>
      <c r="T12" s="329">
        <f t="shared" si="5"/>
        <v>-539.5456</v>
      </c>
    </row>
    <row r="13">
      <c r="A13" s="331" t="str">
        <f>IFERROR(__xludf.DUMMYFUNCTION("""COMPUTED_VALUE"""),"Amalgamated Crimsonite (Old)")</f>
        <v>Amalgamated Crimsonite (Old)</v>
      </c>
      <c r="B13" s="332"/>
      <c r="C13" s="333" t="str">
        <f>'Minion Checker'!D18</f>
        <v/>
      </c>
      <c r="D13" s="334" t="str">
        <f>'Minion Checker'!E18</f>
        <v>Diamond</v>
      </c>
      <c r="E13" s="334" t="s">
        <v>40</v>
      </c>
      <c r="F13" s="343"/>
      <c r="G13" s="334"/>
      <c r="H13" s="336"/>
      <c r="I13" s="334" t="s">
        <v>40</v>
      </c>
      <c r="J13" s="337">
        <f t="shared" si="1"/>
        <v>8.008</v>
      </c>
      <c r="K13" s="334" t="s">
        <v>263</v>
      </c>
      <c r="L13" s="334" t="s">
        <v>264</v>
      </c>
      <c r="M13" s="335">
        <f t="shared" si="2"/>
        <v>1371.003</v>
      </c>
      <c r="N13" s="334" t="s">
        <v>265</v>
      </c>
      <c r="O13" s="334" t="s">
        <v>266</v>
      </c>
      <c r="P13" s="338">
        <f t="shared" si="6"/>
        <v>203331.308</v>
      </c>
      <c r="R13" s="333" t="str">
        <f t="shared" si="3"/>
        <v/>
      </c>
      <c r="S13" s="339" t="str">
        <f t="shared" si="4"/>
        <v/>
      </c>
      <c r="T13" s="338" t="str">
        <f t="shared" si="5"/>
        <v/>
      </c>
    </row>
    <row r="14">
      <c r="A14" s="340" t="str">
        <f>IFERROR(__xludf.DUMMYFUNCTION("""COMPUTED_VALUE"""),"Amber Material")</f>
        <v>Amber Material</v>
      </c>
      <c r="B14" s="323">
        <f>IFERROR(__xludf.DUMMYFUNCTION("""COMPUTED_VALUE"""),2240280.35)</f>
        <v>2240280.35</v>
      </c>
      <c r="C14" s="324" t="str">
        <f>'Minion Checker'!D19</f>
        <v/>
      </c>
      <c r="D14" s="325" t="str">
        <f>'Minion Checker'!E19</f>
        <v>Lapis</v>
      </c>
      <c r="E14" s="325" t="s">
        <v>267</v>
      </c>
      <c r="F14" s="342"/>
      <c r="G14" s="325"/>
      <c r="H14" s="327"/>
      <c r="I14" s="325" t="s">
        <v>267</v>
      </c>
      <c r="J14" s="328">
        <f t="shared" si="1"/>
        <v>4.3</v>
      </c>
      <c r="K14" s="325" t="s">
        <v>268</v>
      </c>
      <c r="L14" s="325" t="s">
        <v>269</v>
      </c>
      <c r="M14" s="326">
        <f t="shared" si="2"/>
        <v>883.063</v>
      </c>
      <c r="N14" s="325" t="s">
        <v>270</v>
      </c>
      <c r="O14" s="325" t="s">
        <v>271</v>
      </c>
      <c r="P14" s="329">
        <f t="shared" si="6"/>
        <v>94318.454</v>
      </c>
      <c r="R14" s="324" t="str">
        <f t="shared" si="3"/>
        <v/>
      </c>
      <c r="S14" s="330" t="str">
        <f t="shared" si="4"/>
        <v/>
      </c>
      <c r="T14" s="329" t="str">
        <f t="shared" si="5"/>
        <v/>
      </c>
    </row>
    <row r="15">
      <c r="A15" s="331" t="str">
        <f>IFERROR(__xludf.DUMMYFUNCTION("""COMPUTED_VALUE"""),"Ancient Claw")</f>
        <v>Ancient Claw</v>
      </c>
      <c r="B15" s="332">
        <f>IFERROR(__xludf.DUMMYFUNCTION("""COMPUTED_VALUE"""),129.151)</f>
        <v>129.151</v>
      </c>
      <c r="C15" s="333" t="str">
        <f>'Minion Checker'!D20</f>
        <v/>
      </c>
      <c r="D15" s="334" t="str">
        <f>'Minion Checker'!E20</f>
        <v>Redstone</v>
      </c>
      <c r="E15" s="334" t="s">
        <v>42</v>
      </c>
      <c r="F15" s="343"/>
      <c r="G15" s="334"/>
      <c r="H15" s="336"/>
      <c r="I15" s="334" t="s">
        <v>42</v>
      </c>
      <c r="J15" s="337">
        <f t="shared" si="1"/>
        <v>0.879</v>
      </c>
      <c r="K15" s="334" t="s">
        <v>272</v>
      </c>
      <c r="L15" s="334" t="s">
        <v>273</v>
      </c>
      <c r="M15" s="335">
        <f t="shared" si="2"/>
        <v>324.85</v>
      </c>
      <c r="N15" s="334" t="s">
        <v>274</v>
      </c>
      <c r="O15" s="334" t="s">
        <v>275</v>
      </c>
      <c r="P15" s="338">
        <f t="shared" si="6"/>
        <v>25516.574</v>
      </c>
      <c r="R15" s="333" t="str">
        <f t="shared" si="3"/>
        <v/>
      </c>
      <c r="S15" s="339" t="str">
        <f t="shared" si="4"/>
        <v/>
      </c>
      <c r="T15" s="338" t="str">
        <f t="shared" si="5"/>
        <v/>
      </c>
    </row>
    <row r="16">
      <c r="A16" s="340" t="str">
        <f>IFERROR(__xludf.DUMMYFUNCTION("""COMPUTED_VALUE"""),"Ancient Rose")</f>
        <v>Ancient Rose</v>
      </c>
      <c r="B16" s="323">
        <f>IFERROR(__xludf.DUMMYFUNCTION("""COMPUTED_VALUE"""),248689.375)</f>
        <v>248689.375</v>
      </c>
      <c r="C16" s="324" t="str">
        <f>'Minion Checker'!D21</f>
        <v/>
      </c>
      <c r="D16" s="325" t="str">
        <f>'Minion Checker'!E21</f>
        <v>Emerald</v>
      </c>
      <c r="E16" s="325" t="s">
        <v>43</v>
      </c>
      <c r="F16" s="342"/>
      <c r="G16" s="325"/>
      <c r="H16" s="327"/>
      <c r="I16" s="325" t="s">
        <v>43</v>
      </c>
      <c r="J16" s="328">
        <f t="shared" si="1"/>
        <v>6.229</v>
      </c>
      <c r="K16" s="325" t="s">
        <v>276</v>
      </c>
      <c r="L16" s="325" t="s">
        <v>277</v>
      </c>
      <c r="M16" s="326">
        <f t="shared" si="2"/>
        <v>1121.516</v>
      </c>
      <c r="N16" s="325" t="s">
        <v>278</v>
      </c>
      <c r="O16" s="325" t="s">
        <v>279</v>
      </c>
      <c r="P16" s="329">
        <f t="shared" si="6"/>
        <v>152002.006</v>
      </c>
      <c r="R16" s="324" t="str">
        <f t="shared" si="3"/>
        <v/>
      </c>
      <c r="S16" s="330" t="str">
        <f t="shared" si="4"/>
        <v/>
      </c>
      <c r="T16" s="329" t="str">
        <f t="shared" si="5"/>
        <v/>
      </c>
    </row>
    <row r="17">
      <c r="A17" s="331" t="str">
        <f>IFERROR(__xludf.DUMMYFUNCTION("""COMPUTED_VALUE"""),"Arachne Fang")</f>
        <v>Arachne Fang</v>
      </c>
      <c r="B17" s="332">
        <f>IFERROR(__xludf.DUMMYFUNCTION("""COMPUTED_VALUE"""),221792.49)</f>
        <v>221792.49</v>
      </c>
      <c r="C17" s="333" t="str">
        <f>'Minion Checker'!D22</f>
        <v/>
      </c>
      <c r="D17" s="334" t="str">
        <f>'Minion Checker'!E22</f>
        <v>Quartz</v>
      </c>
      <c r="E17" s="334" t="s">
        <v>280</v>
      </c>
      <c r="F17" s="335">
        <v>8.0</v>
      </c>
      <c r="G17" s="334"/>
      <c r="H17" s="336"/>
      <c r="I17" s="334" t="s">
        <v>281</v>
      </c>
      <c r="J17" s="337">
        <f t="shared" si="1"/>
        <v>29.501</v>
      </c>
      <c r="K17" s="334" t="s">
        <v>282</v>
      </c>
      <c r="L17" s="334" t="s">
        <v>283</v>
      </c>
      <c r="M17" s="335">
        <f t="shared" si="2"/>
        <v>3963.221</v>
      </c>
      <c r="N17" s="334" t="s">
        <v>284</v>
      </c>
      <c r="O17" s="334" t="s">
        <v>285</v>
      </c>
      <c r="P17" s="338">
        <f t="shared" si="6"/>
        <v>648215.05</v>
      </c>
      <c r="R17" s="333" t="str">
        <f t="shared" si="3"/>
        <v>Quartz Block</v>
      </c>
      <c r="S17" s="339">
        <f>IFERROR((M17/160)/F17,"")</f>
        <v>3.096266406</v>
      </c>
      <c r="T17" s="338">
        <f>IF(F17&gt;0,IFERROR((M17/160)*0.99*640-F17*640,""),"")</f>
        <v>10574.35516</v>
      </c>
    </row>
    <row r="18">
      <c r="A18" s="340" t="str">
        <f>IFERROR(__xludf.DUMMYFUNCTION("""COMPUTED_VALUE"""),"Arachne Fragment")</f>
        <v>Arachne Fragment</v>
      </c>
      <c r="B18" s="323">
        <f>IFERROR(__xludf.DUMMYFUNCTION("""COMPUTED_VALUE"""),10645.003)</f>
        <v>10645.003</v>
      </c>
      <c r="C18" s="324" t="str">
        <f>'Minion Checker'!D23</f>
        <v/>
      </c>
      <c r="D18" s="325" t="str">
        <f>'Minion Checker'!E23</f>
        <v>End Stone</v>
      </c>
      <c r="E18" s="325" t="s">
        <v>117</v>
      </c>
      <c r="F18" s="326">
        <v>10.0</v>
      </c>
      <c r="G18" s="325"/>
      <c r="H18" s="327"/>
      <c r="I18" s="325" t="s">
        <v>117</v>
      </c>
      <c r="J18" s="328">
        <f t="shared" si="1"/>
        <v>9.154</v>
      </c>
      <c r="K18" s="325" t="s">
        <v>286</v>
      </c>
      <c r="L18" s="325" t="s">
        <v>287</v>
      </c>
      <c r="M18" s="326">
        <f t="shared" si="2"/>
        <v>318.75</v>
      </c>
      <c r="N18" s="325"/>
      <c r="O18" s="325" t="s">
        <v>113</v>
      </c>
      <c r="P18" s="329"/>
      <c r="R18" s="324" t="str">
        <f t="shared" si="3"/>
        <v>End Stone</v>
      </c>
      <c r="S18" s="330">
        <f t="shared" ref="S18:S46" si="7">IFERROR(J18/F18,"")</f>
        <v>0.9154</v>
      </c>
      <c r="T18" s="329">
        <f t="shared" ref="T18:T46" si="8">IF(F18&gt;0,IFERROR(J18*0.99*640-F18*640,""),"")</f>
        <v>-600.0256</v>
      </c>
    </row>
    <row r="19">
      <c r="A19" s="331" t="str">
        <f>IFERROR(__xludf.DUMMYFUNCTION("""COMPUTED_VALUE"""),"Arachne's Calling")</f>
        <v>Arachne's Calling</v>
      </c>
      <c r="B19" s="332">
        <f>IFERROR(__xludf.DUMMYFUNCTION("""COMPUTED_VALUE"""),624.95)</f>
        <v>624.95</v>
      </c>
      <c r="C19" s="333" t="str">
        <f>'Minion Checker'!D24</f>
        <v/>
      </c>
      <c r="D19" s="334" t="str">
        <f>'Minion Checker'!E24</f>
        <v>Wheat</v>
      </c>
      <c r="E19" s="334" t="s">
        <v>47</v>
      </c>
      <c r="F19" s="343">
        <v>2.3333333333333335</v>
      </c>
      <c r="G19" s="334"/>
      <c r="H19" s="336"/>
      <c r="I19" s="334" t="s">
        <v>47</v>
      </c>
      <c r="J19" s="337">
        <f t="shared" si="1"/>
        <v>4.999</v>
      </c>
      <c r="K19" s="334" t="str">
        <f>"Hay "&amp;IF(O56="skyblock.matdoes.dev","Block","Bale")</f>
        <v>Hay Bale</v>
      </c>
      <c r="L19" s="334" t="s">
        <v>288</v>
      </c>
      <c r="M19" s="335">
        <f t="shared" si="2"/>
        <v>53.8</v>
      </c>
      <c r="N19" s="334" t="str">
        <f>"Enchanted Hay "&amp;IF(O56="skyblock.matdoes.dev","Block","Bale")</f>
        <v>Enchanted Hay Bale</v>
      </c>
      <c r="O19" s="334" t="s">
        <v>289</v>
      </c>
      <c r="P19" s="338">
        <f t="shared" ref="P19:P20" si="9">VLOOKUP(N19,$A$2:$B1550,2)</f>
        <v>7871.276</v>
      </c>
      <c r="R19" s="333" t="str">
        <f t="shared" si="3"/>
        <v>Wheat</v>
      </c>
      <c r="S19" s="339">
        <f t="shared" si="7"/>
        <v>2.142428571</v>
      </c>
      <c r="T19" s="338">
        <f t="shared" si="8"/>
        <v>1674.033067</v>
      </c>
    </row>
    <row r="20">
      <c r="A20" s="340" t="str">
        <f>IFERROR(__xludf.DUMMYFUNCTION("""COMPUTED_VALUE"""),"Architect First Draft")</f>
        <v>Architect First Draft</v>
      </c>
      <c r="B20" s="323">
        <f>IFERROR(__xludf.DUMMYFUNCTION("""COMPUTED_VALUE"""),303910.0)</f>
        <v>303910</v>
      </c>
      <c r="C20" s="324" t="str">
        <f>'Minion Checker'!D25</f>
        <v/>
      </c>
      <c r="D20" s="325" t="str">
        <f>'Minion Checker'!E25</f>
        <v>Melon</v>
      </c>
      <c r="E20" s="325" t="s">
        <v>146</v>
      </c>
      <c r="F20" s="326">
        <v>2.0</v>
      </c>
      <c r="G20" s="325"/>
      <c r="H20" s="327"/>
      <c r="I20" s="325" t="s">
        <v>146</v>
      </c>
      <c r="J20" s="328">
        <f t="shared" si="1"/>
        <v>38.967</v>
      </c>
      <c r="K20" s="325" t="str">
        <f>"Enchanted Melon"&amp;IF(O56="skyblock.matdoes.dev"," Slice","")</f>
        <v>Enchanted Melon</v>
      </c>
      <c r="L20" s="325" t="s">
        <v>290</v>
      </c>
      <c r="M20" s="326">
        <f t="shared" si="2"/>
        <v>347.441</v>
      </c>
      <c r="N20" s="325" t="s">
        <v>291</v>
      </c>
      <c r="O20" s="325" t="s">
        <v>292</v>
      </c>
      <c r="P20" s="329">
        <f t="shared" si="9"/>
        <v>50717.093</v>
      </c>
      <c r="R20" s="324" t="str">
        <f t="shared" si="3"/>
        <v>Melon Slice</v>
      </c>
      <c r="S20" s="330">
        <f t="shared" si="7"/>
        <v>19.4835</v>
      </c>
      <c r="T20" s="329">
        <f t="shared" si="8"/>
        <v>23409.4912</v>
      </c>
    </row>
    <row r="21">
      <c r="A21" s="331" t="str">
        <f>IFERROR(__xludf.DUMMYFUNCTION("""COMPUTED_VALUE"""),"Ascension Rope")</f>
        <v>Ascension Rope</v>
      </c>
      <c r="B21" s="332">
        <f>IFERROR(__xludf.DUMMYFUNCTION("""COMPUTED_VALUE"""),195.9)</f>
        <v>195.9</v>
      </c>
      <c r="C21" s="333" t="str">
        <f>'Minion Checker'!D26</f>
        <v/>
      </c>
      <c r="D21" s="334" t="str">
        <f>'Minion Checker'!E26</f>
        <v>Pumpkin</v>
      </c>
      <c r="E21" s="334" t="s">
        <v>49</v>
      </c>
      <c r="F21" s="335">
        <v>8.0</v>
      </c>
      <c r="G21" s="334"/>
      <c r="H21" s="336"/>
      <c r="I21" s="334" t="s">
        <v>49</v>
      </c>
      <c r="J21" s="337">
        <f t="shared" si="1"/>
        <v>9</v>
      </c>
      <c r="K21" s="334" t="s">
        <v>293</v>
      </c>
      <c r="L21" s="334" t="s">
        <v>294</v>
      </c>
      <c r="M21" s="335">
        <f t="shared" si="2"/>
        <v>1593.182</v>
      </c>
      <c r="N21" s="334"/>
      <c r="O21" s="334" t="s">
        <v>113</v>
      </c>
      <c r="P21" s="338"/>
      <c r="R21" s="333" t="str">
        <f t="shared" si="3"/>
        <v>Pumpkin</v>
      </c>
      <c r="S21" s="339">
        <f t="shared" si="7"/>
        <v>1.125</v>
      </c>
      <c r="T21" s="338">
        <f t="shared" si="8"/>
        <v>582.4</v>
      </c>
    </row>
    <row r="22">
      <c r="A22" s="340" t="str">
        <f>IFERROR(__xludf.DUMMYFUNCTION("""COMPUTED_VALUE"""),"Auto Smelter")</f>
        <v>Auto Smelter</v>
      </c>
      <c r="B22" s="323">
        <f>IFERROR(__xludf.DUMMYFUNCTION("""COMPUTED_VALUE"""),3098.9)</f>
        <v>3098.9</v>
      </c>
      <c r="C22" s="324" t="str">
        <f>'Minion Checker'!D27</f>
        <v/>
      </c>
      <c r="D22" s="325" t="str">
        <f>'Minion Checker'!E27</f>
        <v>Carrot</v>
      </c>
      <c r="E22" s="325" t="s">
        <v>50</v>
      </c>
      <c r="F22" s="342">
        <v>2.3333333333333335</v>
      </c>
      <c r="G22" s="325"/>
      <c r="H22" s="327"/>
      <c r="I22" s="325" t="s">
        <v>50</v>
      </c>
      <c r="J22" s="328">
        <f t="shared" si="1"/>
        <v>2.709</v>
      </c>
      <c r="K22" s="325" t="s">
        <v>295</v>
      </c>
      <c r="L22" s="325" t="s">
        <v>296</v>
      </c>
      <c r="M22" s="326">
        <f t="shared" si="2"/>
        <v>594.722</v>
      </c>
      <c r="N22" s="325" t="s">
        <v>297</v>
      </c>
      <c r="O22" s="325" t="s">
        <v>298</v>
      </c>
      <c r="P22" s="329">
        <f t="shared" ref="P22:P25" si="10">VLOOKUP(N22,$A$2:$B1550,2)</f>
        <v>79471.75</v>
      </c>
      <c r="R22" s="324" t="str">
        <f t="shared" si="3"/>
        <v>Carrot</v>
      </c>
      <c r="S22" s="330">
        <f t="shared" si="7"/>
        <v>1.161</v>
      </c>
      <c r="T22" s="329">
        <f t="shared" si="8"/>
        <v>223.0890667</v>
      </c>
    </row>
    <row r="23">
      <c r="A23" s="331" t="str">
        <f>IFERROR(__xludf.DUMMYFUNCTION("""COMPUTED_VALUE"""),"Bat Firework")</f>
        <v>Bat Firework</v>
      </c>
      <c r="B23" s="332">
        <f>IFERROR(__xludf.DUMMYFUNCTION("""COMPUTED_VALUE"""),291956.724)</f>
        <v>291956.724</v>
      </c>
      <c r="C23" s="333" t="str">
        <f>'Minion Checker'!D28</f>
        <v/>
      </c>
      <c r="D23" s="334" t="str">
        <f>'Minion Checker'!E28</f>
        <v>Potato</v>
      </c>
      <c r="E23" s="334" t="s">
        <v>51</v>
      </c>
      <c r="F23" s="343">
        <v>2.3333333333333335</v>
      </c>
      <c r="G23" s="334"/>
      <c r="H23" s="336"/>
      <c r="I23" s="334" t="s">
        <v>51</v>
      </c>
      <c r="J23" s="337">
        <f t="shared" si="1"/>
        <v>555.661</v>
      </c>
      <c r="K23" s="334" t="s">
        <v>299</v>
      </c>
      <c r="L23" s="334" t="s">
        <v>300</v>
      </c>
      <c r="M23" s="335">
        <f t="shared" si="2"/>
        <v>488.358</v>
      </c>
      <c r="N23" s="334" t="s">
        <v>301</v>
      </c>
      <c r="O23" s="334" t="s">
        <v>302</v>
      </c>
      <c r="P23" s="338">
        <f t="shared" si="10"/>
        <v>77845.661</v>
      </c>
      <c r="R23" s="333" t="str">
        <f t="shared" si="3"/>
        <v>Potato</v>
      </c>
      <c r="S23" s="339">
        <f t="shared" si="7"/>
        <v>238.1404286</v>
      </c>
      <c r="T23" s="338">
        <f t="shared" si="8"/>
        <v>350573.4763</v>
      </c>
    </row>
    <row r="24">
      <c r="A24" s="340" t="str">
        <f>IFERROR(__xludf.DUMMYFUNCTION("""COMPUTED_VALUE"""),"Bazaar Cookie")</f>
        <v>Bazaar Cookie</v>
      </c>
      <c r="B24" s="323"/>
      <c r="C24" s="324" t="str">
        <f>'Minion Checker'!D29</f>
        <v/>
      </c>
      <c r="D24" s="325" t="str">
        <f>'Minion Checker'!E29</f>
        <v>Mushroom</v>
      </c>
      <c r="E24" s="325" t="s">
        <v>303</v>
      </c>
      <c r="F24" s="326">
        <v>12.0</v>
      </c>
      <c r="G24" s="325"/>
      <c r="H24" s="327"/>
      <c r="I24" s="325" t="s">
        <v>303</v>
      </c>
      <c r="J24" s="328">
        <f t="shared" si="1"/>
        <v>8.624</v>
      </c>
      <c r="K24" s="325" t="s">
        <v>304</v>
      </c>
      <c r="L24" s="325" t="s">
        <v>305</v>
      </c>
      <c r="M24" s="326">
        <f t="shared" si="2"/>
        <v>1580.086</v>
      </c>
      <c r="N24" s="325" t="s">
        <v>306</v>
      </c>
      <c r="O24" s="325" t="s">
        <v>307</v>
      </c>
      <c r="P24" s="329">
        <f t="shared" si="10"/>
        <v>50356.678</v>
      </c>
      <c r="R24" s="324" t="str">
        <f t="shared" si="3"/>
        <v>Red Mushroom</v>
      </c>
      <c r="S24" s="330">
        <f t="shared" si="7"/>
        <v>0.7186666667</v>
      </c>
      <c r="T24" s="329">
        <f t="shared" si="8"/>
        <v>-2215.8336</v>
      </c>
    </row>
    <row r="25">
      <c r="A25" s="331" t="str">
        <f>IFERROR(__xludf.DUMMYFUNCTION("""COMPUTED_VALUE"""),"Beady Eyes")</f>
        <v>Beady Eyes</v>
      </c>
      <c r="B25" s="332">
        <f>IFERROR(__xludf.DUMMYFUNCTION("""COMPUTED_VALUE"""),445.85)</f>
        <v>445.85</v>
      </c>
      <c r="C25" s="333" t="str">
        <f>'Minion Checker'!D30</f>
        <v/>
      </c>
      <c r="D25" s="334" t="str">
        <f>'Minion Checker'!E30</f>
        <v>Cactus</v>
      </c>
      <c r="E25" s="334" t="s">
        <v>53</v>
      </c>
      <c r="F25" s="335"/>
      <c r="G25" s="334"/>
      <c r="H25" s="336"/>
      <c r="I25" s="334" t="s">
        <v>53</v>
      </c>
      <c r="J25" s="337">
        <f t="shared" si="1"/>
        <v>5.556</v>
      </c>
      <c r="K25" s="334" t="str">
        <f>"Enchanted "&amp;IF(O56="skyblock.matdoes.dev","Green Dye","Cactus Green")</f>
        <v>Enchanted Cactus Green</v>
      </c>
      <c r="L25" s="334" t="s">
        <v>308</v>
      </c>
      <c r="M25" s="335">
        <f t="shared" si="2"/>
        <v>1063.2</v>
      </c>
      <c r="N25" s="334" t="s">
        <v>309</v>
      </c>
      <c r="O25" s="334" t="s">
        <v>310</v>
      </c>
      <c r="P25" s="338">
        <f t="shared" si="10"/>
        <v>183599.5</v>
      </c>
      <c r="R25" s="333" t="str">
        <f t="shared" si="3"/>
        <v/>
      </c>
      <c r="S25" s="339" t="str">
        <f t="shared" si="7"/>
        <v/>
      </c>
      <c r="T25" s="338" t="str">
        <f t="shared" si="8"/>
        <v/>
      </c>
    </row>
    <row r="26">
      <c r="A26" s="340" t="str">
        <f>IFERROR(__xludf.DUMMYFUNCTION("""COMPUTED_VALUE"""),"Beating Heart")</f>
        <v>Beating Heart</v>
      </c>
      <c r="B26" s="323">
        <f>IFERROR(__xludf.DUMMYFUNCTION("""COMPUTED_VALUE"""),10019.1)</f>
        <v>10019.1</v>
      </c>
      <c r="C26" s="324" t="str">
        <f>'Minion Checker'!D31</f>
        <v/>
      </c>
      <c r="D26" s="325" t="str">
        <f>'Minion Checker'!E31</f>
        <v>Cocoa Beans</v>
      </c>
      <c r="E26" s="325" t="s">
        <v>115</v>
      </c>
      <c r="F26" s="326">
        <v>5.0</v>
      </c>
      <c r="G26" s="325"/>
      <c r="H26" s="327"/>
      <c r="I26" s="325" t="s">
        <v>115</v>
      </c>
      <c r="J26" s="328">
        <f t="shared" si="1"/>
        <v>4.2</v>
      </c>
      <c r="K26" s="325" t="s">
        <v>311</v>
      </c>
      <c r="L26" s="325" t="s">
        <v>312</v>
      </c>
      <c r="M26" s="326">
        <f t="shared" si="2"/>
        <v>651.236</v>
      </c>
      <c r="N26" s="325"/>
      <c r="O26" s="325" t="s">
        <v>113</v>
      </c>
      <c r="P26" s="329"/>
      <c r="R26" s="324" t="str">
        <f t="shared" si="3"/>
        <v>Cocoa Beans</v>
      </c>
      <c r="S26" s="330">
        <f t="shared" si="7"/>
        <v>0.84</v>
      </c>
      <c r="T26" s="329">
        <f t="shared" si="8"/>
        <v>-538.88</v>
      </c>
    </row>
    <row r="27">
      <c r="A27" s="331" t="str">
        <f>IFERROR(__xludf.DUMMYFUNCTION("""COMPUTED_VALUE"""),"Bejeweled Handle")</f>
        <v>Bejeweled Handle</v>
      </c>
      <c r="B27" s="332">
        <f>IFERROR(__xludf.DUMMYFUNCTION("""COMPUTED_VALUE"""),327663.813)</f>
        <v>327663.813</v>
      </c>
      <c r="C27" s="333" t="str">
        <f>'Minion Checker'!D32</f>
        <v/>
      </c>
      <c r="D27" s="334" t="str">
        <f>'Minion Checker'!E32</f>
        <v>Sugar Cane</v>
      </c>
      <c r="E27" s="334" t="s">
        <v>55</v>
      </c>
      <c r="F27" s="335">
        <v>5.0</v>
      </c>
      <c r="G27" s="334"/>
      <c r="H27" s="336"/>
      <c r="I27" s="334" t="s">
        <v>55</v>
      </c>
      <c r="J27" s="337">
        <f t="shared" si="1"/>
        <v>3.45</v>
      </c>
      <c r="K27" s="334" t="s">
        <v>313</v>
      </c>
      <c r="L27" s="334" t="s">
        <v>314</v>
      </c>
      <c r="M27" s="335">
        <f t="shared" si="2"/>
        <v>688.202</v>
      </c>
      <c r="N27" s="334" t="s">
        <v>315</v>
      </c>
      <c r="O27" s="334" t="s">
        <v>316</v>
      </c>
      <c r="P27" s="338">
        <f>VLOOKUP(N27,$A$2:$B1550,2)</f>
        <v>109728.496</v>
      </c>
      <c r="R27" s="333" t="str">
        <f t="shared" si="3"/>
        <v>Sugar Cane</v>
      </c>
      <c r="S27" s="339">
        <f t="shared" si="7"/>
        <v>0.69</v>
      </c>
      <c r="T27" s="338">
        <f t="shared" si="8"/>
        <v>-1014.08</v>
      </c>
    </row>
    <row r="28">
      <c r="A28" s="340" t="str">
        <f>IFERROR(__xludf.DUMMYFUNCTION("""COMPUTED_VALUE"""),"Berberis Fuel Injector")</f>
        <v>Berberis Fuel Injector</v>
      </c>
      <c r="B28" s="323">
        <f>IFERROR(__xludf.DUMMYFUNCTION("""COMPUTED_VALUE"""),2003816.8)</f>
        <v>2003816.8</v>
      </c>
      <c r="C28" s="324" t="str">
        <f>'Minion Checker'!D33</f>
        <v/>
      </c>
      <c r="D28" s="325" t="str">
        <f>'Minion Checker'!E33</f>
        <v>Nether Wart</v>
      </c>
      <c r="E28" s="325" t="s">
        <v>116</v>
      </c>
      <c r="F28" s="326">
        <v>10.0</v>
      </c>
      <c r="G28" s="325"/>
      <c r="H28" s="327"/>
      <c r="I28" s="325" t="s">
        <v>116</v>
      </c>
      <c r="J28" s="328">
        <f t="shared" si="1"/>
        <v>6.018</v>
      </c>
      <c r="K28" s="325" t="s">
        <v>317</v>
      </c>
      <c r="L28" s="325" t="s">
        <v>318</v>
      </c>
      <c r="M28" s="326">
        <f t="shared" si="2"/>
        <v>633.7</v>
      </c>
      <c r="N28" s="325"/>
      <c r="O28" s="325" t="s">
        <v>113</v>
      </c>
      <c r="P28" s="329"/>
      <c r="R28" s="324" t="str">
        <f t="shared" si="3"/>
        <v>Nether Wart</v>
      </c>
      <c r="S28" s="330">
        <f t="shared" si="7"/>
        <v>0.6018</v>
      </c>
      <c r="T28" s="329">
        <f t="shared" si="8"/>
        <v>-2586.9952</v>
      </c>
    </row>
    <row r="29">
      <c r="A29" s="331" t="str">
        <f>IFERROR(__xludf.DUMMYFUNCTION("""COMPUTED_VALUE"""),"Bigfoot's Lasso")</f>
        <v>Bigfoot's Lasso</v>
      </c>
      <c r="B29" s="332">
        <f>IFERROR(__xludf.DUMMYFUNCTION("""COMPUTED_VALUE"""),5825.924)</f>
        <v>5825.924</v>
      </c>
      <c r="C29" s="333" t="str">
        <f>'Minion Checker'!D34</f>
        <v/>
      </c>
      <c r="D29" s="334" t="str">
        <f>'Minion Checker'!E34</f>
        <v>Flower</v>
      </c>
      <c r="E29" s="334" t="s">
        <v>319</v>
      </c>
      <c r="F29" s="335"/>
      <c r="G29" s="334"/>
      <c r="H29" s="336"/>
      <c r="I29" s="334"/>
      <c r="J29" s="334"/>
      <c r="K29" s="334"/>
      <c r="L29" s="334" t="s">
        <v>113</v>
      </c>
      <c r="M29" s="335"/>
      <c r="N29" s="334"/>
      <c r="O29" s="334" t="s">
        <v>113</v>
      </c>
      <c r="P29" s="338"/>
      <c r="R29" s="333" t="str">
        <f t="shared" si="3"/>
        <v/>
      </c>
      <c r="S29" s="339" t="str">
        <f t="shared" si="7"/>
        <v/>
      </c>
      <c r="T29" s="338" t="str">
        <f t="shared" si="8"/>
        <v/>
      </c>
    </row>
    <row r="30">
      <c r="A30" s="340" t="str">
        <f>IFERROR(__xludf.DUMMYFUNCTION("""COMPUTED_VALUE"""),"Birch Wood")</f>
        <v>Birch Wood</v>
      </c>
      <c r="B30" s="323">
        <f>IFERROR(__xludf.DUMMYFUNCTION("""COMPUTED_VALUE"""),14.8)</f>
        <v>14.8</v>
      </c>
      <c r="C30" s="324" t="str">
        <f>'Minion Checker'!D35</f>
        <v/>
      </c>
      <c r="D30" s="325" t="str">
        <f>'Minion Checker'!E35</f>
        <v>Fish</v>
      </c>
      <c r="E30" s="325" t="s">
        <v>320</v>
      </c>
      <c r="F30" s="326">
        <v>20.0</v>
      </c>
      <c r="G30" s="325"/>
      <c r="H30" s="327"/>
      <c r="I30" s="325" t="s">
        <v>321</v>
      </c>
      <c r="J30" s="328">
        <f t="shared" ref="J30:J54" si="11">VLOOKUP(I30,$A$2:$B1550,2)</f>
        <v>87.433</v>
      </c>
      <c r="K30" s="325" t="str">
        <f>"Enchanted "&amp;IF(O56="skyblock.matdoes.dev","Cod","Raw Fish")</f>
        <v>Enchanted Raw Fish</v>
      </c>
      <c r="L30" s="325" t="s">
        <v>322</v>
      </c>
      <c r="M30" s="326">
        <f t="shared" ref="M30:M54" si="12">VLOOKUP(K30,$A$2:$B1550,2)</f>
        <v>1104.725</v>
      </c>
      <c r="N30" s="325" t="s">
        <v>323</v>
      </c>
      <c r="O30" s="325" t="s">
        <v>324</v>
      </c>
      <c r="P30" s="329">
        <f>VLOOKUP(N30,$A$2:$B1550,2)</f>
        <v>148896.85</v>
      </c>
      <c r="R30" s="324" t="str">
        <f t="shared" si="3"/>
        <v>Cod</v>
      </c>
      <c r="S30" s="330">
        <f t="shared" si="7"/>
        <v>4.37165</v>
      </c>
      <c r="T30" s="329">
        <f t="shared" si="8"/>
        <v>42597.5488</v>
      </c>
    </row>
    <row r="31">
      <c r="A31" s="331" t="str">
        <f>IFERROR(__xludf.DUMMYFUNCTION("""COMPUTED_VALUE"""),"Black Woolen Yarn")</f>
        <v>Black Woolen Yarn</v>
      </c>
      <c r="B31" s="332">
        <f>IFERROR(__xludf.DUMMYFUNCTION("""COMPUTED_VALUE"""),1.1950537479E7)</f>
        <v>11950537.48</v>
      </c>
      <c r="C31" s="333" t="str">
        <f>'Minion Checker'!D36</f>
        <v/>
      </c>
      <c r="D31" s="334" t="str">
        <f>'Minion Checker'!E36</f>
        <v>Zombie</v>
      </c>
      <c r="E31" s="334" t="s">
        <v>147</v>
      </c>
      <c r="F31" s="335">
        <v>8.0</v>
      </c>
      <c r="G31" s="334"/>
      <c r="H31" s="336"/>
      <c r="I31" s="334" t="s">
        <v>147</v>
      </c>
      <c r="J31" s="337">
        <f t="shared" si="11"/>
        <v>5.86</v>
      </c>
      <c r="K31" s="334" t="s">
        <v>325</v>
      </c>
      <c r="L31" s="334" t="s">
        <v>326</v>
      </c>
      <c r="M31" s="335">
        <f t="shared" si="12"/>
        <v>899.972</v>
      </c>
      <c r="N31" s="334"/>
      <c r="O31" s="334" t="s">
        <v>113</v>
      </c>
      <c r="P31" s="338"/>
      <c r="R31" s="333" t="str">
        <f t="shared" si="3"/>
        <v>Rotten Flesh</v>
      </c>
      <c r="S31" s="339">
        <f t="shared" si="7"/>
        <v>0.7325</v>
      </c>
      <c r="T31" s="338">
        <f t="shared" si="8"/>
        <v>-1407.104</v>
      </c>
    </row>
    <row r="32">
      <c r="A32" s="340" t="str">
        <f>IFERROR(__xludf.DUMMYFUNCTION("""COMPUTED_VALUE"""),"Blast o' Lantern")</f>
        <v>Blast o' Lantern</v>
      </c>
      <c r="B32" s="323">
        <f>IFERROR(__xludf.DUMMYFUNCTION("""COMPUTED_VALUE"""),4737.949)</f>
        <v>4737.949</v>
      </c>
      <c r="C32" s="324" t="str">
        <f>'Minion Checker'!D37</f>
        <v/>
      </c>
      <c r="D32" s="325" t="str">
        <f>'Minion Checker'!E37</f>
        <v>Revenant</v>
      </c>
      <c r="E32" s="325" t="s">
        <v>327</v>
      </c>
      <c r="F32" s="326"/>
      <c r="G32" s="325"/>
      <c r="H32" s="327"/>
      <c r="I32" s="325" t="s">
        <v>327</v>
      </c>
      <c r="J32" s="328">
        <f t="shared" si="11"/>
        <v>22.861</v>
      </c>
      <c r="K32" s="325" t="s">
        <v>328</v>
      </c>
      <c r="L32" s="325" t="s">
        <v>328</v>
      </c>
      <c r="M32" s="326">
        <f t="shared" si="12"/>
        <v>89045.864</v>
      </c>
      <c r="N32" s="325"/>
      <c r="O32" s="325" t="s">
        <v>113</v>
      </c>
      <c r="P32" s="329"/>
      <c r="R32" s="324" t="str">
        <f t="shared" si="3"/>
        <v/>
      </c>
      <c r="S32" s="330" t="str">
        <f t="shared" si="7"/>
        <v/>
      </c>
      <c r="T32" s="329" t="str">
        <f t="shared" si="8"/>
        <v/>
      </c>
    </row>
    <row r="33">
      <c r="A33" s="331" t="str">
        <f>IFERROR(__xludf.DUMMYFUNCTION("""COMPUTED_VALUE"""),"Blaze Rod")</f>
        <v>Blaze Rod</v>
      </c>
      <c r="B33" s="332">
        <f>IFERROR(__xludf.DUMMYFUNCTION("""COMPUTED_VALUE"""),16.065)</f>
        <v>16.065</v>
      </c>
      <c r="C33" s="333" t="str">
        <f>'Minion Checker'!D38</f>
        <v/>
      </c>
      <c r="D33" s="334" t="str">
        <f>'Minion Checker'!E38</f>
        <v>Skeleton</v>
      </c>
      <c r="E33" s="334" t="s">
        <v>148</v>
      </c>
      <c r="F33" s="335">
        <v>8.0</v>
      </c>
      <c r="G33" s="334"/>
      <c r="H33" s="336"/>
      <c r="I33" s="334" t="s">
        <v>148</v>
      </c>
      <c r="J33" s="337">
        <f t="shared" si="11"/>
        <v>4.4</v>
      </c>
      <c r="K33" s="334" t="s">
        <v>329</v>
      </c>
      <c r="L33" s="334" t="s">
        <v>330</v>
      </c>
      <c r="M33" s="335">
        <f t="shared" si="12"/>
        <v>937.708</v>
      </c>
      <c r="N33" s="334"/>
      <c r="O33" s="334" t="s">
        <v>113</v>
      </c>
      <c r="P33" s="338"/>
      <c r="R33" s="333" t="str">
        <f t="shared" si="3"/>
        <v>Bone</v>
      </c>
      <c r="S33" s="339">
        <f t="shared" si="7"/>
        <v>0.55</v>
      </c>
      <c r="T33" s="338">
        <f t="shared" si="8"/>
        <v>-2332.16</v>
      </c>
    </row>
    <row r="34">
      <c r="A34" s="340" t="str">
        <f>IFERROR(__xludf.DUMMYFUNCTION("""COMPUTED_VALUE"""),"Blaze Rod Distillate")</f>
        <v>Blaze Rod Distillate</v>
      </c>
      <c r="B34" s="323">
        <f>IFERROR(__xludf.DUMMYFUNCTION("""COMPUTED_VALUE"""),5404.725)</f>
        <v>5404.725</v>
      </c>
      <c r="C34" s="324" t="str">
        <f>'Minion Checker'!D39</f>
        <v/>
      </c>
      <c r="D34" s="325" t="str">
        <f>'Minion Checker'!E39</f>
        <v>Creeper</v>
      </c>
      <c r="E34" s="325" t="s">
        <v>149</v>
      </c>
      <c r="F34" s="326">
        <v>10.0</v>
      </c>
      <c r="G34" s="325"/>
      <c r="H34" s="327"/>
      <c r="I34" s="325" t="s">
        <v>149</v>
      </c>
      <c r="J34" s="328">
        <f t="shared" si="11"/>
        <v>32.99</v>
      </c>
      <c r="K34" s="325" t="s">
        <v>331</v>
      </c>
      <c r="L34" s="325" t="s">
        <v>332</v>
      </c>
      <c r="M34" s="326">
        <f t="shared" si="12"/>
        <v>4375.3</v>
      </c>
      <c r="N34" s="325" t="s">
        <v>333</v>
      </c>
      <c r="O34" s="325" t="s">
        <v>334</v>
      </c>
      <c r="P34" s="329">
        <f>VLOOKUP(N34,$A$2:$B1550,2)</f>
        <v>215672.2</v>
      </c>
      <c r="R34" s="324" t="str">
        <f t="shared" si="3"/>
        <v>Gunpowder</v>
      </c>
      <c r="S34" s="330">
        <f t="shared" si="7"/>
        <v>3.299</v>
      </c>
      <c r="T34" s="329">
        <f t="shared" si="8"/>
        <v>14502.464</v>
      </c>
    </row>
    <row r="35">
      <c r="A35" s="331" t="str">
        <f>IFERROR(__xludf.DUMMYFUNCTION("""COMPUTED_VALUE"""),"Blaze Wax")</f>
        <v>Blaze Wax</v>
      </c>
      <c r="B35" s="344">
        <f>IFERROR(__xludf.DUMMYFUNCTION("""COMPUTED_VALUE"""),864001.217)</f>
        <v>864001.217</v>
      </c>
      <c r="C35" s="333" t="str">
        <f>'Minion Checker'!D40</f>
        <v/>
      </c>
      <c r="D35" s="334" t="str">
        <f>'Minion Checker'!E40</f>
        <v>Spider</v>
      </c>
      <c r="E35" s="334" t="s">
        <v>150</v>
      </c>
      <c r="F35" s="335">
        <v>10.0</v>
      </c>
      <c r="G35" s="334"/>
      <c r="H35" s="336"/>
      <c r="I35" s="334" t="s">
        <v>150</v>
      </c>
      <c r="J35" s="337">
        <f t="shared" si="11"/>
        <v>20</v>
      </c>
      <c r="K35" s="334" t="s">
        <v>335</v>
      </c>
      <c r="L35" s="334" t="s">
        <v>336</v>
      </c>
      <c r="M35" s="335">
        <f t="shared" si="12"/>
        <v>2306.935</v>
      </c>
      <c r="N35" s="334"/>
      <c r="O35" s="334" t="s">
        <v>113</v>
      </c>
      <c r="P35" s="338"/>
      <c r="R35" s="333" t="str">
        <f t="shared" si="3"/>
        <v>String</v>
      </c>
      <c r="S35" s="339">
        <f t="shared" si="7"/>
        <v>2</v>
      </c>
      <c r="T35" s="338">
        <f t="shared" si="8"/>
        <v>6272</v>
      </c>
    </row>
    <row r="36">
      <c r="A36" s="340" t="str">
        <f>IFERROR(__xludf.DUMMYFUNCTION("""COMPUTED_VALUE"""),"Blessed Bait")</f>
        <v>Blessed Bait</v>
      </c>
      <c r="B36" s="345">
        <f>IFERROR(__xludf.DUMMYFUNCTION("""COMPUTED_VALUE"""),827.15)</f>
        <v>827.15</v>
      </c>
      <c r="C36" s="324" t="str">
        <f>'Minion Checker'!D41</f>
        <v/>
      </c>
      <c r="D36" s="325" t="str">
        <f>'Minion Checker'!E41</f>
        <v>Tarantula</v>
      </c>
      <c r="E36" s="325" t="s">
        <v>337</v>
      </c>
      <c r="F36" s="326"/>
      <c r="G36" s="325"/>
      <c r="H36" s="327"/>
      <c r="I36" s="325" t="s">
        <v>337</v>
      </c>
      <c r="J36" s="328">
        <f t="shared" si="11"/>
        <v>163.962</v>
      </c>
      <c r="K36" s="325" t="s">
        <v>338</v>
      </c>
      <c r="L36" s="325" t="s">
        <v>338</v>
      </c>
      <c r="M36" s="326">
        <f t="shared" si="12"/>
        <v>241007.4</v>
      </c>
      <c r="N36" s="325"/>
      <c r="O36" s="325" t="s">
        <v>113</v>
      </c>
      <c r="P36" s="329"/>
      <c r="R36" s="324" t="str">
        <f t="shared" si="3"/>
        <v/>
      </c>
      <c r="S36" s="330" t="str">
        <f t="shared" si="7"/>
        <v/>
      </c>
      <c r="T36" s="329" t="str">
        <f t="shared" si="8"/>
        <v/>
      </c>
    </row>
    <row r="37">
      <c r="A37" s="331" t="str">
        <f>IFERROR(__xludf.DUMMYFUNCTION("""COMPUTED_VALUE"""),"Blessed Fruit")</f>
        <v>Blessed Fruit</v>
      </c>
      <c r="B37" s="344">
        <f>IFERROR(__xludf.DUMMYFUNCTION("""COMPUTED_VALUE"""),978533.55)</f>
        <v>978533.55</v>
      </c>
      <c r="C37" s="333" t="str">
        <f>'Minion Checker'!D42</f>
        <v/>
      </c>
      <c r="D37" s="334" t="str">
        <f>'Minion Checker'!E42</f>
        <v>Cave Spider</v>
      </c>
      <c r="E37" s="334" t="s">
        <v>151</v>
      </c>
      <c r="F37" s="335">
        <v>12.0</v>
      </c>
      <c r="G37" s="334"/>
      <c r="H37" s="336"/>
      <c r="I37" s="334" t="s">
        <v>151</v>
      </c>
      <c r="J37" s="337">
        <f t="shared" si="11"/>
        <v>10.471</v>
      </c>
      <c r="K37" s="334" t="s">
        <v>339</v>
      </c>
      <c r="L37" s="334" t="s">
        <v>340</v>
      </c>
      <c r="M37" s="335">
        <f t="shared" si="12"/>
        <v>1589.15</v>
      </c>
      <c r="N37" s="334" t="s">
        <v>341</v>
      </c>
      <c r="O37" s="346" t="s">
        <v>342</v>
      </c>
      <c r="P37" s="338">
        <f t="shared" ref="P37:P38" si="13">VLOOKUP(N37,$A$2:$B1550,2)</f>
        <v>116710.4</v>
      </c>
      <c r="R37" s="333" t="str">
        <f t="shared" si="3"/>
        <v>Spider Eye</v>
      </c>
      <c r="S37" s="339">
        <f t="shared" si="7"/>
        <v>0.8725833333</v>
      </c>
      <c r="T37" s="338">
        <f t="shared" si="8"/>
        <v>-1045.5744</v>
      </c>
    </row>
    <row r="38">
      <c r="A38" s="340" t="str">
        <f>IFERROR(__xludf.DUMMYFUNCTION("""COMPUTED_VALUE"""),"Blue Jerry Box")</f>
        <v>Blue Jerry Box</v>
      </c>
      <c r="B38" s="345">
        <f>IFERROR(__xludf.DUMMYFUNCTION("""COMPUTED_VALUE"""),197652.05)</f>
        <v>197652.05</v>
      </c>
      <c r="C38" s="324" t="str">
        <f>'Minion Checker'!D43</f>
        <v/>
      </c>
      <c r="D38" s="325" t="str">
        <f>'Minion Checker'!E43</f>
        <v>Blaze</v>
      </c>
      <c r="E38" s="325" t="s">
        <v>152</v>
      </c>
      <c r="F38" s="326"/>
      <c r="G38" s="325"/>
      <c r="H38" s="327"/>
      <c r="I38" s="325" t="s">
        <v>152</v>
      </c>
      <c r="J38" s="328">
        <f t="shared" si="11"/>
        <v>16.065</v>
      </c>
      <c r="K38" s="325" t="s">
        <v>343</v>
      </c>
      <c r="L38" s="325" t="s">
        <v>344</v>
      </c>
      <c r="M38" s="326">
        <f t="shared" si="12"/>
        <v>2592.397</v>
      </c>
      <c r="N38" s="325" t="s">
        <v>345</v>
      </c>
      <c r="O38" s="325" t="s">
        <v>346</v>
      </c>
      <c r="P38" s="329">
        <f t="shared" si="13"/>
        <v>473880.85</v>
      </c>
      <c r="R38" s="324" t="str">
        <f t="shared" si="3"/>
        <v/>
      </c>
      <c r="S38" s="330" t="str">
        <f t="shared" si="7"/>
        <v/>
      </c>
      <c r="T38" s="329" t="str">
        <f t="shared" si="8"/>
        <v/>
      </c>
    </row>
    <row r="39">
      <c r="A39" s="331" t="str">
        <f>IFERROR(__xludf.DUMMYFUNCTION("""COMPUTED_VALUE"""),"Blue Shark Tooth")</f>
        <v>Blue Shark Tooth</v>
      </c>
      <c r="B39" s="344">
        <f>IFERROR(__xludf.DUMMYFUNCTION("""COMPUTED_VALUE"""),236699.949)</f>
        <v>236699.949</v>
      </c>
      <c r="C39" s="333" t="str">
        <f>'Minion Checker'!D44</f>
        <v/>
      </c>
      <c r="D39" s="334" t="str">
        <f>'Minion Checker'!E44</f>
        <v>Magma Cube</v>
      </c>
      <c r="E39" s="334" t="s">
        <v>153</v>
      </c>
      <c r="F39" s="335">
        <v>20.0</v>
      </c>
      <c r="G39" s="334"/>
      <c r="H39" s="336"/>
      <c r="I39" s="334" t="s">
        <v>153</v>
      </c>
      <c r="J39" s="337">
        <f t="shared" si="11"/>
        <v>24.646</v>
      </c>
      <c r="K39" s="334" t="s">
        <v>347</v>
      </c>
      <c r="L39" s="334" t="s">
        <v>348</v>
      </c>
      <c r="M39" s="335">
        <f t="shared" si="12"/>
        <v>3998.651</v>
      </c>
      <c r="N39" s="334"/>
      <c r="O39" s="334" t="s">
        <v>113</v>
      </c>
      <c r="P39" s="338"/>
      <c r="R39" s="333" t="str">
        <f t="shared" si="3"/>
        <v>Magma Cream</v>
      </c>
      <c r="S39" s="339">
        <f t="shared" si="7"/>
        <v>1.2323</v>
      </c>
      <c r="T39" s="338">
        <f t="shared" si="8"/>
        <v>2815.7056</v>
      </c>
    </row>
    <row r="40">
      <c r="A40" s="340" t="str">
        <f>IFERROR(__xludf.DUMMYFUNCTION("""COMPUTED_VALUE"""),"Bob-omb")</f>
        <v>Bob-omb</v>
      </c>
      <c r="B40" s="345">
        <f>IFERROR(__xludf.DUMMYFUNCTION("""COMPUTED_VALUE"""),5757.666)</f>
        <v>5757.666</v>
      </c>
      <c r="C40" s="324" t="str">
        <f>'Minion Checker'!D45</f>
        <v/>
      </c>
      <c r="D40" s="325" t="str">
        <f>'Minion Checker'!E45</f>
        <v>Enderman</v>
      </c>
      <c r="E40" s="325" t="s">
        <v>154</v>
      </c>
      <c r="F40" s="326"/>
      <c r="G40" s="325"/>
      <c r="H40" s="327"/>
      <c r="I40" s="325" t="s">
        <v>154</v>
      </c>
      <c r="J40" s="328">
        <f t="shared" si="11"/>
        <v>12.216</v>
      </c>
      <c r="K40" s="325" t="s">
        <v>349</v>
      </c>
      <c r="L40" s="325" t="s">
        <v>350</v>
      </c>
      <c r="M40" s="326">
        <f t="shared" si="12"/>
        <v>144.41</v>
      </c>
      <c r="N40" s="325" t="str">
        <f>"Enchanted "&amp;IF(O56="skyblock.matdoes.dev","Ender Eye","Eye of Ender")</f>
        <v>Enchanted Eye of Ender</v>
      </c>
      <c r="O40" s="325" t="s">
        <v>351</v>
      </c>
      <c r="P40" s="329">
        <f>VLOOKUP(N40,$A$2:$B1550,2)</f>
        <v>6328.85</v>
      </c>
      <c r="R40" s="324" t="str">
        <f t="shared" si="3"/>
        <v/>
      </c>
      <c r="S40" s="330" t="str">
        <f t="shared" si="7"/>
        <v/>
      </c>
      <c r="T40" s="329" t="str">
        <f t="shared" si="8"/>
        <v/>
      </c>
    </row>
    <row r="41">
      <c r="A41" s="331" t="str">
        <f>IFERROR(__xludf.DUMMYFUNCTION("""COMPUTED_VALUE"""),"Bobbin' Scriptures")</f>
        <v>Bobbin' Scriptures</v>
      </c>
      <c r="B41" s="344">
        <f>IFERROR(__xludf.DUMMYFUNCTION("""COMPUTED_VALUE"""),31608.75)</f>
        <v>31608.75</v>
      </c>
      <c r="C41" s="333" t="str">
        <f>'Minion Checker'!D46</f>
        <v/>
      </c>
      <c r="D41" s="334" t="str">
        <f>'Minion Checker'!E46</f>
        <v>Ghast</v>
      </c>
      <c r="E41" s="334" t="s">
        <v>155</v>
      </c>
      <c r="F41" s="335">
        <v>200.0</v>
      </c>
      <c r="G41" s="334"/>
      <c r="H41" s="336"/>
      <c r="I41" s="334" t="s">
        <v>155</v>
      </c>
      <c r="J41" s="337">
        <f t="shared" si="11"/>
        <v>82.897</v>
      </c>
      <c r="K41" s="334" t="s">
        <v>352</v>
      </c>
      <c r="L41" s="334" t="s">
        <v>353</v>
      </c>
      <c r="M41" s="335">
        <f t="shared" si="12"/>
        <v>589.724</v>
      </c>
      <c r="N41" s="334"/>
      <c r="O41" s="334" t="s">
        <v>113</v>
      </c>
      <c r="P41" s="338"/>
      <c r="R41" s="333" t="str">
        <f t="shared" si="3"/>
        <v>Ghast Tear</v>
      </c>
      <c r="S41" s="339">
        <f t="shared" si="7"/>
        <v>0.414485</v>
      </c>
      <c r="T41" s="338">
        <f t="shared" si="8"/>
        <v>-75476.4608</v>
      </c>
    </row>
    <row r="42">
      <c r="A42" s="340" t="str">
        <f>IFERROR(__xludf.DUMMYFUNCTION("""COMPUTED_VALUE"""),"Bone")</f>
        <v>Bone</v>
      </c>
      <c r="B42" s="345">
        <f>IFERROR(__xludf.DUMMYFUNCTION("""COMPUTED_VALUE"""),4.4)</f>
        <v>4.4</v>
      </c>
      <c r="C42" s="324" t="str">
        <f>'Minion Checker'!D47</f>
        <v/>
      </c>
      <c r="D42" s="325" t="str">
        <f>'Minion Checker'!E47</f>
        <v>Slime</v>
      </c>
      <c r="E42" s="325" t="s">
        <v>354</v>
      </c>
      <c r="F42" s="326">
        <v>14.0</v>
      </c>
      <c r="G42" s="325"/>
      <c r="H42" s="327"/>
      <c r="I42" s="325" t="s">
        <v>156</v>
      </c>
      <c r="J42" s="328">
        <f t="shared" si="11"/>
        <v>27.299</v>
      </c>
      <c r="K42" s="325" t="str">
        <f>"Enchanted Slime"&amp;IF(O56="skyblock.matdoes.dev"," ","")&amp;"ball"</f>
        <v>Enchanted Slimeball</v>
      </c>
      <c r="L42" s="325" t="s">
        <v>355</v>
      </c>
      <c r="M42" s="326">
        <f t="shared" si="12"/>
        <v>1948.285</v>
      </c>
      <c r="N42" s="325" t="s">
        <v>356</v>
      </c>
      <c r="O42" s="325" t="s">
        <v>357</v>
      </c>
      <c r="P42" s="329">
        <f t="shared" ref="P42:P44" si="14">VLOOKUP(N42,$A$2:$B1550,2)</f>
        <v>126750.668</v>
      </c>
      <c r="R42" s="324" t="str">
        <f t="shared" si="3"/>
        <v>Slime Ball</v>
      </c>
      <c r="S42" s="330">
        <f t="shared" si="7"/>
        <v>1.949928571</v>
      </c>
      <c r="T42" s="329">
        <f t="shared" si="8"/>
        <v>8336.6464</v>
      </c>
    </row>
    <row r="43">
      <c r="A43" s="331" t="str">
        <f>IFERROR(__xludf.DUMMYFUNCTION("""COMPUTED_VALUE"""),"Bonzo Fragment")</f>
        <v>Bonzo Fragment</v>
      </c>
      <c r="B43" s="344">
        <f>IFERROR(__xludf.DUMMYFUNCTION("""COMPUTED_VALUE"""),47.545)</f>
        <v>47.545</v>
      </c>
      <c r="C43" s="333" t="str">
        <f>'Minion Checker'!D48</f>
        <v/>
      </c>
      <c r="D43" s="334" t="str">
        <f>'Minion Checker'!E48</f>
        <v>Cow</v>
      </c>
      <c r="E43" s="334" t="s">
        <v>358</v>
      </c>
      <c r="F43" s="335"/>
      <c r="G43" s="334"/>
      <c r="H43" s="336"/>
      <c r="I43" s="334" t="s">
        <v>157</v>
      </c>
      <c r="J43" s="337">
        <f t="shared" si="11"/>
        <v>4.55</v>
      </c>
      <c r="K43" s="334" t="str">
        <f>"Enchanted"&amp;IF(O56="skyblock.matdoes.dev",""," Raw")&amp;" Beef"</f>
        <v>Enchanted Raw Beef</v>
      </c>
      <c r="L43" s="334" t="s">
        <v>359</v>
      </c>
      <c r="M43" s="335">
        <f t="shared" si="12"/>
        <v>611.75</v>
      </c>
      <c r="N43" s="334" t="s">
        <v>360</v>
      </c>
      <c r="O43" s="334" t="s">
        <v>361</v>
      </c>
      <c r="P43" s="338">
        <f t="shared" si="14"/>
        <v>8738.728</v>
      </c>
      <c r="R43" s="333" t="str">
        <f t="shared" si="3"/>
        <v/>
      </c>
      <c r="S43" s="339" t="str">
        <f t="shared" si="7"/>
        <v/>
      </c>
      <c r="T43" s="338" t="str">
        <f t="shared" si="8"/>
        <v/>
      </c>
    </row>
    <row r="44">
      <c r="A44" s="340" t="str">
        <f>IFERROR(__xludf.DUMMYFUNCTION("""COMPUTED_VALUE"""),"Book of Stats")</f>
        <v>Book of Stats</v>
      </c>
      <c r="B44" s="345">
        <f>IFERROR(__xludf.DUMMYFUNCTION("""COMPUTED_VALUE"""),2229429.5)</f>
        <v>2229429.5</v>
      </c>
      <c r="C44" s="324" t="str">
        <f>'Minion Checker'!D49</f>
        <v/>
      </c>
      <c r="D44" s="325" t="str">
        <f>'Minion Checker'!E49</f>
        <v>Pig</v>
      </c>
      <c r="E44" s="325" t="s">
        <v>362</v>
      </c>
      <c r="F44" s="326"/>
      <c r="G44" s="325"/>
      <c r="H44" s="327"/>
      <c r="I44" s="325" t="s">
        <v>158</v>
      </c>
      <c r="J44" s="328">
        <f t="shared" si="11"/>
        <v>58</v>
      </c>
      <c r="K44" s="325" t="s">
        <v>363</v>
      </c>
      <c r="L44" s="325" t="s">
        <v>364</v>
      </c>
      <c r="M44" s="326">
        <f t="shared" si="12"/>
        <v>6865.354</v>
      </c>
      <c r="N44" s="325" t="s">
        <v>365</v>
      </c>
      <c r="O44" s="325" t="s">
        <v>366</v>
      </c>
      <c r="P44" s="329">
        <f t="shared" si="14"/>
        <v>126566.588</v>
      </c>
      <c r="R44" s="324" t="str">
        <f t="shared" si="3"/>
        <v/>
      </c>
      <c r="S44" s="330" t="str">
        <f t="shared" si="7"/>
        <v/>
      </c>
      <c r="T44" s="329" t="str">
        <f t="shared" si="8"/>
        <v/>
      </c>
    </row>
    <row r="45">
      <c r="A45" s="331" t="str">
        <f>IFERROR(__xludf.DUMMYFUNCTION("""COMPUTED_VALUE"""),"Bookworm's Favorite Book")</f>
        <v>Bookworm's Favorite Book</v>
      </c>
      <c r="B45" s="344">
        <f>IFERROR(__xludf.DUMMYFUNCTION("""COMPUTED_VALUE"""),933499.74)</f>
        <v>933499.74</v>
      </c>
      <c r="C45" s="333" t="str">
        <f>'Minion Checker'!D50</f>
        <v/>
      </c>
      <c r="D45" s="334" t="str">
        <f>'Minion Checker'!E50</f>
        <v>Chicken</v>
      </c>
      <c r="E45" s="334" t="s">
        <v>159</v>
      </c>
      <c r="F45" s="335"/>
      <c r="G45" s="334"/>
      <c r="H45" s="336"/>
      <c r="I45" s="334" t="s">
        <v>159</v>
      </c>
      <c r="J45" s="337">
        <f t="shared" si="11"/>
        <v>57.297</v>
      </c>
      <c r="K45" s="334" t="str">
        <f>"Enchanted"&amp;IF(O56="skyblock.matdoes.dev",""," Raw")&amp;" Chicken"</f>
        <v>Enchanted Raw Chicken</v>
      </c>
      <c r="L45" s="334" t="s">
        <v>367</v>
      </c>
      <c r="M45" s="335">
        <f t="shared" si="12"/>
        <v>649.441</v>
      </c>
      <c r="N45" s="334"/>
      <c r="O45" s="334" t="s">
        <v>113</v>
      </c>
      <c r="P45" s="338"/>
      <c r="R45" s="333" t="str">
        <f t="shared" si="3"/>
        <v/>
      </c>
      <c r="S45" s="339" t="str">
        <f t="shared" si="7"/>
        <v/>
      </c>
      <c r="T45" s="338" t="str">
        <f t="shared" si="8"/>
        <v/>
      </c>
    </row>
    <row r="46">
      <c r="A46" s="340" t="str">
        <f>IFERROR(__xludf.DUMMYFUNCTION("""COMPUTED_VALUE"""),"Booster Cookie")</f>
        <v>Booster Cookie</v>
      </c>
      <c r="B46" s="345">
        <f>IFERROR(__xludf.DUMMYFUNCTION("""COMPUTED_VALUE"""),8948231.158)</f>
        <v>8948231.158</v>
      </c>
      <c r="C46" s="324" t="str">
        <f>'Minion Checker'!D51</f>
        <v/>
      </c>
      <c r="D46" s="325" t="str">
        <f>'Minion Checker'!E51</f>
        <v>Sheep</v>
      </c>
      <c r="E46" s="325" t="s">
        <v>368</v>
      </c>
      <c r="F46" s="326"/>
      <c r="G46" s="325"/>
      <c r="H46" s="327"/>
      <c r="I46" s="325" t="s">
        <v>368</v>
      </c>
      <c r="J46" s="328">
        <f t="shared" si="11"/>
        <v>25.05</v>
      </c>
      <c r="K46" s="325" t="s">
        <v>369</v>
      </c>
      <c r="L46" s="325" t="s">
        <v>370</v>
      </c>
      <c r="M46" s="326">
        <f t="shared" si="12"/>
        <v>4508.323</v>
      </c>
      <c r="N46" s="325" t="s">
        <v>371</v>
      </c>
      <c r="O46" s="325" t="s">
        <v>372</v>
      </c>
      <c r="P46" s="329">
        <f t="shared" ref="P46:P47" si="15">VLOOKUP(N46,$A$2:$B1550,2)</f>
        <v>126566.588</v>
      </c>
      <c r="R46" s="324" t="str">
        <f t="shared" si="3"/>
        <v/>
      </c>
      <c r="S46" s="330" t="str">
        <f t="shared" si="7"/>
        <v/>
      </c>
      <c r="T46" s="329" t="str">
        <f t="shared" si="8"/>
        <v/>
      </c>
    </row>
    <row r="47">
      <c r="A47" s="331" t="str">
        <f>IFERROR(__xludf.DUMMYFUNCTION("""COMPUTED_VALUE"""),"Box of Seeds")</f>
        <v>Box of Seeds</v>
      </c>
      <c r="B47" s="344">
        <f>IFERROR(__xludf.DUMMYFUNCTION("""COMPUTED_VALUE"""),76400.484)</f>
        <v>76400.484</v>
      </c>
      <c r="C47" s="333" t="str">
        <f>'Minion Checker'!D52</f>
        <v/>
      </c>
      <c r="D47" s="334" t="str">
        <f>'Minion Checker'!E52</f>
        <v>Rabbit</v>
      </c>
      <c r="E47" s="334" t="s">
        <v>373</v>
      </c>
      <c r="F47" s="335">
        <v>10.0</v>
      </c>
      <c r="G47" s="334"/>
      <c r="H47" s="336"/>
      <c r="I47" s="334" t="s">
        <v>161</v>
      </c>
      <c r="J47" s="337">
        <f t="shared" si="11"/>
        <v>95.17</v>
      </c>
      <c r="K47" s="334" t="s">
        <v>374</v>
      </c>
      <c r="L47" s="334" t="s">
        <v>375</v>
      </c>
      <c r="M47" s="335">
        <f t="shared" si="12"/>
        <v>946.041</v>
      </c>
      <c r="N47" s="334" t="s">
        <v>376</v>
      </c>
      <c r="O47" s="334" t="s">
        <v>377</v>
      </c>
      <c r="P47" s="338">
        <f t="shared" si="15"/>
        <v>15637.644</v>
      </c>
      <c r="R47" s="333" t="str">
        <f t="shared" si="3"/>
        <v>Rabbit's Foot</v>
      </c>
      <c r="S47" s="339">
        <f>IFERROR(VLOOKUP(R47,$A$2:$B1550,2)/F47,"")</f>
        <v>0.3767</v>
      </c>
      <c r="T47" s="338">
        <f>IF(F47&gt;0,IFERROR(VLOOKUP(R47,$A$2:$B1550,2)*0.99*640-F47*640,""),"")</f>
        <v>-4013.2288</v>
      </c>
    </row>
    <row r="48">
      <c r="A48" s="340" t="str">
        <f>IFERROR(__xludf.DUMMYFUNCTION("""COMPUTED_VALUE"""),"Braided Griffin Feather")</f>
        <v>Braided Griffin Feather</v>
      </c>
      <c r="B48" s="345">
        <f>IFERROR(__xludf.DUMMYFUNCTION("""COMPUTED_VALUE"""),2.3481868225E7)</f>
        <v>23481868.23</v>
      </c>
      <c r="C48" s="324" t="str">
        <f>'Minion Checker'!D53</f>
        <v/>
      </c>
      <c r="D48" s="325" t="str">
        <f>'Minion Checker'!E53</f>
        <v>Oak</v>
      </c>
      <c r="E48" s="325" t="s">
        <v>162</v>
      </c>
      <c r="F48" s="326">
        <v>5.0</v>
      </c>
      <c r="G48" s="325"/>
      <c r="H48" s="327"/>
      <c r="I48" s="325" t="s">
        <v>162</v>
      </c>
      <c r="J48" s="328">
        <f t="shared" si="11"/>
        <v>12.95</v>
      </c>
      <c r="K48" s="325" t="str">
        <f>"Enchanted Oak "&amp;IF(O56="skyblock.matdoes.dev","Log","Wood")</f>
        <v>Enchanted Oak Wood</v>
      </c>
      <c r="L48" s="325" t="s">
        <v>378</v>
      </c>
      <c r="M48" s="326">
        <f t="shared" si="12"/>
        <v>1415.1</v>
      </c>
      <c r="N48" s="325"/>
      <c r="O48" s="325" t="s">
        <v>113</v>
      </c>
      <c r="P48" s="329"/>
      <c r="R48" s="324" t="str">
        <f t="shared" si="3"/>
        <v>Oak Wood</v>
      </c>
      <c r="S48" s="330">
        <f t="shared" ref="S48:S53" si="16">IFERROR(J48/F48,"")</f>
        <v>2.59</v>
      </c>
      <c r="T48" s="329">
        <f t="shared" ref="T48:T53" si="17">IF(F48&gt;0,IFERROR(J48*0.99*640-F48*640,""),"")</f>
        <v>5005.12</v>
      </c>
    </row>
    <row r="49">
      <c r="A49" s="331" t="str">
        <f>IFERROR(__xludf.DUMMYFUNCTION("""COMPUTED_VALUE"""),"Brown Mushroom")</f>
        <v>Brown Mushroom</v>
      </c>
      <c r="B49" s="344">
        <f>IFERROR(__xludf.DUMMYFUNCTION("""COMPUTED_VALUE"""),8.15)</f>
        <v>8.15</v>
      </c>
      <c r="C49" s="333" t="str">
        <f>'Minion Checker'!D54</f>
        <v/>
      </c>
      <c r="D49" s="334" t="str">
        <f>'Minion Checker'!E54</f>
        <v>Spruce</v>
      </c>
      <c r="E49" s="334" t="s">
        <v>163</v>
      </c>
      <c r="F49" s="335">
        <v>5.0</v>
      </c>
      <c r="G49" s="334"/>
      <c r="H49" s="336"/>
      <c r="I49" s="334" t="s">
        <v>163</v>
      </c>
      <c r="J49" s="337">
        <f t="shared" si="11"/>
        <v>9.7</v>
      </c>
      <c r="K49" s="334" t="str">
        <f>"Enchanted Spruce "&amp;IF(O56="skyblock.matdoes.dev","Log","Wood")</f>
        <v>Enchanted Spruce Wood</v>
      </c>
      <c r="L49" s="334" t="s">
        <v>379</v>
      </c>
      <c r="M49" s="335">
        <f t="shared" si="12"/>
        <v>2077.718</v>
      </c>
      <c r="N49" s="334"/>
      <c r="O49" s="334" t="s">
        <v>113</v>
      </c>
      <c r="P49" s="338"/>
      <c r="R49" s="333" t="str">
        <f t="shared" si="3"/>
        <v>Spruce Wood</v>
      </c>
      <c r="S49" s="339">
        <f t="shared" si="16"/>
        <v>1.94</v>
      </c>
      <c r="T49" s="338">
        <f t="shared" si="17"/>
        <v>2945.92</v>
      </c>
    </row>
    <row r="50">
      <c r="A50" s="340" t="str">
        <f>IFERROR(__xludf.DUMMYFUNCTION("""COMPUTED_VALUE"""),"Brown Mushroom Block")</f>
        <v>Brown Mushroom Block</v>
      </c>
      <c r="B50" s="345">
        <f>IFERROR(__xludf.DUMMYFUNCTION("""COMPUTED_VALUE"""),71.95)</f>
        <v>71.95</v>
      </c>
      <c r="C50" s="324" t="str">
        <f>'Minion Checker'!D55</f>
        <v/>
      </c>
      <c r="D50" s="325" t="str">
        <f>'Minion Checker'!E55</f>
        <v>Birch</v>
      </c>
      <c r="E50" s="325" t="s">
        <v>164</v>
      </c>
      <c r="F50" s="326">
        <v>5.0</v>
      </c>
      <c r="G50" s="325"/>
      <c r="H50" s="327"/>
      <c r="I50" s="325" t="s">
        <v>164</v>
      </c>
      <c r="J50" s="328">
        <f t="shared" si="11"/>
        <v>14.8</v>
      </c>
      <c r="K50" s="325" t="str">
        <f>"Enchanted Birch "&amp;IF(O56="skyblock.matdoes.dev","Log","Wood")</f>
        <v>Enchanted Birch Wood</v>
      </c>
      <c r="L50" s="325" t="s">
        <v>380</v>
      </c>
      <c r="M50" s="326">
        <f t="shared" si="12"/>
        <v>1222.8</v>
      </c>
      <c r="N50" s="325"/>
      <c r="O50" s="325" t="s">
        <v>113</v>
      </c>
      <c r="P50" s="329"/>
      <c r="R50" s="324" t="str">
        <f t="shared" si="3"/>
        <v>Birch Wood</v>
      </c>
      <c r="S50" s="330">
        <f t="shared" si="16"/>
        <v>2.96</v>
      </c>
      <c r="T50" s="329">
        <f t="shared" si="17"/>
        <v>6177.28</v>
      </c>
    </row>
    <row r="51">
      <c r="A51" s="331" t="str">
        <f>IFERROR(__xludf.DUMMYFUNCTION("""COMPUTED_VALUE"""),"Bubba Blister")</f>
        <v>Bubba Blister</v>
      </c>
      <c r="B51" s="344">
        <f>IFERROR(__xludf.DUMMYFUNCTION("""COMPUTED_VALUE"""),561058.15)</f>
        <v>561058.15</v>
      </c>
      <c r="C51" s="333" t="str">
        <f>'Minion Checker'!D56</f>
        <v/>
      </c>
      <c r="D51" s="334" t="str">
        <f>'Minion Checker'!E56</f>
        <v>Dark Oak</v>
      </c>
      <c r="E51" s="334" t="s">
        <v>165</v>
      </c>
      <c r="F51" s="335">
        <v>5.0</v>
      </c>
      <c r="G51" s="334"/>
      <c r="H51" s="336"/>
      <c r="I51" s="334" t="s">
        <v>165</v>
      </c>
      <c r="J51" s="337">
        <f t="shared" si="11"/>
        <v>7.078</v>
      </c>
      <c r="K51" s="334" t="str">
        <f>"Enchanted Dark Oak "&amp;IF(O56="skyblock.matdoes.dev","Log","Wood")</f>
        <v>Enchanted Dark Oak Wood</v>
      </c>
      <c r="L51" s="334" t="s">
        <v>381</v>
      </c>
      <c r="M51" s="335">
        <f t="shared" si="12"/>
        <v>1422.601</v>
      </c>
      <c r="N51" s="334"/>
      <c r="O51" s="334" t="s">
        <v>113</v>
      </c>
      <c r="P51" s="338"/>
      <c r="R51" s="333" t="str">
        <f t="shared" si="3"/>
        <v>Dark Oak Wood</v>
      </c>
      <c r="S51" s="339">
        <f t="shared" si="16"/>
        <v>1.4156</v>
      </c>
      <c r="T51" s="338">
        <f t="shared" si="17"/>
        <v>1284.6208</v>
      </c>
    </row>
    <row r="52">
      <c r="A52" s="340" t="str">
        <f>IFERROR(__xludf.DUMMYFUNCTION("""COMPUTED_VALUE"""),"Budget Hopper")</f>
        <v>Budget Hopper</v>
      </c>
      <c r="B52" s="345">
        <f>IFERROR(__xludf.DUMMYFUNCTION("""COMPUTED_VALUE"""),12074.0)</f>
        <v>12074</v>
      </c>
      <c r="C52" s="324" t="str">
        <f>'Minion Checker'!D57</f>
        <v/>
      </c>
      <c r="D52" s="325" t="str">
        <f>'Minion Checker'!E57</f>
        <v>Acacia</v>
      </c>
      <c r="E52" s="325" t="s">
        <v>166</v>
      </c>
      <c r="F52" s="326">
        <v>5.0</v>
      </c>
      <c r="G52" s="325"/>
      <c r="H52" s="327"/>
      <c r="I52" s="325" t="s">
        <v>166</v>
      </c>
      <c r="J52" s="328">
        <f t="shared" si="11"/>
        <v>13.689</v>
      </c>
      <c r="K52" s="325" t="str">
        <f>"Enchanted Acacia "&amp;IF(O56="skyblock.matdoes.dev","Log","Wood")</f>
        <v>Enchanted Acacia Wood</v>
      </c>
      <c r="L52" s="325" t="s">
        <v>382</v>
      </c>
      <c r="M52" s="326">
        <f t="shared" si="12"/>
        <v>2324.476</v>
      </c>
      <c r="N52" s="325"/>
      <c r="O52" s="325" t="s">
        <v>113</v>
      </c>
      <c r="P52" s="329"/>
      <c r="R52" s="324" t="str">
        <f t="shared" si="3"/>
        <v>Acacia Wood</v>
      </c>
      <c r="S52" s="330">
        <f t="shared" si="16"/>
        <v>2.7378</v>
      </c>
      <c r="T52" s="329">
        <f t="shared" si="17"/>
        <v>5473.3504</v>
      </c>
    </row>
    <row r="53">
      <c r="A53" s="347" t="str">
        <f>IFERROR(__xludf.DUMMYFUNCTION("""COMPUTED_VALUE"""),"Bulky Stone")</f>
        <v>Bulky Stone</v>
      </c>
      <c r="B53" s="348">
        <f>IFERROR(__xludf.DUMMYFUNCTION("""COMPUTED_VALUE"""),1720949.275)</f>
        <v>1720949.275</v>
      </c>
      <c r="C53" s="333" t="str">
        <f>'Minion Checker'!D58</f>
        <v/>
      </c>
      <c r="D53" s="334" t="str">
        <f>'Minion Checker'!E58</f>
        <v>Jungle</v>
      </c>
      <c r="E53" s="334" t="s">
        <v>167</v>
      </c>
      <c r="F53" s="335">
        <v>5.0</v>
      </c>
      <c r="G53" s="334"/>
      <c r="H53" s="336"/>
      <c r="I53" s="334" t="s">
        <v>167</v>
      </c>
      <c r="J53" s="337">
        <f t="shared" si="11"/>
        <v>15.4</v>
      </c>
      <c r="K53" s="334" t="str">
        <f>"Enchanted Jungle "&amp;IF(O56="skyblock.matdoes.dev","Log","Wood")</f>
        <v>Enchanted Jungle Wood</v>
      </c>
      <c r="L53" s="334" t="s">
        <v>383</v>
      </c>
      <c r="M53" s="335">
        <f t="shared" si="12"/>
        <v>2448.576</v>
      </c>
      <c r="N53" s="334"/>
      <c r="O53" s="334" t="s">
        <v>113</v>
      </c>
      <c r="P53" s="338"/>
      <c r="R53" s="333" t="str">
        <f t="shared" si="3"/>
        <v>Jungle Wood</v>
      </c>
      <c r="S53" s="339">
        <f t="shared" si="16"/>
        <v>3.08</v>
      </c>
      <c r="T53" s="338">
        <f t="shared" si="17"/>
        <v>6557.44</v>
      </c>
    </row>
    <row r="54">
      <c r="A54" s="331" t="str">
        <f>IFERROR(__xludf.DUMMYFUNCTION("""COMPUTED_VALUE"""),"Bundle of Magma Arrows")</f>
        <v>Bundle of Magma Arrows</v>
      </c>
      <c r="B54" s="344">
        <f>IFERROR(__xludf.DUMMYFUNCTION("""COMPUTED_VALUE"""),122979.85)</f>
        <v>122979.85</v>
      </c>
      <c r="C54" s="324" t="str">
        <f>'Minion Checker'!D59</f>
        <v/>
      </c>
      <c r="D54" s="325"/>
      <c r="E54" s="325" t="s">
        <v>86</v>
      </c>
      <c r="F54" s="326"/>
      <c r="G54" s="325"/>
      <c r="H54" s="327"/>
      <c r="I54" s="325" t="s">
        <v>86</v>
      </c>
      <c r="J54" s="328">
        <f t="shared" si="11"/>
        <v>7.784</v>
      </c>
      <c r="K54" s="325" t="s">
        <v>384</v>
      </c>
      <c r="L54" s="325" t="s">
        <v>385</v>
      </c>
      <c r="M54" s="326">
        <f t="shared" si="12"/>
        <v>1361.023</v>
      </c>
      <c r="N54" s="325" t="s">
        <v>386</v>
      </c>
      <c r="O54" s="325" t="s">
        <v>386</v>
      </c>
      <c r="P54" s="329">
        <f>VLOOKUP(N54,$A$2:$B1550,2)</f>
        <v>472454.8</v>
      </c>
      <c r="R54" s="324" t="s">
        <v>387</v>
      </c>
      <c r="S54" s="330">
        <f>IFERROR(J10/4.5,"")</f>
        <v>1.044444444</v>
      </c>
      <c r="T54" s="329">
        <f>IFERROR(J10*0.99*640-4.5*640)</f>
        <v>97.92</v>
      </c>
    </row>
    <row r="55">
      <c r="A55" s="340" t="str">
        <f>IFERROR(__xludf.DUMMYFUNCTION("""COMPUTED_VALUE"""),"Burrowing Spores")</f>
        <v>Burrowing Spores</v>
      </c>
      <c r="B55" s="345">
        <f>IFERROR(__xludf.DUMMYFUNCTION("""COMPUTED_VALUE"""),5305501.65)</f>
        <v>5305501.65</v>
      </c>
      <c r="C55" s="321"/>
      <c r="D55" s="17"/>
      <c r="E55" s="349" t="s">
        <v>388</v>
      </c>
      <c r="F55" s="17"/>
      <c r="G55" s="321" t="s">
        <v>389</v>
      </c>
      <c r="H55" s="17"/>
      <c r="I55" s="321" t="s">
        <v>390</v>
      </c>
      <c r="J55" s="22"/>
      <c r="K55" s="350"/>
      <c r="L55" s="351" t="s">
        <v>391</v>
      </c>
      <c r="M55" s="3"/>
      <c r="N55" s="4"/>
      <c r="O55" s="352" t="b">
        <v>1</v>
      </c>
      <c r="P55" s="4"/>
      <c r="R55" s="333" t="s">
        <v>392</v>
      </c>
      <c r="S55" s="339">
        <f>IFERROR(J11/5.5,"")</f>
        <v>1.827090909</v>
      </c>
      <c r="T55" s="338">
        <f>IFERROR(J11*0.99*640-5.5*640)</f>
        <v>2847.0464</v>
      </c>
    </row>
    <row r="56">
      <c r="A56" s="331" t="str">
        <f>IFERROR(__xludf.DUMMYFUNCTION("""COMPUTED_VALUE"""),"Cactus")</f>
        <v>Cactus</v>
      </c>
      <c r="B56" s="344">
        <f>IFERROR(__xludf.DUMMYFUNCTION("""COMPUTED_VALUE"""),5.556)</f>
        <v>5.556</v>
      </c>
      <c r="C56" s="324" t="str">
        <f t="shared" ref="C56:D56" si="18">C2</f>
        <v/>
      </c>
      <c r="D56" s="325" t="str">
        <f t="shared" si="18"/>
        <v>Cobblestone</v>
      </c>
      <c r="E56" s="325" t="s">
        <v>29</v>
      </c>
      <c r="F56" s="342">
        <f t="shared" ref="F56:F61" si="20">M2/160</f>
        <v>5.00096875</v>
      </c>
      <c r="G56" s="324"/>
      <c r="H56" s="342"/>
      <c r="I56" s="324"/>
      <c r="J56" s="353"/>
      <c r="L56" s="354" t="s">
        <v>393</v>
      </c>
      <c r="M56" s="6"/>
      <c r="N56" s="7"/>
      <c r="O56" s="355" t="s">
        <v>5</v>
      </c>
      <c r="P56" s="7"/>
      <c r="R56" s="324" t="s">
        <v>394</v>
      </c>
      <c r="S56" s="330">
        <f>IFERROR(J12/6,"")</f>
        <v>0.784</v>
      </c>
      <c r="T56" s="329">
        <f>IFERROR(J12*0.99*640-6*640)</f>
        <v>-859.5456</v>
      </c>
    </row>
    <row r="57">
      <c r="A57" s="340" t="str">
        <f>IFERROR(__xludf.DUMMYFUNCTION("""COMPUTED_VALUE"""),"Candy Corn")</f>
        <v>Candy Corn</v>
      </c>
      <c r="B57" s="345">
        <f>IFERROR(__xludf.DUMMYFUNCTION("""COMPUTED_VALUE"""),506.725)</f>
        <v>506.725</v>
      </c>
      <c r="C57" s="333" t="str">
        <f t="shared" ref="C57:D57" si="19">C3</f>
        <v/>
      </c>
      <c r="D57" s="334" t="str">
        <f t="shared" si="19"/>
        <v>Obsidian</v>
      </c>
      <c r="E57" s="334" t="s">
        <v>30</v>
      </c>
      <c r="F57" s="343">
        <f t="shared" si="20"/>
        <v>27.499375</v>
      </c>
      <c r="G57" s="333"/>
      <c r="H57" s="343"/>
      <c r="I57" s="333"/>
      <c r="J57" s="356"/>
      <c r="L57" s="320"/>
      <c r="R57" s="357" t="s">
        <v>246</v>
      </c>
      <c r="S57" s="358">
        <f>IFERROR(M8/9,"")</f>
        <v>4.986444444</v>
      </c>
      <c r="T57" s="359">
        <f>IFERROR(M8*0.99*640-9*640)</f>
        <v>22674.7008</v>
      </c>
    </row>
    <row r="58">
      <c r="A58" s="331" t="str">
        <f>IFERROR(__xludf.DUMMYFUNCTION("""COMPUTED_VALUE"""),"Capsaicin Eyedrops")</f>
        <v>Capsaicin Eyedrops</v>
      </c>
      <c r="B58" s="344">
        <f>IFERROR(__xludf.DUMMYFUNCTION("""COMPUTED_VALUE"""),1792582.563)</f>
        <v>1792582.563</v>
      </c>
      <c r="C58" s="324" t="str">
        <f t="shared" ref="C58:D58" si="21">C4</f>
        <v/>
      </c>
      <c r="D58" s="325" t="str">
        <f t="shared" si="21"/>
        <v>Glowstone</v>
      </c>
      <c r="E58" s="325" t="s">
        <v>143</v>
      </c>
      <c r="F58" s="342">
        <f t="shared" si="20"/>
        <v>11.84138125</v>
      </c>
      <c r="G58" s="324"/>
      <c r="H58" s="342"/>
      <c r="I58" s="324"/>
      <c r="J58" s="353"/>
      <c r="R58" s="320"/>
      <c r="S58" s="360" t="s">
        <v>395</v>
      </c>
      <c r="T58" s="361">
        <f>SUMIF(T2:T57,"&gt;0")</f>
        <v>555647.7866</v>
      </c>
    </row>
    <row r="59">
      <c r="A59" s="340" t="str">
        <f>IFERROR(__xludf.DUMMYFUNCTION("""COMPUTED_VALUE"""),"Carrot")</f>
        <v>Carrot</v>
      </c>
      <c r="B59" s="345">
        <f>IFERROR(__xludf.DUMMYFUNCTION("""COMPUTED_VALUE"""),2.709)</f>
        <v>2.709</v>
      </c>
      <c r="C59" s="333" t="str">
        <f t="shared" ref="C59:D59" si="22">C5</f>
        <v/>
      </c>
      <c r="D59" s="334" t="str">
        <f t="shared" si="22"/>
        <v>Gravel</v>
      </c>
      <c r="E59" s="334" t="s">
        <v>144</v>
      </c>
      <c r="F59" s="343">
        <f t="shared" si="20"/>
        <v>41.32125</v>
      </c>
      <c r="G59" s="333"/>
      <c r="H59" s="343"/>
      <c r="I59" s="333"/>
      <c r="J59" s="356"/>
      <c r="S59" s="320"/>
    </row>
    <row r="60">
      <c r="A60" s="331" t="str">
        <f>IFERROR(__xludf.DUMMYFUNCTION("""COMPUTED_VALUE"""),"Carrot Bait")</f>
        <v>Carrot Bait</v>
      </c>
      <c r="B60" s="344">
        <f>IFERROR(__xludf.DUMMYFUNCTION("""COMPUTED_VALUE"""),189.694)</f>
        <v>189.694</v>
      </c>
      <c r="C60" s="324" t="str">
        <f t="shared" ref="C60:D60" si="23">C6</f>
        <v/>
      </c>
      <c r="D60" s="325" t="str">
        <f t="shared" si="23"/>
        <v>Sand</v>
      </c>
      <c r="E60" s="325" t="s">
        <v>33</v>
      </c>
      <c r="F60" s="342">
        <f t="shared" si="20"/>
        <v>17.7163625</v>
      </c>
      <c r="G60" s="324"/>
      <c r="H60" s="342"/>
      <c r="I60" s="324"/>
      <c r="J60" s="353"/>
    </row>
    <row r="61">
      <c r="A61" s="340" t="str">
        <f>IFERROR(__xludf.DUMMYFUNCTION("""COMPUTED_VALUE"""),"Catalyst")</f>
        <v>Catalyst</v>
      </c>
      <c r="B61" s="345">
        <f>IFERROR(__xludf.DUMMYFUNCTION("""COMPUTED_VALUE"""),167497.072)</f>
        <v>167497.072</v>
      </c>
      <c r="C61" s="333" t="str">
        <f t="shared" ref="C61:D61" si="24">C7</f>
        <v/>
      </c>
      <c r="D61" s="334" t="str">
        <f t="shared" si="24"/>
        <v>Clay</v>
      </c>
      <c r="E61" s="334" t="s">
        <v>34</v>
      </c>
      <c r="F61" s="343">
        <f t="shared" si="20"/>
        <v>2.8641125</v>
      </c>
      <c r="G61" s="333"/>
      <c r="H61" s="343"/>
      <c r="I61" s="333"/>
      <c r="J61" s="356"/>
    </row>
    <row r="62">
      <c r="A62" s="331" t="str">
        <f>IFERROR(__xludf.DUMMYFUNCTION("""COMPUTED_VALUE"""),"Chili Pepper")</f>
        <v>Chili Pepper</v>
      </c>
      <c r="B62" s="344">
        <f>IFERROR(__xludf.DUMMYFUNCTION("""COMPUTED_VALUE"""),9630.544)</f>
        <v>9630.544</v>
      </c>
      <c r="C62" s="324" t="str">
        <f t="shared" ref="C62:D62" si="25">C8</f>
        <v/>
      </c>
      <c r="D62" s="325" t="str">
        <f t="shared" si="25"/>
        <v>Ice</v>
      </c>
      <c r="E62" s="325" t="s">
        <v>35</v>
      </c>
      <c r="F62" s="342">
        <f>P8/160</f>
        <v>4.40821875</v>
      </c>
      <c r="G62" s="324"/>
      <c r="H62" s="342"/>
      <c r="I62" s="324"/>
      <c r="J62" s="353"/>
    </row>
    <row r="63">
      <c r="A63" s="340" t="str">
        <f>IFERROR(__xludf.DUMMYFUNCTION("""COMPUTED_VALUE"""),"Chum")</f>
        <v>Chum</v>
      </c>
      <c r="B63" s="345">
        <f>IFERROR(__xludf.DUMMYFUNCTION("""COMPUTED_VALUE"""),4.12)</f>
        <v>4.12</v>
      </c>
      <c r="C63" s="333" t="str">
        <f t="shared" ref="C63:D63" si="26">C9</f>
        <v/>
      </c>
      <c r="D63" s="334" t="str">
        <f t="shared" si="26"/>
        <v>Snow</v>
      </c>
      <c r="E63" s="334" t="s">
        <v>249</v>
      </c>
      <c r="F63" s="343">
        <f>P9/640</f>
        <v>0.914525</v>
      </c>
      <c r="G63" s="333"/>
      <c r="H63" s="343"/>
      <c r="I63" s="333"/>
      <c r="J63" s="356"/>
    </row>
    <row r="64">
      <c r="A64" s="331" t="str">
        <f>IFERROR(__xludf.DUMMYFUNCTION("""COMPUTED_VALUE"""),"Chyme")</f>
        <v>Chyme</v>
      </c>
      <c r="B64" s="344">
        <f>IFERROR(__xludf.DUMMYFUNCTION("""COMPUTED_VALUE"""),1100005.475)</f>
        <v>1100005.475</v>
      </c>
      <c r="C64" s="324" t="str">
        <f t="shared" ref="C64:D64" si="27">C10</f>
        <v/>
      </c>
      <c r="D64" s="325" t="str">
        <f t="shared" si="27"/>
        <v>Coal</v>
      </c>
      <c r="E64" s="325" t="s">
        <v>37</v>
      </c>
      <c r="F64" s="342">
        <f t="shared" ref="F64:F72" si="29">M10/160</f>
        <v>5.89105</v>
      </c>
      <c r="G64" s="324"/>
      <c r="H64" s="342"/>
      <c r="I64" s="324"/>
      <c r="J64" s="353"/>
    </row>
    <row r="65">
      <c r="A65" s="340" t="str">
        <f>IFERROR(__xludf.DUMMYFUNCTION("""COMPUTED_VALUE"""),"Clay")</f>
        <v>Clay</v>
      </c>
      <c r="B65" s="345">
        <f>IFERROR(__xludf.DUMMYFUNCTION("""COMPUTED_VALUE"""),29.1)</f>
        <v>29.1</v>
      </c>
      <c r="C65" s="333" t="str">
        <f t="shared" ref="C65:D65" si="28">C11</f>
        <v/>
      </c>
      <c r="D65" s="334" t="str">
        <f t="shared" si="28"/>
        <v>Iron</v>
      </c>
      <c r="E65" s="334" t="s">
        <v>255</v>
      </c>
      <c r="F65" s="343">
        <f t="shared" si="29"/>
        <v>10.8015625</v>
      </c>
      <c r="G65" s="333"/>
      <c r="H65" s="343"/>
      <c r="I65" s="333"/>
      <c r="J65" s="356"/>
    </row>
    <row r="66">
      <c r="A66" s="331" t="str">
        <f>IFERROR(__xludf.DUMMYFUNCTION("""COMPUTED_VALUE"""),"Clipped Wings")</f>
        <v>Clipped Wings</v>
      </c>
      <c r="B66" s="344">
        <f>IFERROR(__xludf.DUMMYFUNCTION("""COMPUTED_VALUE"""),11977.825)</f>
        <v>11977.825</v>
      </c>
      <c r="C66" s="324" t="str">
        <f t="shared" ref="C66:D66" si="30">C12</f>
        <v/>
      </c>
      <c r="D66" s="325" t="str">
        <f t="shared" si="30"/>
        <v>Gold</v>
      </c>
      <c r="E66" s="325" t="s">
        <v>259</v>
      </c>
      <c r="F66" s="342">
        <f t="shared" si="29"/>
        <v>3.9784375</v>
      </c>
      <c r="G66" s="324"/>
      <c r="H66" s="342"/>
      <c r="I66" s="324"/>
      <c r="J66" s="353"/>
    </row>
    <row r="67">
      <c r="A67" s="340" t="str">
        <f>IFERROR(__xludf.DUMMYFUNCTION("""COMPUTED_VALUE"""),"Clownfish")</f>
        <v>Clownfish</v>
      </c>
      <c r="B67" s="345">
        <f>IFERROR(__xludf.DUMMYFUNCTION("""COMPUTED_VALUE"""),20.3)</f>
        <v>20.3</v>
      </c>
      <c r="C67" s="333" t="str">
        <f t="shared" ref="C67:D67" si="31">C13</f>
        <v/>
      </c>
      <c r="D67" s="334" t="str">
        <f t="shared" si="31"/>
        <v>Diamond</v>
      </c>
      <c r="E67" s="334" t="s">
        <v>40</v>
      </c>
      <c r="F67" s="343">
        <f t="shared" si="29"/>
        <v>8.56876875</v>
      </c>
      <c r="G67" s="333"/>
      <c r="H67" s="343"/>
      <c r="I67" s="333"/>
      <c r="J67" s="356"/>
    </row>
    <row r="68">
      <c r="A68" s="331" t="str">
        <f>IFERROR(__xludf.DUMMYFUNCTION("""COMPUTED_VALUE"""),"Coal")</f>
        <v>Coal</v>
      </c>
      <c r="B68" s="344">
        <f>IFERROR(__xludf.DUMMYFUNCTION("""COMPUTED_VALUE"""),4.7)</f>
        <v>4.7</v>
      </c>
      <c r="C68" s="324" t="str">
        <f t="shared" ref="C68:D68" si="32">C14</f>
        <v/>
      </c>
      <c r="D68" s="325" t="str">
        <f t="shared" si="32"/>
        <v>Lapis</v>
      </c>
      <c r="E68" s="325" t="s">
        <v>267</v>
      </c>
      <c r="F68" s="342">
        <f t="shared" si="29"/>
        <v>5.51914375</v>
      </c>
      <c r="G68" s="324"/>
      <c r="H68" s="342"/>
      <c r="I68" s="324"/>
      <c r="J68" s="353"/>
    </row>
    <row r="69">
      <c r="A69" s="340" t="str">
        <f>IFERROR(__xludf.DUMMYFUNCTION("""COMPUTED_VALUE"""),"Cobblestone")</f>
        <v>Cobblestone</v>
      </c>
      <c r="B69" s="345">
        <f>IFERROR(__xludf.DUMMYFUNCTION("""COMPUTED_VALUE"""),4.1)</f>
        <v>4.1</v>
      </c>
      <c r="C69" s="333" t="str">
        <f t="shared" ref="C69:D69" si="33">C15</f>
        <v/>
      </c>
      <c r="D69" s="334" t="str">
        <f t="shared" si="33"/>
        <v>Redstone</v>
      </c>
      <c r="E69" s="334" t="s">
        <v>42</v>
      </c>
      <c r="F69" s="343">
        <f t="shared" si="29"/>
        <v>2.0303125</v>
      </c>
      <c r="G69" s="333"/>
      <c r="H69" s="343"/>
      <c r="I69" s="333"/>
      <c r="J69" s="356"/>
    </row>
    <row r="70">
      <c r="A70" s="362" t="str">
        <f>IFERROR(__xludf.DUMMYFUNCTION("""COMPUTED_VALUE"""),"Cocoa Beans")</f>
        <v>Cocoa Beans</v>
      </c>
      <c r="B70" s="363">
        <f>IFERROR(__xludf.DUMMYFUNCTION("""COMPUTED_VALUE"""),4.2)</f>
        <v>4.2</v>
      </c>
      <c r="C70" s="324" t="str">
        <f t="shared" ref="C70:D70" si="34">C16</f>
        <v/>
      </c>
      <c r="D70" s="325" t="str">
        <f t="shared" si="34"/>
        <v>Emerald</v>
      </c>
      <c r="E70" s="325" t="s">
        <v>43</v>
      </c>
      <c r="F70" s="342">
        <f t="shared" si="29"/>
        <v>7.009475</v>
      </c>
      <c r="G70" s="324"/>
      <c r="H70" s="342"/>
      <c r="I70" s="324"/>
      <c r="J70" s="353"/>
    </row>
    <row r="71">
      <c r="A71" s="364" t="str">
        <f>IFERROR(__xludf.DUMMYFUNCTION("""COMPUTED_VALUE"""),"Colossal Experience Bottle")</f>
        <v>Colossal Experience Bottle</v>
      </c>
      <c r="B71" s="365">
        <f>IFERROR(__xludf.DUMMYFUNCTION("""COMPUTED_VALUE"""),2159753.55)</f>
        <v>2159753.55</v>
      </c>
      <c r="C71" s="333" t="str">
        <f t="shared" ref="C71:D71" si="35">C17</f>
        <v/>
      </c>
      <c r="D71" s="334" t="str">
        <f t="shared" si="35"/>
        <v>Quartz</v>
      </c>
      <c r="E71" s="334" t="s">
        <v>281</v>
      </c>
      <c r="F71" s="343">
        <f t="shared" si="29"/>
        <v>24.77013125</v>
      </c>
      <c r="G71" s="333"/>
      <c r="H71" s="343"/>
      <c r="I71" s="333"/>
      <c r="J71" s="356"/>
    </row>
    <row r="72">
      <c r="A72" s="362" t="str">
        <f>IFERROR(__xludf.DUMMYFUNCTION("""COMPUTED_VALUE"""),"Compactor")</f>
        <v>Compactor</v>
      </c>
      <c r="B72" s="363">
        <f>IFERROR(__xludf.DUMMYFUNCTION("""COMPUTED_VALUE"""),17580.2)</f>
        <v>17580.2</v>
      </c>
      <c r="C72" s="324" t="str">
        <f t="shared" ref="C72:D72" si="36">C18</f>
        <v/>
      </c>
      <c r="D72" s="325" t="str">
        <f t="shared" si="36"/>
        <v>End Stone</v>
      </c>
      <c r="E72" s="325" t="s">
        <v>117</v>
      </c>
      <c r="F72" s="342">
        <f t="shared" si="29"/>
        <v>1.9921875</v>
      </c>
      <c r="G72" s="324"/>
      <c r="H72" s="342"/>
      <c r="I72" s="324"/>
      <c r="J72" s="353"/>
    </row>
    <row r="73">
      <c r="A73" s="364" t="str">
        <f>IFERROR(__xludf.DUMMYFUNCTION("""COMPUTED_VALUE"""),"Compost")</f>
        <v>Compost</v>
      </c>
      <c r="B73" s="365">
        <f>IFERROR(__xludf.DUMMYFUNCTION("""COMPUTED_VALUE"""),20948.972)</f>
        <v>20948.972</v>
      </c>
      <c r="C73" s="333" t="str">
        <f t="shared" ref="C73:D73" si="37">C19</f>
        <v/>
      </c>
      <c r="D73" s="334" t="str">
        <f t="shared" si="37"/>
        <v>Wheat</v>
      </c>
      <c r="E73" s="334" t="s">
        <v>47</v>
      </c>
      <c r="F73" s="343">
        <f>J19</f>
        <v>4.999</v>
      </c>
      <c r="G73" s="333" t="str">
        <f>IF(O56="skyblock.matdoes.dev","Wheat ","")&amp;"Seeds"</f>
        <v>Seeds</v>
      </c>
      <c r="H73" s="343">
        <f>VLOOKUP(G73,$A$2:$B1550,2)</f>
        <v>2.988</v>
      </c>
      <c r="I73" s="333"/>
      <c r="J73" s="356"/>
    </row>
    <row r="74">
      <c r="A74" s="362" t="str">
        <f>IFERROR(__xludf.DUMMYFUNCTION("""COMPUTED_VALUE"""),"Compost Bundle")</f>
        <v>Compost Bundle</v>
      </c>
      <c r="B74" s="363">
        <f>IFERROR(__xludf.DUMMYFUNCTION("""COMPUTED_VALUE"""),3478378.838)</f>
        <v>3478378.838</v>
      </c>
      <c r="C74" s="324" t="str">
        <f t="shared" ref="C74:D74" si="38">C20</f>
        <v/>
      </c>
      <c r="D74" s="325" t="str">
        <f t="shared" si="38"/>
        <v>Melon</v>
      </c>
      <c r="E74" s="325" t="s">
        <v>146</v>
      </c>
      <c r="F74" s="342">
        <f t="shared" ref="F74:F82" si="40">M20/160</f>
        <v>2.17150625</v>
      </c>
      <c r="G74" s="324"/>
      <c r="H74" s="342"/>
      <c r="I74" s="324"/>
      <c r="J74" s="353"/>
    </row>
    <row r="75">
      <c r="A75" s="364" t="str">
        <f>IFERROR(__xludf.DUMMYFUNCTION("""COMPUTED_VALUE"""),"Concentrated Stone")</f>
        <v>Concentrated Stone</v>
      </c>
      <c r="B75" s="365">
        <f>IFERROR(__xludf.DUMMYFUNCTION("""COMPUTED_VALUE"""),2058359.711)</f>
        <v>2058359.711</v>
      </c>
      <c r="C75" s="333" t="str">
        <f t="shared" ref="C75:D75" si="39">C21</f>
        <v/>
      </c>
      <c r="D75" s="334" t="str">
        <f t="shared" si="39"/>
        <v>Pumpkin</v>
      </c>
      <c r="E75" s="334" t="s">
        <v>49</v>
      </c>
      <c r="F75" s="343">
        <f t="shared" si="40"/>
        <v>9.9573875</v>
      </c>
      <c r="G75" s="333"/>
      <c r="H75" s="343"/>
      <c r="I75" s="333"/>
      <c r="J75" s="356"/>
    </row>
    <row r="76">
      <c r="A76" s="362" t="str">
        <f>IFERROR(__xludf.DUMMYFUNCTION("""COMPUTED_VALUE"""),"Condensed Fermento")</f>
        <v>Condensed Fermento</v>
      </c>
      <c r="B76" s="363">
        <f>IFERROR(__xludf.DUMMYFUNCTION("""COMPUTED_VALUE"""),2247510.433)</f>
        <v>2247510.433</v>
      </c>
      <c r="C76" s="324" t="str">
        <f t="shared" ref="C76:D76" si="41">C22</f>
        <v/>
      </c>
      <c r="D76" s="325" t="str">
        <f t="shared" si="41"/>
        <v>Carrot</v>
      </c>
      <c r="E76" s="325" t="s">
        <v>50</v>
      </c>
      <c r="F76" s="342">
        <f t="shared" si="40"/>
        <v>3.7170125</v>
      </c>
      <c r="G76" s="324"/>
      <c r="H76" s="342"/>
      <c r="I76" s="324"/>
      <c r="J76" s="353"/>
    </row>
    <row r="77">
      <c r="A77" s="364" t="str">
        <f>IFERROR(__xludf.DUMMYFUNCTION("""COMPUTED_VALUE"""),"Control Switch")</f>
        <v>Control Switch</v>
      </c>
      <c r="B77" s="365">
        <f>IFERROR(__xludf.DUMMYFUNCTION("""COMPUTED_VALUE"""),12561.384)</f>
        <v>12561.384</v>
      </c>
      <c r="C77" s="333" t="str">
        <f t="shared" ref="C77:D77" si="42">C23</f>
        <v/>
      </c>
      <c r="D77" s="334" t="str">
        <f t="shared" si="42"/>
        <v>Potato</v>
      </c>
      <c r="E77" s="334" t="s">
        <v>51</v>
      </c>
      <c r="F77" s="343">
        <f t="shared" si="40"/>
        <v>3.0522375</v>
      </c>
      <c r="G77" s="333"/>
      <c r="H77" s="343"/>
      <c r="I77" s="333"/>
      <c r="J77" s="356"/>
    </row>
    <row r="78">
      <c r="A78" s="362" t="str">
        <f>IFERROR(__xludf.DUMMYFUNCTION("""COMPUTED_VALUE"""),"Corleonite")</f>
        <v>Corleonite</v>
      </c>
      <c r="B78" s="363">
        <f>IFERROR(__xludf.DUMMYFUNCTION("""COMPUTED_VALUE"""),214839.53)</f>
        <v>214839.53</v>
      </c>
      <c r="C78" s="324" t="str">
        <f t="shared" ref="C78:D78" si="43">C24</f>
        <v/>
      </c>
      <c r="D78" s="325" t="str">
        <f t="shared" si="43"/>
        <v>Mushroom</v>
      </c>
      <c r="E78" s="325" t="s">
        <v>303</v>
      </c>
      <c r="F78" s="342">
        <f t="shared" si="40"/>
        <v>9.8755375</v>
      </c>
      <c r="G78" s="366" t="s">
        <v>396</v>
      </c>
      <c r="H78" s="342">
        <f>VLOOKUP("Enchanted Brown Mushroom",$A$2:$B1550,2)/160</f>
        <v>9.76206875</v>
      </c>
      <c r="I78" s="324"/>
      <c r="J78" s="353"/>
    </row>
    <row r="79">
      <c r="A79" s="364" t="str">
        <f>IFERROR(__xludf.DUMMYFUNCTION("""COMPUTED_VALUE"""),"Corrupt Soil")</f>
        <v>Corrupt Soil</v>
      </c>
      <c r="B79" s="365">
        <f>IFERROR(__xludf.DUMMYFUNCTION("""COMPUTED_VALUE"""),1355971.616)</f>
        <v>1355971.616</v>
      </c>
      <c r="C79" s="333" t="str">
        <f t="shared" ref="C79:D79" si="44">C25</f>
        <v/>
      </c>
      <c r="D79" s="334" t="str">
        <f t="shared" si="44"/>
        <v>Cactus</v>
      </c>
      <c r="E79" s="334" t="s">
        <v>53</v>
      </c>
      <c r="F79" s="343">
        <f t="shared" si="40"/>
        <v>6.645</v>
      </c>
      <c r="G79" s="333"/>
      <c r="H79" s="343"/>
      <c r="I79" s="333"/>
      <c r="J79" s="356"/>
    </row>
    <row r="80">
      <c r="A80" s="362" t="str">
        <f>IFERROR(__xludf.DUMMYFUNCTION("""COMPUTED_VALUE"""),"Corrupted Bait")</f>
        <v>Corrupted Bait</v>
      </c>
      <c r="B80" s="363">
        <f>IFERROR(__xludf.DUMMYFUNCTION("""COMPUTED_VALUE"""),608.34)</f>
        <v>608.34</v>
      </c>
      <c r="C80" s="324" t="str">
        <f t="shared" ref="C80:D80" si="45">C26</f>
        <v/>
      </c>
      <c r="D80" s="325" t="str">
        <f t="shared" si="45"/>
        <v>Cocoa Beans</v>
      </c>
      <c r="E80" s="325" t="s">
        <v>115</v>
      </c>
      <c r="F80" s="342">
        <f t="shared" si="40"/>
        <v>4.070225</v>
      </c>
      <c r="G80" s="324"/>
      <c r="H80" s="342"/>
      <c r="I80" s="324"/>
      <c r="J80" s="353"/>
    </row>
    <row r="81">
      <c r="A81" s="364" t="str">
        <f>IFERROR(__xludf.DUMMYFUNCTION("""COMPUTED_VALUE"""),"Cropie")</f>
        <v>Cropie</v>
      </c>
      <c r="B81" s="365">
        <f>IFERROR(__xludf.DUMMYFUNCTION("""COMPUTED_VALUE"""),24795.3)</f>
        <v>24795.3</v>
      </c>
      <c r="C81" s="333" t="str">
        <f t="shared" ref="C81:D81" si="46">C27</f>
        <v/>
      </c>
      <c r="D81" s="334" t="str">
        <f t="shared" si="46"/>
        <v>Sugar Cane</v>
      </c>
      <c r="E81" s="334" t="s">
        <v>55</v>
      </c>
      <c r="F81" s="343">
        <f t="shared" si="40"/>
        <v>4.3012625</v>
      </c>
      <c r="G81" s="333"/>
      <c r="H81" s="343"/>
      <c r="I81" s="333"/>
      <c r="J81" s="356"/>
    </row>
    <row r="82">
      <c r="A82" s="362" t="str">
        <f>IFERROR(__xludf.DUMMYFUNCTION("""COMPUTED_VALUE"""),"Crude Gabagool")</f>
        <v>Crude Gabagool</v>
      </c>
      <c r="B82" s="363">
        <f>IFERROR(__xludf.DUMMYFUNCTION("""COMPUTED_VALUE"""),1032.25)</f>
        <v>1032.25</v>
      </c>
      <c r="C82" s="324" t="str">
        <f t="shared" ref="C82:D82" si="47">C28</f>
        <v/>
      </c>
      <c r="D82" s="325" t="str">
        <f t="shared" si="47"/>
        <v>Nether Wart</v>
      </c>
      <c r="E82" s="325" t="s">
        <v>116</v>
      </c>
      <c r="F82" s="342">
        <f t="shared" si="40"/>
        <v>3.960625</v>
      </c>
      <c r="G82" s="324"/>
      <c r="H82" s="342"/>
      <c r="I82" s="324"/>
      <c r="J82" s="353"/>
    </row>
    <row r="83">
      <c r="A83" s="364" t="str">
        <f>IFERROR(__xludf.DUMMYFUNCTION("""COMPUTED_VALUE"""),"Crystal Fragment")</f>
        <v>Crystal Fragment</v>
      </c>
      <c r="B83" s="365">
        <f>IFERROR(__xludf.DUMMYFUNCTION("""COMPUTED_VALUE"""),154841.5)</f>
        <v>154841.5</v>
      </c>
      <c r="C83" s="333" t="str">
        <f t="shared" ref="C83:D83" si="48">C29</f>
        <v/>
      </c>
      <c r="D83" s="334" t="str">
        <f t="shared" si="48"/>
        <v>Flower</v>
      </c>
      <c r="E83" s="334"/>
      <c r="F83" s="343" t="str">
        <f>J29</f>
        <v/>
      </c>
      <c r="G83" s="333"/>
      <c r="H83" s="343"/>
      <c r="I83" s="333"/>
      <c r="J83" s="356"/>
    </row>
    <row r="84">
      <c r="A84" s="362" t="str">
        <f>IFERROR(__xludf.DUMMYFUNCTION("""COMPUTED_VALUE"""),"Daedalus Stick")</f>
        <v>Daedalus Stick</v>
      </c>
      <c r="B84" s="363">
        <f>IFERROR(__xludf.DUMMYFUNCTION("""COMPUTED_VALUE"""),9745797.158)</f>
        <v>9745797.158</v>
      </c>
      <c r="C84" s="324" t="str">
        <f t="shared" ref="C84:D84" si="49">C30</f>
        <v/>
      </c>
      <c r="D84" s="325" t="str">
        <f t="shared" si="49"/>
        <v>Fish</v>
      </c>
      <c r="E84" s="325" t="s">
        <v>321</v>
      </c>
      <c r="F84" s="342">
        <f t="shared" ref="F84:F85" si="51">M30/160</f>
        <v>6.90453125</v>
      </c>
      <c r="G84" s="324"/>
      <c r="H84" s="342"/>
      <c r="I84" s="324"/>
      <c r="J84" s="353"/>
    </row>
    <row r="85">
      <c r="A85" s="364" t="str">
        <f>IFERROR(__xludf.DUMMYFUNCTION("""COMPUTED_VALUE"""),"Dandelion")</f>
        <v>Dandelion</v>
      </c>
      <c r="B85" s="365">
        <f>IFERROR(__xludf.DUMMYFUNCTION("""COMPUTED_VALUE"""),209.109)</f>
        <v>209.109</v>
      </c>
      <c r="C85" s="333" t="str">
        <f t="shared" ref="C85:D85" si="50">C31</f>
        <v/>
      </c>
      <c r="D85" s="334" t="str">
        <f t="shared" si="50"/>
        <v>Zombie</v>
      </c>
      <c r="E85" s="334" t="s">
        <v>147</v>
      </c>
      <c r="F85" s="343">
        <f t="shared" si="51"/>
        <v>5.624825</v>
      </c>
      <c r="G85" s="333"/>
      <c r="H85" s="343"/>
      <c r="I85" s="333"/>
      <c r="J85" s="356"/>
    </row>
    <row r="86">
      <c r="A86" s="362" t="str">
        <f>IFERROR(__xludf.DUMMYFUNCTION("""COMPUTED_VALUE"""),"Dark Bait")</f>
        <v>Dark Bait</v>
      </c>
      <c r="B86" s="363">
        <f>IFERROR(__xludf.DUMMYFUNCTION("""COMPUTED_VALUE"""),1494.822)</f>
        <v>1494.822</v>
      </c>
      <c r="C86" s="324" t="str">
        <f t="shared" ref="C86:D86" si="52">C32</f>
        <v/>
      </c>
      <c r="D86" s="325" t="str">
        <f t="shared" si="52"/>
        <v>Revenant</v>
      </c>
      <c r="E86" s="325" t="s">
        <v>147</v>
      </c>
      <c r="F86" s="342">
        <f>F85</f>
        <v>5.624825</v>
      </c>
      <c r="G86" s="324" t="s">
        <v>40</v>
      </c>
      <c r="H86" s="342">
        <f>M13/160</f>
        <v>8.56876875</v>
      </c>
      <c r="I86" s="324"/>
      <c r="J86" s="353"/>
    </row>
    <row r="87">
      <c r="A87" s="364" t="str">
        <f>IFERROR(__xludf.DUMMYFUNCTION("""COMPUTED_VALUE"""),"Dark Candy")</f>
        <v>Dark Candy</v>
      </c>
      <c r="B87" s="365">
        <f>IFERROR(__xludf.DUMMYFUNCTION("""COMPUTED_VALUE"""),106902.085)</f>
        <v>106902.085</v>
      </c>
      <c r="C87" s="333" t="str">
        <f t="shared" ref="C87:D87" si="53">C33</f>
        <v/>
      </c>
      <c r="D87" s="334" t="str">
        <f t="shared" si="53"/>
        <v>Skeleton</v>
      </c>
      <c r="E87" s="334" t="s">
        <v>148</v>
      </c>
      <c r="F87" s="343">
        <f t="shared" ref="F87:F88" si="55">M33/160</f>
        <v>5.860675</v>
      </c>
      <c r="G87" s="333"/>
      <c r="H87" s="343"/>
      <c r="I87" s="333"/>
      <c r="J87" s="356"/>
    </row>
    <row r="88">
      <c r="A88" s="362" t="str">
        <f>IFERROR(__xludf.DUMMYFUNCTION("""COMPUTED_VALUE"""),"Dark Oak Wood")</f>
        <v>Dark Oak Wood</v>
      </c>
      <c r="B88" s="363">
        <f>IFERROR(__xludf.DUMMYFUNCTION("""COMPUTED_VALUE"""),7.078)</f>
        <v>7.078</v>
      </c>
      <c r="C88" s="324" t="str">
        <f t="shared" ref="C88:D88" si="54">C34</f>
        <v/>
      </c>
      <c r="D88" s="325" t="str">
        <f t="shared" si="54"/>
        <v>Creeper</v>
      </c>
      <c r="E88" s="325" t="s">
        <v>149</v>
      </c>
      <c r="F88" s="342">
        <f t="shared" si="55"/>
        <v>27.345625</v>
      </c>
      <c r="G88" s="324"/>
      <c r="H88" s="342"/>
      <c r="I88" s="324"/>
      <c r="J88" s="353"/>
    </row>
    <row r="89">
      <c r="A89" s="364" t="str">
        <f>IFERROR(__xludf.DUMMYFUNCTION("""COMPUTED_VALUE"""),"Dark Orb")</f>
        <v>Dark Orb</v>
      </c>
      <c r="B89" s="365">
        <f>IFERROR(__xludf.DUMMYFUNCTION("""COMPUTED_VALUE"""),339999.4)</f>
        <v>339999.4</v>
      </c>
      <c r="C89" s="333" t="str">
        <f t="shared" ref="C89:D89" si="56">C35</f>
        <v/>
      </c>
      <c r="D89" s="334" t="str">
        <f t="shared" si="56"/>
        <v>Spider</v>
      </c>
      <c r="E89" s="334" t="s">
        <v>150</v>
      </c>
      <c r="F89" s="343">
        <f>M35/192</f>
        <v>12.01528646</v>
      </c>
      <c r="G89" s="333" t="s">
        <v>151</v>
      </c>
      <c r="H89" s="343">
        <f>M37/160</f>
        <v>9.9321875</v>
      </c>
      <c r="I89" s="333"/>
      <c r="J89" s="356"/>
    </row>
    <row r="90">
      <c r="A90" s="362" t="str">
        <f>IFERROR(__xludf.DUMMYFUNCTION("""COMPUTED_VALUE"""),"Decoy")</f>
        <v>Decoy</v>
      </c>
      <c r="B90" s="363">
        <f>IFERROR(__xludf.DUMMYFUNCTION("""COMPUTED_VALUE"""),20.67)</f>
        <v>20.67</v>
      </c>
      <c r="C90" s="324" t="str">
        <f t="shared" ref="C90:D90" si="57">C36</f>
        <v/>
      </c>
      <c r="D90" s="325" t="str">
        <f t="shared" si="57"/>
        <v>Tarantula</v>
      </c>
      <c r="E90" s="325" t="s">
        <v>150</v>
      </c>
      <c r="F90" s="342">
        <f>F89</f>
        <v>12.01528646</v>
      </c>
      <c r="G90" s="324" t="s">
        <v>151</v>
      </c>
      <c r="H90" s="342">
        <f>M37/160</f>
        <v>9.9321875</v>
      </c>
      <c r="I90" s="324" t="s">
        <v>255</v>
      </c>
      <c r="J90" s="353">
        <f>M11/160</f>
        <v>10.8015625</v>
      </c>
    </row>
    <row r="91">
      <c r="A91" s="364" t="str">
        <f>IFERROR(__xludf.DUMMYFUNCTION("""COMPUTED_VALUE"""),"Deep Sea Orb")</f>
        <v>Deep Sea Orb</v>
      </c>
      <c r="B91" s="365">
        <f>IFERROR(__xludf.DUMMYFUNCTION("""COMPUTED_VALUE"""),7209369.1)</f>
        <v>7209369.1</v>
      </c>
      <c r="C91" s="333" t="str">
        <f t="shared" ref="C91:D91" si="58">C37</f>
        <v/>
      </c>
      <c r="D91" s="334" t="str">
        <f t="shared" si="58"/>
        <v>Cave Spider</v>
      </c>
      <c r="E91" s="334" t="s">
        <v>151</v>
      </c>
      <c r="F91" s="343">
        <f t="shared" ref="F91:F93" si="60">M37/160</f>
        <v>9.9321875</v>
      </c>
      <c r="G91" s="333" t="s">
        <v>150</v>
      </c>
      <c r="H91" s="343">
        <f>F89</f>
        <v>12.01528646</v>
      </c>
      <c r="I91" s="333"/>
      <c r="J91" s="356"/>
    </row>
    <row r="92">
      <c r="A92" s="362" t="str">
        <f>IFERROR(__xludf.DUMMYFUNCTION("""COMPUTED_VALUE"""),"Derelict Ashe")</f>
        <v>Derelict Ashe</v>
      </c>
      <c r="B92" s="363">
        <f>IFERROR(__xludf.DUMMYFUNCTION("""COMPUTED_VALUE"""),2034.249)</f>
        <v>2034.249</v>
      </c>
      <c r="C92" s="324" t="str">
        <f t="shared" ref="C92:D92" si="59">C38</f>
        <v/>
      </c>
      <c r="D92" s="325" t="str">
        <f t="shared" si="59"/>
        <v>Blaze</v>
      </c>
      <c r="E92" s="325" t="s">
        <v>152</v>
      </c>
      <c r="F92" s="342">
        <f t="shared" si="60"/>
        <v>16.20248125</v>
      </c>
      <c r="G92" s="324"/>
      <c r="H92" s="342"/>
      <c r="I92" s="324"/>
      <c r="J92" s="353"/>
    </row>
    <row r="93">
      <c r="A93" s="364" t="str">
        <f>IFERROR(__xludf.DUMMYFUNCTION("""COMPUTED_VALUE"""),"Diamante's Handle")</f>
        <v>Diamante's Handle</v>
      </c>
      <c r="B93" s="365">
        <f>IFERROR(__xludf.DUMMYFUNCTION("""COMPUTED_VALUE"""),1135631.675)</f>
        <v>1135631.675</v>
      </c>
      <c r="C93" s="333" t="str">
        <f t="shared" ref="C93:D93" si="61">C39</f>
        <v/>
      </c>
      <c r="D93" s="334" t="str">
        <f t="shared" si="61"/>
        <v>Magma Cube</v>
      </c>
      <c r="E93" s="334" t="s">
        <v>153</v>
      </c>
      <c r="F93" s="343">
        <f t="shared" si="60"/>
        <v>24.99156875</v>
      </c>
      <c r="G93" s="333"/>
      <c r="H93" s="343"/>
      <c r="I93" s="333"/>
      <c r="J93" s="356"/>
    </row>
    <row r="94">
      <c r="A94" s="362" t="str">
        <f>IFERROR(__xludf.DUMMYFUNCTION("""COMPUTED_VALUE"""),"Diamond")</f>
        <v>Diamond</v>
      </c>
      <c r="B94" s="363">
        <f>IFERROR(__xludf.DUMMYFUNCTION("""COMPUTED_VALUE"""),8.008)</f>
        <v>8.008</v>
      </c>
      <c r="C94" s="324" t="str">
        <f t="shared" ref="C94:D94" si="62">C40</f>
        <v/>
      </c>
      <c r="D94" s="325" t="str">
        <f t="shared" si="62"/>
        <v>Enderman</v>
      </c>
      <c r="E94" s="325" t="s">
        <v>154</v>
      </c>
      <c r="F94" s="342">
        <f>M40/20</f>
        <v>7.2205</v>
      </c>
      <c r="G94" s="324"/>
      <c r="H94" s="342"/>
      <c r="I94" s="324"/>
      <c r="J94" s="353"/>
    </row>
    <row r="95">
      <c r="A95" s="364" t="str">
        <f>IFERROR(__xludf.DUMMYFUNCTION("""COMPUTED_VALUE"""),"Diamond Atom")</f>
        <v>Diamond Atom</v>
      </c>
      <c r="B95" s="365">
        <f>IFERROR(__xludf.DUMMYFUNCTION("""COMPUTED_VALUE"""),6571.75)</f>
        <v>6571.75</v>
      </c>
      <c r="C95" s="333" t="str">
        <f t="shared" ref="C95:D95" si="63">C41</f>
        <v/>
      </c>
      <c r="D95" s="334" t="str">
        <f t="shared" si="63"/>
        <v>Ghast</v>
      </c>
      <c r="E95" s="334" t="s">
        <v>155</v>
      </c>
      <c r="F95" s="343">
        <f>M41/5</f>
        <v>117.9448</v>
      </c>
      <c r="G95" s="333"/>
      <c r="H95" s="343"/>
      <c r="I95" s="333"/>
      <c r="J95" s="356"/>
    </row>
    <row r="96">
      <c r="A96" s="362" t="str">
        <f>IFERROR(__xludf.DUMMYFUNCTION("""COMPUTED_VALUE"""),"Diamond Magmafish")</f>
        <v>Diamond Magmafish</v>
      </c>
      <c r="B96" s="363">
        <f>IFERROR(__xludf.DUMMYFUNCTION("""COMPUTED_VALUE"""),2.8204996875E7)</f>
        <v>28204996.88</v>
      </c>
      <c r="C96" s="324" t="str">
        <f t="shared" ref="C96:D96" si="64">C42</f>
        <v/>
      </c>
      <c r="D96" s="325" t="str">
        <f t="shared" si="64"/>
        <v>Slime</v>
      </c>
      <c r="E96" s="325" t="s">
        <v>156</v>
      </c>
      <c r="F96" s="342">
        <f t="shared" ref="F96:F100" si="66">M42/160</f>
        <v>12.17678125</v>
      </c>
      <c r="G96" s="324"/>
      <c r="H96" s="342"/>
      <c r="I96" s="324"/>
      <c r="J96" s="353"/>
    </row>
    <row r="97">
      <c r="A97" s="364" t="str">
        <f>IFERROR(__xludf.DUMMYFUNCTION("""COMPUTED_VALUE"""),"Diamond Spreading")</f>
        <v>Diamond Spreading</v>
      </c>
      <c r="B97" s="365">
        <f>IFERROR(__xludf.DUMMYFUNCTION("""COMPUTED_VALUE"""),4397.501)</f>
        <v>4397.501</v>
      </c>
      <c r="C97" s="333" t="str">
        <f t="shared" ref="C97:D97" si="65">C43</f>
        <v/>
      </c>
      <c r="D97" s="334" t="str">
        <f t="shared" si="65"/>
        <v>Cow</v>
      </c>
      <c r="E97" s="334" t="s">
        <v>157</v>
      </c>
      <c r="F97" s="343">
        <f t="shared" si="66"/>
        <v>3.8234375</v>
      </c>
      <c r="G97" s="333" t="s">
        <v>397</v>
      </c>
      <c r="H97" s="343">
        <f>P43/576</f>
        <v>15.17140278</v>
      </c>
      <c r="I97" s="333"/>
      <c r="J97" s="356"/>
    </row>
    <row r="98">
      <c r="A98" s="362" t="str">
        <f>IFERROR(__xludf.DUMMYFUNCTION("""COMPUTED_VALUE"""),"Diamonite")</f>
        <v>Diamonite</v>
      </c>
      <c r="B98" s="363">
        <f>IFERROR(__xludf.DUMMYFUNCTION("""COMPUTED_VALUE"""),1571289.2)</f>
        <v>1571289.2</v>
      </c>
      <c r="C98" s="324" t="str">
        <f t="shared" ref="C98:D98" si="67">C44</f>
        <v/>
      </c>
      <c r="D98" s="325" t="str">
        <f t="shared" si="67"/>
        <v>Pig</v>
      </c>
      <c r="E98" s="325" t="s">
        <v>158</v>
      </c>
      <c r="F98" s="342">
        <f t="shared" si="66"/>
        <v>42.9084625</v>
      </c>
      <c r="G98" s="324"/>
      <c r="H98" s="342"/>
      <c r="I98" s="324"/>
      <c r="J98" s="353"/>
    </row>
    <row r="99">
      <c r="A99" s="364" t="str">
        <f>IFERROR(__xludf.DUMMYFUNCTION("""COMPUTED_VALUE"""),"Dirt Bottle")</f>
        <v>Dirt Bottle</v>
      </c>
      <c r="B99" s="365"/>
      <c r="C99" s="333" t="str">
        <f t="shared" ref="C99:D99" si="68">C45</f>
        <v/>
      </c>
      <c r="D99" s="334" t="str">
        <f t="shared" si="68"/>
        <v>Chicken</v>
      </c>
      <c r="E99" s="334" t="s">
        <v>159</v>
      </c>
      <c r="F99" s="343">
        <f t="shared" si="66"/>
        <v>4.05900625</v>
      </c>
      <c r="G99" s="333" t="s">
        <v>398</v>
      </c>
      <c r="H99" s="343">
        <f>VLOOKUP("Enchanted Feather",$A$2:$B1550,2)/160</f>
        <v>2.79125</v>
      </c>
      <c r="I99" s="333" t="s">
        <v>399</v>
      </c>
      <c r="J99" s="356">
        <f>VLOOKUP("Enchanted Egg",$A$2:$B1550,2)/144</f>
        <v>26.87673611</v>
      </c>
    </row>
    <row r="100">
      <c r="A100" s="362" t="str">
        <f>IFERROR(__xludf.DUMMYFUNCTION("""COMPUTED_VALUE"""),"Displaced Leech")</f>
        <v>Displaced Leech</v>
      </c>
      <c r="B100" s="363">
        <f>IFERROR(__xludf.DUMMYFUNCTION("""COMPUTED_VALUE"""),137583.5)</f>
        <v>137583.5</v>
      </c>
      <c r="C100" s="324" t="str">
        <f t="shared" ref="C100:D100" si="69">C46</f>
        <v/>
      </c>
      <c r="D100" s="325" t="str">
        <f t="shared" si="69"/>
        <v>Sheep</v>
      </c>
      <c r="E100" s="325" t="s">
        <v>368</v>
      </c>
      <c r="F100" s="342">
        <f t="shared" si="66"/>
        <v>28.17701875</v>
      </c>
      <c r="G100" s="324"/>
      <c r="H100" s="342"/>
      <c r="I100" s="324"/>
      <c r="J100" s="353"/>
    </row>
    <row r="101">
      <c r="A101" s="364" t="str">
        <f>IFERROR(__xludf.DUMMYFUNCTION("""COMPUTED_VALUE"""),"Divan Fragment")</f>
        <v>Divan Fragment</v>
      </c>
      <c r="B101" s="365">
        <f>IFERROR(__xludf.DUMMYFUNCTION("""COMPUTED_VALUE"""),629225.137)</f>
        <v>629225.137</v>
      </c>
      <c r="C101" s="333" t="str">
        <f t="shared" ref="C101:D101" si="70">C47</f>
        <v/>
      </c>
      <c r="D101" s="334" t="str">
        <f t="shared" si="70"/>
        <v>Rabbit</v>
      </c>
      <c r="E101" s="334" t="s">
        <v>161</v>
      </c>
      <c r="F101" s="343">
        <f>VLOOKUP(E101,$A$2:$B1550,2)/160</f>
        <v>0.5948125</v>
      </c>
      <c r="G101" s="333" t="s">
        <v>373</v>
      </c>
      <c r="H101" s="343">
        <f>M47/160</f>
        <v>5.91275625</v>
      </c>
      <c r="I101" s="333" t="s">
        <v>400</v>
      </c>
      <c r="J101" s="356">
        <f>P47/576</f>
        <v>27.1486875</v>
      </c>
    </row>
    <row r="102">
      <c r="A102" s="362" t="str">
        <f>IFERROR(__xludf.DUMMYFUNCTION("""COMPUTED_VALUE"""),"Dragon Claw")</f>
        <v>Dragon Claw</v>
      </c>
      <c r="B102" s="363">
        <f>IFERROR(__xludf.DUMMYFUNCTION("""COMPUTED_VALUE"""),191857.141)</f>
        <v>191857.141</v>
      </c>
      <c r="C102" s="324" t="str">
        <f t="shared" ref="C102:D102" si="71">C48</f>
        <v/>
      </c>
      <c r="D102" s="325" t="str">
        <f t="shared" si="71"/>
        <v>Oak</v>
      </c>
      <c r="E102" s="325" t="s">
        <v>162</v>
      </c>
      <c r="F102" s="342">
        <f t="shared" ref="F102:F108" si="73">M48/160</f>
        <v>8.844375</v>
      </c>
      <c r="G102" s="324"/>
      <c r="H102" s="342"/>
      <c r="I102" s="324"/>
      <c r="J102" s="353"/>
    </row>
    <row r="103">
      <c r="A103" s="364" t="str">
        <f>IFERROR(__xludf.DUMMYFUNCTION("""COMPUTED_VALUE"""),"Dragon Horn")</f>
        <v>Dragon Horn</v>
      </c>
      <c r="B103" s="365">
        <f>IFERROR(__xludf.DUMMYFUNCTION("""COMPUTED_VALUE"""),5786961.45)</f>
        <v>5786961.45</v>
      </c>
      <c r="C103" s="333" t="str">
        <f t="shared" ref="C103:D103" si="72">C49</f>
        <v/>
      </c>
      <c r="D103" s="334" t="str">
        <f t="shared" si="72"/>
        <v>Spruce</v>
      </c>
      <c r="E103" s="334" t="s">
        <v>163</v>
      </c>
      <c r="F103" s="343">
        <f t="shared" si="73"/>
        <v>12.9857375</v>
      </c>
      <c r="G103" s="333"/>
      <c r="H103" s="343"/>
      <c r="I103" s="333"/>
      <c r="J103" s="356"/>
    </row>
    <row r="104">
      <c r="A104" s="362" t="str">
        <f>IFERROR(__xludf.DUMMYFUNCTION("""COMPUTED_VALUE"""),"Dragon Scale")</f>
        <v>Dragon Scale</v>
      </c>
      <c r="B104" s="363">
        <f>IFERROR(__xludf.DUMMYFUNCTION("""COMPUTED_VALUE"""),20500.1)</f>
        <v>20500.1</v>
      </c>
      <c r="C104" s="324" t="str">
        <f t="shared" ref="C104:D104" si="74">C50</f>
        <v/>
      </c>
      <c r="D104" s="325" t="str">
        <f t="shared" si="74"/>
        <v>Birch</v>
      </c>
      <c r="E104" s="325" t="s">
        <v>164</v>
      </c>
      <c r="F104" s="342">
        <f t="shared" si="73"/>
        <v>7.6425</v>
      </c>
      <c r="G104" s="324"/>
      <c r="H104" s="342"/>
      <c r="I104" s="324"/>
      <c r="J104" s="353"/>
    </row>
    <row r="105">
      <c r="A105" s="364" t="str">
        <f>IFERROR(__xludf.DUMMYFUNCTION("""COMPUTED_VALUE"""),"Drill Engine")</f>
        <v>Drill Engine</v>
      </c>
      <c r="B105" s="365">
        <f>IFERROR(__xludf.DUMMYFUNCTION("""COMPUTED_VALUE"""),3910249.75)</f>
        <v>3910249.75</v>
      </c>
      <c r="C105" s="333" t="str">
        <f t="shared" ref="C105:D105" si="75">C51</f>
        <v/>
      </c>
      <c r="D105" s="334" t="str">
        <f t="shared" si="75"/>
        <v>Dark Oak</v>
      </c>
      <c r="E105" s="334" t="s">
        <v>165</v>
      </c>
      <c r="F105" s="343">
        <f t="shared" si="73"/>
        <v>8.89125625</v>
      </c>
      <c r="G105" s="333"/>
      <c r="H105" s="343"/>
      <c r="I105" s="333"/>
      <c r="J105" s="356"/>
    </row>
    <row r="106">
      <c r="A106" s="362" t="str">
        <f>IFERROR(__xludf.DUMMYFUNCTION("""COMPUTED_VALUE"""),"Dung")</f>
        <v>Dung</v>
      </c>
      <c r="B106" s="363">
        <f>IFERROR(__xludf.DUMMYFUNCTION("""COMPUTED_VALUE"""),44615.5)</f>
        <v>44615.5</v>
      </c>
      <c r="C106" s="324" t="str">
        <f t="shared" ref="C106:D106" si="76">C52</f>
        <v/>
      </c>
      <c r="D106" s="325" t="str">
        <f t="shared" si="76"/>
        <v>Acacia</v>
      </c>
      <c r="E106" s="325" t="s">
        <v>166</v>
      </c>
      <c r="F106" s="342">
        <f t="shared" si="73"/>
        <v>14.527975</v>
      </c>
      <c r="G106" s="324"/>
      <c r="H106" s="342"/>
      <c r="I106" s="324"/>
      <c r="J106" s="353"/>
    </row>
    <row r="107">
      <c r="A107" s="364" t="str">
        <f>IFERROR(__xludf.DUMMYFUNCTION("""COMPUTED_VALUE"""),"Dungeon Chest Key")</f>
        <v>Dungeon Chest Key</v>
      </c>
      <c r="B107" s="365">
        <f>IFERROR(__xludf.DUMMYFUNCTION("""COMPUTED_VALUE"""),124854.8)</f>
        <v>124854.8</v>
      </c>
      <c r="C107" s="333" t="str">
        <f t="shared" ref="C107:D107" si="77">C53</f>
        <v/>
      </c>
      <c r="D107" s="334" t="str">
        <f t="shared" si="77"/>
        <v>Jungle</v>
      </c>
      <c r="E107" s="334" t="s">
        <v>167</v>
      </c>
      <c r="F107" s="343">
        <f t="shared" si="73"/>
        <v>15.3036</v>
      </c>
      <c r="G107" s="333"/>
      <c r="H107" s="343"/>
      <c r="I107" s="333"/>
      <c r="J107" s="356"/>
    </row>
    <row r="108">
      <c r="A108" s="362" t="str">
        <f>IFERROR(__xludf.DUMMYFUNCTION("""COMPUTED_VALUE"""),"Dwarven Super Compactor")</f>
        <v>Dwarven Super Compactor</v>
      </c>
      <c r="B108" s="363">
        <f>IFERROR(__xludf.DUMMYFUNCTION("""COMPUTED_VALUE"""),582754.25)</f>
        <v>582754.25</v>
      </c>
      <c r="C108" s="367" t="str">
        <f>C54</f>
        <v/>
      </c>
      <c r="D108" s="368"/>
      <c r="E108" s="368" t="s">
        <v>86</v>
      </c>
      <c r="F108" s="369">
        <f t="shared" si="73"/>
        <v>8.50639375</v>
      </c>
      <c r="G108" s="367"/>
      <c r="H108" s="369"/>
      <c r="I108" s="367"/>
      <c r="J108" s="370"/>
      <c r="K108" s="320"/>
    </row>
    <row r="109">
      <c r="A109" s="364" t="str">
        <f>IFERROR(__xludf.DUMMYFUNCTION("""COMPUTED_VALUE"""),"Eccentric Painting")</f>
        <v>Eccentric Painting</v>
      </c>
      <c r="B109" s="365">
        <f>IFERROR(__xludf.DUMMYFUNCTION("""COMPUTED_VALUE"""),3.7523346775E7)</f>
        <v>37523346.78</v>
      </c>
      <c r="C109" s="371"/>
    </row>
    <row r="110">
      <c r="A110" s="362" t="str">
        <f>IFERROR(__xludf.DUMMYFUNCTION("""COMPUTED_VALUE"""),"Ectoplasm")</f>
        <v>Ectoplasm</v>
      </c>
      <c r="B110" s="363">
        <f>IFERROR(__xludf.DUMMYFUNCTION("""COMPUTED_VALUE"""),159000.831)</f>
        <v>159000.831</v>
      </c>
      <c r="C110" s="372"/>
    </row>
    <row r="111">
      <c r="A111" s="364" t="str">
        <f>IFERROR(__xludf.DUMMYFUNCTION("""COMPUTED_VALUE"""),"Egg")</f>
        <v>Egg</v>
      </c>
      <c r="B111" s="365">
        <f>IFERROR(__xludf.DUMMYFUNCTION("""COMPUTED_VALUE"""),185.65)</f>
        <v>185.65</v>
      </c>
      <c r="C111" s="372"/>
    </row>
    <row r="112">
      <c r="A112" s="362" t="str">
        <f>IFERROR(__xludf.DUMMYFUNCTION("""COMPUTED_VALUE"""),"Electron Transmitter")</f>
        <v>Electron Transmitter</v>
      </c>
      <c r="B112" s="363">
        <f>IFERROR(__xludf.DUMMYFUNCTION("""COMPUTED_VALUE"""),14645.747)</f>
        <v>14645.747</v>
      </c>
      <c r="C112" s="372"/>
    </row>
    <row r="113">
      <c r="A113" s="364" t="str">
        <f>IFERROR(__xludf.DUMMYFUNCTION("""COMPUTED_VALUE"""),"Emerald")</f>
        <v>Emerald</v>
      </c>
      <c r="B113" s="365">
        <f>IFERROR(__xludf.DUMMYFUNCTION("""COMPUTED_VALUE"""),6.229)</f>
        <v>6.229</v>
      </c>
      <c r="C113" s="372"/>
    </row>
    <row r="114">
      <c r="A114" s="362" t="str">
        <f>IFERROR(__xludf.DUMMYFUNCTION("""COMPUTED_VALUE"""),"Emperor's Skull")</f>
        <v>Emperor's Skull</v>
      </c>
      <c r="B114" s="363">
        <f>IFERROR(__xludf.DUMMYFUNCTION("""COMPUTED_VALUE"""),339891.4)</f>
        <v>339891.4</v>
      </c>
      <c r="C114" s="372"/>
    </row>
    <row r="115">
      <c r="A115" s="364" t="str">
        <f>IFERROR(__xludf.DUMMYFUNCTION("""COMPUTED_VALUE"""),"Empty Chum Bucket")</f>
        <v>Empty Chum Bucket</v>
      </c>
      <c r="B115" s="365">
        <f>IFERROR(__xludf.DUMMYFUNCTION("""COMPUTED_VALUE"""),8819.806)</f>
        <v>8819.806</v>
      </c>
      <c r="C115" s="372"/>
    </row>
    <row r="116">
      <c r="A116" s="362" t="str">
        <f>IFERROR(__xludf.DUMMYFUNCTION("""COMPUTED_VALUE"""),"Enchanted Acacia Wood")</f>
        <v>Enchanted Acacia Wood</v>
      </c>
      <c r="B116" s="363">
        <f>IFERROR(__xludf.DUMMYFUNCTION("""COMPUTED_VALUE"""),2324.476)</f>
        <v>2324.476</v>
      </c>
      <c r="C116" s="372"/>
    </row>
    <row r="117">
      <c r="A117" s="364" t="str">
        <f>IFERROR(__xludf.DUMMYFUNCTION("""COMPUTED_VALUE"""),"Enchanted Ancient Claw")</f>
        <v>Enchanted Ancient Claw</v>
      </c>
      <c r="B117" s="365">
        <f>IFERROR(__xludf.DUMMYFUNCTION("""COMPUTED_VALUE"""),2999.485)</f>
        <v>2999.485</v>
      </c>
      <c r="C117" s="372"/>
    </row>
    <row r="118">
      <c r="A118" s="362" t="str">
        <f>IFERROR(__xludf.DUMMYFUNCTION("""COMPUTED_VALUE"""),"Enchanted Baked Potato")</f>
        <v>Enchanted Baked Potato</v>
      </c>
      <c r="B118" s="363">
        <f>IFERROR(__xludf.DUMMYFUNCTION("""COMPUTED_VALUE"""),77845.661)</f>
        <v>77845.661</v>
      </c>
      <c r="C118" s="372"/>
    </row>
    <row r="119">
      <c r="A119" s="364" t="str">
        <f>IFERROR(__xludf.DUMMYFUNCTION("""COMPUTED_VALUE"""),"Enchanted Birch Wood")</f>
        <v>Enchanted Birch Wood</v>
      </c>
      <c r="B119" s="365">
        <f>IFERROR(__xludf.DUMMYFUNCTION("""COMPUTED_VALUE"""),1222.8)</f>
        <v>1222.8</v>
      </c>
      <c r="C119" s="372"/>
    </row>
    <row r="120">
      <c r="A120" s="362" t="str">
        <f>IFERROR(__xludf.DUMMYFUNCTION("""COMPUTED_VALUE"""),"Enchanted Blaze Powder")</f>
        <v>Enchanted Blaze Powder</v>
      </c>
      <c r="B120" s="363">
        <f>IFERROR(__xludf.DUMMYFUNCTION("""COMPUTED_VALUE"""),2592.397)</f>
        <v>2592.397</v>
      </c>
      <c r="C120" s="372"/>
    </row>
    <row r="121">
      <c r="A121" s="364" t="str">
        <f>IFERROR(__xludf.DUMMYFUNCTION("""COMPUTED_VALUE"""),"Enchanted Blaze Rod")</f>
        <v>Enchanted Blaze Rod</v>
      </c>
      <c r="B121" s="365">
        <f>IFERROR(__xludf.DUMMYFUNCTION("""COMPUTED_VALUE"""),473880.85)</f>
        <v>473880.85</v>
      </c>
      <c r="C121" s="372"/>
    </row>
    <row r="122">
      <c r="A122" s="362" t="str">
        <f>IFERROR(__xludf.DUMMYFUNCTION("""COMPUTED_VALUE"""),"Enchanted Block of Coal")</f>
        <v>Enchanted Block of Coal</v>
      </c>
      <c r="B122" s="363">
        <f>IFERROR(__xludf.DUMMYFUNCTION("""COMPUTED_VALUE"""),67355.024)</f>
        <v>67355.024</v>
      </c>
      <c r="C122" s="372"/>
    </row>
    <row r="123">
      <c r="A123" s="364" t="str">
        <f>IFERROR(__xludf.DUMMYFUNCTION("""COMPUTED_VALUE"""),"Enchanted Bone")</f>
        <v>Enchanted Bone</v>
      </c>
      <c r="B123" s="365">
        <f>IFERROR(__xludf.DUMMYFUNCTION("""COMPUTED_VALUE"""),937.708)</f>
        <v>937.708</v>
      </c>
      <c r="C123" s="372"/>
    </row>
    <row r="124">
      <c r="A124" s="362" t="str">
        <f>IFERROR(__xludf.DUMMYFUNCTION("""COMPUTED_VALUE"""),"Enchanted Bone Block")</f>
        <v>Enchanted Bone Block</v>
      </c>
      <c r="B124" s="363">
        <f>IFERROR(__xludf.DUMMYFUNCTION("""COMPUTED_VALUE"""),68803.551)</f>
        <v>68803.551</v>
      </c>
      <c r="C124" s="372"/>
    </row>
    <row r="125">
      <c r="A125" s="364" t="str">
        <f>IFERROR(__xludf.DUMMYFUNCTION("""COMPUTED_VALUE"""),"Enchanted Bone Meal")</f>
        <v>Enchanted Bone Meal</v>
      </c>
      <c r="B125" s="365">
        <f>IFERROR(__xludf.DUMMYFUNCTION("""COMPUTED_VALUE"""),251.712)</f>
        <v>251.712</v>
      </c>
      <c r="C125" s="372"/>
    </row>
    <row r="126">
      <c r="A126" s="362" t="str">
        <f>IFERROR(__xludf.DUMMYFUNCTION("""COMPUTED_VALUE"""),"Enchanted Bread")</f>
        <v>Enchanted Bread</v>
      </c>
      <c r="B126" s="363">
        <f>IFERROR(__xludf.DUMMYFUNCTION("""COMPUTED_VALUE"""),237.75)</f>
        <v>237.75</v>
      </c>
      <c r="C126" s="372"/>
    </row>
    <row r="127">
      <c r="A127" s="364" t="str">
        <f>IFERROR(__xludf.DUMMYFUNCTION("""COMPUTED_VALUE"""),"Enchanted Brown Mushroom")</f>
        <v>Enchanted Brown Mushroom</v>
      </c>
      <c r="B127" s="365">
        <f>IFERROR(__xludf.DUMMYFUNCTION("""COMPUTED_VALUE"""),1561.931)</f>
        <v>1561.931</v>
      </c>
      <c r="C127" s="372"/>
    </row>
    <row r="128">
      <c r="A128" s="362" t="str">
        <f>IFERROR(__xludf.DUMMYFUNCTION("""COMPUTED_VALUE"""),"Enchanted Brown Mushroom Block")</f>
        <v>Enchanted Brown Mushroom Block</v>
      </c>
      <c r="B128" s="363">
        <f>IFERROR(__xludf.DUMMYFUNCTION("""COMPUTED_VALUE"""),50721.7)</f>
        <v>50721.7</v>
      </c>
      <c r="C128" s="372"/>
    </row>
    <row r="129">
      <c r="A129" s="364" t="str">
        <f>IFERROR(__xludf.DUMMYFUNCTION("""COMPUTED_VALUE"""),"Enchanted Cactus")</f>
        <v>Enchanted Cactus</v>
      </c>
      <c r="B129" s="365">
        <f>IFERROR(__xludf.DUMMYFUNCTION("""COMPUTED_VALUE"""),183599.5)</f>
        <v>183599.5</v>
      </c>
      <c r="C129" s="372"/>
    </row>
    <row r="130">
      <c r="A130" s="362" t="str">
        <f>IFERROR(__xludf.DUMMYFUNCTION("""COMPUTED_VALUE"""),"Enchanted Cactus Green")</f>
        <v>Enchanted Cactus Green</v>
      </c>
      <c r="B130" s="363">
        <f>IFERROR(__xludf.DUMMYFUNCTION("""COMPUTED_VALUE"""),1063.2)</f>
        <v>1063.2</v>
      </c>
      <c r="C130" s="372"/>
    </row>
    <row r="131">
      <c r="A131" s="364" t="str">
        <f>IFERROR(__xludf.DUMMYFUNCTION("""COMPUTED_VALUE"""),"Enchanted Cake")</f>
        <v>Enchanted Cake</v>
      </c>
      <c r="B131" s="365">
        <f>IFERROR(__xludf.DUMMYFUNCTION("""COMPUTED_VALUE"""),126129.825)</f>
        <v>126129.825</v>
      </c>
      <c r="C131" s="372"/>
    </row>
    <row r="132">
      <c r="A132" s="362" t="str">
        <f>IFERROR(__xludf.DUMMYFUNCTION("""COMPUTED_VALUE"""),"Enchanted Carrot")</f>
        <v>Enchanted Carrot</v>
      </c>
      <c r="B132" s="363">
        <f>IFERROR(__xludf.DUMMYFUNCTION("""COMPUTED_VALUE"""),594.722)</f>
        <v>594.722</v>
      </c>
      <c r="C132" s="372"/>
    </row>
    <row r="133">
      <c r="A133" s="364" t="str">
        <f>IFERROR(__xludf.DUMMYFUNCTION("""COMPUTED_VALUE"""),"Enchanted Carrot on a Stick")</f>
        <v>Enchanted Carrot on a Stick</v>
      </c>
      <c r="B133" s="365">
        <f>IFERROR(__xludf.DUMMYFUNCTION("""COMPUTED_VALUE"""),100029.75)</f>
        <v>100029.75</v>
      </c>
      <c r="C133" s="372"/>
    </row>
    <row r="134">
      <c r="A134" s="362" t="str">
        <f>IFERROR(__xludf.DUMMYFUNCTION("""COMPUTED_VALUE"""),"Enchanted Carrot on a Stick")</f>
        <v>Enchanted Carrot on a Stick</v>
      </c>
      <c r="B134" s="363"/>
      <c r="C134" s="372"/>
    </row>
    <row r="135">
      <c r="A135" s="364" t="str">
        <f>IFERROR(__xludf.DUMMYFUNCTION("""COMPUTED_VALUE"""),"Enchanted Charcoal")</f>
        <v>Enchanted Charcoal</v>
      </c>
      <c r="B135" s="365">
        <f>IFERROR(__xludf.DUMMYFUNCTION("""COMPUTED_VALUE"""),1461.024)</f>
        <v>1461.024</v>
      </c>
      <c r="C135" s="372"/>
    </row>
    <row r="136">
      <c r="A136" s="362" t="str">
        <f>IFERROR(__xludf.DUMMYFUNCTION("""COMPUTED_VALUE"""),"Enchanted Clay")</f>
        <v>Enchanted Clay</v>
      </c>
      <c r="B136" s="363">
        <f>IFERROR(__xludf.DUMMYFUNCTION("""COMPUTED_VALUE"""),458.258)</f>
        <v>458.258</v>
      </c>
      <c r="C136" s="372"/>
    </row>
    <row r="137">
      <c r="A137" s="364" t="str">
        <f>IFERROR(__xludf.DUMMYFUNCTION("""COMPUTED_VALUE"""),"Enchanted Clownfish")</f>
        <v>Enchanted Clownfish</v>
      </c>
      <c r="B137" s="365">
        <f>IFERROR(__xludf.DUMMYFUNCTION("""COMPUTED_VALUE"""),3141.4)</f>
        <v>3141.4</v>
      </c>
      <c r="C137" s="372"/>
    </row>
    <row r="138">
      <c r="A138" s="362" t="str">
        <f>IFERROR(__xludf.DUMMYFUNCTION("""COMPUTED_VALUE"""),"Enchanted Coal")</f>
        <v>Enchanted Coal</v>
      </c>
      <c r="B138" s="363">
        <f>IFERROR(__xludf.DUMMYFUNCTION("""COMPUTED_VALUE"""),942.568)</f>
        <v>942.568</v>
      </c>
      <c r="C138" s="372"/>
    </row>
    <row r="139">
      <c r="A139" s="364" t="str">
        <f>IFERROR(__xludf.DUMMYFUNCTION("""COMPUTED_VALUE"""),"Enchanted Cobblestone")</f>
        <v>Enchanted Cobblestone</v>
      </c>
      <c r="B139" s="365">
        <f>IFERROR(__xludf.DUMMYFUNCTION("""COMPUTED_VALUE"""),800.155)</f>
        <v>800.155</v>
      </c>
      <c r="C139" s="372"/>
    </row>
    <row r="140">
      <c r="A140" s="362" t="str">
        <f>IFERROR(__xludf.DUMMYFUNCTION("""COMPUTED_VALUE"""),"Enchanted Cocoa Beans")</f>
        <v>Enchanted Cocoa Beans</v>
      </c>
      <c r="B140" s="363">
        <f>IFERROR(__xludf.DUMMYFUNCTION("""COMPUTED_VALUE"""),651.236)</f>
        <v>651.236</v>
      </c>
      <c r="C140" s="372"/>
    </row>
    <row r="141">
      <c r="A141" s="364" t="str">
        <f>IFERROR(__xludf.DUMMYFUNCTION("""COMPUTED_VALUE"""),"Enchanted Cooked Fish")</f>
        <v>Enchanted Cooked Fish</v>
      </c>
      <c r="B141" s="365">
        <f>IFERROR(__xludf.DUMMYFUNCTION("""COMPUTED_VALUE"""),148896.85)</f>
        <v>148896.85</v>
      </c>
      <c r="C141" s="372"/>
    </row>
    <row r="142">
      <c r="A142" s="362" t="str">
        <f>IFERROR(__xludf.DUMMYFUNCTION("""COMPUTED_VALUE"""),"Enchanted Cooked Mutton")</f>
        <v>Enchanted Cooked Mutton</v>
      </c>
      <c r="B142" s="363">
        <f>IFERROR(__xludf.DUMMYFUNCTION("""COMPUTED_VALUE"""),126566.588)</f>
        <v>126566.588</v>
      </c>
      <c r="C142" s="372"/>
    </row>
    <row r="143">
      <c r="A143" s="364" t="str">
        <f>IFERROR(__xludf.DUMMYFUNCTION("""COMPUTED_VALUE"""),"Enchanted Cooked Salmon")</f>
        <v>Enchanted Cooked Salmon</v>
      </c>
      <c r="B143" s="365">
        <f>IFERROR(__xludf.DUMMYFUNCTION("""COMPUTED_VALUE"""),254294.206)</f>
        <v>254294.206</v>
      </c>
      <c r="C143" s="372"/>
    </row>
    <row r="144">
      <c r="A144" s="362" t="str">
        <f>IFERROR(__xludf.DUMMYFUNCTION("""COMPUTED_VALUE"""),"Enchanted Cookie")</f>
        <v>Enchanted Cookie</v>
      </c>
      <c r="B144" s="363">
        <f>IFERROR(__xludf.DUMMYFUNCTION("""COMPUTED_VALUE"""),85676.206)</f>
        <v>85676.206</v>
      </c>
      <c r="C144" s="372"/>
    </row>
    <row r="145">
      <c r="A145" s="364" t="str">
        <f>IFERROR(__xludf.DUMMYFUNCTION("""COMPUTED_VALUE"""),"Enchanted Dandelion")</f>
        <v>Enchanted Dandelion</v>
      </c>
      <c r="B145" s="365">
        <f>IFERROR(__xludf.DUMMYFUNCTION("""COMPUTED_VALUE"""),34499.803)</f>
        <v>34499.803</v>
      </c>
      <c r="C145" s="372"/>
    </row>
    <row r="146">
      <c r="A146" s="362" t="str">
        <f>IFERROR(__xludf.DUMMYFUNCTION("""COMPUTED_VALUE"""),"Enchanted Dark Oak Wood")</f>
        <v>Enchanted Dark Oak Wood</v>
      </c>
      <c r="B146" s="363">
        <f>IFERROR(__xludf.DUMMYFUNCTION("""COMPUTED_VALUE"""),1422.601)</f>
        <v>1422.601</v>
      </c>
      <c r="C146" s="372"/>
    </row>
    <row r="147">
      <c r="A147" s="364" t="str">
        <f>IFERROR(__xludf.DUMMYFUNCTION("""COMPUTED_VALUE"""),"Enchanted Diamond")</f>
        <v>Enchanted Diamond</v>
      </c>
      <c r="B147" s="365">
        <f>IFERROR(__xludf.DUMMYFUNCTION("""COMPUTED_VALUE"""),1371.003)</f>
        <v>1371.003</v>
      </c>
      <c r="C147" s="372"/>
    </row>
    <row r="148">
      <c r="A148" s="362" t="str">
        <f>IFERROR(__xludf.DUMMYFUNCTION("""COMPUTED_VALUE"""),"Enchanted Diamond Block")</f>
        <v>Enchanted Diamond Block</v>
      </c>
      <c r="B148" s="363">
        <f>IFERROR(__xludf.DUMMYFUNCTION("""COMPUTED_VALUE"""),203331.308)</f>
        <v>203331.308</v>
      </c>
      <c r="C148" s="372"/>
    </row>
    <row r="149">
      <c r="A149" s="364" t="str">
        <f>IFERROR(__xludf.DUMMYFUNCTION("""COMPUTED_VALUE"""),"Enchanted Egg")</f>
        <v>Enchanted Egg</v>
      </c>
      <c r="B149" s="365">
        <f>IFERROR(__xludf.DUMMYFUNCTION("""COMPUTED_VALUE"""),3870.25)</f>
        <v>3870.25</v>
      </c>
      <c r="C149" s="372"/>
    </row>
    <row r="150">
      <c r="A150" s="362" t="str">
        <f>IFERROR(__xludf.DUMMYFUNCTION("""COMPUTED_VALUE"""),"Enchanted Emerald")</f>
        <v>Enchanted Emerald</v>
      </c>
      <c r="B150" s="363">
        <f>IFERROR(__xludf.DUMMYFUNCTION("""COMPUTED_VALUE"""),1121.516)</f>
        <v>1121.516</v>
      </c>
      <c r="C150" s="372"/>
    </row>
    <row r="151">
      <c r="A151" s="364" t="str">
        <f>IFERROR(__xludf.DUMMYFUNCTION("""COMPUTED_VALUE"""),"Enchanted Emerald Block")</f>
        <v>Enchanted Emerald Block</v>
      </c>
      <c r="B151" s="365">
        <f>IFERROR(__xludf.DUMMYFUNCTION("""COMPUTED_VALUE"""),152002.006)</f>
        <v>152002.006</v>
      </c>
      <c r="C151" s="372"/>
    </row>
    <row r="152">
      <c r="A152" s="362" t="str">
        <f>IFERROR(__xludf.DUMMYFUNCTION("""COMPUTED_VALUE"""),"Enchanted End Stone")</f>
        <v>Enchanted End Stone</v>
      </c>
      <c r="B152" s="363">
        <f>IFERROR(__xludf.DUMMYFUNCTION("""COMPUTED_VALUE"""),318.75)</f>
        <v>318.75</v>
      </c>
      <c r="C152" s="372"/>
    </row>
    <row r="153">
      <c r="A153" s="364" t="str">
        <f>IFERROR(__xludf.DUMMYFUNCTION("""COMPUTED_VALUE"""),"Enchanted Ender Pearl")</f>
        <v>Enchanted Ender Pearl</v>
      </c>
      <c r="B153" s="365">
        <f>IFERROR(__xludf.DUMMYFUNCTION("""COMPUTED_VALUE"""),144.41)</f>
        <v>144.41</v>
      </c>
      <c r="C153" s="372"/>
    </row>
    <row r="154">
      <c r="A154" s="362" t="str">
        <f>IFERROR(__xludf.DUMMYFUNCTION("""COMPUTED_VALUE"""),"Enchanted Eye of Ender")</f>
        <v>Enchanted Eye of Ender</v>
      </c>
      <c r="B154" s="363">
        <f>IFERROR(__xludf.DUMMYFUNCTION("""COMPUTED_VALUE"""),6328.85)</f>
        <v>6328.85</v>
      </c>
      <c r="C154" s="372"/>
    </row>
    <row r="155">
      <c r="A155" s="364" t="str">
        <f>IFERROR(__xludf.DUMMYFUNCTION("""COMPUTED_VALUE"""),"Enchanted Feather")</f>
        <v>Enchanted Feather</v>
      </c>
      <c r="B155" s="365">
        <f>IFERROR(__xludf.DUMMYFUNCTION("""COMPUTED_VALUE"""),446.6)</f>
        <v>446.6</v>
      </c>
      <c r="C155" s="372"/>
    </row>
    <row r="156">
      <c r="A156" s="362" t="str">
        <f>IFERROR(__xludf.DUMMYFUNCTION("""COMPUTED_VALUE"""),"Enchanted Fermented Spider Eye")</f>
        <v>Enchanted Fermented Spider Eye</v>
      </c>
      <c r="B156" s="363">
        <f>IFERROR(__xludf.DUMMYFUNCTION("""COMPUTED_VALUE"""),116710.4)</f>
        <v>116710.4</v>
      </c>
      <c r="C156" s="372"/>
    </row>
    <row r="157">
      <c r="A157" s="364" t="str">
        <f>IFERROR(__xludf.DUMMYFUNCTION("""COMPUTED_VALUE"""),"Enchanted Firework Rocket")</f>
        <v>Enchanted Firework Rocket</v>
      </c>
      <c r="B157" s="365">
        <f>IFERROR(__xludf.DUMMYFUNCTION("""COMPUTED_VALUE"""),215672.2)</f>
        <v>215672.2</v>
      </c>
      <c r="C157" s="372"/>
    </row>
    <row r="158">
      <c r="A158" s="362" t="str">
        <f>IFERROR(__xludf.DUMMYFUNCTION("""COMPUTED_VALUE"""),"Enchanted Flint")</f>
        <v>Enchanted Flint</v>
      </c>
      <c r="B158" s="363">
        <f>IFERROR(__xludf.DUMMYFUNCTION("""COMPUTED_VALUE"""),6611.4)</f>
        <v>6611.4</v>
      </c>
      <c r="C158" s="372"/>
    </row>
    <row r="159">
      <c r="A159" s="364" t="str">
        <f>IFERROR(__xludf.DUMMYFUNCTION("""COMPUTED_VALUE"""),"Enchanted Ghast Tear")</f>
        <v>Enchanted Ghast Tear</v>
      </c>
      <c r="B159" s="365">
        <f>IFERROR(__xludf.DUMMYFUNCTION("""COMPUTED_VALUE"""),589.724)</f>
        <v>589.724</v>
      </c>
      <c r="C159" s="372"/>
    </row>
    <row r="160">
      <c r="A160" s="362" t="str">
        <f>IFERROR(__xludf.DUMMYFUNCTION("""COMPUTED_VALUE"""),"Enchanted Glistering Melon")</f>
        <v>Enchanted Glistering Melon</v>
      </c>
      <c r="B160" s="363">
        <f>IFERROR(__xludf.DUMMYFUNCTION("""COMPUTED_VALUE"""),22424.749)</f>
        <v>22424.749</v>
      </c>
      <c r="C160" s="372"/>
    </row>
    <row r="161">
      <c r="A161" s="364" t="str">
        <f>IFERROR(__xludf.DUMMYFUNCTION("""COMPUTED_VALUE"""),"Enchanted Glowstone")</f>
        <v>Enchanted Glowstone</v>
      </c>
      <c r="B161" s="365">
        <f>IFERROR(__xludf.DUMMYFUNCTION("""COMPUTED_VALUE"""),50525.582)</f>
        <v>50525.582</v>
      </c>
      <c r="C161" s="372"/>
    </row>
    <row r="162">
      <c r="A162" s="362" t="str">
        <f>IFERROR(__xludf.DUMMYFUNCTION("""COMPUTED_VALUE"""),"Enchanted Glowstone Dust")</f>
        <v>Enchanted Glowstone Dust</v>
      </c>
      <c r="B162" s="363">
        <f>IFERROR(__xludf.DUMMYFUNCTION("""COMPUTED_VALUE"""),1894.621)</f>
        <v>1894.621</v>
      </c>
      <c r="C162" s="372"/>
    </row>
    <row r="163">
      <c r="A163" s="364" t="str">
        <f>IFERROR(__xludf.DUMMYFUNCTION("""COMPUTED_VALUE"""),"Enchanted Gold")</f>
        <v>Enchanted Gold</v>
      </c>
      <c r="B163" s="365">
        <f>IFERROR(__xludf.DUMMYFUNCTION("""COMPUTED_VALUE"""),636.55)</f>
        <v>636.55</v>
      </c>
      <c r="C163" s="372"/>
    </row>
    <row r="164">
      <c r="A164" s="362" t="str">
        <f>IFERROR(__xludf.DUMMYFUNCTION("""COMPUTED_VALUE"""),"Enchanted Gold Block")</f>
        <v>Enchanted Gold Block</v>
      </c>
      <c r="B164" s="363">
        <f>IFERROR(__xludf.DUMMYFUNCTION("""COMPUTED_VALUE"""),100915.172)</f>
        <v>100915.172</v>
      </c>
      <c r="C164" s="372"/>
    </row>
    <row r="165">
      <c r="A165" s="364" t="str">
        <f>IFERROR(__xludf.DUMMYFUNCTION("""COMPUTED_VALUE"""),"Enchanted Golden Carrot")</f>
        <v>Enchanted Golden Carrot</v>
      </c>
      <c r="B165" s="365">
        <f>IFERROR(__xludf.DUMMYFUNCTION("""COMPUTED_VALUE"""),79471.75)</f>
        <v>79471.75</v>
      </c>
      <c r="C165" s="372"/>
    </row>
    <row r="166">
      <c r="A166" s="362" t="str">
        <f>IFERROR(__xludf.DUMMYFUNCTION("""COMPUTED_VALUE"""),"Enchanted Grilled Pork")</f>
        <v>Enchanted Grilled Pork</v>
      </c>
      <c r="B166" s="363">
        <f>IFERROR(__xludf.DUMMYFUNCTION("""COMPUTED_VALUE"""),237304.25)</f>
        <v>237304.25</v>
      </c>
      <c r="C166" s="372"/>
    </row>
    <row r="167">
      <c r="A167" s="364" t="str">
        <f>IFERROR(__xludf.DUMMYFUNCTION("""COMPUTED_VALUE"""),"Enchanted Gunpowder")</f>
        <v>Enchanted Gunpowder</v>
      </c>
      <c r="B167" s="365">
        <f>IFERROR(__xludf.DUMMYFUNCTION("""COMPUTED_VALUE"""),4375.3)</f>
        <v>4375.3</v>
      </c>
      <c r="C167" s="372"/>
    </row>
    <row r="168">
      <c r="A168" s="362" t="str">
        <f>IFERROR(__xludf.DUMMYFUNCTION("""COMPUTED_VALUE"""),"Enchanted Hard Stone")</f>
        <v>Enchanted Hard Stone</v>
      </c>
      <c r="B168" s="363">
        <f>IFERROR(__xludf.DUMMYFUNCTION("""COMPUTED_VALUE"""),3242.32)</f>
        <v>3242.32</v>
      </c>
      <c r="C168" s="372"/>
    </row>
    <row r="169">
      <c r="A169" s="364" t="str">
        <f>IFERROR(__xludf.DUMMYFUNCTION("""COMPUTED_VALUE"""),"Enchanted Hay Bale")</f>
        <v>Enchanted Hay Bale</v>
      </c>
      <c r="B169" s="365">
        <f>IFERROR(__xludf.DUMMYFUNCTION("""COMPUTED_VALUE"""),7871.276)</f>
        <v>7871.276</v>
      </c>
      <c r="C169" s="372"/>
    </row>
    <row r="170">
      <c r="A170" s="362" t="str">
        <f>IFERROR(__xludf.DUMMYFUNCTION("""COMPUTED_VALUE"""),"Enchanted Hopper")</f>
        <v>Enchanted Hopper</v>
      </c>
      <c r="B170" s="363">
        <f>IFERROR(__xludf.DUMMYFUNCTION("""COMPUTED_VALUE"""),1308340.5)</f>
        <v>1308340.5</v>
      </c>
      <c r="C170" s="372"/>
    </row>
    <row r="171">
      <c r="A171" s="364" t="str">
        <f>IFERROR(__xludf.DUMMYFUNCTION("""COMPUTED_VALUE"""),"Enchanted Ice")</f>
        <v>Enchanted Ice</v>
      </c>
      <c r="B171" s="365">
        <f>IFERROR(__xludf.DUMMYFUNCTION("""COMPUTED_VALUE"""),705.315)</f>
        <v>705.315</v>
      </c>
      <c r="C171" s="372"/>
    </row>
    <row r="172">
      <c r="A172" s="362" t="str">
        <f>IFERROR(__xludf.DUMMYFUNCTION("""COMPUTED_VALUE"""),"Enchanted Ink Sac")</f>
        <v>Enchanted Ink Sac</v>
      </c>
      <c r="B172" s="363">
        <f>IFERROR(__xludf.DUMMYFUNCTION("""COMPUTED_VALUE"""),115759.1)</f>
        <v>115759.1</v>
      </c>
      <c r="C172" s="372"/>
    </row>
    <row r="173">
      <c r="A173" s="364" t="str">
        <f>IFERROR(__xludf.DUMMYFUNCTION("""COMPUTED_VALUE"""),"Enchanted Iron")</f>
        <v>Enchanted Iron</v>
      </c>
      <c r="B173" s="365">
        <f>IFERROR(__xludf.DUMMYFUNCTION("""COMPUTED_VALUE"""),1728.25)</f>
        <v>1728.25</v>
      </c>
      <c r="C173" s="372"/>
    </row>
    <row r="174">
      <c r="A174" s="362" t="str">
        <f>IFERROR(__xludf.DUMMYFUNCTION("""COMPUTED_VALUE"""),"Enchanted Iron Block")</f>
        <v>Enchanted Iron Block</v>
      </c>
      <c r="B174" s="363">
        <f>IFERROR(__xludf.DUMMYFUNCTION("""COMPUTED_VALUE"""),245844.451)</f>
        <v>245844.451</v>
      </c>
      <c r="C174" s="372"/>
    </row>
    <row r="175">
      <c r="A175" s="364" t="str">
        <f>IFERROR(__xludf.DUMMYFUNCTION("""COMPUTED_VALUE"""),"Enchanted Jungle Wood")</f>
        <v>Enchanted Jungle Wood</v>
      </c>
      <c r="B175" s="365">
        <f>IFERROR(__xludf.DUMMYFUNCTION("""COMPUTED_VALUE"""),2448.576)</f>
        <v>2448.576</v>
      </c>
      <c r="C175" s="372"/>
    </row>
    <row r="176">
      <c r="A176" s="362" t="str">
        <f>IFERROR(__xludf.DUMMYFUNCTION("""COMPUTED_VALUE"""),"Enchanted Lapis Block")</f>
        <v>Enchanted Lapis Block</v>
      </c>
      <c r="B176" s="363">
        <f>IFERROR(__xludf.DUMMYFUNCTION("""COMPUTED_VALUE"""),94318.454)</f>
        <v>94318.454</v>
      </c>
      <c r="C176" s="372"/>
    </row>
    <row r="177">
      <c r="A177" s="364" t="str">
        <f>IFERROR(__xludf.DUMMYFUNCTION("""COMPUTED_VALUE"""),"Enchanted Lapis Lazuli")</f>
        <v>Enchanted Lapis Lazuli</v>
      </c>
      <c r="B177" s="365">
        <f>IFERROR(__xludf.DUMMYFUNCTION("""COMPUTED_VALUE"""),883.063)</f>
        <v>883.063</v>
      </c>
      <c r="C177" s="372"/>
    </row>
    <row r="178">
      <c r="A178" s="362" t="str">
        <f>IFERROR(__xludf.DUMMYFUNCTION("""COMPUTED_VALUE"""),"Enchanted Lava Bucket")</f>
        <v>Enchanted Lava Bucket</v>
      </c>
      <c r="B178" s="363">
        <f>IFERROR(__xludf.DUMMYFUNCTION("""COMPUTED_VALUE"""),155383.015)</f>
        <v>155383.015</v>
      </c>
      <c r="C178" s="372"/>
    </row>
    <row r="179">
      <c r="A179" s="364" t="str">
        <f>IFERROR(__xludf.DUMMYFUNCTION("""COMPUTED_VALUE"""),"Enchanted Leather")</f>
        <v>Enchanted Leather</v>
      </c>
      <c r="B179" s="365">
        <f>IFERROR(__xludf.DUMMYFUNCTION("""COMPUTED_VALUE"""),8738.728)</f>
        <v>8738.728</v>
      </c>
      <c r="C179" s="372"/>
    </row>
    <row r="180">
      <c r="A180" s="362" t="str">
        <f>IFERROR(__xludf.DUMMYFUNCTION("""COMPUTED_VALUE"""),"Enchanted Lily Pad")</f>
        <v>Enchanted Lily Pad</v>
      </c>
      <c r="B180" s="363">
        <f>IFERROR(__xludf.DUMMYFUNCTION("""COMPUTED_VALUE"""),1689.1)</f>
        <v>1689.1</v>
      </c>
      <c r="C180" s="372"/>
    </row>
    <row r="181">
      <c r="A181" s="364" t="str">
        <f>IFERROR(__xludf.DUMMYFUNCTION("""COMPUTED_VALUE"""),"Enchanted Lush Berberis")</f>
        <v>Enchanted Lush Berberis</v>
      </c>
      <c r="B181" s="365">
        <f>IFERROR(__xludf.DUMMYFUNCTION("""COMPUTED_VALUE"""),29072.7)</f>
        <v>29072.7</v>
      </c>
      <c r="C181" s="372"/>
    </row>
    <row r="182">
      <c r="A182" s="362" t="str">
        <f>IFERROR(__xludf.DUMMYFUNCTION("""COMPUTED_VALUE"""),"Enchanted Magma Cream")</f>
        <v>Enchanted Magma Cream</v>
      </c>
      <c r="B182" s="363">
        <f>IFERROR(__xludf.DUMMYFUNCTION("""COMPUTED_VALUE"""),3998.651)</f>
        <v>3998.651</v>
      </c>
      <c r="C182" s="372"/>
    </row>
    <row r="183">
      <c r="A183" s="364" t="str">
        <f>IFERROR(__xludf.DUMMYFUNCTION("""COMPUTED_VALUE"""),"Enchanted Melon")</f>
        <v>Enchanted Melon</v>
      </c>
      <c r="B183" s="365">
        <f>IFERROR(__xludf.DUMMYFUNCTION("""COMPUTED_VALUE"""),347.441)</f>
        <v>347.441</v>
      </c>
      <c r="C183" s="372"/>
    </row>
    <row r="184">
      <c r="A184" s="362" t="str">
        <f>IFERROR(__xludf.DUMMYFUNCTION("""COMPUTED_VALUE"""),"Enchanted Melon Block")</f>
        <v>Enchanted Melon Block</v>
      </c>
      <c r="B184" s="363">
        <f>IFERROR(__xludf.DUMMYFUNCTION("""COMPUTED_VALUE"""),50717.093)</f>
        <v>50717.093</v>
      </c>
      <c r="C184" s="372"/>
    </row>
    <row r="185">
      <c r="A185" s="364" t="str">
        <f>IFERROR(__xludf.DUMMYFUNCTION("""COMPUTED_VALUE"""),"Enchanted Mithril")</f>
        <v>Enchanted Mithril</v>
      </c>
      <c r="B185" s="365">
        <f>IFERROR(__xludf.DUMMYFUNCTION("""COMPUTED_VALUE"""),1361.023)</f>
        <v>1361.023</v>
      </c>
      <c r="C185" s="372"/>
    </row>
    <row r="186">
      <c r="A186" s="362" t="str">
        <f>IFERROR(__xludf.DUMMYFUNCTION("""COMPUTED_VALUE"""),"Enchanted Mutton")</f>
        <v>Enchanted Mutton</v>
      </c>
      <c r="B186" s="363">
        <f>IFERROR(__xludf.DUMMYFUNCTION("""COMPUTED_VALUE"""),4508.323)</f>
        <v>4508.323</v>
      </c>
      <c r="C186" s="372"/>
    </row>
    <row r="187">
      <c r="A187" s="364" t="str">
        <f>IFERROR(__xludf.DUMMYFUNCTION("""COMPUTED_VALUE"""),"Enchanted Mycelium")</f>
        <v>Enchanted Mycelium</v>
      </c>
      <c r="B187" s="365">
        <f>IFERROR(__xludf.DUMMYFUNCTION("""COMPUTED_VALUE"""),7722.0)</f>
        <v>7722</v>
      </c>
      <c r="C187" s="372"/>
    </row>
    <row r="188">
      <c r="A188" s="362" t="str">
        <f>IFERROR(__xludf.DUMMYFUNCTION("""COMPUTED_VALUE"""),"Enchanted Mycelium Cube")</f>
        <v>Enchanted Mycelium Cube</v>
      </c>
      <c r="B188" s="363">
        <f>IFERROR(__xludf.DUMMYFUNCTION("""COMPUTED_VALUE"""),408125.536)</f>
        <v>408125.536</v>
      </c>
      <c r="C188" s="372"/>
    </row>
    <row r="189">
      <c r="A189" s="364" t="str">
        <f>IFERROR(__xludf.DUMMYFUNCTION("""COMPUTED_VALUE"""),"Enchanted Nether Wart")</f>
        <v>Enchanted Nether Wart</v>
      </c>
      <c r="B189" s="365">
        <f>IFERROR(__xludf.DUMMYFUNCTION("""COMPUTED_VALUE"""),633.7)</f>
        <v>633.7</v>
      </c>
      <c r="C189" s="372"/>
    </row>
    <row r="190">
      <c r="A190" s="362" t="str">
        <f>IFERROR(__xludf.DUMMYFUNCTION("""COMPUTED_VALUE"""),"Enchanted Netherrack")</f>
        <v>Enchanted Netherrack</v>
      </c>
      <c r="B190" s="363">
        <f>IFERROR(__xludf.DUMMYFUNCTION("""COMPUTED_VALUE"""),179.95)</f>
        <v>179.95</v>
      </c>
      <c r="C190" s="372"/>
    </row>
    <row r="191">
      <c r="A191" s="364" t="str">
        <f>IFERROR(__xludf.DUMMYFUNCTION("""COMPUTED_VALUE"""),"Enchanted Oak Wood")</f>
        <v>Enchanted Oak Wood</v>
      </c>
      <c r="B191" s="365">
        <f>IFERROR(__xludf.DUMMYFUNCTION("""COMPUTED_VALUE"""),1415.1)</f>
        <v>1415.1</v>
      </c>
      <c r="C191" s="372"/>
    </row>
    <row r="192">
      <c r="A192" s="362" t="str">
        <f>IFERROR(__xludf.DUMMYFUNCTION("""COMPUTED_VALUE"""),"Enchanted Obsidian")</f>
        <v>Enchanted Obsidian</v>
      </c>
      <c r="B192" s="363">
        <f>IFERROR(__xludf.DUMMYFUNCTION("""COMPUTED_VALUE"""),4399.9)</f>
        <v>4399.9</v>
      </c>
      <c r="C192" s="372"/>
    </row>
    <row r="193">
      <c r="A193" s="364" t="str">
        <f>IFERROR(__xludf.DUMMYFUNCTION("""COMPUTED_VALUE"""),"Enchanted Packed Ice")</f>
        <v>Enchanted Packed Ice</v>
      </c>
      <c r="B193" s="365">
        <f>IFERROR(__xludf.DUMMYFUNCTION("""COMPUTED_VALUE"""),95504.388)</f>
        <v>95504.388</v>
      </c>
      <c r="C193" s="372"/>
    </row>
    <row r="194">
      <c r="A194" s="362" t="str">
        <f>IFERROR(__xludf.DUMMYFUNCTION("""COMPUTED_VALUE"""),"Enchanted Paper")</f>
        <v>Enchanted Paper</v>
      </c>
      <c r="B194" s="363">
        <f>IFERROR(__xludf.DUMMYFUNCTION("""COMPUTED_VALUE"""),767.698)</f>
        <v>767.698</v>
      </c>
      <c r="C194" s="372"/>
    </row>
    <row r="195">
      <c r="A195" s="364" t="str">
        <f>IFERROR(__xludf.DUMMYFUNCTION("""COMPUTED_VALUE"""),"Enchanted Poisonous Potato")</f>
        <v>Enchanted Poisonous Potato</v>
      </c>
      <c r="B195" s="365">
        <f>IFERROR(__xludf.DUMMYFUNCTION("""COMPUTED_VALUE"""),1761.34)</f>
        <v>1761.34</v>
      </c>
      <c r="C195" s="372"/>
    </row>
    <row r="196">
      <c r="A196" s="362" t="str">
        <f>IFERROR(__xludf.DUMMYFUNCTION("""COMPUTED_VALUE"""),"Enchanted Poppy")</f>
        <v>Enchanted Poppy</v>
      </c>
      <c r="B196" s="363">
        <f>IFERROR(__xludf.DUMMYFUNCTION("""COMPUTED_VALUE"""),4580.117)</f>
        <v>4580.117</v>
      </c>
      <c r="C196" s="372"/>
    </row>
    <row r="197">
      <c r="A197" s="364" t="str">
        <f>IFERROR(__xludf.DUMMYFUNCTION("""COMPUTED_VALUE"""),"Enchanted Pork")</f>
        <v>Enchanted Pork</v>
      </c>
      <c r="B197" s="365">
        <f>IFERROR(__xludf.DUMMYFUNCTION("""COMPUTED_VALUE"""),6865.354)</f>
        <v>6865.354</v>
      </c>
      <c r="C197" s="372"/>
    </row>
    <row r="198">
      <c r="A198" s="362" t="str">
        <f>IFERROR(__xludf.DUMMYFUNCTION("""COMPUTED_VALUE"""),"Enchanted Potato")</f>
        <v>Enchanted Potato</v>
      </c>
      <c r="B198" s="363">
        <f>IFERROR(__xludf.DUMMYFUNCTION("""COMPUTED_VALUE"""),488.358)</f>
        <v>488.358</v>
      </c>
      <c r="C198" s="372"/>
    </row>
    <row r="199">
      <c r="A199" s="364" t="str">
        <f>IFERROR(__xludf.DUMMYFUNCTION("""COMPUTED_VALUE"""),"Enchanted Prismarine Crystals")</f>
        <v>Enchanted Prismarine Crystals</v>
      </c>
      <c r="B199" s="365">
        <f>IFERROR(__xludf.DUMMYFUNCTION("""COMPUTED_VALUE"""),362.117)</f>
        <v>362.117</v>
      </c>
      <c r="C199" s="372"/>
    </row>
    <row r="200">
      <c r="A200" s="362" t="str">
        <f>IFERROR(__xludf.DUMMYFUNCTION("""COMPUTED_VALUE"""),"Enchanted Prismarine Shard")</f>
        <v>Enchanted Prismarine Shard</v>
      </c>
      <c r="B200" s="363">
        <f>IFERROR(__xludf.DUMMYFUNCTION("""COMPUTED_VALUE"""),382.862)</f>
        <v>382.862</v>
      </c>
      <c r="C200" s="372"/>
    </row>
    <row r="201">
      <c r="A201" s="362" t="str">
        <f>IFERROR(__xludf.DUMMYFUNCTION("""COMPUTED_VALUE"""),"Enchanted Pufferfish")</f>
        <v>Enchanted Pufferfish</v>
      </c>
      <c r="B201" s="363">
        <f>IFERROR(__xludf.DUMMYFUNCTION("""COMPUTED_VALUE"""),2346.05)</f>
        <v>2346.05</v>
      </c>
      <c r="C201" s="372"/>
    </row>
    <row r="202">
      <c r="A202" s="362" t="str">
        <f>IFERROR(__xludf.DUMMYFUNCTION("""COMPUTED_VALUE"""),"Enchanted Pumpkin")</f>
        <v>Enchanted Pumpkin</v>
      </c>
      <c r="B202" s="363">
        <f>IFERROR(__xludf.DUMMYFUNCTION("""COMPUTED_VALUE"""),1593.182)</f>
        <v>1593.182</v>
      </c>
      <c r="C202" s="372"/>
    </row>
    <row r="203">
      <c r="A203" s="362" t="str">
        <f>IFERROR(__xludf.DUMMYFUNCTION("""COMPUTED_VALUE"""),"Enchanted Quartz")</f>
        <v>Enchanted Quartz</v>
      </c>
      <c r="B203" s="363">
        <f>IFERROR(__xludf.DUMMYFUNCTION("""COMPUTED_VALUE"""),3963.221)</f>
        <v>3963.221</v>
      </c>
      <c r="C203" s="372"/>
    </row>
    <row r="204">
      <c r="A204" s="362" t="str">
        <f>IFERROR(__xludf.DUMMYFUNCTION("""COMPUTED_VALUE"""),"Enchanted Quartz Block")</f>
        <v>Enchanted Quartz Block</v>
      </c>
      <c r="B204" s="363">
        <f>IFERROR(__xludf.DUMMYFUNCTION("""COMPUTED_VALUE"""),648215.05)</f>
        <v>648215.05</v>
      </c>
      <c r="C204" s="372"/>
    </row>
    <row r="205">
      <c r="A205" s="362" t="str">
        <f>IFERROR(__xludf.DUMMYFUNCTION("""COMPUTED_VALUE"""),"Enchanted Rabbit Foot")</f>
        <v>Enchanted Rabbit Foot</v>
      </c>
      <c r="B205" s="363">
        <f>IFERROR(__xludf.DUMMYFUNCTION("""COMPUTED_VALUE"""),946.041)</f>
        <v>946.041</v>
      </c>
      <c r="C205" s="372"/>
    </row>
    <row r="206">
      <c r="A206" s="362" t="str">
        <f>IFERROR(__xludf.DUMMYFUNCTION("""COMPUTED_VALUE"""),"Enchanted Rabbit Hide")</f>
        <v>Enchanted Rabbit Hide</v>
      </c>
      <c r="B206" s="363">
        <f>IFERROR(__xludf.DUMMYFUNCTION("""COMPUTED_VALUE"""),15637.644)</f>
        <v>15637.644</v>
      </c>
      <c r="C206" s="372"/>
    </row>
    <row r="207">
      <c r="A207" s="362" t="str">
        <f>IFERROR(__xludf.DUMMYFUNCTION("""COMPUTED_VALUE"""),"Enchanted Raw Beef")</f>
        <v>Enchanted Raw Beef</v>
      </c>
      <c r="B207" s="363">
        <f>IFERROR(__xludf.DUMMYFUNCTION("""COMPUTED_VALUE"""),611.75)</f>
        <v>611.75</v>
      </c>
      <c r="C207" s="372"/>
    </row>
    <row r="208">
      <c r="A208" s="362" t="str">
        <f>IFERROR(__xludf.DUMMYFUNCTION("""COMPUTED_VALUE"""),"Enchanted Raw Chicken")</f>
        <v>Enchanted Raw Chicken</v>
      </c>
      <c r="B208" s="363">
        <f>IFERROR(__xludf.DUMMYFUNCTION("""COMPUTED_VALUE"""),649.441)</f>
        <v>649.441</v>
      </c>
      <c r="C208" s="372"/>
    </row>
    <row r="209">
      <c r="A209" s="362" t="str">
        <f>IFERROR(__xludf.DUMMYFUNCTION("""COMPUTED_VALUE"""),"Enchanted Raw Fish")</f>
        <v>Enchanted Raw Fish</v>
      </c>
      <c r="B209" s="363">
        <f>IFERROR(__xludf.DUMMYFUNCTION("""COMPUTED_VALUE"""),1104.725)</f>
        <v>1104.725</v>
      </c>
      <c r="C209" s="372"/>
    </row>
    <row r="210">
      <c r="A210" s="362" t="str">
        <f>IFERROR(__xludf.DUMMYFUNCTION("""COMPUTED_VALUE"""),"Enchanted Raw Rabbit")</f>
        <v>Enchanted Raw Rabbit</v>
      </c>
      <c r="B210" s="363">
        <f>IFERROR(__xludf.DUMMYFUNCTION("""COMPUTED_VALUE"""),652.665)</f>
        <v>652.665</v>
      </c>
      <c r="C210" s="372"/>
    </row>
    <row r="211">
      <c r="A211" s="362" t="str">
        <f>IFERROR(__xludf.DUMMYFUNCTION("""COMPUTED_VALUE"""),"Enchanted Raw Salmon")</f>
        <v>Enchanted Raw Salmon</v>
      </c>
      <c r="B211" s="363">
        <f>IFERROR(__xludf.DUMMYFUNCTION("""COMPUTED_VALUE"""),1566.1)</f>
        <v>1566.1</v>
      </c>
      <c r="C211" s="372"/>
    </row>
    <row r="212">
      <c r="A212" s="362" t="str">
        <f>IFERROR(__xludf.DUMMYFUNCTION("""COMPUTED_VALUE"""),"Enchanted Red Mushroom")</f>
        <v>Enchanted Red Mushroom</v>
      </c>
      <c r="B212" s="363">
        <f>IFERROR(__xludf.DUMMYFUNCTION("""COMPUTED_VALUE"""),1580.086)</f>
        <v>1580.086</v>
      </c>
      <c r="C212" s="372"/>
    </row>
    <row r="213">
      <c r="A213" s="362" t="str">
        <f>IFERROR(__xludf.DUMMYFUNCTION("""COMPUTED_VALUE"""),"Enchanted Red Mushroom Block")</f>
        <v>Enchanted Red Mushroom Block</v>
      </c>
      <c r="B213" s="363">
        <f>IFERROR(__xludf.DUMMYFUNCTION("""COMPUTED_VALUE"""),50356.678)</f>
        <v>50356.678</v>
      </c>
      <c r="C213" s="372"/>
    </row>
    <row r="214">
      <c r="A214" s="362" t="str">
        <f>IFERROR(__xludf.DUMMYFUNCTION("""COMPUTED_VALUE"""),"Enchanted Red Sand")</f>
        <v>Enchanted Red Sand</v>
      </c>
      <c r="B214" s="363">
        <f>IFERROR(__xludf.DUMMYFUNCTION("""COMPUTED_VALUE"""),9416.547)</f>
        <v>9416.547</v>
      </c>
      <c r="C214" s="372"/>
    </row>
    <row r="215">
      <c r="A215" s="362" t="str">
        <f>IFERROR(__xludf.DUMMYFUNCTION("""COMPUTED_VALUE"""),"Enchanted Red Sand Cube")</f>
        <v>Enchanted Red Sand Cube</v>
      </c>
      <c r="B215" s="363">
        <f>IFERROR(__xludf.DUMMYFUNCTION("""COMPUTED_VALUE"""),694575.397)</f>
        <v>694575.397</v>
      </c>
      <c r="C215" s="372"/>
    </row>
    <row r="216">
      <c r="A216" s="362" t="str">
        <f>IFERROR(__xludf.DUMMYFUNCTION("""COMPUTED_VALUE"""),"Enchanted Redstone")</f>
        <v>Enchanted Redstone</v>
      </c>
      <c r="B216" s="363">
        <f>IFERROR(__xludf.DUMMYFUNCTION("""COMPUTED_VALUE"""),324.85)</f>
        <v>324.85</v>
      </c>
      <c r="C216" s="372"/>
    </row>
    <row r="217">
      <c r="A217" s="362" t="str">
        <f>IFERROR(__xludf.DUMMYFUNCTION("""COMPUTED_VALUE"""),"Enchanted Redstone Block")</f>
        <v>Enchanted Redstone Block</v>
      </c>
      <c r="B217" s="363">
        <f>IFERROR(__xludf.DUMMYFUNCTION("""COMPUTED_VALUE"""),25516.574)</f>
        <v>25516.574</v>
      </c>
      <c r="C217" s="372"/>
    </row>
    <row r="218">
      <c r="A218" s="362" t="str">
        <f>IFERROR(__xludf.DUMMYFUNCTION("""COMPUTED_VALUE"""),"Enchanted Redstone Lamp")</f>
        <v>Enchanted Redstone Lamp</v>
      </c>
      <c r="B218" s="363">
        <f>IFERROR(__xludf.DUMMYFUNCTION("""COMPUTED_VALUE"""),122648.45)</f>
        <v>122648.45</v>
      </c>
      <c r="C218" s="372"/>
    </row>
    <row r="219">
      <c r="A219" s="362" t="str">
        <f>IFERROR(__xludf.DUMMYFUNCTION("""COMPUTED_VALUE"""),"Enchanted Rotten Flesh")</f>
        <v>Enchanted Rotten Flesh</v>
      </c>
      <c r="B219" s="363">
        <f>IFERROR(__xludf.DUMMYFUNCTION("""COMPUTED_VALUE"""),899.972)</f>
        <v>899.972</v>
      </c>
      <c r="C219" s="372"/>
    </row>
    <row r="220">
      <c r="A220" s="362" t="str">
        <f>IFERROR(__xludf.DUMMYFUNCTION("""COMPUTED_VALUE"""),"Enchanted Sand")</f>
        <v>Enchanted Sand</v>
      </c>
      <c r="B220" s="363">
        <f>IFERROR(__xludf.DUMMYFUNCTION("""COMPUTED_VALUE"""),2834.618)</f>
        <v>2834.618</v>
      </c>
      <c r="C220" s="372"/>
    </row>
    <row r="221">
      <c r="A221" s="362" t="str">
        <f>IFERROR(__xludf.DUMMYFUNCTION("""COMPUTED_VALUE"""),"Enchanted Seeds")</f>
        <v>Enchanted Seeds</v>
      </c>
      <c r="B221" s="363">
        <f>IFERROR(__xludf.DUMMYFUNCTION("""COMPUTED_VALUE"""),480.887)</f>
        <v>480.887</v>
      </c>
      <c r="C221" s="372"/>
    </row>
    <row r="222">
      <c r="A222" s="362" t="str">
        <f>IFERROR(__xludf.DUMMYFUNCTION("""COMPUTED_VALUE"""),"Enchanted Shark Fin")</f>
        <v>Enchanted Shark Fin</v>
      </c>
      <c r="B222" s="363">
        <f>IFERROR(__xludf.DUMMYFUNCTION("""COMPUTED_VALUE"""),251814.95)</f>
        <v>251814.95</v>
      </c>
      <c r="C222" s="372"/>
    </row>
    <row r="223">
      <c r="A223" s="362" t="str">
        <f>IFERROR(__xludf.DUMMYFUNCTION("""COMPUTED_VALUE"""),"Enchanted Slime Block")</f>
        <v>Enchanted Slime Block</v>
      </c>
      <c r="B223" s="363">
        <f>IFERROR(__xludf.DUMMYFUNCTION("""COMPUTED_VALUE"""),126750.668)</f>
        <v>126750.668</v>
      </c>
      <c r="C223" s="372"/>
    </row>
    <row r="224">
      <c r="A224" s="362" t="str">
        <f>IFERROR(__xludf.DUMMYFUNCTION("""COMPUTED_VALUE"""),"Enchanted Slimeball")</f>
        <v>Enchanted Slimeball</v>
      </c>
      <c r="B224" s="363">
        <f>IFERROR(__xludf.DUMMYFUNCTION("""COMPUTED_VALUE"""),1948.285)</f>
        <v>1948.285</v>
      </c>
      <c r="C224" s="372"/>
    </row>
    <row r="225">
      <c r="A225" s="362" t="str">
        <f>IFERROR(__xludf.DUMMYFUNCTION("""COMPUTED_VALUE"""),"Enchanted Snow Block")</f>
        <v>Enchanted Snow Block</v>
      </c>
      <c r="B225" s="363">
        <f>IFERROR(__xludf.DUMMYFUNCTION("""COMPUTED_VALUE"""),585.296)</f>
        <v>585.296</v>
      </c>
      <c r="C225" s="372"/>
    </row>
    <row r="226">
      <c r="A226" s="362" t="str">
        <f>IFERROR(__xludf.DUMMYFUNCTION("""COMPUTED_VALUE"""),"Enchanted Spider Eye")</f>
        <v>Enchanted Spider Eye</v>
      </c>
      <c r="B226" s="363">
        <f>IFERROR(__xludf.DUMMYFUNCTION("""COMPUTED_VALUE"""),1589.15)</f>
        <v>1589.15</v>
      </c>
      <c r="C226" s="372"/>
    </row>
    <row r="227">
      <c r="A227" s="362" t="str">
        <f>IFERROR(__xludf.DUMMYFUNCTION("""COMPUTED_VALUE"""),"Enchanted Sponge")</f>
        <v>Enchanted Sponge</v>
      </c>
      <c r="B227" s="363">
        <f>IFERROR(__xludf.DUMMYFUNCTION("""COMPUTED_VALUE"""),2085.1)</f>
        <v>2085.1</v>
      </c>
      <c r="C227" s="372"/>
    </row>
    <row r="228">
      <c r="A228" s="362" t="str">
        <f>IFERROR(__xludf.DUMMYFUNCTION("""COMPUTED_VALUE"""),"Enchanted Spruce Wood")</f>
        <v>Enchanted Spruce Wood</v>
      </c>
      <c r="B228" s="363">
        <f>IFERROR(__xludf.DUMMYFUNCTION("""COMPUTED_VALUE"""),2077.718)</f>
        <v>2077.718</v>
      </c>
      <c r="C228" s="372"/>
    </row>
    <row r="229">
      <c r="A229" s="362" t="str">
        <f>IFERROR(__xludf.DUMMYFUNCTION("""COMPUTED_VALUE"""),"Enchanted String")</f>
        <v>Enchanted String</v>
      </c>
      <c r="B229" s="363">
        <f>IFERROR(__xludf.DUMMYFUNCTION("""COMPUTED_VALUE"""),2306.935)</f>
        <v>2306.935</v>
      </c>
      <c r="C229" s="372"/>
    </row>
    <row r="230">
      <c r="A230" s="362" t="str">
        <f>IFERROR(__xludf.DUMMYFUNCTION("""COMPUTED_VALUE"""),"Enchanted Sugar")</f>
        <v>Enchanted Sugar</v>
      </c>
      <c r="B230" s="363">
        <f>IFERROR(__xludf.DUMMYFUNCTION("""COMPUTED_VALUE"""),688.202)</f>
        <v>688.202</v>
      </c>
      <c r="C230" s="372"/>
    </row>
    <row r="231">
      <c r="A231" s="362" t="str">
        <f>IFERROR(__xludf.DUMMYFUNCTION("""COMPUTED_VALUE"""),"Enchanted Sugar Cane")</f>
        <v>Enchanted Sugar Cane</v>
      </c>
      <c r="B231" s="363">
        <f>IFERROR(__xludf.DUMMYFUNCTION("""COMPUTED_VALUE"""),109728.496)</f>
        <v>109728.496</v>
      </c>
      <c r="C231" s="372"/>
    </row>
    <row r="232">
      <c r="A232" s="362" t="str">
        <f>IFERROR(__xludf.DUMMYFUNCTION("""COMPUTED_VALUE"""),"Enchanted Sulphur")</f>
        <v>Enchanted Sulphur</v>
      </c>
      <c r="B232" s="363">
        <f>IFERROR(__xludf.DUMMYFUNCTION("""COMPUTED_VALUE"""),1575.0)</f>
        <v>1575</v>
      </c>
      <c r="C232" s="372"/>
    </row>
    <row r="233">
      <c r="A233" s="362" t="str">
        <f>IFERROR(__xludf.DUMMYFUNCTION("""COMPUTED_VALUE"""),"Enchanted Sulphur Cube")</f>
        <v>Enchanted Sulphur Cube</v>
      </c>
      <c r="B233" s="363">
        <f>IFERROR(__xludf.DUMMYFUNCTION("""COMPUTED_VALUE"""),253501.65)</f>
        <v>253501.65</v>
      </c>
      <c r="C233" s="372"/>
    </row>
    <row r="234">
      <c r="A234" s="362" t="str">
        <f>IFERROR(__xludf.DUMMYFUNCTION("""COMPUTED_VALUE"""),"Enchanted Titanium")</f>
        <v>Enchanted Titanium</v>
      </c>
      <c r="B234" s="363">
        <f>IFERROR(__xludf.DUMMYFUNCTION("""COMPUTED_VALUE"""),26178.3)</f>
        <v>26178.3</v>
      </c>
      <c r="C234" s="372"/>
    </row>
    <row r="235">
      <c r="A235" s="362" t="str">
        <f>IFERROR(__xludf.DUMMYFUNCTION("""COMPUTED_VALUE"""),"Enchanted Wet Sponge")</f>
        <v>Enchanted Wet Sponge</v>
      </c>
      <c r="B235" s="363">
        <f>IFERROR(__xludf.DUMMYFUNCTION("""COMPUTED_VALUE"""),79352.25)</f>
        <v>79352.25</v>
      </c>
      <c r="C235" s="372"/>
    </row>
    <row r="236">
      <c r="A236" s="362" t="str">
        <f>IFERROR(__xludf.DUMMYFUNCTION("""COMPUTED_VALUE"""),"Enchanted Wool")</f>
        <v>Enchanted Wool</v>
      </c>
      <c r="B236" s="363">
        <f>IFERROR(__xludf.DUMMYFUNCTION("""COMPUTED_VALUE"""),290.761)</f>
        <v>290.761</v>
      </c>
      <c r="C236" s="372"/>
    </row>
    <row r="237">
      <c r="A237" s="362" t="str">
        <f>IFERROR(__xludf.DUMMYFUNCTION("""COMPUTED_VALUE"""),"Enchantment Aiming 1")</f>
        <v>Enchantment Aiming 1</v>
      </c>
      <c r="B237" s="363"/>
      <c r="C237" s="372"/>
    </row>
    <row r="238">
      <c r="A238" s="362" t="str">
        <f>IFERROR(__xludf.DUMMYFUNCTION("""COMPUTED_VALUE"""),"Enchantment Aiming 2")</f>
        <v>Enchantment Aiming 2</v>
      </c>
      <c r="B238" s="363"/>
      <c r="C238" s="372"/>
    </row>
    <row r="239">
      <c r="A239" s="362" t="str">
        <f>IFERROR(__xludf.DUMMYFUNCTION("""COMPUTED_VALUE"""),"Enchantment Aiming 3")</f>
        <v>Enchantment Aiming 3</v>
      </c>
      <c r="B239" s="363"/>
      <c r="C239" s="372"/>
    </row>
    <row r="240">
      <c r="A240" s="362" t="str">
        <f>IFERROR(__xludf.DUMMYFUNCTION("""COMPUTED_VALUE"""),"Enchantment Aiming 4")</f>
        <v>Enchantment Aiming 4</v>
      </c>
      <c r="B240" s="363"/>
      <c r="C240" s="372"/>
    </row>
    <row r="241">
      <c r="A241" s="362" t="str">
        <f>IFERROR(__xludf.DUMMYFUNCTION("""COMPUTED_VALUE"""),"Enchantment Aiming 5")</f>
        <v>Enchantment Aiming 5</v>
      </c>
      <c r="B241" s="363"/>
      <c r="C241" s="372"/>
    </row>
    <row r="242">
      <c r="A242" s="362" t="str">
        <f>IFERROR(__xludf.DUMMYFUNCTION("""COMPUTED_VALUE"""),"Enchantment Angler 1")</f>
        <v>Enchantment Angler 1</v>
      </c>
      <c r="B242" s="363"/>
      <c r="C242" s="372"/>
    </row>
    <row r="243">
      <c r="A243" s="362" t="str">
        <f>IFERROR(__xludf.DUMMYFUNCTION("""COMPUTED_VALUE"""),"Enchantment Angler 2")</f>
        <v>Enchantment Angler 2</v>
      </c>
      <c r="B243" s="363"/>
      <c r="C243" s="372"/>
    </row>
    <row r="244">
      <c r="A244" s="362" t="str">
        <f>IFERROR(__xludf.DUMMYFUNCTION("""COMPUTED_VALUE"""),"Enchantment Angler 3")</f>
        <v>Enchantment Angler 3</v>
      </c>
      <c r="B244" s="363"/>
      <c r="C244" s="372"/>
    </row>
    <row r="245">
      <c r="A245" s="362" t="str">
        <f>IFERROR(__xludf.DUMMYFUNCTION("""COMPUTED_VALUE"""),"Enchantment Angler 4")</f>
        <v>Enchantment Angler 4</v>
      </c>
      <c r="B245" s="363"/>
      <c r="C245" s="372"/>
    </row>
    <row r="246">
      <c r="A246" s="362" t="str">
        <f>IFERROR(__xludf.DUMMYFUNCTION("""COMPUTED_VALUE"""),"Enchantment Angler 5")</f>
        <v>Enchantment Angler 5</v>
      </c>
      <c r="B246" s="363"/>
      <c r="C246" s="372"/>
    </row>
    <row r="247">
      <c r="A247" s="362" t="str">
        <f>IFERROR(__xludf.DUMMYFUNCTION("""COMPUTED_VALUE"""),"Enchantment Angler 6")</f>
        <v>Enchantment Angler 6</v>
      </c>
      <c r="B247" s="363">
        <f>IFERROR(__xludf.DUMMYFUNCTION("""COMPUTED_VALUE"""),294.65)</f>
        <v>294.65</v>
      </c>
      <c r="C247" s="372"/>
    </row>
    <row r="248">
      <c r="A248" s="362" t="str">
        <f>IFERROR(__xludf.DUMMYFUNCTION("""COMPUTED_VALUE"""),"Enchantment Aqua Affinity 1")</f>
        <v>Enchantment Aqua Affinity 1</v>
      </c>
      <c r="B248" s="363"/>
      <c r="C248" s="372"/>
    </row>
    <row r="249">
      <c r="A249" s="362" t="str">
        <f>IFERROR(__xludf.DUMMYFUNCTION("""COMPUTED_VALUE"""),"Enchantment Bane Of Arthropods 1")</f>
        <v>Enchantment Bane Of Arthropods 1</v>
      </c>
      <c r="B249" s="363"/>
      <c r="C249" s="372"/>
    </row>
    <row r="250">
      <c r="A250" s="362" t="str">
        <f>IFERROR(__xludf.DUMMYFUNCTION("""COMPUTED_VALUE"""),"Enchantment Bane Of Arthropods 2")</f>
        <v>Enchantment Bane Of Arthropods 2</v>
      </c>
      <c r="B250" s="363"/>
      <c r="C250" s="372"/>
    </row>
    <row r="251">
      <c r="A251" s="362" t="str">
        <f>IFERROR(__xludf.DUMMYFUNCTION("""COMPUTED_VALUE"""),"Enchantment Bane Of Arthropods 3")</f>
        <v>Enchantment Bane Of Arthropods 3</v>
      </c>
      <c r="B251" s="373"/>
      <c r="C251" s="372"/>
    </row>
    <row r="252">
      <c r="A252" s="362" t="str">
        <f>IFERROR(__xludf.DUMMYFUNCTION("""COMPUTED_VALUE"""),"Enchantment Bane Of Arthropods 4")</f>
        <v>Enchantment Bane Of Arthropods 4</v>
      </c>
      <c r="B252" s="373"/>
      <c r="C252" s="372"/>
    </row>
    <row r="253">
      <c r="A253" s="362" t="str">
        <f>IFERROR(__xludf.DUMMYFUNCTION("""COMPUTED_VALUE"""),"Enchantment Bane Of Arthropods 5")</f>
        <v>Enchantment Bane Of Arthropods 5</v>
      </c>
      <c r="B253" s="373"/>
      <c r="C253" s="372"/>
    </row>
    <row r="254">
      <c r="A254" s="362" t="str">
        <f>IFERROR(__xludf.DUMMYFUNCTION("""COMPUTED_VALUE"""),"Enchantment Bane Of Arthropods 6")</f>
        <v>Enchantment Bane Of Arthropods 6</v>
      </c>
      <c r="B254" s="373">
        <f>IFERROR(__xludf.DUMMYFUNCTION("""COMPUTED_VALUE"""),2.55)</f>
        <v>2.55</v>
      </c>
      <c r="C254" s="372"/>
    </row>
    <row r="255">
      <c r="A255" s="362" t="str">
        <f>IFERROR(__xludf.DUMMYFUNCTION("""COMPUTED_VALUE"""),"Enchantment Bane Of Arthropods 7")</f>
        <v>Enchantment Bane Of Arthropods 7</v>
      </c>
      <c r="B255" s="373">
        <f>IFERROR(__xludf.DUMMYFUNCTION("""COMPUTED_VALUE"""),3068692.1)</f>
        <v>3068692.1</v>
      </c>
      <c r="C255" s="372"/>
    </row>
    <row r="256">
      <c r="A256" s="362" t="str">
        <f>IFERROR(__xludf.DUMMYFUNCTION("""COMPUTED_VALUE"""),"Enchantment Big Brain 3")</f>
        <v>Enchantment Big Brain 3</v>
      </c>
      <c r="B256" s="373">
        <f>IFERROR(__xludf.DUMMYFUNCTION("""COMPUTED_VALUE"""),4.7444999117E7)</f>
        <v>47444999.12</v>
      </c>
      <c r="C256" s="372"/>
    </row>
    <row r="257">
      <c r="A257" s="362" t="str">
        <f>IFERROR(__xludf.DUMMYFUNCTION("""COMPUTED_VALUE"""),"Enchantment Big Brain 4")</f>
        <v>Enchantment Big Brain 4</v>
      </c>
      <c r="B257" s="373">
        <f>IFERROR(__xludf.DUMMYFUNCTION("""COMPUTED_VALUE"""),1929376.35)</f>
        <v>1929376.35</v>
      </c>
      <c r="C257" s="372"/>
    </row>
    <row r="258">
      <c r="A258" s="362" t="str">
        <f>IFERROR(__xludf.DUMMYFUNCTION("""COMPUTED_VALUE"""),"Enchantment Big Brain 5")</f>
        <v>Enchantment Big Brain 5</v>
      </c>
      <c r="B258" s="373">
        <f>IFERROR(__xludf.DUMMYFUNCTION("""COMPUTED_VALUE"""),3.12437502E8)</f>
        <v>312437502</v>
      </c>
      <c r="C258" s="372"/>
    </row>
    <row r="259">
      <c r="A259" s="362" t="str">
        <f>IFERROR(__xludf.DUMMYFUNCTION("""COMPUTED_VALUE"""),"Enchantment Blast Protection 1")</f>
        <v>Enchantment Blast Protection 1</v>
      </c>
      <c r="B259" s="373"/>
      <c r="C259" s="372"/>
    </row>
    <row r="260">
      <c r="A260" s="362" t="str">
        <f>IFERROR(__xludf.DUMMYFUNCTION("""COMPUTED_VALUE"""),"Enchantment Blast Protection 2")</f>
        <v>Enchantment Blast Protection 2</v>
      </c>
      <c r="B260" s="373"/>
      <c r="C260" s="372"/>
    </row>
    <row r="261">
      <c r="A261" s="362" t="str">
        <f>IFERROR(__xludf.DUMMYFUNCTION("""COMPUTED_VALUE"""),"Enchantment Blast Protection 3")</f>
        <v>Enchantment Blast Protection 3</v>
      </c>
      <c r="B261" s="373"/>
      <c r="C261" s="372"/>
    </row>
    <row r="262">
      <c r="A262" s="362" t="str">
        <f>IFERROR(__xludf.DUMMYFUNCTION("""COMPUTED_VALUE"""),"Enchantment Blast Protection 4")</f>
        <v>Enchantment Blast Protection 4</v>
      </c>
      <c r="B262" s="373"/>
      <c r="C262" s="372"/>
    </row>
    <row r="263">
      <c r="A263" s="362" t="str">
        <f>IFERROR(__xludf.DUMMYFUNCTION("""COMPUTED_VALUE"""),"Enchantment Blast Protection 5")</f>
        <v>Enchantment Blast Protection 5</v>
      </c>
      <c r="B263" s="373"/>
      <c r="C263" s="372"/>
    </row>
    <row r="264">
      <c r="A264" s="362" t="str">
        <f>IFERROR(__xludf.DUMMYFUNCTION("""COMPUTED_VALUE"""),"Enchantment Blast Protection 6")</f>
        <v>Enchantment Blast Protection 6</v>
      </c>
      <c r="B264" s="373">
        <f>IFERROR(__xludf.DUMMYFUNCTION("""COMPUTED_VALUE"""),25924.629)</f>
        <v>25924.629</v>
      </c>
      <c r="C264" s="372"/>
    </row>
    <row r="265">
      <c r="A265" s="362" t="str">
        <f>IFERROR(__xludf.DUMMYFUNCTION("""COMPUTED_VALUE"""),"Enchantment Blast Protection 7")</f>
        <v>Enchantment Blast Protection 7</v>
      </c>
      <c r="B265" s="373">
        <f>IFERROR(__xludf.DUMMYFUNCTION("""COMPUTED_VALUE"""),6849999.5)</f>
        <v>6849999.5</v>
      </c>
      <c r="C265" s="372"/>
    </row>
    <row r="266">
      <c r="A266" s="362" t="str">
        <f>IFERROR(__xludf.DUMMYFUNCTION("""COMPUTED_VALUE"""),"Enchantment Blessing 1")</f>
        <v>Enchantment Blessing 1</v>
      </c>
      <c r="B266" s="373"/>
      <c r="C266" s="372"/>
    </row>
    <row r="267">
      <c r="A267" s="362" t="str">
        <f>IFERROR(__xludf.DUMMYFUNCTION("""COMPUTED_VALUE"""),"Enchantment Blessing 2")</f>
        <v>Enchantment Blessing 2</v>
      </c>
      <c r="B267" s="373"/>
      <c r="C267" s="372"/>
    </row>
    <row r="268">
      <c r="A268" s="362" t="str">
        <f>IFERROR(__xludf.DUMMYFUNCTION("""COMPUTED_VALUE"""),"Enchantment Blessing 3")</f>
        <v>Enchantment Blessing 3</v>
      </c>
      <c r="B268" s="373"/>
      <c r="C268" s="372"/>
    </row>
    <row r="269">
      <c r="A269" s="362" t="str">
        <f>IFERROR(__xludf.DUMMYFUNCTION("""COMPUTED_VALUE"""),"Enchantment Blessing 4")</f>
        <v>Enchantment Blessing 4</v>
      </c>
      <c r="B269" s="373"/>
      <c r="C269" s="372"/>
    </row>
    <row r="270">
      <c r="A270" s="362" t="str">
        <f>IFERROR(__xludf.DUMMYFUNCTION("""COMPUTED_VALUE"""),"Enchantment Blessing 5")</f>
        <v>Enchantment Blessing 5</v>
      </c>
      <c r="B270" s="373"/>
      <c r="C270" s="372"/>
    </row>
    <row r="271">
      <c r="A271" s="362" t="str">
        <f>IFERROR(__xludf.DUMMYFUNCTION("""COMPUTED_VALUE"""),"Enchantment Blessing 6")</f>
        <v>Enchantment Blessing 6</v>
      </c>
      <c r="B271" s="373">
        <f>IFERROR(__xludf.DUMMYFUNCTION("""COMPUTED_VALUE"""),2240330.5)</f>
        <v>2240330.5</v>
      </c>
      <c r="C271" s="372"/>
    </row>
    <row r="272">
      <c r="A272" s="362" t="str">
        <f>IFERROR(__xludf.DUMMYFUNCTION("""COMPUTED_VALUE"""),"Enchantment Caster 1")</f>
        <v>Enchantment Caster 1</v>
      </c>
      <c r="B272" s="373"/>
      <c r="C272" s="372"/>
    </row>
    <row r="273">
      <c r="A273" s="362" t="str">
        <f>IFERROR(__xludf.DUMMYFUNCTION("""COMPUTED_VALUE"""),"Enchantment Caster 2")</f>
        <v>Enchantment Caster 2</v>
      </c>
      <c r="B273" s="373"/>
      <c r="C273" s="372"/>
    </row>
    <row r="274">
      <c r="A274" s="362" t="str">
        <f>IFERROR(__xludf.DUMMYFUNCTION("""COMPUTED_VALUE"""),"Enchantment Caster 3")</f>
        <v>Enchantment Caster 3</v>
      </c>
      <c r="B274" s="373"/>
      <c r="C274" s="372"/>
    </row>
    <row r="275">
      <c r="A275" s="362" t="str">
        <f>IFERROR(__xludf.DUMMYFUNCTION("""COMPUTED_VALUE"""),"Enchantment Caster 4")</f>
        <v>Enchantment Caster 4</v>
      </c>
      <c r="B275" s="373"/>
      <c r="C275" s="372"/>
    </row>
    <row r="276">
      <c r="A276" s="362" t="str">
        <f>IFERROR(__xludf.DUMMYFUNCTION("""COMPUTED_VALUE"""),"Enchantment Caster 5")</f>
        <v>Enchantment Caster 5</v>
      </c>
      <c r="B276" s="373"/>
      <c r="C276" s="372"/>
    </row>
    <row r="277">
      <c r="A277" s="362" t="str">
        <f>IFERROR(__xludf.DUMMYFUNCTION("""COMPUTED_VALUE"""),"Enchantment Caster 6")</f>
        <v>Enchantment Caster 6</v>
      </c>
      <c r="B277" s="373">
        <f>IFERROR(__xludf.DUMMYFUNCTION("""COMPUTED_VALUE"""),147277.45)</f>
        <v>147277.45</v>
      </c>
      <c r="C277" s="372"/>
    </row>
    <row r="278">
      <c r="A278" s="362" t="str">
        <f>IFERROR(__xludf.DUMMYFUNCTION("""COMPUTED_VALUE"""),"Enchantment Cayenne 1")</f>
        <v>Enchantment Cayenne 1</v>
      </c>
      <c r="B278" s="373"/>
      <c r="C278" s="372"/>
    </row>
    <row r="279">
      <c r="A279" s="362" t="str">
        <f>IFERROR(__xludf.DUMMYFUNCTION("""COMPUTED_VALUE"""),"Enchantment Cayenne 2")</f>
        <v>Enchantment Cayenne 2</v>
      </c>
      <c r="B279" s="373"/>
      <c r="C279" s="372"/>
    </row>
    <row r="280">
      <c r="A280" s="362" t="str">
        <f>IFERROR(__xludf.DUMMYFUNCTION("""COMPUTED_VALUE"""),"Enchantment Cayenne 3")</f>
        <v>Enchantment Cayenne 3</v>
      </c>
      <c r="B280" s="373"/>
      <c r="C280" s="372"/>
    </row>
    <row r="281">
      <c r="A281" s="362" t="str">
        <f>IFERROR(__xludf.DUMMYFUNCTION("""COMPUTED_VALUE"""),"Enchantment Cayenne 4")</f>
        <v>Enchantment Cayenne 4</v>
      </c>
      <c r="B281" s="373">
        <f>IFERROR(__xludf.DUMMYFUNCTION("""COMPUTED_VALUE"""),7743750.35)</f>
        <v>7743750.35</v>
      </c>
      <c r="C281" s="372"/>
    </row>
    <row r="282">
      <c r="A282" s="362" t="str">
        <f>IFERROR(__xludf.DUMMYFUNCTION("""COMPUTED_VALUE"""),"Enchantment Cayenne 5")</f>
        <v>Enchantment Cayenne 5</v>
      </c>
      <c r="B282" s="373">
        <f>IFERROR(__xludf.DUMMYFUNCTION("""COMPUTED_VALUE"""),1.42703591E7)</f>
        <v>14270359.1</v>
      </c>
      <c r="C282" s="372"/>
    </row>
    <row r="283">
      <c r="A283" s="362" t="str">
        <f>IFERROR(__xludf.DUMMYFUNCTION("""COMPUTED_VALUE"""),"Enchantment Champion 1")</f>
        <v>Enchantment Champion 1</v>
      </c>
      <c r="B283" s="373">
        <f>IFERROR(__xludf.DUMMYFUNCTION("""COMPUTED_VALUE"""),4828530.4)</f>
        <v>4828530.4</v>
      </c>
      <c r="C283" s="372"/>
    </row>
    <row r="284">
      <c r="A284" s="362" t="str">
        <f>IFERROR(__xludf.DUMMYFUNCTION("""COMPUTED_VALUE"""),"Enchantment Champion 10")</f>
        <v>Enchantment Champion 10</v>
      </c>
      <c r="B284" s="373"/>
      <c r="C284" s="372"/>
    </row>
    <row r="285">
      <c r="A285" s="362" t="str">
        <f>IFERROR(__xludf.DUMMYFUNCTION("""COMPUTED_VALUE"""),"Enchantment Champion 2")</f>
        <v>Enchantment Champion 2</v>
      </c>
      <c r="B285" s="373"/>
      <c r="C285" s="372"/>
    </row>
    <row r="286">
      <c r="A286" s="362" t="str">
        <f>IFERROR(__xludf.DUMMYFUNCTION("""COMPUTED_VALUE"""),"Enchantment Champion 3")</f>
        <v>Enchantment Champion 3</v>
      </c>
      <c r="B286" s="373"/>
      <c r="C286" s="372"/>
    </row>
    <row r="287">
      <c r="A287" s="362" t="str">
        <f>IFERROR(__xludf.DUMMYFUNCTION("""COMPUTED_VALUE"""),"Enchantment Champion 4")</f>
        <v>Enchantment Champion 4</v>
      </c>
      <c r="B287" s="373"/>
      <c r="C287" s="372"/>
    </row>
    <row r="288">
      <c r="A288" s="362" t="str">
        <f>IFERROR(__xludf.DUMMYFUNCTION("""COMPUTED_VALUE"""),"Enchantment Champion 5")</f>
        <v>Enchantment Champion 5</v>
      </c>
      <c r="B288" s="373"/>
      <c r="C288" s="372"/>
    </row>
    <row r="289">
      <c r="A289" s="362" t="str">
        <f>IFERROR(__xludf.DUMMYFUNCTION("""COMPUTED_VALUE"""),"Enchantment Champion 6")</f>
        <v>Enchantment Champion 6</v>
      </c>
      <c r="B289" s="373"/>
      <c r="C289" s="372"/>
    </row>
    <row r="290">
      <c r="A290" s="362" t="str">
        <f>IFERROR(__xludf.DUMMYFUNCTION("""COMPUTED_VALUE"""),"Enchantment Champion 7")</f>
        <v>Enchantment Champion 7</v>
      </c>
      <c r="B290" s="373"/>
      <c r="C290" s="372"/>
    </row>
    <row r="291">
      <c r="A291" s="362" t="str">
        <f>IFERROR(__xludf.DUMMYFUNCTION("""COMPUTED_VALUE"""),"Enchantment Champion 8")</f>
        <v>Enchantment Champion 8</v>
      </c>
      <c r="B291" s="373"/>
      <c r="C291" s="372"/>
    </row>
    <row r="292">
      <c r="A292" s="362" t="str">
        <f>IFERROR(__xludf.DUMMYFUNCTION("""COMPUTED_VALUE"""),"Enchantment Champion 9")</f>
        <v>Enchantment Champion 9</v>
      </c>
      <c r="B292" s="373"/>
      <c r="C292" s="372"/>
    </row>
    <row r="293">
      <c r="A293" s="362" t="str">
        <f>IFERROR(__xludf.DUMMYFUNCTION("""COMPUTED_VALUE"""),"Enchantment Chance 1")</f>
        <v>Enchantment Chance 1</v>
      </c>
      <c r="B293" s="373"/>
      <c r="C293" s="372"/>
    </row>
    <row r="294">
      <c r="A294" s="362" t="str">
        <f>IFERROR(__xludf.DUMMYFUNCTION("""COMPUTED_VALUE"""),"Enchantment Chance 2")</f>
        <v>Enchantment Chance 2</v>
      </c>
      <c r="B294" s="373"/>
      <c r="C294" s="372"/>
    </row>
    <row r="295">
      <c r="A295" s="362" t="str">
        <f>IFERROR(__xludf.DUMMYFUNCTION("""COMPUTED_VALUE"""),"Enchantment Chance 3")</f>
        <v>Enchantment Chance 3</v>
      </c>
      <c r="B295" s="373"/>
      <c r="C295" s="372"/>
    </row>
    <row r="296">
      <c r="A296" s="362" t="str">
        <f>IFERROR(__xludf.DUMMYFUNCTION("""COMPUTED_VALUE"""),"Enchantment Chance 4")</f>
        <v>Enchantment Chance 4</v>
      </c>
      <c r="B296" s="373">
        <f>IFERROR(__xludf.DUMMYFUNCTION("""COMPUTED_VALUE"""),4738.2)</f>
        <v>4738.2</v>
      </c>
      <c r="C296" s="372"/>
    </row>
    <row r="297">
      <c r="A297" s="362" t="str">
        <f>IFERROR(__xludf.DUMMYFUNCTION("""COMPUTED_VALUE"""),"Enchantment Chance 5")</f>
        <v>Enchantment Chance 5</v>
      </c>
      <c r="B297" s="373">
        <f>IFERROR(__xludf.DUMMYFUNCTION("""COMPUTED_VALUE"""),1.500847865E7)</f>
        <v>15008478.65</v>
      </c>
      <c r="C297" s="372"/>
    </row>
    <row r="298">
      <c r="A298" s="362" t="str">
        <f>IFERROR(__xludf.DUMMYFUNCTION("""COMPUTED_VALUE"""),"Enchantment Charm 1")</f>
        <v>Enchantment Charm 1</v>
      </c>
      <c r="B298" s="373">
        <f>IFERROR(__xludf.DUMMYFUNCTION("""COMPUTED_VALUE"""),35774.25)</f>
        <v>35774.25</v>
      </c>
      <c r="C298" s="372"/>
    </row>
    <row r="299">
      <c r="A299" s="362" t="str">
        <f>IFERROR(__xludf.DUMMYFUNCTION("""COMPUTED_VALUE"""),"Enchantment Charm 2")</f>
        <v>Enchantment Charm 2</v>
      </c>
      <c r="B299" s="373">
        <f>IFERROR(__xludf.DUMMYFUNCTION("""COMPUTED_VALUE"""),68092.7)</f>
        <v>68092.7</v>
      </c>
      <c r="C299" s="372"/>
    </row>
    <row r="300">
      <c r="A300" s="362" t="str">
        <f>IFERROR(__xludf.DUMMYFUNCTION("""COMPUTED_VALUE"""),"Enchantment Charm 3")</f>
        <v>Enchantment Charm 3</v>
      </c>
      <c r="B300" s="373">
        <f>IFERROR(__xludf.DUMMYFUNCTION("""COMPUTED_VALUE"""),1.8240888E7)</f>
        <v>18240888</v>
      </c>
      <c r="C300" s="372"/>
    </row>
    <row r="301">
      <c r="A301" s="362" t="str">
        <f>IFERROR(__xludf.DUMMYFUNCTION("""COMPUTED_VALUE"""),"Enchantment Charm 4")</f>
        <v>Enchantment Charm 4</v>
      </c>
      <c r="B301" s="373">
        <f>IFERROR(__xludf.DUMMYFUNCTION("""COMPUTED_VALUE"""),367499.9)</f>
        <v>367499.9</v>
      </c>
      <c r="C301" s="372"/>
    </row>
    <row r="302">
      <c r="A302" s="362" t="str">
        <f>IFERROR(__xludf.DUMMYFUNCTION("""COMPUTED_VALUE"""),"Enchantment Charm 5")</f>
        <v>Enchantment Charm 5</v>
      </c>
      <c r="B302" s="373">
        <f>IFERROR(__xludf.DUMMYFUNCTION("""COMPUTED_VALUE"""),520749.95)</f>
        <v>520749.95</v>
      </c>
      <c r="C302" s="372"/>
    </row>
    <row r="303">
      <c r="A303" s="362" t="str">
        <f>IFERROR(__xludf.DUMMYFUNCTION("""COMPUTED_VALUE"""),"Enchantment Cleave 1")</f>
        <v>Enchantment Cleave 1</v>
      </c>
      <c r="B303" s="373"/>
      <c r="C303" s="372"/>
    </row>
    <row r="304">
      <c r="A304" s="362" t="str">
        <f>IFERROR(__xludf.DUMMYFUNCTION("""COMPUTED_VALUE"""),"Enchantment Cleave 2")</f>
        <v>Enchantment Cleave 2</v>
      </c>
      <c r="B304" s="373"/>
      <c r="C304" s="372"/>
    </row>
    <row r="305">
      <c r="A305" s="362" t="str">
        <f>IFERROR(__xludf.DUMMYFUNCTION("""COMPUTED_VALUE"""),"Enchantment Cleave 3")</f>
        <v>Enchantment Cleave 3</v>
      </c>
      <c r="B305" s="373"/>
      <c r="C305" s="372"/>
    </row>
    <row r="306">
      <c r="A306" s="362" t="str">
        <f>IFERROR(__xludf.DUMMYFUNCTION("""COMPUTED_VALUE"""),"Enchantment Cleave 4")</f>
        <v>Enchantment Cleave 4</v>
      </c>
      <c r="B306" s="373"/>
      <c r="C306" s="372"/>
    </row>
    <row r="307">
      <c r="A307" s="362" t="str">
        <f>IFERROR(__xludf.DUMMYFUNCTION("""COMPUTED_VALUE"""),"Enchantment Cleave 5")</f>
        <v>Enchantment Cleave 5</v>
      </c>
      <c r="B307" s="373"/>
      <c r="C307" s="372"/>
    </row>
    <row r="308">
      <c r="A308" s="362" t="str">
        <f>IFERROR(__xludf.DUMMYFUNCTION("""COMPUTED_VALUE"""),"Enchantment Cleave 6")</f>
        <v>Enchantment Cleave 6</v>
      </c>
      <c r="B308" s="373">
        <f>IFERROR(__xludf.DUMMYFUNCTION("""COMPUTED_VALUE"""),1.95882221E7)</f>
        <v>19588222.1</v>
      </c>
      <c r="C308" s="372"/>
    </row>
    <row r="309">
      <c r="A309" s="362" t="str">
        <f>IFERROR(__xludf.DUMMYFUNCTION("""COMPUTED_VALUE"""),"Enchantment Compact 1")</f>
        <v>Enchantment Compact 1</v>
      </c>
      <c r="B309" s="373">
        <f>IFERROR(__xludf.DUMMYFUNCTION("""COMPUTED_VALUE"""),4753935.55)</f>
        <v>4753935.55</v>
      </c>
      <c r="C309" s="372"/>
    </row>
    <row r="310">
      <c r="A310" s="362" t="str">
        <f>IFERROR(__xludf.DUMMYFUNCTION("""COMPUTED_VALUE"""),"Enchantment Compact 10")</f>
        <v>Enchantment Compact 10</v>
      </c>
      <c r="B310" s="373"/>
      <c r="C310" s="372"/>
    </row>
    <row r="311">
      <c r="A311" s="362" t="str">
        <f>IFERROR(__xludf.DUMMYFUNCTION("""COMPUTED_VALUE"""),"Enchantment Compact 2")</f>
        <v>Enchantment Compact 2</v>
      </c>
      <c r="B311" s="373"/>
      <c r="C311" s="372"/>
    </row>
    <row r="312">
      <c r="A312" s="362" t="str">
        <f>IFERROR(__xludf.DUMMYFUNCTION("""COMPUTED_VALUE"""),"Enchantment Compact 3")</f>
        <v>Enchantment Compact 3</v>
      </c>
      <c r="B312" s="373"/>
      <c r="C312" s="372"/>
    </row>
    <row r="313">
      <c r="A313" s="362" t="str">
        <f>IFERROR(__xludf.DUMMYFUNCTION("""COMPUTED_VALUE"""),"Enchantment Compact 4")</f>
        <v>Enchantment Compact 4</v>
      </c>
      <c r="B313" s="373"/>
      <c r="C313" s="372"/>
    </row>
    <row r="314">
      <c r="A314" s="362" t="str">
        <f>IFERROR(__xludf.DUMMYFUNCTION("""COMPUTED_VALUE"""),"Enchantment Compact 5")</f>
        <v>Enchantment Compact 5</v>
      </c>
      <c r="B314" s="373"/>
      <c r="C314" s="372"/>
    </row>
    <row r="315">
      <c r="A315" s="362" t="str">
        <f>IFERROR(__xludf.DUMMYFUNCTION("""COMPUTED_VALUE"""),"Enchantment Compact 6")</f>
        <v>Enchantment Compact 6</v>
      </c>
      <c r="B315" s="373"/>
      <c r="C315" s="372"/>
    </row>
    <row r="316">
      <c r="A316" s="362" t="str">
        <f>IFERROR(__xludf.DUMMYFUNCTION("""COMPUTED_VALUE"""),"Enchantment Compact 7")</f>
        <v>Enchantment Compact 7</v>
      </c>
      <c r="B316" s="373"/>
      <c r="C316" s="372"/>
    </row>
    <row r="317">
      <c r="A317" s="362" t="str">
        <f>IFERROR(__xludf.DUMMYFUNCTION("""COMPUTED_VALUE"""),"Enchantment Compact 8")</f>
        <v>Enchantment Compact 8</v>
      </c>
      <c r="B317" s="373"/>
      <c r="C317" s="372"/>
    </row>
    <row r="318">
      <c r="A318" s="362" t="str">
        <f>IFERROR(__xludf.DUMMYFUNCTION("""COMPUTED_VALUE"""),"Enchantment Compact 9")</f>
        <v>Enchantment Compact 9</v>
      </c>
      <c r="B318" s="373"/>
      <c r="C318" s="372"/>
    </row>
    <row r="319">
      <c r="A319" s="362" t="str">
        <f>IFERROR(__xludf.DUMMYFUNCTION("""COMPUTED_VALUE"""),"Enchantment Corruption 1")</f>
        <v>Enchantment Corruption 1</v>
      </c>
      <c r="B319" s="373">
        <f>IFERROR(__xludf.DUMMYFUNCTION("""COMPUTED_VALUE"""),13.487)</f>
        <v>13.487</v>
      </c>
      <c r="C319" s="372"/>
    </row>
    <row r="320">
      <c r="A320" s="362" t="str">
        <f>IFERROR(__xludf.DUMMYFUNCTION("""COMPUTED_VALUE"""),"Enchantment Corruption 2")</f>
        <v>Enchantment Corruption 2</v>
      </c>
      <c r="B320" s="373">
        <f>IFERROR(__xludf.DUMMYFUNCTION("""COMPUTED_VALUE"""),13743.15)</f>
        <v>13743.15</v>
      </c>
      <c r="C320" s="372"/>
    </row>
    <row r="321">
      <c r="A321" s="362" t="str">
        <f>IFERROR(__xludf.DUMMYFUNCTION("""COMPUTED_VALUE"""),"Enchantment Corruption 3")</f>
        <v>Enchantment Corruption 3</v>
      </c>
      <c r="B321" s="373">
        <f>IFERROR(__xludf.DUMMYFUNCTION("""COMPUTED_VALUE"""),1499999.9)</f>
        <v>1499999.9</v>
      </c>
      <c r="C321" s="372"/>
    </row>
    <row r="322">
      <c r="A322" s="362" t="str">
        <f>IFERROR(__xludf.DUMMYFUNCTION("""COMPUTED_VALUE"""),"Enchantment Corruption 4")</f>
        <v>Enchantment Corruption 4</v>
      </c>
      <c r="B322" s="373">
        <f>IFERROR(__xludf.DUMMYFUNCTION("""COMPUTED_VALUE"""),20250.1)</f>
        <v>20250.1</v>
      </c>
      <c r="C322" s="372"/>
    </row>
    <row r="323">
      <c r="A323" s="362" t="str">
        <f>IFERROR(__xludf.DUMMYFUNCTION("""COMPUTED_VALUE"""),"Enchantment Corruption 5")</f>
        <v>Enchantment Corruption 5</v>
      </c>
      <c r="B323" s="373">
        <f>IFERROR(__xludf.DUMMYFUNCTION("""COMPUTED_VALUE"""),36550.775)</f>
        <v>36550.775</v>
      </c>
      <c r="C323" s="372"/>
    </row>
    <row r="324">
      <c r="A324" s="362" t="str">
        <f>IFERROR(__xludf.DUMMYFUNCTION("""COMPUTED_VALUE"""),"Enchantment Counter Strike 3")</f>
        <v>Enchantment Counter Strike 3</v>
      </c>
      <c r="B324" s="373">
        <f>IFERROR(__xludf.DUMMYFUNCTION("""COMPUTED_VALUE"""),110250.85)</f>
        <v>110250.85</v>
      </c>
      <c r="C324" s="372"/>
    </row>
    <row r="325">
      <c r="A325" s="362" t="str">
        <f>IFERROR(__xludf.DUMMYFUNCTION("""COMPUTED_VALUE"""),"Enchantment Counter Strike 4")</f>
        <v>Enchantment Counter Strike 4</v>
      </c>
      <c r="B325" s="373">
        <f>IFERROR(__xludf.DUMMYFUNCTION("""COMPUTED_VALUE"""),850001.15)</f>
        <v>850001.15</v>
      </c>
      <c r="C325" s="372"/>
    </row>
    <row r="326">
      <c r="A326" s="362" t="str">
        <f>IFERROR(__xludf.DUMMYFUNCTION("""COMPUTED_VALUE"""),"Enchantment Counter Strike 5")</f>
        <v>Enchantment Counter Strike 5</v>
      </c>
      <c r="B326" s="373">
        <f>IFERROR(__xludf.DUMMYFUNCTION("""COMPUTED_VALUE"""),5.992500175E7)</f>
        <v>59925001.75</v>
      </c>
      <c r="C326" s="372"/>
    </row>
    <row r="327">
      <c r="A327" s="362" t="str">
        <f>IFERROR(__xludf.DUMMYFUNCTION("""COMPUTED_VALUE"""),"Enchantment Critical 1")</f>
        <v>Enchantment Critical 1</v>
      </c>
      <c r="B327" s="373"/>
      <c r="C327" s="372"/>
    </row>
    <row r="328">
      <c r="A328" s="362" t="str">
        <f>IFERROR(__xludf.DUMMYFUNCTION("""COMPUTED_VALUE"""),"Enchantment Critical 2")</f>
        <v>Enchantment Critical 2</v>
      </c>
      <c r="B328" s="373"/>
      <c r="C328" s="372"/>
    </row>
    <row r="329">
      <c r="A329" s="362" t="str">
        <f>IFERROR(__xludf.DUMMYFUNCTION("""COMPUTED_VALUE"""),"Enchantment Critical 3")</f>
        <v>Enchantment Critical 3</v>
      </c>
      <c r="B329" s="373"/>
      <c r="C329" s="372"/>
    </row>
    <row r="330">
      <c r="A330" s="362" t="str">
        <f>IFERROR(__xludf.DUMMYFUNCTION("""COMPUTED_VALUE"""),"Enchantment Critical 4")</f>
        <v>Enchantment Critical 4</v>
      </c>
      <c r="B330" s="373"/>
      <c r="C330" s="372"/>
    </row>
    <row r="331">
      <c r="A331" s="362" t="str">
        <f>IFERROR(__xludf.DUMMYFUNCTION("""COMPUTED_VALUE"""),"Enchantment Critical 5")</f>
        <v>Enchantment Critical 5</v>
      </c>
      <c r="B331" s="373"/>
      <c r="C331" s="372"/>
    </row>
    <row r="332">
      <c r="A332" s="362" t="str">
        <f>IFERROR(__xludf.DUMMYFUNCTION("""COMPUTED_VALUE"""),"Enchantment Critical 6")</f>
        <v>Enchantment Critical 6</v>
      </c>
      <c r="B332" s="373">
        <f>IFERROR(__xludf.DUMMYFUNCTION("""COMPUTED_VALUE"""),9373.33)</f>
        <v>9373.33</v>
      </c>
      <c r="C332" s="372"/>
    </row>
    <row r="333">
      <c r="A333" s="362" t="str">
        <f>IFERROR(__xludf.DUMMYFUNCTION("""COMPUTED_VALUE"""),"Enchantment Critical 7")</f>
        <v>Enchantment Critical 7</v>
      </c>
      <c r="B333" s="373">
        <f>IFERROR(__xludf.DUMMYFUNCTION("""COMPUTED_VALUE"""),8.387750185E7)</f>
        <v>83877501.85</v>
      </c>
      <c r="C333" s="372"/>
    </row>
    <row r="334">
      <c r="A334" s="362" t="str">
        <f>IFERROR(__xludf.DUMMYFUNCTION("""COMPUTED_VALUE"""),"Enchantment Cubism 1")</f>
        <v>Enchantment Cubism 1</v>
      </c>
      <c r="B334" s="373"/>
      <c r="C334" s="372"/>
    </row>
    <row r="335">
      <c r="A335" s="362" t="str">
        <f>IFERROR(__xludf.DUMMYFUNCTION("""COMPUTED_VALUE"""),"Enchantment Cubism 2")</f>
        <v>Enchantment Cubism 2</v>
      </c>
      <c r="B335" s="373"/>
      <c r="C335" s="372"/>
    </row>
    <row r="336">
      <c r="A336" s="362" t="str">
        <f>IFERROR(__xludf.DUMMYFUNCTION("""COMPUTED_VALUE"""),"Enchantment Cubism 3")</f>
        <v>Enchantment Cubism 3</v>
      </c>
      <c r="B336" s="373"/>
      <c r="C336" s="372"/>
    </row>
    <row r="337">
      <c r="A337" s="362" t="str">
        <f>IFERROR(__xludf.DUMMYFUNCTION("""COMPUTED_VALUE"""),"Enchantment Cubism 4")</f>
        <v>Enchantment Cubism 4</v>
      </c>
      <c r="B337" s="373"/>
      <c r="C337" s="372"/>
    </row>
    <row r="338">
      <c r="A338" s="362" t="str">
        <f>IFERROR(__xludf.DUMMYFUNCTION("""COMPUTED_VALUE"""),"Enchantment Cubism 5")</f>
        <v>Enchantment Cubism 5</v>
      </c>
      <c r="B338" s="373"/>
      <c r="C338" s="372"/>
    </row>
    <row r="339">
      <c r="A339" s="362" t="str">
        <f>IFERROR(__xludf.DUMMYFUNCTION("""COMPUTED_VALUE"""),"Enchantment Cubism 6")</f>
        <v>Enchantment Cubism 6</v>
      </c>
      <c r="B339" s="373">
        <f>IFERROR(__xludf.DUMMYFUNCTION("""COMPUTED_VALUE"""),9.43705013E7)</f>
        <v>94370501.3</v>
      </c>
      <c r="C339" s="372"/>
    </row>
    <row r="340">
      <c r="A340" s="362" t="str">
        <f>IFERROR(__xludf.DUMMYFUNCTION("""COMPUTED_VALUE"""),"Enchantment Cultivating 1")</f>
        <v>Enchantment Cultivating 1</v>
      </c>
      <c r="B340" s="373">
        <f>IFERROR(__xludf.DUMMYFUNCTION("""COMPUTED_VALUE"""),4741280.35)</f>
        <v>4741280.35</v>
      </c>
      <c r="C340" s="372"/>
    </row>
    <row r="341">
      <c r="A341" s="362" t="str">
        <f>IFERROR(__xludf.DUMMYFUNCTION("""COMPUTED_VALUE"""),"Enchantment Cultivating 2")</f>
        <v>Enchantment Cultivating 2</v>
      </c>
      <c r="B341" s="373"/>
      <c r="C341" s="372"/>
    </row>
    <row r="342">
      <c r="A342" s="362" t="str">
        <f>IFERROR(__xludf.DUMMYFUNCTION("""COMPUTED_VALUE"""),"Enchantment Cultivating 3")</f>
        <v>Enchantment Cultivating 3</v>
      </c>
      <c r="B342" s="373"/>
      <c r="C342" s="372"/>
    </row>
    <row r="343">
      <c r="A343" s="362" t="str">
        <f>IFERROR(__xludf.DUMMYFUNCTION("""COMPUTED_VALUE"""),"Enchantment Cultivating 4")</f>
        <v>Enchantment Cultivating 4</v>
      </c>
      <c r="B343" s="373"/>
      <c r="C343" s="372"/>
    </row>
    <row r="344">
      <c r="A344" s="362" t="str">
        <f>IFERROR(__xludf.DUMMYFUNCTION("""COMPUTED_VALUE"""),"Enchantment Cultivating 5")</f>
        <v>Enchantment Cultivating 5</v>
      </c>
      <c r="B344" s="373"/>
      <c r="C344" s="372"/>
    </row>
    <row r="345">
      <c r="A345" s="362" t="str">
        <f>IFERROR(__xludf.DUMMYFUNCTION("""COMPUTED_VALUE"""),"Enchantment Cultivating 6")</f>
        <v>Enchantment Cultivating 6</v>
      </c>
      <c r="B345" s="373"/>
      <c r="C345" s="372"/>
    </row>
    <row r="346">
      <c r="A346" s="362" t="str">
        <f>IFERROR(__xludf.DUMMYFUNCTION("""COMPUTED_VALUE"""),"Enchantment Cultivating 7")</f>
        <v>Enchantment Cultivating 7</v>
      </c>
      <c r="B346" s="373"/>
      <c r="C346" s="372"/>
    </row>
    <row r="347">
      <c r="A347" s="362" t="str">
        <f>IFERROR(__xludf.DUMMYFUNCTION("""COMPUTED_VALUE"""),"Enchantment Cultivating 8")</f>
        <v>Enchantment Cultivating 8</v>
      </c>
      <c r="B347" s="373"/>
      <c r="C347" s="372"/>
    </row>
    <row r="348">
      <c r="A348" s="362" t="str">
        <f>IFERROR(__xludf.DUMMYFUNCTION("""COMPUTED_VALUE"""),"Enchantment Cultivating 9")</f>
        <v>Enchantment Cultivating 9</v>
      </c>
      <c r="B348" s="373"/>
      <c r="C348" s="372"/>
    </row>
    <row r="349">
      <c r="A349" s="362" t="str">
        <f>IFERROR(__xludf.DUMMYFUNCTION("""COMPUTED_VALUE"""),"Enchantment Curse Of Vanishing 0")</f>
        <v>Enchantment Curse Of Vanishing 0</v>
      </c>
      <c r="B349" s="373"/>
      <c r="C349" s="372"/>
    </row>
    <row r="350">
      <c r="A350" s="362" t="str">
        <f>IFERROR(__xludf.DUMMYFUNCTION("""COMPUTED_VALUE"""),"Enchantment Dedication 1")</f>
        <v>Enchantment Dedication 1</v>
      </c>
      <c r="B350" s="373">
        <f>IFERROR(__xludf.DUMMYFUNCTION("""COMPUTED_VALUE"""),1432934.25)</f>
        <v>1432934.25</v>
      </c>
      <c r="C350" s="372"/>
    </row>
    <row r="351">
      <c r="A351" s="362" t="str">
        <f>IFERROR(__xludf.DUMMYFUNCTION("""COMPUTED_VALUE"""),"Enchantment Dedication 2")</f>
        <v>Enchantment Dedication 2</v>
      </c>
      <c r="B351" s="373">
        <f>IFERROR(__xludf.DUMMYFUNCTION("""COMPUTED_VALUE"""),3046464.2)</f>
        <v>3046464.2</v>
      </c>
      <c r="C351" s="320"/>
      <c r="D351" s="320"/>
      <c r="E351" s="320"/>
      <c r="F351" s="320"/>
      <c r="G351" s="320"/>
      <c r="H351" s="320"/>
      <c r="I351" s="320"/>
      <c r="J351" s="320"/>
      <c r="K351" s="320"/>
      <c r="L351" s="320"/>
      <c r="M351" s="320"/>
      <c r="N351" s="320"/>
      <c r="O351" s="320"/>
      <c r="P351" s="320"/>
      <c r="Q351" s="320"/>
      <c r="R351" s="320"/>
      <c r="S351" s="320"/>
      <c r="T351" s="320"/>
    </row>
    <row r="352">
      <c r="A352" s="362" t="str">
        <f>IFERROR(__xludf.DUMMYFUNCTION("""COMPUTED_VALUE"""),"Enchantment Dedication 3")</f>
        <v>Enchantment Dedication 3</v>
      </c>
      <c r="B352" s="373">
        <f>IFERROR(__xludf.DUMMYFUNCTION("""COMPUTED_VALUE"""),6005844.35)</f>
        <v>6005844.35</v>
      </c>
      <c r="C352" s="320"/>
      <c r="D352" s="320"/>
      <c r="E352" s="320"/>
      <c r="F352" s="320"/>
      <c r="G352" s="320"/>
      <c r="H352" s="320"/>
      <c r="I352" s="320"/>
      <c r="J352" s="320"/>
      <c r="K352" s="320"/>
      <c r="L352" s="320"/>
      <c r="M352" s="320"/>
      <c r="N352" s="320"/>
      <c r="O352" s="320"/>
      <c r="P352" s="320"/>
      <c r="Q352" s="320"/>
      <c r="R352" s="320"/>
      <c r="S352" s="320"/>
      <c r="T352" s="320"/>
    </row>
    <row r="353">
      <c r="A353" s="362" t="str">
        <f>IFERROR(__xludf.DUMMYFUNCTION("""COMPUTED_VALUE"""),"Enchantment Dedication 4")</f>
        <v>Enchantment Dedication 4</v>
      </c>
      <c r="B353" s="373">
        <f>IFERROR(__xludf.DUMMYFUNCTION("""COMPUTED_VALUE"""),1.187442346E8)</f>
        <v>118744234.6</v>
      </c>
      <c r="C353" s="320"/>
      <c r="D353" s="320"/>
      <c r="E353" s="320"/>
      <c r="F353" s="320"/>
      <c r="G353" s="320"/>
      <c r="H353" s="320"/>
      <c r="I353" s="320"/>
      <c r="J353" s="320"/>
      <c r="K353" s="320"/>
      <c r="L353" s="320"/>
      <c r="M353" s="320"/>
      <c r="N353" s="320"/>
      <c r="O353" s="320"/>
      <c r="P353" s="320"/>
      <c r="Q353" s="320"/>
      <c r="R353" s="320"/>
      <c r="S353" s="320"/>
      <c r="T353" s="320"/>
    </row>
    <row r="354">
      <c r="A354" s="362" t="str">
        <f>IFERROR(__xludf.DUMMYFUNCTION("""COMPUTED_VALUE"""),"Enchantment Delicate 5")</f>
        <v>Enchantment Delicate 5</v>
      </c>
      <c r="B354" s="373">
        <f>IFERROR(__xludf.DUMMYFUNCTION("""COMPUTED_VALUE"""),1815965.525)</f>
        <v>1815965.525</v>
      </c>
      <c r="C354" s="320"/>
      <c r="D354" s="320"/>
      <c r="E354" s="320"/>
      <c r="F354" s="320"/>
      <c r="G354" s="320"/>
      <c r="H354" s="320"/>
      <c r="I354" s="320"/>
      <c r="J354" s="320"/>
      <c r="K354" s="320"/>
      <c r="L354" s="320"/>
      <c r="M354" s="320"/>
      <c r="N354" s="320"/>
      <c r="O354" s="320"/>
      <c r="P354" s="320"/>
      <c r="Q354" s="320"/>
      <c r="R354" s="320"/>
      <c r="S354" s="320"/>
      <c r="T354" s="320"/>
    </row>
    <row r="355">
      <c r="A355" s="362" t="str">
        <f>IFERROR(__xludf.DUMMYFUNCTION("""COMPUTED_VALUE"""),"Enchantment Depth Strider 1")</f>
        <v>Enchantment Depth Strider 1</v>
      </c>
      <c r="B355" s="373"/>
      <c r="C355" s="320"/>
      <c r="D355" s="320"/>
      <c r="E355" s="320"/>
      <c r="F355" s="320"/>
      <c r="G355" s="320"/>
      <c r="H355" s="320"/>
      <c r="I355" s="320"/>
      <c r="J355" s="320"/>
      <c r="K355" s="320"/>
      <c r="L355" s="320"/>
      <c r="M355" s="320"/>
      <c r="N355" s="320"/>
      <c r="O355" s="320"/>
      <c r="P355" s="320"/>
      <c r="Q355" s="320"/>
      <c r="R355" s="320"/>
      <c r="S355" s="320"/>
      <c r="T355" s="320"/>
    </row>
    <row r="356">
      <c r="A356" s="362" t="str">
        <f>IFERROR(__xludf.DUMMYFUNCTION("""COMPUTED_VALUE"""),"Enchantment Depth Strider 2")</f>
        <v>Enchantment Depth Strider 2</v>
      </c>
      <c r="B356" s="373"/>
      <c r="C356" s="320"/>
      <c r="D356" s="320"/>
      <c r="E356" s="320"/>
      <c r="F356" s="320"/>
      <c r="G356" s="320"/>
      <c r="H356" s="320"/>
      <c r="I356" s="320"/>
      <c r="J356" s="320"/>
      <c r="K356" s="320"/>
      <c r="L356" s="320"/>
      <c r="M356" s="320"/>
      <c r="N356" s="320"/>
      <c r="O356" s="320"/>
      <c r="P356" s="320"/>
      <c r="Q356" s="320"/>
      <c r="R356" s="320"/>
      <c r="S356" s="320"/>
      <c r="T356" s="320"/>
    </row>
    <row r="357">
      <c r="A357" s="362" t="str">
        <f>IFERROR(__xludf.DUMMYFUNCTION("""COMPUTED_VALUE"""),"Enchantment Depth Strider 3")</f>
        <v>Enchantment Depth Strider 3</v>
      </c>
      <c r="B357" s="373"/>
      <c r="C357" s="320"/>
      <c r="D357" s="320"/>
      <c r="E357" s="320"/>
      <c r="F357" s="320"/>
      <c r="G357" s="320"/>
      <c r="H357" s="320"/>
      <c r="I357" s="320"/>
      <c r="J357" s="320"/>
      <c r="K357" s="320"/>
      <c r="L357" s="320"/>
      <c r="M357" s="320"/>
      <c r="N357" s="320"/>
      <c r="O357" s="320"/>
      <c r="P357" s="320"/>
      <c r="Q357" s="320"/>
      <c r="R357" s="320"/>
      <c r="S357" s="320"/>
      <c r="T357" s="320"/>
    </row>
    <row r="358">
      <c r="A358" s="362" t="str">
        <f>IFERROR(__xludf.DUMMYFUNCTION("""COMPUTED_VALUE"""),"Enchantment Divine Gift 1")</f>
        <v>Enchantment Divine Gift 1</v>
      </c>
      <c r="B358" s="373">
        <f>IFERROR(__xludf.DUMMYFUNCTION("""COMPUTED_VALUE"""),2.649999865E7)</f>
        <v>26499998.65</v>
      </c>
      <c r="C358" s="320"/>
      <c r="D358" s="320"/>
      <c r="E358" s="320"/>
      <c r="F358" s="320"/>
      <c r="G358" s="320"/>
      <c r="H358" s="320"/>
      <c r="I358" s="320"/>
      <c r="J358" s="320"/>
      <c r="K358" s="320"/>
      <c r="L358" s="320"/>
      <c r="M358" s="320"/>
      <c r="N358" s="320"/>
      <c r="O358" s="320"/>
      <c r="P358" s="320"/>
      <c r="Q358" s="320"/>
      <c r="R358" s="320"/>
      <c r="S358" s="320"/>
      <c r="T358" s="320"/>
    </row>
    <row r="359">
      <c r="A359" s="362" t="str">
        <f>IFERROR(__xludf.DUMMYFUNCTION("""COMPUTED_VALUE"""),"Enchantment Divine Gift 2")</f>
        <v>Enchantment Divine Gift 2</v>
      </c>
      <c r="B359" s="373"/>
      <c r="C359" s="320"/>
      <c r="D359" s="320"/>
      <c r="E359" s="320"/>
      <c r="F359" s="320"/>
      <c r="G359" s="320"/>
      <c r="H359" s="320"/>
      <c r="I359" s="320"/>
      <c r="J359" s="320"/>
      <c r="K359" s="320"/>
      <c r="L359" s="320"/>
      <c r="M359" s="320"/>
      <c r="N359" s="320"/>
      <c r="O359" s="320"/>
      <c r="P359" s="320"/>
      <c r="Q359" s="320"/>
      <c r="R359" s="320"/>
      <c r="S359" s="320"/>
      <c r="T359" s="320"/>
    </row>
    <row r="360">
      <c r="A360" s="362" t="str">
        <f>IFERROR(__xludf.DUMMYFUNCTION("""COMPUTED_VALUE"""),"Enchantment Divine Gift 3")</f>
        <v>Enchantment Divine Gift 3</v>
      </c>
      <c r="B360" s="373"/>
      <c r="C360" s="320"/>
      <c r="D360" s="320"/>
      <c r="E360" s="320"/>
      <c r="F360" s="320"/>
      <c r="G360" s="320"/>
      <c r="H360" s="320"/>
      <c r="I360" s="320"/>
      <c r="J360" s="320"/>
      <c r="K360" s="320"/>
      <c r="L360" s="320"/>
      <c r="M360" s="320"/>
      <c r="N360" s="320"/>
      <c r="O360" s="320"/>
      <c r="P360" s="320"/>
      <c r="Q360" s="320"/>
      <c r="R360" s="320"/>
      <c r="S360" s="320"/>
      <c r="T360" s="320"/>
    </row>
    <row r="361">
      <c r="A361" s="362" t="str">
        <f>IFERROR(__xludf.DUMMYFUNCTION("""COMPUTED_VALUE"""),"Enchantment Dragon Hunter 1")</f>
        <v>Enchantment Dragon Hunter 1</v>
      </c>
      <c r="B361" s="373">
        <f>IFERROR(__xludf.DUMMYFUNCTION("""COMPUTED_VALUE"""),1019455.85)</f>
        <v>1019455.85</v>
      </c>
      <c r="C361" s="320"/>
      <c r="D361" s="320"/>
      <c r="E361" s="320"/>
      <c r="F361" s="320"/>
      <c r="G361" s="320"/>
      <c r="H361" s="320"/>
      <c r="I361" s="320"/>
      <c r="J361" s="320"/>
      <c r="K361" s="320"/>
      <c r="L361" s="320"/>
      <c r="M361" s="320"/>
      <c r="N361" s="320"/>
      <c r="O361" s="320"/>
      <c r="P361" s="320"/>
      <c r="Q361" s="320"/>
      <c r="R361" s="320"/>
      <c r="S361" s="320"/>
      <c r="T361" s="320"/>
    </row>
    <row r="362">
      <c r="A362" s="362" t="str">
        <f>IFERROR(__xludf.DUMMYFUNCTION("""COMPUTED_VALUE"""),"Enchantment Dragon Hunter 2")</f>
        <v>Enchantment Dragon Hunter 2</v>
      </c>
      <c r="B362" s="373">
        <f>IFERROR(__xludf.DUMMYFUNCTION("""COMPUTED_VALUE"""),1849242.45)</f>
        <v>1849242.45</v>
      </c>
      <c r="C362" s="320"/>
      <c r="D362" s="320"/>
      <c r="E362" s="320"/>
      <c r="F362" s="320"/>
      <c r="G362" s="320"/>
      <c r="H362" s="320"/>
      <c r="I362" s="320"/>
      <c r="J362" s="320"/>
      <c r="K362" s="320"/>
      <c r="L362" s="320"/>
      <c r="M362" s="320"/>
      <c r="N362" s="320"/>
      <c r="O362" s="320"/>
      <c r="P362" s="320"/>
      <c r="Q362" s="320"/>
      <c r="R362" s="320"/>
      <c r="S362" s="320"/>
      <c r="T362" s="320"/>
    </row>
    <row r="363">
      <c r="A363" s="362" t="str">
        <f>IFERROR(__xludf.DUMMYFUNCTION("""COMPUTED_VALUE"""),"Enchantment Dragon Hunter 3")</f>
        <v>Enchantment Dragon Hunter 3</v>
      </c>
      <c r="B363" s="373">
        <f>IFERROR(__xludf.DUMMYFUNCTION("""COMPUTED_VALUE"""),3800000.35)</f>
        <v>3800000.35</v>
      </c>
      <c r="C363" s="320"/>
      <c r="D363" s="320"/>
      <c r="E363" s="320"/>
      <c r="F363" s="320"/>
      <c r="G363" s="320"/>
      <c r="H363" s="320"/>
      <c r="I363" s="320"/>
      <c r="J363" s="320"/>
      <c r="K363" s="320"/>
      <c r="L363" s="320"/>
      <c r="M363" s="320"/>
      <c r="N363" s="320"/>
      <c r="O363" s="320"/>
      <c r="P363" s="320"/>
      <c r="Q363" s="320"/>
      <c r="R363" s="320"/>
      <c r="S363" s="320"/>
      <c r="T363" s="320"/>
    </row>
    <row r="364">
      <c r="A364" s="362" t="str">
        <f>IFERROR(__xludf.DUMMYFUNCTION("""COMPUTED_VALUE"""),"Enchantment Dragon Hunter 4")</f>
        <v>Enchantment Dragon Hunter 4</v>
      </c>
      <c r="B364" s="373">
        <f>IFERROR(__xludf.DUMMYFUNCTION("""COMPUTED_VALUE"""),7799999.95)</f>
        <v>7799999.95</v>
      </c>
      <c r="C364" s="320"/>
      <c r="D364" s="320"/>
      <c r="E364" s="320"/>
      <c r="F364" s="320"/>
      <c r="G364" s="320"/>
      <c r="H364" s="320"/>
      <c r="I364" s="320"/>
      <c r="J364" s="320"/>
      <c r="K364" s="320"/>
      <c r="L364" s="320"/>
      <c r="M364" s="320"/>
      <c r="N364" s="320"/>
      <c r="O364" s="320"/>
      <c r="P364" s="320"/>
      <c r="Q364" s="320"/>
      <c r="R364" s="320"/>
      <c r="S364" s="320"/>
      <c r="T364" s="320"/>
    </row>
    <row r="365">
      <c r="A365" s="362" t="str">
        <f>IFERROR(__xludf.DUMMYFUNCTION("""COMPUTED_VALUE"""),"Enchantment Dragon Hunter 5")</f>
        <v>Enchantment Dragon Hunter 5</v>
      </c>
      <c r="B365" s="373">
        <f>IFERROR(__xludf.DUMMYFUNCTION("""COMPUTED_VALUE"""),1.629999745E7)</f>
        <v>16299997.45</v>
      </c>
      <c r="C365" s="320"/>
      <c r="D365" s="320"/>
      <c r="E365" s="320"/>
      <c r="F365" s="320"/>
      <c r="G365" s="320"/>
      <c r="H365" s="320"/>
      <c r="I365" s="320"/>
      <c r="J365" s="320"/>
      <c r="K365" s="320"/>
      <c r="L365" s="320"/>
      <c r="M365" s="320"/>
      <c r="N365" s="320"/>
      <c r="O365" s="320"/>
      <c r="P365" s="320"/>
      <c r="Q365" s="320"/>
      <c r="R365" s="320"/>
      <c r="S365" s="320"/>
      <c r="T365" s="320"/>
    </row>
    <row r="366">
      <c r="A366" s="362" t="str">
        <f>IFERROR(__xludf.DUMMYFUNCTION("""COMPUTED_VALUE"""),"Enchantment Efficiency 1")</f>
        <v>Enchantment Efficiency 1</v>
      </c>
      <c r="B366" s="373"/>
      <c r="C366" s="320"/>
      <c r="D366" s="320"/>
      <c r="E366" s="320"/>
      <c r="F366" s="320"/>
      <c r="G366" s="320"/>
      <c r="H366" s="320"/>
      <c r="I366" s="320"/>
      <c r="J366" s="320"/>
      <c r="K366" s="320"/>
      <c r="L366" s="320"/>
      <c r="M366" s="320"/>
      <c r="N366" s="320"/>
      <c r="O366" s="320"/>
      <c r="P366" s="320"/>
      <c r="Q366" s="320"/>
      <c r="R366" s="320"/>
      <c r="S366" s="320"/>
      <c r="T366" s="320"/>
    </row>
    <row r="367">
      <c r="A367" s="362" t="str">
        <f>IFERROR(__xludf.DUMMYFUNCTION("""COMPUTED_VALUE"""),"Enchantment Efficiency 10")</f>
        <v>Enchantment Efficiency 10</v>
      </c>
      <c r="B367" s="373"/>
      <c r="C367" s="320"/>
      <c r="D367" s="320"/>
      <c r="E367" s="320"/>
      <c r="F367" s="320"/>
      <c r="G367" s="320"/>
      <c r="H367" s="320"/>
      <c r="I367" s="320"/>
      <c r="J367" s="320"/>
      <c r="K367" s="320"/>
      <c r="L367" s="320"/>
      <c r="M367" s="320"/>
      <c r="N367" s="320"/>
      <c r="O367" s="320"/>
      <c r="P367" s="320"/>
      <c r="Q367" s="320"/>
      <c r="R367" s="320"/>
      <c r="S367" s="320"/>
      <c r="T367" s="320"/>
    </row>
    <row r="368">
      <c r="A368" s="362" t="str">
        <f>IFERROR(__xludf.DUMMYFUNCTION("""COMPUTED_VALUE"""),"Enchantment Efficiency 2")</f>
        <v>Enchantment Efficiency 2</v>
      </c>
      <c r="B368" s="373"/>
      <c r="C368" s="320"/>
      <c r="D368" s="320"/>
      <c r="E368" s="320"/>
      <c r="F368" s="320"/>
      <c r="G368" s="320"/>
      <c r="H368" s="320"/>
      <c r="I368" s="320"/>
      <c r="J368" s="320"/>
      <c r="K368" s="320"/>
      <c r="L368" s="320"/>
      <c r="M368" s="320"/>
      <c r="N368" s="320"/>
      <c r="O368" s="320"/>
      <c r="P368" s="320"/>
      <c r="Q368" s="320"/>
      <c r="R368" s="320"/>
      <c r="S368" s="320"/>
      <c r="T368" s="320"/>
    </row>
    <row r="369">
      <c r="A369" s="362" t="str">
        <f>IFERROR(__xludf.DUMMYFUNCTION("""COMPUTED_VALUE"""),"Enchantment Efficiency 3")</f>
        <v>Enchantment Efficiency 3</v>
      </c>
      <c r="B369" s="373"/>
      <c r="C369" s="320"/>
      <c r="D369" s="320"/>
      <c r="E369" s="320"/>
      <c r="F369" s="320"/>
      <c r="G369" s="320"/>
      <c r="H369" s="320"/>
      <c r="I369" s="320"/>
      <c r="J369" s="320"/>
      <c r="K369" s="320"/>
      <c r="L369" s="320"/>
      <c r="M369" s="320"/>
      <c r="N369" s="320"/>
      <c r="O369" s="320"/>
      <c r="P369" s="320"/>
      <c r="Q369" s="320"/>
      <c r="R369" s="320"/>
      <c r="S369" s="320"/>
      <c r="T369" s="320"/>
    </row>
    <row r="370">
      <c r="A370" s="362" t="str">
        <f>IFERROR(__xludf.DUMMYFUNCTION("""COMPUTED_VALUE"""),"Enchantment Efficiency 4")</f>
        <v>Enchantment Efficiency 4</v>
      </c>
      <c r="B370" s="373"/>
      <c r="C370" s="320"/>
      <c r="D370" s="320"/>
      <c r="E370" s="320"/>
      <c r="F370" s="320"/>
      <c r="G370" s="320"/>
      <c r="H370" s="320"/>
      <c r="I370" s="320"/>
      <c r="J370" s="320"/>
      <c r="K370" s="320"/>
      <c r="L370" s="320"/>
      <c r="M370" s="320"/>
      <c r="N370" s="320"/>
      <c r="O370" s="320"/>
      <c r="P370" s="320"/>
      <c r="Q370" s="320"/>
      <c r="R370" s="320"/>
      <c r="S370" s="320"/>
      <c r="T370" s="320"/>
    </row>
    <row r="371">
      <c r="A371" s="362" t="str">
        <f>IFERROR(__xludf.DUMMYFUNCTION("""COMPUTED_VALUE"""),"Enchantment Efficiency 5")</f>
        <v>Enchantment Efficiency 5</v>
      </c>
      <c r="B371" s="373"/>
      <c r="C371" s="320"/>
      <c r="D371" s="320"/>
      <c r="E371" s="320"/>
      <c r="F371" s="320"/>
      <c r="G371" s="320"/>
      <c r="H371" s="320"/>
      <c r="I371" s="320"/>
      <c r="J371" s="320"/>
      <c r="K371" s="320"/>
      <c r="L371" s="320"/>
      <c r="M371" s="320"/>
      <c r="N371" s="320"/>
      <c r="O371" s="320"/>
      <c r="P371" s="320"/>
      <c r="Q371" s="320"/>
      <c r="R371" s="320"/>
      <c r="S371" s="320"/>
      <c r="T371" s="320"/>
    </row>
    <row r="372">
      <c r="A372" s="362" t="str">
        <f>IFERROR(__xludf.DUMMYFUNCTION("""COMPUTED_VALUE"""),"Enchantment Efficiency 6")</f>
        <v>Enchantment Efficiency 6</v>
      </c>
      <c r="B372" s="373"/>
      <c r="C372" s="320"/>
      <c r="D372" s="320"/>
      <c r="E372" s="320"/>
      <c r="F372" s="320"/>
      <c r="G372" s="320"/>
      <c r="H372" s="320"/>
      <c r="I372" s="320"/>
      <c r="J372" s="320"/>
      <c r="K372" s="320"/>
      <c r="L372" s="320"/>
      <c r="M372" s="320"/>
      <c r="N372" s="320"/>
      <c r="O372" s="320"/>
      <c r="P372" s="320"/>
      <c r="Q372" s="320"/>
      <c r="R372" s="320"/>
      <c r="S372" s="320"/>
      <c r="T372" s="320"/>
    </row>
    <row r="373">
      <c r="A373" s="362" t="str">
        <f>IFERROR(__xludf.DUMMYFUNCTION("""COMPUTED_VALUE"""),"Enchantment Efficiency 7")</f>
        <v>Enchantment Efficiency 7</v>
      </c>
      <c r="B373" s="373"/>
      <c r="C373" s="320"/>
      <c r="D373" s="320"/>
      <c r="E373" s="320"/>
      <c r="F373" s="320"/>
      <c r="G373" s="320"/>
      <c r="H373" s="320"/>
      <c r="I373" s="320"/>
      <c r="J373" s="320"/>
      <c r="K373" s="320"/>
      <c r="L373" s="320"/>
      <c r="M373" s="320"/>
      <c r="N373" s="320"/>
      <c r="O373" s="320"/>
      <c r="P373" s="320"/>
      <c r="Q373" s="320"/>
      <c r="R373" s="320"/>
      <c r="S373" s="320"/>
      <c r="T373" s="320"/>
    </row>
    <row r="374">
      <c r="A374" s="362" t="str">
        <f>IFERROR(__xludf.DUMMYFUNCTION("""COMPUTED_VALUE"""),"Enchantment Efficiency 8")</f>
        <v>Enchantment Efficiency 8</v>
      </c>
      <c r="B374" s="373"/>
      <c r="C374" s="320"/>
      <c r="D374" s="320"/>
      <c r="E374" s="320"/>
      <c r="F374" s="320"/>
      <c r="G374" s="320"/>
      <c r="H374" s="320"/>
      <c r="I374" s="320"/>
      <c r="J374" s="320"/>
      <c r="K374" s="320"/>
      <c r="L374" s="320"/>
      <c r="M374" s="320"/>
      <c r="N374" s="320"/>
      <c r="O374" s="320"/>
      <c r="P374" s="320"/>
      <c r="Q374" s="320"/>
      <c r="R374" s="320"/>
      <c r="S374" s="320"/>
      <c r="T374" s="320"/>
    </row>
    <row r="375">
      <c r="A375" s="362" t="str">
        <f>IFERROR(__xludf.DUMMYFUNCTION("""COMPUTED_VALUE"""),"Enchantment Efficiency 9")</f>
        <v>Enchantment Efficiency 9</v>
      </c>
      <c r="B375" s="373"/>
      <c r="C375" s="320"/>
      <c r="D375" s="320"/>
      <c r="E375" s="320"/>
      <c r="F375" s="320"/>
      <c r="G375" s="320"/>
      <c r="H375" s="320"/>
      <c r="I375" s="320"/>
      <c r="J375" s="320"/>
      <c r="K375" s="320"/>
      <c r="L375" s="320"/>
      <c r="M375" s="320"/>
      <c r="N375" s="320"/>
      <c r="O375" s="320"/>
      <c r="P375" s="320"/>
      <c r="Q375" s="320"/>
      <c r="R375" s="320"/>
      <c r="S375" s="320"/>
      <c r="T375" s="320"/>
    </row>
    <row r="376">
      <c r="A376" s="362" t="str">
        <f>IFERROR(__xludf.DUMMYFUNCTION("""COMPUTED_VALUE"""),"Enchantment Ender Slayer 1")</f>
        <v>Enchantment Ender Slayer 1</v>
      </c>
      <c r="B376" s="373"/>
      <c r="C376" s="320"/>
      <c r="D376" s="320"/>
      <c r="E376" s="320"/>
      <c r="F376" s="320"/>
      <c r="G376" s="320"/>
      <c r="H376" s="320"/>
      <c r="I376" s="320"/>
      <c r="J376" s="320"/>
      <c r="K376" s="320"/>
      <c r="L376" s="320"/>
      <c r="M376" s="320"/>
      <c r="N376" s="320"/>
      <c r="O376" s="320"/>
      <c r="P376" s="320"/>
      <c r="Q376" s="320"/>
      <c r="R376" s="320"/>
      <c r="S376" s="320"/>
      <c r="T376" s="320"/>
    </row>
    <row r="377">
      <c r="A377" s="362" t="str">
        <f>IFERROR(__xludf.DUMMYFUNCTION("""COMPUTED_VALUE"""),"Enchantment Ender Slayer 2")</f>
        <v>Enchantment Ender Slayer 2</v>
      </c>
      <c r="B377" s="373"/>
      <c r="C377" s="320"/>
      <c r="D377" s="320"/>
      <c r="E377" s="320"/>
      <c r="F377" s="320"/>
      <c r="G377" s="320"/>
      <c r="H377" s="320"/>
      <c r="I377" s="320"/>
      <c r="J377" s="320"/>
      <c r="K377" s="320"/>
      <c r="L377" s="320"/>
      <c r="M377" s="320"/>
      <c r="N377" s="320"/>
      <c r="O377" s="320"/>
      <c r="P377" s="320"/>
      <c r="Q377" s="320"/>
      <c r="R377" s="320"/>
      <c r="S377" s="320"/>
      <c r="T377" s="320"/>
    </row>
    <row r="378">
      <c r="A378" s="362" t="str">
        <f>IFERROR(__xludf.DUMMYFUNCTION("""COMPUTED_VALUE"""),"Enchantment Ender Slayer 3")</f>
        <v>Enchantment Ender Slayer 3</v>
      </c>
      <c r="B378" s="373"/>
      <c r="C378" s="320"/>
      <c r="D378" s="320"/>
      <c r="E378" s="320"/>
      <c r="F378" s="320"/>
      <c r="G378" s="320"/>
      <c r="H378" s="320"/>
      <c r="I378" s="320"/>
      <c r="J378" s="320"/>
      <c r="K378" s="320"/>
      <c r="L378" s="320"/>
      <c r="M378" s="320"/>
      <c r="N378" s="320"/>
      <c r="O378" s="320"/>
      <c r="P378" s="320"/>
      <c r="Q378" s="320"/>
      <c r="R378" s="320"/>
      <c r="S378" s="320"/>
      <c r="T378" s="320"/>
    </row>
    <row r="379">
      <c r="A379" s="362" t="str">
        <f>IFERROR(__xludf.DUMMYFUNCTION("""COMPUTED_VALUE"""),"Enchantment Ender Slayer 4")</f>
        <v>Enchantment Ender Slayer 4</v>
      </c>
      <c r="B379" s="373"/>
      <c r="C379" s="320"/>
      <c r="D379" s="320"/>
      <c r="E379" s="320"/>
      <c r="F379" s="320"/>
      <c r="G379" s="320"/>
      <c r="H379" s="320"/>
      <c r="I379" s="320"/>
      <c r="J379" s="320"/>
      <c r="K379" s="320"/>
      <c r="L379" s="320"/>
      <c r="M379" s="320"/>
      <c r="N379" s="320"/>
      <c r="O379" s="320"/>
      <c r="P379" s="320"/>
      <c r="Q379" s="320"/>
      <c r="R379" s="320"/>
      <c r="S379" s="320"/>
      <c r="T379" s="320"/>
    </row>
    <row r="380">
      <c r="A380" s="362" t="str">
        <f>IFERROR(__xludf.DUMMYFUNCTION("""COMPUTED_VALUE"""),"Enchantment Ender Slayer 5")</f>
        <v>Enchantment Ender Slayer 5</v>
      </c>
      <c r="B380" s="373"/>
      <c r="C380" s="320"/>
      <c r="D380" s="320"/>
      <c r="E380" s="320"/>
      <c r="F380" s="320"/>
      <c r="G380" s="320"/>
      <c r="H380" s="320"/>
      <c r="I380" s="320"/>
      <c r="J380" s="320"/>
      <c r="K380" s="320"/>
      <c r="L380" s="320"/>
      <c r="M380" s="320"/>
      <c r="N380" s="320"/>
      <c r="O380" s="320"/>
      <c r="P380" s="320"/>
      <c r="Q380" s="320"/>
      <c r="R380" s="320"/>
      <c r="S380" s="320"/>
      <c r="T380" s="320"/>
    </row>
    <row r="381">
      <c r="A381" s="362" t="str">
        <f>IFERROR(__xludf.DUMMYFUNCTION("""COMPUTED_VALUE"""),"Enchantment Ender Slayer 6")</f>
        <v>Enchantment Ender Slayer 6</v>
      </c>
      <c r="B381" s="373">
        <f>IFERROR(__xludf.DUMMYFUNCTION("""COMPUTED_VALUE"""),1484086.75)</f>
        <v>1484086.75</v>
      </c>
      <c r="C381" s="320"/>
      <c r="D381" s="320"/>
      <c r="E381" s="320"/>
      <c r="F381" s="320"/>
      <c r="G381" s="320"/>
      <c r="H381" s="320"/>
      <c r="I381" s="320"/>
      <c r="J381" s="320"/>
      <c r="K381" s="320"/>
      <c r="L381" s="320"/>
      <c r="M381" s="320"/>
      <c r="N381" s="320"/>
      <c r="O381" s="320"/>
      <c r="P381" s="320"/>
      <c r="Q381" s="320"/>
      <c r="R381" s="320"/>
      <c r="S381" s="320"/>
      <c r="T381" s="320"/>
    </row>
    <row r="382">
      <c r="A382" s="362" t="str">
        <f>IFERROR(__xludf.DUMMYFUNCTION("""COMPUTED_VALUE"""),"Enchantment Ender Slayer 7")</f>
        <v>Enchantment Ender Slayer 7</v>
      </c>
      <c r="B382" s="373">
        <f>IFERROR(__xludf.DUMMYFUNCTION("""COMPUTED_VALUE"""),8.206847085E7)</f>
        <v>82068470.85</v>
      </c>
      <c r="C382" s="320"/>
      <c r="D382" s="320"/>
      <c r="E382" s="320"/>
      <c r="F382" s="320"/>
      <c r="G382" s="320"/>
      <c r="H382" s="320"/>
      <c r="I382" s="320"/>
      <c r="J382" s="320"/>
      <c r="K382" s="320"/>
      <c r="L382" s="320"/>
      <c r="M382" s="320"/>
      <c r="N382" s="320"/>
      <c r="O382" s="320"/>
      <c r="P382" s="320"/>
      <c r="Q382" s="320"/>
      <c r="R382" s="320"/>
      <c r="S382" s="320"/>
      <c r="T382" s="320"/>
    </row>
    <row r="383">
      <c r="A383" s="362" t="str">
        <f>IFERROR(__xludf.DUMMYFUNCTION("""COMPUTED_VALUE"""),"Enchantment Execute 1")</f>
        <v>Enchantment Execute 1</v>
      </c>
      <c r="B383" s="373"/>
      <c r="C383" s="320"/>
      <c r="D383" s="320"/>
      <c r="E383" s="320"/>
      <c r="F383" s="320"/>
      <c r="G383" s="320"/>
      <c r="H383" s="320"/>
      <c r="I383" s="320"/>
      <c r="J383" s="320"/>
      <c r="K383" s="320"/>
      <c r="L383" s="320"/>
      <c r="M383" s="320"/>
      <c r="N383" s="320"/>
      <c r="O383" s="320"/>
      <c r="P383" s="320"/>
      <c r="Q383" s="320"/>
      <c r="R383" s="320"/>
      <c r="S383" s="320"/>
      <c r="T383" s="320"/>
    </row>
    <row r="384">
      <c r="A384" s="362" t="str">
        <f>IFERROR(__xludf.DUMMYFUNCTION("""COMPUTED_VALUE"""),"Enchantment Execute 2")</f>
        <v>Enchantment Execute 2</v>
      </c>
      <c r="B384" s="373"/>
      <c r="C384" s="320"/>
      <c r="D384" s="320"/>
      <c r="E384" s="320"/>
      <c r="F384" s="320"/>
      <c r="G384" s="320"/>
      <c r="H384" s="320"/>
      <c r="I384" s="320"/>
      <c r="J384" s="320"/>
      <c r="K384" s="320"/>
      <c r="L384" s="320"/>
      <c r="M384" s="320"/>
      <c r="N384" s="320"/>
      <c r="O384" s="320"/>
      <c r="P384" s="320"/>
      <c r="Q384" s="320"/>
      <c r="R384" s="320"/>
      <c r="S384" s="320"/>
      <c r="T384" s="320"/>
    </row>
    <row r="385">
      <c r="A385" s="362" t="str">
        <f>IFERROR(__xludf.DUMMYFUNCTION("""COMPUTED_VALUE"""),"Enchantment Execute 3")</f>
        <v>Enchantment Execute 3</v>
      </c>
      <c r="B385" s="373"/>
      <c r="C385" s="320"/>
      <c r="D385" s="320"/>
      <c r="E385" s="320"/>
      <c r="F385" s="320"/>
      <c r="G385" s="320"/>
      <c r="H385" s="320"/>
      <c r="I385" s="320"/>
      <c r="J385" s="320"/>
      <c r="K385" s="320"/>
      <c r="L385" s="320"/>
      <c r="M385" s="320"/>
      <c r="N385" s="320"/>
      <c r="O385" s="320"/>
      <c r="P385" s="320"/>
      <c r="Q385" s="320"/>
      <c r="R385" s="320"/>
      <c r="S385" s="320"/>
      <c r="T385" s="320"/>
    </row>
    <row r="386">
      <c r="A386" s="362" t="str">
        <f>IFERROR(__xludf.DUMMYFUNCTION("""COMPUTED_VALUE"""),"Enchantment Execute 4")</f>
        <v>Enchantment Execute 4</v>
      </c>
      <c r="B386" s="373"/>
      <c r="C386" s="320"/>
      <c r="D386" s="320"/>
      <c r="E386" s="320"/>
      <c r="F386" s="320"/>
      <c r="G386" s="320"/>
      <c r="H386" s="320"/>
      <c r="I386" s="320"/>
      <c r="J386" s="320"/>
      <c r="K386" s="320"/>
      <c r="L386" s="320"/>
      <c r="M386" s="320"/>
      <c r="N386" s="320"/>
      <c r="O386" s="320"/>
      <c r="P386" s="320"/>
      <c r="Q386" s="320"/>
      <c r="R386" s="320"/>
      <c r="S386" s="320"/>
      <c r="T386" s="320"/>
    </row>
    <row r="387">
      <c r="A387" s="362" t="str">
        <f>IFERROR(__xludf.DUMMYFUNCTION("""COMPUTED_VALUE"""),"Enchantment Execute 5")</f>
        <v>Enchantment Execute 5</v>
      </c>
      <c r="B387" s="373"/>
      <c r="C387" s="320"/>
      <c r="D387" s="320"/>
      <c r="E387" s="320"/>
      <c r="F387" s="320"/>
      <c r="G387" s="320"/>
      <c r="H387" s="320"/>
      <c r="I387" s="320"/>
      <c r="J387" s="320"/>
      <c r="K387" s="320"/>
      <c r="L387" s="320"/>
      <c r="M387" s="320"/>
      <c r="N387" s="320"/>
      <c r="O387" s="320"/>
      <c r="P387" s="320"/>
      <c r="Q387" s="320"/>
      <c r="R387" s="320"/>
      <c r="S387" s="320"/>
      <c r="T387" s="320"/>
    </row>
    <row r="388">
      <c r="A388" s="362" t="str">
        <f>IFERROR(__xludf.DUMMYFUNCTION("""COMPUTED_VALUE"""),"Enchantment Execute 6")</f>
        <v>Enchantment Execute 6</v>
      </c>
      <c r="B388" s="373">
        <f>IFERROR(__xludf.DUMMYFUNCTION("""COMPUTED_VALUE"""),4.36412856E7)</f>
        <v>43641285.6</v>
      </c>
      <c r="C388" s="320"/>
      <c r="D388" s="320"/>
      <c r="E388" s="320"/>
      <c r="F388" s="320"/>
      <c r="G388" s="320"/>
      <c r="H388" s="320"/>
      <c r="I388" s="320"/>
      <c r="J388" s="320"/>
      <c r="K388" s="320"/>
      <c r="L388" s="320"/>
      <c r="M388" s="320"/>
      <c r="N388" s="320"/>
      <c r="O388" s="320"/>
      <c r="P388" s="320"/>
      <c r="Q388" s="320"/>
      <c r="R388" s="320"/>
      <c r="S388" s="320"/>
      <c r="T388" s="320"/>
    </row>
    <row r="389">
      <c r="A389" s="362" t="str">
        <f>IFERROR(__xludf.DUMMYFUNCTION("""COMPUTED_VALUE"""),"Enchantment Experience 1")</f>
        <v>Enchantment Experience 1</v>
      </c>
      <c r="B389" s="373"/>
      <c r="C389" s="320"/>
      <c r="D389" s="320"/>
      <c r="E389" s="320"/>
      <c r="F389" s="320"/>
      <c r="G389" s="320"/>
      <c r="H389" s="320"/>
      <c r="I389" s="320"/>
      <c r="J389" s="320"/>
      <c r="K389" s="320"/>
      <c r="L389" s="320"/>
      <c r="M389" s="320"/>
      <c r="N389" s="320"/>
      <c r="O389" s="320"/>
      <c r="P389" s="320"/>
      <c r="Q389" s="320"/>
      <c r="R389" s="320"/>
      <c r="S389" s="320"/>
      <c r="T389" s="320"/>
    </row>
    <row r="390">
      <c r="A390" s="362" t="str">
        <f>IFERROR(__xludf.DUMMYFUNCTION("""COMPUTED_VALUE"""),"Enchantment Experience 2")</f>
        <v>Enchantment Experience 2</v>
      </c>
      <c r="B390" s="373"/>
      <c r="C390" s="320"/>
      <c r="D390" s="320"/>
      <c r="E390" s="320"/>
      <c r="F390" s="320"/>
      <c r="G390" s="320"/>
      <c r="H390" s="320"/>
      <c r="I390" s="320"/>
      <c r="J390" s="320"/>
      <c r="K390" s="320"/>
      <c r="L390" s="320"/>
      <c r="M390" s="320"/>
      <c r="N390" s="320"/>
      <c r="O390" s="320"/>
      <c r="P390" s="320"/>
      <c r="Q390" s="320"/>
      <c r="R390" s="320"/>
      <c r="S390" s="320"/>
      <c r="T390" s="320"/>
    </row>
    <row r="391">
      <c r="A391" s="362" t="str">
        <f>IFERROR(__xludf.DUMMYFUNCTION("""COMPUTED_VALUE"""),"Enchantment Experience 3")</f>
        <v>Enchantment Experience 3</v>
      </c>
      <c r="B391" s="373"/>
      <c r="C391" s="320"/>
      <c r="D391" s="320"/>
      <c r="E391" s="320"/>
      <c r="F391" s="320"/>
      <c r="G391" s="320"/>
      <c r="H391" s="320"/>
      <c r="I391" s="320"/>
      <c r="J391" s="320"/>
      <c r="K391" s="320"/>
      <c r="L391" s="320"/>
      <c r="M391" s="320"/>
      <c r="N391" s="320"/>
      <c r="O391" s="320"/>
      <c r="P391" s="320"/>
      <c r="Q391" s="320"/>
      <c r="R391" s="320"/>
      <c r="S391" s="320"/>
      <c r="T391" s="320"/>
    </row>
    <row r="392">
      <c r="A392" s="362" t="str">
        <f>IFERROR(__xludf.DUMMYFUNCTION("""COMPUTED_VALUE"""),"Enchantment Experience 4")</f>
        <v>Enchantment Experience 4</v>
      </c>
      <c r="B392" s="373">
        <f>IFERROR(__xludf.DUMMYFUNCTION("""COMPUTED_VALUE"""),407648.8)</f>
        <v>407648.8</v>
      </c>
      <c r="C392" s="320"/>
      <c r="D392" s="320"/>
      <c r="E392" s="320"/>
      <c r="F392" s="320"/>
      <c r="G392" s="320"/>
      <c r="H392" s="320"/>
      <c r="I392" s="320"/>
      <c r="J392" s="320"/>
      <c r="K392" s="320"/>
      <c r="L392" s="320"/>
      <c r="M392" s="320"/>
      <c r="N392" s="320"/>
      <c r="O392" s="320"/>
      <c r="P392" s="320"/>
      <c r="Q392" s="320"/>
      <c r="R392" s="320"/>
      <c r="S392" s="320"/>
      <c r="T392" s="320"/>
    </row>
    <row r="393">
      <c r="A393" s="362" t="str">
        <f>IFERROR(__xludf.DUMMYFUNCTION("""COMPUTED_VALUE"""),"Enchantment Experience 5")</f>
        <v>Enchantment Experience 5</v>
      </c>
      <c r="B393" s="373">
        <f>IFERROR(__xludf.DUMMYFUNCTION("""COMPUTED_VALUE"""),2.049989967E7)</f>
        <v>20499899.67</v>
      </c>
      <c r="C393" s="320"/>
      <c r="D393" s="320"/>
      <c r="E393" s="320"/>
      <c r="F393" s="320"/>
      <c r="G393" s="320"/>
      <c r="H393" s="320"/>
      <c r="I393" s="320"/>
      <c r="J393" s="320"/>
      <c r="K393" s="320"/>
      <c r="L393" s="320"/>
      <c r="M393" s="320"/>
      <c r="N393" s="320"/>
      <c r="O393" s="320"/>
      <c r="P393" s="320"/>
      <c r="Q393" s="320"/>
      <c r="R393" s="320"/>
      <c r="S393" s="320"/>
      <c r="T393" s="320"/>
    </row>
    <row r="394">
      <c r="A394" s="362" t="str">
        <f>IFERROR(__xludf.DUMMYFUNCTION("""COMPUTED_VALUE"""),"Enchantment Expertise 1")</f>
        <v>Enchantment Expertise 1</v>
      </c>
      <c r="B394" s="373">
        <f>IFERROR(__xludf.DUMMYFUNCTION("""COMPUTED_VALUE"""),4745542.7)</f>
        <v>4745542.7</v>
      </c>
      <c r="C394" s="320"/>
      <c r="D394" s="320"/>
      <c r="E394" s="320"/>
      <c r="F394" s="320"/>
      <c r="G394" s="320"/>
      <c r="H394" s="320"/>
      <c r="I394" s="320"/>
      <c r="J394" s="320"/>
      <c r="K394" s="320"/>
      <c r="L394" s="320"/>
      <c r="M394" s="320"/>
      <c r="N394" s="320"/>
      <c r="O394" s="320"/>
      <c r="P394" s="320"/>
      <c r="Q394" s="320"/>
      <c r="R394" s="320"/>
      <c r="S394" s="320"/>
      <c r="T394" s="320"/>
    </row>
    <row r="395">
      <c r="A395" s="362" t="str">
        <f>IFERROR(__xludf.DUMMYFUNCTION("""COMPUTED_VALUE"""),"Enchantment Expertise 10")</f>
        <v>Enchantment Expertise 10</v>
      </c>
      <c r="B395" s="373"/>
      <c r="C395" s="320"/>
      <c r="D395" s="320"/>
      <c r="E395" s="320"/>
      <c r="F395" s="320"/>
      <c r="G395" s="320"/>
      <c r="H395" s="320"/>
      <c r="I395" s="320"/>
      <c r="J395" s="320"/>
      <c r="K395" s="320"/>
      <c r="L395" s="320"/>
      <c r="M395" s="320"/>
      <c r="N395" s="320"/>
      <c r="O395" s="320"/>
      <c r="P395" s="320"/>
      <c r="Q395" s="320"/>
      <c r="R395" s="320"/>
      <c r="S395" s="320"/>
      <c r="T395" s="320"/>
    </row>
    <row r="396">
      <c r="A396" s="362" t="str">
        <f>IFERROR(__xludf.DUMMYFUNCTION("""COMPUTED_VALUE"""),"Enchantment Expertise 2")</f>
        <v>Enchantment Expertise 2</v>
      </c>
      <c r="B396" s="373"/>
      <c r="C396" s="320"/>
      <c r="D396" s="320"/>
      <c r="E396" s="320"/>
      <c r="F396" s="320"/>
      <c r="G396" s="320"/>
      <c r="H396" s="320"/>
      <c r="I396" s="320"/>
      <c r="J396" s="320"/>
      <c r="K396" s="320"/>
      <c r="L396" s="320"/>
      <c r="M396" s="320"/>
      <c r="N396" s="320"/>
      <c r="O396" s="320"/>
      <c r="P396" s="320"/>
      <c r="Q396" s="320"/>
      <c r="R396" s="320"/>
      <c r="S396" s="320"/>
      <c r="T396" s="320"/>
    </row>
    <row r="397">
      <c r="A397" s="362" t="str">
        <f>IFERROR(__xludf.DUMMYFUNCTION("""COMPUTED_VALUE"""),"Enchantment Expertise 3")</f>
        <v>Enchantment Expertise 3</v>
      </c>
      <c r="B397" s="373"/>
      <c r="C397" s="320"/>
      <c r="D397" s="320"/>
      <c r="E397" s="320"/>
      <c r="F397" s="320"/>
      <c r="G397" s="320"/>
      <c r="H397" s="320"/>
      <c r="I397" s="320"/>
      <c r="J397" s="320"/>
      <c r="K397" s="320"/>
      <c r="L397" s="320"/>
      <c r="M397" s="320"/>
      <c r="N397" s="320"/>
      <c r="O397" s="320"/>
      <c r="P397" s="320"/>
      <c r="Q397" s="320"/>
      <c r="R397" s="320"/>
      <c r="S397" s="320"/>
      <c r="T397" s="320"/>
    </row>
    <row r="398">
      <c r="A398" s="362" t="str">
        <f>IFERROR(__xludf.DUMMYFUNCTION("""COMPUTED_VALUE"""),"Enchantment Expertise 4")</f>
        <v>Enchantment Expertise 4</v>
      </c>
      <c r="B398" s="373"/>
      <c r="C398" s="320"/>
      <c r="D398" s="320"/>
      <c r="E398" s="320"/>
      <c r="F398" s="320"/>
      <c r="G398" s="320"/>
      <c r="H398" s="320"/>
      <c r="I398" s="320"/>
      <c r="J398" s="320"/>
      <c r="K398" s="320"/>
      <c r="L398" s="320"/>
      <c r="M398" s="320"/>
      <c r="N398" s="320"/>
      <c r="O398" s="320"/>
      <c r="P398" s="320"/>
      <c r="Q398" s="320"/>
      <c r="R398" s="320"/>
      <c r="S398" s="320"/>
      <c r="T398" s="320"/>
    </row>
    <row r="399">
      <c r="A399" s="362" t="str">
        <f>IFERROR(__xludf.DUMMYFUNCTION("""COMPUTED_VALUE"""),"Enchantment Expertise 5")</f>
        <v>Enchantment Expertise 5</v>
      </c>
      <c r="B399" s="373"/>
      <c r="C399" s="320"/>
      <c r="D399" s="320"/>
      <c r="E399" s="320"/>
      <c r="F399" s="320"/>
      <c r="G399" s="320"/>
      <c r="H399" s="320"/>
      <c r="I399" s="320"/>
      <c r="J399" s="320"/>
      <c r="K399" s="320"/>
      <c r="L399" s="320"/>
      <c r="M399" s="320"/>
      <c r="N399" s="320"/>
      <c r="O399" s="320"/>
      <c r="P399" s="320"/>
      <c r="Q399" s="320"/>
      <c r="R399" s="320"/>
      <c r="S399" s="320"/>
      <c r="T399" s="320"/>
    </row>
    <row r="400">
      <c r="A400" s="362" t="str">
        <f>IFERROR(__xludf.DUMMYFUNCTION("""COMPUTED_VALUE"""),"Enchantment Expertise 6")</f>
        <v>Enchantment Expertise 6</v>
      </c>
      <c r="B400" s="373"/>
      <c r="C400" s="320"/>
      <c r="D400" s="320"/>
      <c r="E400" s="320"/>
      <c r="F400" s="320"/>
      <c r="G400" s="320"/>
      <c r="H400" s="320"/>
      <c r="I400" s="320"/>
      <c r="J400" s="320"/>
      <c r="K400" s="320"/>
      <c r="L400" s="320"/>
      <c r="M400" s="320"/>
      <c r="N400" s="320"/>
      <c r="O400" s="320"/>
      <c r="P400" s="320"/>
      <c r="Q400" s="320"/>
      <c r="R400" s="320"/>
      <c r="S400" s="320"/>
      <c r="T400" s="320"/>
    </row>
    <row r="401">
      <c r="A401" s="362" t="str">
        <f>IFERROR(__xludf.DUMMYFUNCTION("""COMPUTED_VALUE"""),"Enchantment Expertise 7")</f>
        <v>Enchantment Expertise 7</v>
      </c>
      <c r="B401" s="373"/>
      <c r="C401" s="320"/>
      <c r="D401" s="320"/>
      <c r="E401" s="320"/>
      <c r="F401" s="320"/>
      <c r="G401" s="320"/>
      <c r="H401" s="320"/>
      <c r="I401" s="320"/>
      <c r="J401" s="320"/>
      <c r="K401" s="320"/>
      <c r="L401" s="320"/>
      <c r="M401" s="320"/>
      <c r="N401" s="320"/>
      <c r="O401" s="320"/>
      <c r="P401" s="320"/>
      <c r="Q401" s="320"/>
      <c r="R401" s="320"/>
      <c r="S401" s="320"/>
      <c r="T401" s="320"/>
    </row>
    <row r="402">
      <c r="A402" s="362" t="str">
        <f>IFERROR(__xludf.DUMMYFUNCTION("""COMPUTED_VALUE"""),"Enchantment Expertise 8")</f>
        <v>Enchantment Expertise 8</v>
      </c>
      <c r="B402" s="373"/>
      <c r="C402" s="320"/>
      <c r="D402" s="320"/>
      <c r="E402" s="320"/>
      <c r="F402" s="320"/>
      <c r="G402" s="320"/>
      <c r="H402" s="320"/>
      <c r="I402" s="320"/>
      <c r="J402" s="320"/>
      <c r="K402" s="320"/>
      <c r="L402" s="320"/>
      <c r="M402" s="320"/>
      <c r="N402" s="320"/>
      <c r="O402" s="320"/>
      <c r="P402" s="320"/>
      <c r="Q402" s="320"/>
      <c r="R402" s="320"/>
      <c r="S402" s="320"/>
      <c r="T402" s="320"/>
    </row>
    <row r="403">
      <c r="A403" s="362" t="str">
        <f>IFERROR(__xludf.DUMMYFUNCTION("""COMPUTED_VALUE"""),"Enchantment Expertise 9")</f>
        <v>Enchantment Expertise 9</v>
      </c>
      <c r="B403" s="373"/>
      <c r="C403" s="320"/>
      <c r="D403" s="320"/>
      <c r="E403" s="320"/>
      <c r="F403" s="320"/>
      <c r="G403" s="320"/>
      <c r="H403" s="320"/>
      <c r="I403" s="320"/>
      <c r="J403" s="320"/>
      <c r="K403" s="320"/>
      <c r="L403" s="320"/>
      <c r="M403" s="320"/>
      <c r="N403" s="320"/>
      <c r="O403" s="320"/>
      <c r="P403" s="320"/>
      <c r="Q403" s="320"/>
      <c r="R403" s="320"/>
      <c r="S403" s="320"/>
      <c r="T403" s="320"/>
    </row>
    <row r="404">
      <c r="A404" s="362" t="str">
        <f>IFERROR(__xludf.DUMMYFUNCTION("""COMPUTED_VALUE"""),"Enchantment Feather Falling 1")</f>
        <v>Enchantment Feather Falling 1</v>
      </c>
      <c r="B404" s="373"/>
      <c r="C404" s="320"/>
      <c r="D404" s="320"/>
      <c r="E404" s="320"/>
      <c r="F404" s="320"/>
      <c r="G404" s="320"/>
      <c r="H404" s="320"/>
      <c r="I404" s="320"/>
      <c r="J404" s="320"/>
      <c r="K404" s="320"/>
      <c r="L404" s="320"/>
      <c r="M404" s="320"/>
      <c r="N404" s="320"/>
      <c r="O404" s="320"/>
      <c r="P404" s="320"/>
      <c r="Q404" s="320"/>
      <c r="R404" s="320"/>
      <c r="S404" s="320"/>
      <c r="T404" s="320"/>
    </row>
    <row r="405">
      <c r="A405" s="362" t="str">
        <f>IFERROR(__xludf.DUMMYFUNCTION("""COMPUTED_VALUE"""),"Enchantment Feather Falling 10")</f>
        <v>Enchantment Feather Falling 10</v>
      </c>
      <c r="B405" s="373">
        <f>IFERROR(__xludf.DUMMYFUNCTION("""COMPUTED_VALUE"""),27499.35)</f>
        <v>27499.35</v>
      </c>
      <c r="C405" s="320"/>
      <c r="D405" s="320"/>
      <c r="E405" s="320"/>
      <c r="F405" s="320"/>
      <c r="G405" s="320"/>
      <c r="H405" s="320"/>
      <c r="I405" s="320"/>
      <c r="J405" s="320"/>
      <c r="K405" s="320"/>
      <c r="L405" s="320"/>
      <c r="M405" s="320"/>
      <c r="N405" s="320"/>
      <c r="O405" s="320"/>
      <c r="P405" s="320"/>
      <c r="Q405" s="320"/>
      <c r="R405" s="320"/>
      <c r="S405" s="320"/>
      <c r="T405" s="320"/>
    </row>
    <row r="406">
      <c r="A406" s="362" t="str">
        <f>IFERROR(__xludf.DUMMYFUNCTION("""COMPUTED_VALUE"""),"Enchantment Feather Falling 2")</f>
        <v>Enchantment Feather Falling 2</v>
      </c>
      <c r="B406" s="373"/>
      <c r="C406" s="320"/>
      <c r="D406" s="320"/>
      <c r="E406" s="320"/>
      <c r="F406" s="320"/>
      <c r="G406" s="320"/>
      <c r="H406" s="320"/>
      <c r="I406" s="320"/>
      <c r="J406" s="320"/>
      <c r="K406" s="320"/>
      <c r="L406" s="320"/>
      <c r="M406" s="320"/>
      <c r="N406" s="320"/>
      <c r="O406" s="320"/>
      <c r="P406" s="320"/>
      <c r="Q406" s="320"/>
      <c r="R406" s="320"/>
      <c r="S406" s="320"/>
      <c r="T406" s="320"/>
    </row>
    <row r="407">
      <c r="A407" s="362" t="str">
        <f>IFERROR(__xludf.DUMMYFUNCTION("""COMPUTED_VALUE"""),"Enchantment Feather Falling 20")</f>
        <v>Enchantment Feather Falling 20</v>
      </c>
      <c r="B407" s="373"/>
      <c r="C407" s="320"/>
      <c r="D407" s="320"/>
      <c r="E407" s="320"/>
      <c r="F407" s="320"/>
      <c r="G407" s="320"/>
      <c r="H407" s="320"/>
      <c r="I407" s="320"/>
      <c r="J407" s="320"/>
      <c r="K407" s="320"/>
      <c r="L407" s="320"/>
      <c r="M407" s="320"/>
      <c r="N407" s="320"/>
      <c r="O407" s="320"/>
      <c r="P407" s="320"/>
      <c r="Q407" s="320"/>
      <c r="R407" s="320"/>
      <c r="S407" s="320"/>
      <c r="T407" s="320"/>
    </row>
    <row r="408">
      <c r="A408" s="362" t="str">
        <f>IFERROR(__xludf.DUMMYFUNCTION("""COMPUTED_VALUE"""),"Enchantment Feather Falling 3")</f>
        <v>Enchantment Feather Falling 3</v>
      </c>
      <c r="B408" s="373"/>
      <c r="C408" s="320"/>
      <c r="D408" s="320"/>
      <c r="E408" s="320"/>
      <c r="F408" s="320"/>
      <c r="G408" s="320"/>
      <c r="H408" s="320"/>
      <c r="I408" s="320"/>
      <c r="J408" s="320"/>
      <c r="K408" s="320"/>
      <c r="L408" s="320"/>
      <c r="M408" s="320"/>
      <c r="N408" s="320"/>
      <c r="O408" s="320"/>
      <c r="P408" s="320"/>
      <c r="Q408" s="320"/>
      <c r="R408" s="320"/>
      <c r="S408" s="320"/>
      <c r="T408" s="320"/>
    </row>
    <row r="409">
      <c r="A409" s="362" t="str">
        <f>IFERROR(__xludf.DUMMYFUNCTION("""COMPUTED_VALUE"""),"Enchantment Feather Falling 4")</f>
        <v>Enchantment Feather Falling 4</v>
      </c>
      <c r="B409" s="373"/>
      <c r="C409" s="320"/>
      <c r="D409" s="320"/>
      <c r="E409" s="320"/>
      <c r="F409" s="320"/>
      <c r="G409" s="320"/>
      <c r="H409" s="320"/>
      <c r="I409" s="320"/>
      <c r="J409" s="320"/>
      <c r="K409" s="320"/>
      <c r="L409" s="320"/>
      <c r="M409" s="320"/>
      <c r="N409" s="320"/>
      <c r="O409" s="320"/>
      <c r="P409" s="320"/>
      <c r="Q409" s="320"/>
      <c r="R409" s="320"/>
      <c r="S409" s="320"/>
      <c r="T409" s="320"/>
    </row>
    <row r="410">
      <c r="A410" s="362" t="str">
        <f>IFERROR(__xludf.DUMMYFUNCTION("""COMPUTED_VALUE"""),"Enchantment Feather Falling 5")</f>
        <v>Enchantment Feather Falling 5</v>
      </c>
      <c r="B410" s="373"/>
      <c r="C410" s="320"/>
      <c r="D410" s="320"/>
      <c r="E410" s="320"/>
      <c r="F410" s="320"/>
      <c r="G410" s="320"/>
      <c r="H410" s="320"/>
      <c r="I410" s="320"/>
      <c r="J410" s="320"/>
      <c r="K410" s="320"/>
      <c r="L410" s="320"/>
      <c r="M410" s="320"/>
      <c r="N410" s="320"/>
      <c r="O410" s="320"/>
      <c r="P410" s="320"/>
      <c r="Q410" s="320"/>
      <c r="R410" s="320"/>
      <c r="S410" s="320"/>
      <c r="T410" s="320"/>
    </row>
    <row r="411">
      <c r="A411" s="362" t="str">
        <f>IFERROR(__xludf.DUMMYFUNCTION("""COMPUTED_VALUE"""),"Enchantment Feather Falling 6")</f>
        <v>Enchantment Feather Falling 6</v>
      </c>
      <c r="B411" s="373">
        <f>IFERROR(__xludf.DUMMYFUNCTION("""COMPUTED_VALUE"""),20.1)</f>
        <v>20.1</v>
      </c>
      <c r="C411" s="320"/>
      <c r="D411" s="320"/>
      <c r="E411" s="320"/>
      <c r="F411" s="320"/>
      <c r="G411" s="320"/>
      <c r="H411" s="320"/>
      <c r="I411" s="320"/>
      <c r="J411" s="320"/>
      <c r="K411" s="320"/>
      <c r="L411" s="320"/>
      <c r="M411" s="320"/>
      <c r="N411" s="320"/>
      <c r="O411" s="320"/>
      <c r="P411" s="320"/>
      <c r="Q411" s="320"/>
      <c r="R411" s="320"/>
      <c r="S411" s="320"/>
      <c r="T411" s="320"/>
    </row>
    <row r="412">
      <c r="A412" s="362" t="str">
        <f>IFERROR(__xludf.DUMMYFUNCTION("""COMPUTED_VALUE"""),"Enchantment Feather Falling 7")</f>
        <v>Enchantment Feather Falling 7</v>
      </c>
      <c r="B412" s="373">
        <f>IFERROR(__xludf.DUMMYFUNCTION("""COMPUTED_VALUE"""),803.05)</f>
        <v>803.05</v>
      </c>
      <c r="C412" s="320"/>
      <c r="D412" s="320"/>
      <c r="E412" s="320"/>
      <c r="F412" s="320"/>
      <c r="G412" s="320"/>
      <c r="H412" s="320"/>
      <c r="I412" s="320"/>
      <c r="J412" s="320"/>
      <c r="K412" s="320"/>
      <c r="L412" s="320"/>
      <c r="M412" s="320"/>
      <c r="N412" s="320"/>
      <c r="O412" s="320"/>
      <c r="P412" s="320"/>
      <c r="Q412" s="320"/>
      <c r="R412" s="320"/>
      <c r="S412" s="320"/>
      <c r="T412" s="320"/>
    </row>
    <row r="413">
      <c r="A413" s="362" t="str">
        <f>IFERROR(__xludf.DUMMYFUNCTION("""COMPUTED_VALUE"""),"Enchantment Feather Falling 8")</f>
        <v>Enchantment Feather Falling 8</v>
      </c>
      <c r="B413" s="373">
        <f>IFERROR(__xludf.DUMMYFUNCTION("""COMPUTED_VALUE"""),16079.95)</f>
        <v>16079.95</v>
      </c>
      <c r="C413" s="320"/>
      <c r="D413" s="320"/>
      <c r="E413" s="320"/>
      <c r="F413" s="320"/>
      <c r="G413" s="320"/>
      <c r="H413" s="320"/>
      <c r="I413" s="320"/>
      <c r="J413" s="320"/>
      <c r="K413" s="320"/>
      <c r="L413" s="320"/>
      <c r="M413" s="320"/>
      <c r="N413" s="320"/>
      <c r="O413" s="320"/>
      <c r="P413" s="320"/>
      <c r="Q413" s="320"/>
      <c r="R413" s="320"/>
      <c r="S413" s="320"/>
      <c r="T413" s="320"/>
    </row>
    <row r="414">
      <c r="A414" s="362" t="str">
        <f>IFERROR(__xludf.DUMMYFUNCTION("""COMPUTED_VALUE"""),"Enchantment Feather Falling 9")</f>
        <v>Enchantment Feather Falling 9</v>
      </c>
      <c r="B414" s="373">
        <f>IFERROR(__xludf.DUMMYFUNCTION("""COMPUTED_VALUE"""),68050.4)</f>
        <v>68050.4</v>
      </c>
      <c r="C414" s="320"/>
      <c r="D414" s="320"/>
      <c r="E414" s="320"/>
      <c r="F414" s="320"/>
      <c r="G414" s="320"/>
      <c r="H414" s="320"/>
      <c r="I414" s="320"/>
      <c r="J414" s="320"/>
      <c r="K414" s="320"/>
      <c r="L414" s="320"/>
      <c r="M414" s="320"/>
      <c r="N414" s="320"/>
      <c r="O414" s="320"/>
      <c r="P414" s="320"/>
      <c r="Q414" s="320"/>
      <c r="R414" s="320"/>
      <c r="S414" s="320"/>
      <c r="T414" s="320"/>
    </row>
    <row r="415">
      <c r="A415" s="362" t="str">
        <f>IFERROR(__xludf.DUMMYFUNCTION("""COMPUTED_VALUE"""),"Enchantment Ferocious Mana 1")</f>
        <v>Enchantment Ferocious Mana 1</v>
      </c>
      <c r="B415" s="373">
        <f>IFERROR(__xludf.DUMMYFUNCTION("""COMPUTED_VALUE"""),126063.2)</f>
        <v>126063.2</v>
      </c>
      <c r="C415" s="320"/>
      <c r="D415" s="320"/>
      <c r="E415" s="320"/>
      <c r="F415" s="320"/>
      <c r="G415" s="320"/>
      <c r="H415" s="320"/>
      <c r="I415" s="320"/>
      <c r="J415" s="320"/>
      <c r="K415" s="320"/>
      <c r="L415" s="320"/>
      <c r="M415" s="320"/>
      <c r="N415" s="320"/>
      <c r="O415" s="320"/>
      <c r="P415" s="320"/>
      <c r="Q415" s="320"/>
      <c r="R415" s="320"/>
      <c r="S415" s="320"/>
      <c r="T415" s="320"/>
    </row>
    <row r="416">
      <c r="A416" s="362" t="str">
        <f>IFERROR(__xludf.DUMMYFUNCTION("""COMPUTED_VALUE"""),"Enchantment Ferocious Mana 10")</f>
        <v>Enchantment Ferocious Mana 10</v>
      </c>
      <c r="B416" s="373">
        <f>IFERROR(__xludf.DUMMYFUNCTION("""COMPUTED_VALUE"""),5.444998595E7)</f>
        <v>54449985.95</v>
      </c>
      <c r="C416" s="320"/>
      <c r="D416" s="320"/>
      <c r="E416" s="320"/>
      <c r="F416" s="320"/>
      <c r="G416" s="320"/>
      <c r="H416" s="320"/>
      <c r="I416" s="320"/>
      <c r="J416" s="320"/>
      <c r="K416" s="320"/>
      <c r="L416" s="320"/>
      <c r="M416" s="320"/>
      <c r="N416" s="320"/>
      <c r="O416" s="320"/>
      <c r="P416" s="320"/>
      <c r="Q416" s="320"/>
      <c r="R416" s="320"/>
      <c r="S416" s="320"/>
      <c r="T416" s="320"/>
    </row>
    <row r="417">
      <c r="A417" s="362" t="str">
        <f>IFERROR(__xludf.DUMMYFUNCTION("""COMPUTED_VALUE"""),"Enchantment Ferocious Mana 2")</f>
        <v>Enchantment Ferocious Mana 2</v>
      </c>
      <c r="B417" s="373">
        <f>IFERROR(__xludf.DUMMYFUNCTION("""COMPUTED_VALUE"""),138322.619)</f>
        <v>138322.619</v>
      </c>
      <c r="C417" s="320"/>
      <c r="D417" s="320"/>
      <c r="E417" s="320"/>
      <c r="F417" s="320"/>
      <c r="G417" s="320"/>
      <c r="H417" s="320"/>
      <c r="I417" s="320"/>
      <c r="J417" s="320"/>
      <c r="K417" s="320"/>
      <c r="L417" s="320"/>
      <c r="M417" s="320"/>
      <c r="N417" s="320"/>
      <c r="O417" s="320"/>
      <c r="P417" s="320"/>
      <c r="Q417" s="320"/>
      <c r="R417" s="320"/>
      <c r="S417" s="320"/>
      <c r="T417" s="320"/>
    </row>
    <row r="418">
      <c r="A418" s="362" t="str">
        <f>IFERROR(__xludf.DUMMYFUNCTION("""COMPUTED_VALUE"""),"Enchantment Ferocious Mana 3")</f>
        <v>Enchantment Ferocious Mana 3</v>
      </c>
      <c r="B418" s="373">
        <f>IFERROR(__xludf.DUMMYFUNCTION("""COMPUTED_VALUE"""),269382.75)</f>
        <v>269382.75</v>
      </c>
      <c r="C418" s="320"/>
      <c r="D418" s="320"/>
      <c r="E418" s="320"/>
      <c r="F418" s="320"/>
      <c r="G418" s="320"/>
      <c r="H418" s="320"/>
      <c r="I418" s="320"/>
      <c r="J418" s="320"/>
      <c r="K418" s="320"/>
      <c r="L418" s="320"/>
      <c r="M418" s="320"/>
      <c r="N418" s="320"/>
      <c r="O418" s="320"/>
      <c r="P418" s="320"/>
      <c r="Q418" s="320"/>
      <c r="R418" s="320"/>
      <c r="S418" s="320"/>
      <c r="T418" s="320"/>
    </row>
    <row r="419">
      <c r="A419" s="362" t="str">
        <f>IFERROR(__xludf.DUMMYFUNCTION("""COMPUTED_VALUE"""),"Enchantment Ferocious Mana 4")</f>
        <v>Enchantment Ferocious Mana 4</v>
      </c>
      <c r="B419" s="373">
        <f>IFERROR(__xludf.DUMMYFUNCTION("""COMPUTED_VALUE"""),542276.1)</f>
        <v>542276.1</v>
      </c>
      <c r="C419" s="320"/>
      <c r="D419" s="320"/>
      <c r="E419" s="320"/>
      <c r="F419" s="320"/>
      <c r="G419" s="320"/>
      <c r="H419" s="320"/>
      <c r="I419" s="320"/>
      <c r="J419" s="320"/>
      <c r="K419" s="320"/>
      <c r="L419" s="320"/>
      <c r="M419" s="320"/>
      <c r="N419" s="320"/>
      <c r="O419" s="320"/>
      <c r="P419" s="320"/>
      <c r="Q419" s="320"/>
      <c r="R419" s="320"/>
      <c r="S419" s="320"/>
      <c r="T419" s="320"/>
    </row>
    <row r="420">
      <c r="A420" s="362" t="str">
        <f>IFERROR(__xludf.DUMMYFUNCTION("""COMPUTED_VALUE"""),"Enchantment Ferocious Mana 5")</f>
        <v>Enchantment Ferocious Mana 5</v>
      </c>
      <c r="B420" s="373">
        <f>IFERROR(__xludf.DUMMYFUNCTION("""COMPUTED_VALUE"""),1313745.333)</f>
        <v>1313745.333</v>
      </c>
      <c r="C420" s="320"/>
      <c r="D420" s="320"/>
      <c r="E420" s="320"/>
      <c r="F420" s="320"/>
      <c r="G420" s="320"/>
      <c r="H420" s="320"/>
      <c r="I420" s="320"/>
      <c r="J420" s="320"/>
      <c r="K420" s="320"/>
      <c r="L420" s="320"/>
      <c r="M420" s="320"/>
      <c r="N420" s="320"/>
      <c r="O420" s="320"/>
      <c r="P420" s="320"/>
      <c r="Q420" s="320"/>
      <c r="R420" s="320"/>
      <c r="S420" s="320"/>
      <c r="T420" s="320"/>
    </row>
    <row r="421">
      <c r="A421" s="362" t="str">
        <f>IFERROR(__xludf.DUMMYFUNCTION("""COMPUTED_VALUE"""),"Enchantment Ferocious Mana 6")</f>
        <v>Enchantment Ferocious Mana 6</v>
      </c>
      <c r="B421" s="373">
        <f>IFERROR(__xludf.DUMMYFUNCTION("""COMPUTED_VALUE"""),2049444.25)</f>
        <v>2049444.25</v>
      </c>
      <c r="C421" s="320"/>
      <c r="D421" s="320"/>
      <c r="E421" s="320"/>
      <c r="F421" s="320"/>
      <c r="G421" s="320"/>
      <c r="H421" s="320"/>
      <c r="I421" s="320"/>
      <c r="J421" s="320"/>
      <c r="K421" s="320"/>
      <c r="L421" s="320"/>
      <c r="M421" s="320"/>
      <c r="N421" s="320"/>
      <c r="O421" s="320"/>
      <c r="P421" s="320"/>
      <c r="Q421" s="320"/>
      <c r="R421" s="320"/>
      <c r="S421" s="320"/>
      <c r="T421" s="320"/>
    </row>
    <row r="422">
      <c r="A422" s="362" t="str">
        <f>IFERROR(__xludf.DUMMYFUNCTION("""COMPUTED_VALUE"""),"Enchantment Ferocious Mana 7")</f>
        <v>Enchantment Ferocious Mana 7</v>
      </c>
      <c r="B422" s="373">
        <f>IFERROR(__xludf.DUMMYFUNCTION("""COMPUTED_VALUE"""),3875047.95)</f>
        <v>3875047.95</v>
      </c>
      <c r="C422" s="320"/>
      <c r="D422" s="320"/>
      <c r="E422" s="320"/>
      <c r="F422" s="320"/>
      <c r="G422" s="320"/>
      <c r="H422" s="320"/>
      <c r="I422" s="320"/>
      <c r="J422" s="320"/>
      <c r="K422" s="320"/>
      <c r="L422" s="320"/>
      <c r="M422" s="320"/>
      <c r="N422" s="320"/>
      <c r="O422" s="320"/>
      <c r="P422" s="320"/>
      <c r="Q422" s="320"/>
      <c r="R422" s="320"/>
      <c r="S422" s="320"/>
      <c r="T422" s="320"/>
    </row>
    <row r="423">
      <c r="A423" s="362" t="str">
        <f>IFERROR(__xludf.DUMMYFUNCTION("""COMPUTED_VALUE"""),"Enchantment Ferocious Mana 8")</f>
        <v>Enchantment Ferocious Mana 8</v>
      </c>
      <c r="B423" s="373">
        <f>IFERROR(__xludf.DUMMYFUNCTION("""COMPUTED_VALUE"""),1.233284655E7)</f>
        <v>12332846.55</v>
      </c>
      <c r="C423" s="320"/>
      <c r="D423" s="320"/>
      <c r="E423" s="320"/>
      <c r="F423" s="320"/>
      <c r="G423" s="320"/>
      <c r="H423" s="320"/>
      <c r="I423" s="320"/>
      <c r="J423" s="320"/>
      <c r="K423" s="320"/>
      <c r="L423" s="320"/>
      <c r="M423" s="320"/>
      <c r="N423" s="320"/>
      <c r="O423" s="320"/>
      <c r="P423" s="320"/>
      <c r="Q423" s="320"/>
      <c r="R423" s="320"/>
      <c r="S423" s="320"/>
      <c r="T423" s="320"/>
    </row>
    <row r="424">
      <c r="A424" s="362" t="str">
        <f>IFERROR(__xludf.DUMMYFUNCTION("""COMPUTED_VALUE"""),"Enchantment Ferocious Mana 9")</f>
        <v>Enchantment Ferocious Mana 9</v>
      </c>
      <c r="B424" s="373">
        <f>IFERROR(__xludf.DUMMYFUNCTION("""COMPUTED_VALUE"""),1.7640503E7)</f>
        <v>17640503</v>
      </c>
      <c r="C424" s="320"/>
      <c r="D424" s="320"/>
      <c r="E424" s="320"/>
      <c r="F424" s="320"/>
      <c r="G424" s="320"/>
      <c r="H424" s="320"/>
      <c r="I424" s="320"/>
      <c r="J424" s="320"/>
      <c r="K424" s="320"/>
      <c r="L424" s="320"/>
      <c r="M424" s="320"/>
      <c r="N424" s="320"/>
      <c r="O424" s="320"/>
      <c r="P424" s="320"/>
      <c r="Q424" s="320"/>
      <c r="R424" s="320"/>
      <c r="S424" s="320"/>
      <c r="T424" s="320"/>
    </row>
    <row r="425">
      <c r="A425" s="362" t="str">
        <f>IFERROR(__xludf.DUMMYFUNCTION("""COMPUTED_VALUE"""),"Enchantment Fire Aspect 1")</f>
        <v>Enchantment Fire Aspect 1</v>
      </c>
      <c r="B425" s="373"/>
      <c r="C425" s="320"/>
      <c r="D425" s="320"/>
      <c r="E425" s="320"/>
      <c r="F425" s="320"/>
      <c r="G425" s="320"/>
      <c r="H425" s="320"/>
      <c r="I425" s="320"/>
      <c r="J425" s="320"/>
      <c r="K425" s="320"/>
      <c r="L425" s="320"/>
      <c r="M425" s="320"/>
      <c r="N425" s="320"/>
      <c r="O425" s="320"/>
      <c r="P425" s="320"/>
      <c r="Q425" s="320"/>
      <c r="R425" s="320"/>
      <c r="S425" s="320"/>
      <c r="T425" s="320"/>
    </row>
    <row r="426">
      <c r="A426" s="362" t="str">
        <f>IFERROR(__xludf.DUMMYFUNCTION("""COMPUTED_VALUE"""),"Enchantment Fire Aspect 2")</f>
        <v>Enchantment Fire Aspect 2</v>
      </c>
      <c r="B426" s="373"/>
      <c r="C426" s="320"/>
      <c r="D426" s="320"/>
      <c r="E426" s="320"/>
      <c r="F426" s="320"/>
      <c r="G426" s="320"/>
      <c r="H426" s="320"/>
      <c r="I426" s="320"/>
      <c r="J426" s="320"/>
      <c r="K426" s="320"/>
      <c r="L426" s="320"/>
      <c r="M426" s="320"/>
      <c r="N426" s="320"/>
      <c r="O426" s="320"/>
      <c r="P426" s="320"/>
      <c r="Q426" s="320"/>
      <c r="R426" s="320"/>
      <c r="S426" s="320"/>
      <c r="T426" s="320"/>
    </row>
    <row r="427">
      <c r="A427" s="362" t="str">
        <f>IFERROR(__xludf.DUMMYFUNCTION("""COMPUTED_VALUE"""),"Enchantment Fire Aspect 3")</f>
        <v>Enchantment Fire Aspect 3</v>
      </c>
      <c r="B427" s="373">
        <f>IFERROR(__xludf.DUMMYFUNCTION("""COMPUTED_VALUE"""),451968.95)</f>
        <v>451968.95</v>
      </c>
      <c r="C427" s="320"/>
      <c r="D427" s="320"/>
      <c r="E427" s="320"/>
      <c r="F427" s="320"/>
      <c r="G427" s="320"/>
      <c r="H427" s="320"/>
      <c r="I427" s="320"/>
      <c r="J427" s="320"/>
      <c r="K427" s="320"/>
      <c r="L427" s="320"/>
      <c r="M427" s="320"/>
      <c r="N427" s="320"/>
      <c r="O427" s="320"/>
      <c r="P427" s="320"/>
      <c r="Q427" s="320"/>
      <c r="R427" s="320"/>
      <c r="S427" s="320"/>
      <c r="T427" s="320"/>
    </row>
    <row r="428">
      <c r="A428" s="362" t="str">
        <f>IFERROR(__xludf.DUMMYFUNCTION("""COMPUTED_VALUE"""),"Enchantment Fire Protection 1")</f>
        <v>Enchantment Fire Protection 1</v>
      </c>
      <c r="B428" s="373"/>
      <c r="C428" s="320"/>
      <c r="D428" s="320"/>
      <c r="E428" s="320"/>
      <c r="F428" s="320"/>
      <c r="G428" s="320"/>
      <c r="H428" s="320"/>
      <c r="I428" s="320"/>
      <c r="J428" s="320"/>
      <c r="K428" s="320"/>
      <c r="L428" s="320"/>
      <c r="M428" s="320"/>
      <c r="N428" s="320"/>
      <c r="O428" s="320"/>
      <c r="P428" s="320"/>
      <c r="Q428" s="320"/>
      <c r="R428" s="320"/>
      <c r="S428" s="320"/>
      <c r="T428" s="320"/>
    </row>
    <row r="429">
      <c r="A429" s="362" t="str">
        <f>IFERROR(__xludf.DUMMYFUNCTION("""COMPUTED_VALUE"""),"Enchantment Fire Protection 2")</f>
        <v>Enchantment Fire Protection 2</v>
      </c>
      <c r="B429" s="373"/>
      <c r="C429" s="320"/>
      <c r="D429" s="320"/>
      <c r="E429" s="320"/>
      <c r="F429" s="320"/>
      <c r="G429" s="320"/>
      <c r="H429" s="320"/>
      <c r="I429" s="320"/>
      <c r="J429" s="320"/>
      <c r="K429" s="320"/>
      <c r="L429" s="320"/>
      <c r="M429" s="320"/>
      <c r="N429" s="320"/>
      <c r="O429" s="320"/>
      <c r="P429" s="320"/>
      <c r="Q429" s="320"/>
      <c r="R429" s="320"/>
      <c r="S429" s="320"/>
      <c r="T429" s="320"/>
    </row>
    <row r="430">
      <c r="A430" s="362" t="str">
        <f>IFERROR(__xludf.DUMMYFUNCTION("""COMPUTED_VALUE"""),"Enchantment Fire Protection 3")</f>
        <v>Enchantment Fire Protection 3</v>
      </c>
      <c r="B430" s="373"/>
      <c r="C430" s="320"/>
      <c r="D430" s="320"/>
      <c r="E430" s="320"/>
      <c r="F430" s="320"/>
      <c r="G430" s="320"/>
      <c r="H430" s="320"/>
      <c r="I430" s="320"/>
      <c r="J430" s="320"/>
      <c r="K430" s="320"/>
      <c r="L430" s="320"/>
      <c r="M430" s="320"/>
      <c r="N430" s="320"/>
      <c r="O430" s="320"/>
      <c r="P430" s="320"/>
      <c r="Q430" s="320"/>
      <c r="R430" s="320"/>
      <c r="S430" s="320"/>
      <c r="T430" s="320"/>
    </row>
    <row r="431">
      <c r="A431" s="362" t="str">
        <f>IFERROR(__xludf.DUMMYFUNCTION("""COMPUTED_VALUE"""),"Enchantment Fire Protection 4")</f>
        <v>Enchantment Fire Protection 4</v>
      </c>
      <c r="B431" s="373"/>
      <c r="C431" s="320"/>
      <c r="D431" s="320"/>
      <c r="E431" s="320"/>
      <c r="F431" s="320"/>
      <c r="G431" s="320"/>
      <c r="H431" s="320"/>
      <c r="I431" s="320"/>
      <c r="J431" s="320"/>
      <c r="K431" s="320"/>
      <c r="L431" s="320"/>
      <c r="M431" s="320"/>
      <c r="N431" s="320"/>
      <c r="O431" s="320"/>
      <c r="P431" s="320"/>
      <c r="Q431" s="320"/>
      <c r="R431" s="320"/>
      <c r="S431" s="320"/>
      <c r="T431" s="320"/>
    </row>
    <row r="432">
      <c r="A432" s="362" t="str">
        <f>IFERROR(__xludf.DUMMYFUNCTION("""COMPUTED_VALUE"""),"Enchantment Fire Protection 5")</f>
        <v>Enchantment Fire Protection 5</v>
      </c>
      <c r="B432" s="373"/>
      <c r="C432" s="320"/>
      <c r="D432" s="320"/>
      <c r="E432" s="320"/>
      <c r="F432" s="320"/>
      <c r="G432" s="320"/>
      <c r="H432" s="320"/>
      <c r="I432" s="320"/>
      <c r="J432" s="320"/>
      <c r="K432" s="320"/>
      <c r="L432" s="320"/>
      <c r="M432" s="320"/>
      <c r="N432" s="320"/>
      <c r="O432" s="320"/>
      <c r="P432" s="320"/>
      <c r="Q432" s="320"/>
      <c r="R432" s="320"/>
      <c r="S432" s="320"/>
      <c r="T432" s="320"/>
    </row>
    <row r="433">
      <c r="A433" s="362" t="str">
        <f>IFERROR(__xludf.DUMMYFUNCTION("""COMPUTED_VALUE"""),"Enchantment Fire Protection 6")</f>
        <v>Enchantment Fire Protection 6</v>
      </c>
      <c r="B433" s="373">
        <f>IFERROR(__xludf.DUMMYFUNCTION("""COMPUTED_VALUE"""),26570.5)</f>
        <v>26570.5</v>
      </c>
      <c r="C433" s="320"/>
      <c r="D433" s="320"/>
      <c r="E433" s="320"/>
      <c r="F433" s="320"/>
      <c r="G433" s="320"/>
      <c r="H433" s="320"/>
      <c r="I433" s="320"/>
      <c r="J433" s="320"/>
      <c r="K433" s="320"/>
      <c r="L433" s="320"/>
      <c r="M433" s="320"/>
      <c r="N433" s="320"/>
      <c r="O433" s="320"/>
      <c r="P433" s="320"/>
      <c r="Q433" s="320"/>
      <c r="R433" s="320"/>
      <c r="S433" s="320"/>
      <c r="T433" s="320"/>
    </row>
    <row r="434">
      <c r="A434" s="362" t="str">
        <f>IFERROR(__xludf.DUMMYFUNCTION("""COMPUTED_VALUE"""),"Enchantment Fire Protection 7")</f>
        <v>Enchantment Fire Protection 7</v>
      </c>
      <c r="B434" s="373">
        <f>IFERROR(__xludf.DUMMYFUNCTION("""COMPUTED_VALUE"""),2610378.65)</f>
        <v>2610378.65</v>
      </c>
      <c r="C434" s="320"/>
      <c r="D434" s="320"/>
      <c r="E434" s="320"/>
      <c r="F434" s="320"/>
      <c r="G434" s="320"/>
      <c r="H434" s="320"/>
      <c r="I434" s="320"/>
      <c r="J434" s="320"/>
      <c r="K434" s="320"/>
      <c r="L434" s="320"/>
      <c r="M434" s="320"/>
      <c r="N434" s="320"/>
      <c r="O434" s="320"/>
      <c r="P434" s="320"/>
      <c r="Q434" s="320"/>
      <c r="R434" s="320"/>
      <c r="S434" s="320"/>
      <c r="T434" s="320"/>
    </row>
    <row r="435">
      <c r="A435" s="362" t="str">
        <f>IFERROR(__xludf.DUMMYFUNCTION("""COMPUTED_VALUE"""),"Enchantment First Strike 1")</f>
        <v>Enchantment First Strike 1</v>
      </c>
      <c r="B435" s="373"/>
      <c r="C435" s="320"/>
      <c r="D435" s="320"/>
      <c r="E435" s="320"/>
      <c r="F435" s="320"/>
      <c r="G435" s="320"/>
      <c r="H435" s="320"/>
      <c r="I435" s="320"/>
      <c r="J435" s="320"/>
      <c r="K435" s="320"/>
      <c r="L435" s="320"/>
      <c r="M435" s="320"/>
      <c r="N435" s="320"/>
      <c r="O435" s="320"/>
      <c r="P435" s="320"/>
      <c r="Q435" s="320"/>
      <c r="R435" s="320"/>
      <c r="S435" s="320"/>
      <c r="T435" s="320"/>
    </row>
    <row r="436">
      <c r="A436" s="362" t="str">
        <f>IFERROR(__xludf.DUMMYFUNCTION("""COMPUTED_VALUE"""),"Enchantment First Strike 2")</f>
        <v>Enchantment First Strike 2</v>
      </c>
      <c r="B436" s="373"/>
      <c r="C436" s="320"/>
      <c r="D436" s="320"/>
      <c r="E436" s="320"/>
      <c r="F436" s="320"/>
      <c r="G436" s="320"/>
      <c r="H436" s="320"/>
      <c r="I436" s="320"/>
      <c r="J436" s="320"/>
      <c r="K436" s="320"/>
      <c r="L436" s="320"/>
      <c r="M436" s="320"/>
      <c r="N436" s="320"/>
      <c r="O436" s="320"/>
      <c r="P436" s="320"/>
      <c r="Q436" s="320"/>
      <c r="R436" s="320"/>
      <c r="S436" s="320"/>
      <c r="T436" s="320"/>
    </row>
    <row r="437">
      <c r="A437" s="362" t="str">
        <f>IFERROR(__xludf.DUMMYFUNCTION("""COMPUTED_VALUE"""),"Enchantment First Strike 3")</f>
        <v>Enchantment First Strike 3</v>
      </c>
      <c r="B437" s="373"/>
      <c r="C437" s="320"/>
      <c r="D437" s="320"/>
      <c r="E437" s="320"/>
      <c r="F437" s="320"/>
      <c r="G437" s="320"/>
      <c r="H437" s="320"/>
      <c r="I437" s="320"/>
      <c r="J437" s="320"/>
      <c r="K437" s="320"/>
      <c r="L437" s="320"/>
      <c r="M437" s="320"/>
      <c r="N437" s="320"/>
      <c r="O437" s="320"/>
      <c r="P437" s="320"/>
      <c r="Q437" s="320"/>
      <c r="R437" s="320"/>
      <c r="S437" s="320"/>
      <c r="T437" s="320"/>
    </row>
    <row r="438">
      <c r="A438" s="362" t="str">
        <f>IFERROR(__xludf.DUMMYFUNCTION("""COMPUTED_VALUE"""),"Enchantment First Strike 4")</f>
        <v>Enchantment First Strike 4</v>
      </c>
      <c r="B438" s="373"/>
      <c r="C438" s="320"/>
      <c r="D438" s="320"/>
      <c r="E438" s="320"/>
      <c r="F438" s="320"/>
      <c r="G438" s="320"/>
      <c r="H438" s="320"/>
      <c r="I438" s="320"/>
      <c r="J438" s="320"/>
      <c r="K438" s="320"/>
      <c r="L438" s="320"/>
      <c r="M438" s="320"/>
      <c r="N438" s="320"/>
      <c r="O438" s="320"/>
      <c r="P438" s="320"/>
      <c r="Q438" s="320"/>
      <c r="R438" s="320"/>
      <c r="S438" s="320"/>
      <c r="T438" s="320"/>
    </row>
    <row r="439">
      <c r="A439" s="362" t="str">
        <f>IFERROR(__xludf.DUMMYFUNCTION("""COMPUTED_VALUE"""),"Enchantment First Strike 5")</f>
        <v>Enchantment First Strike 5</v>
      </c>
      <c r="B439" s="373">
        <f>IFERROR(__xludf.DUMMYFUNCTION("""COMPUTED_VALUE"""),2.0299999905E8)</f>
        <v>202999999.1</v>
      </c>
      <c r="C439" s="320"/>
      <c r="D439" s="320"/>
      <c r="E439" s="320"/>
      <c r="F439" s="320"/>
      <c r="G439" s="320"/>
      <c r="H439" s="320"/>
      <c r="I439" s="320"/>
      <c r="J439" s="320"/>
      <c r="K439" s="320"/>
      <c r="L439" s="320"/>
      <c r="M439" s="320"/>
      <c r="N439" s="320"/>
      <c r="O439" s="320"/>
      <c r="P439" s="320"/>
      <c r="Q439" s="320"/>
      <c r="R439" s="320"/>
      <c r="S439" s="320"/>
      <c r="T439" s="320"/>
    </row>
    <row r="440">
      <c r="A440" s="362" t="str">
        <f>IFERROR(__xludf.DUMMYFUNCTION("""COMPUTED_VALUE"""),"Enchantment Flame 1")</f>
        <v>Enchantment Flame 1</v>
      </c>
      <c r="B440" s="373"/>
      <c r="C440" s="320"/>
      <c r="D440" s="320"/>
      <c r="E440" s="320"/>
      <c r="F440" s="320"/>
      <c r="G440" s="320"/>
      <c r="H440" s="320"/>
      <c r="I440" s="320"/>
      <c r="J440" s="320"/>
      <c r="K440" s="320"/>
      <c r="L440" s="320"/>
      <c r="M440" s="320"/>
      <c r="N440" s="320"/>
      <c r="O440" s="320"/>
      <c r="P440" s="320"/>
      <c r="Q440" s="320"/>
      <c r="R440" s="320"/>
      <c r="S440" s="320"/>
      <c r="T440" s="320"/>
    </row>
    <row r="441">
      <c r="A441" s="362" t="str">
        <f>IFERROR(__xludf.DUMMYFUNCTION("""COMPUTED_VALUE"""),"Enchantment Flame 2")</f>
        <v>Enchantment Flame 2</v>
      </c>
      <c r="B441" s="373"/>
      <c r="C441" s="320"/>
      <c r="D441" s="320"/>
      <c r="E441" s="320"/>
      <c r="F441" s="320"/>
      <c r="G441" s="320"/>
      <c r="H441" s="320"/>
      <c r="I441" s="320"/>
      <c r="J441" s="320"/>
      <c r="K441" s="320"/>
      <c r="L441" s="320"/>
      <c r="M441" s="320"/>
      <c r="N441" s="320"/>
      <c r="O441" s="320"/>
      <c r="P441" s="320"/>
      <c r="Q441" s="320"/>
      <c r="R441" s="320"/>
      <c r="S441" s="320"/>
      <c r="T441" s="320"/>
    </row>
    <row r="442">
      <c r="A442" s="362" t="str">
        <f>IFERROR(__xludf.DUMMYFUNCTION("""COMPUTED_VALUE"""),"Enchantment Fortune 1")</f>
        <v>Enchantment Fortune 1</v>
      </c>
      <c r="B442" s="373"/>
      <c r="C442" s="320"/>
      <c r="D442" s="320"/>
      <c r="E442" s="320"/>
      <c r="F442" s="320"/>
      <c r="G442" s="320"/>
      <c r="H442" s="320"/>
      <c r="I442" s="320"/>
      <c r="J442" s="320"/>
      <c r="K442" s="320"/>
      <c r="L442" s="320"/>
      <c r="M442" s="320"/>
      <c r="N442" s="320"/>
      <c r="O442" s="320"/>
      <c r="P442" s="320"/>
      <c r="Q442" s="320"/>
      <c r="R442" s="320"/>
      <c r="S442" s="320"/>
      <c r="T442" s="320"/>
    </row>
    <row r="443">
      <c r="A443" s="362" t="str">
        <f>IFERROR(__xludf.DUMMYFUNCTION("""COMPUTED_VALUE"""),"Enchantment Fortune 2")</f>
        <v>Enchantment Fortune 2</v>
      </c>
      <c r="B443" s="373"/>
      <c r="C443" s="320"/>
      <c r="D443" s="320"/>
      <c r="E443" s="320"/>
      <c r="F443" s="320"/>
      <c r="G443" s="320"/>
      <c r="H443" s="320"/>
      <c r="I443" s="320"/>
      <c r="J443" s="320"/>
      <c r="K443" s="320"/>
      <c r="L443" s="320"/>
      <c r="M443" s="320"/>
      <c r="N443" s="320"/>
      <c r="O443" s="320"/>
      <c r="P443" s="320"/>
      <c r="Q443" s="320"/>
      <c r="R443" s="320"/>
      <c r="S443" s="320"/>
      <c r="T443" s="320"/>
    </row>
    <row r="444">
      <c r="A444" s="362" t="str">
        <f>IFERROR(__xludf.DUMMYFUNCTION("""COMPUTED_VALUE"""),"Enchantment Fortune 3")</f>
        <v>Enchantment Fortune 3</v>
      </c>
      <c r="B444" s="373"/>
      <c r="C444" s="320"/>
      <c r="D444" s="320"/>
      <c r="E444" s="320"/>
      <c r="F444" s="320"/>
      <c r="G444" s="320"/>
      <c r="H444" s="320"/>
      <c r="I444" s="320"/>
      <c r="J444" s="320"/>
      <c r="K444" s="320"/>
      <c r="L444" s="320"/>
      <c r="M444" s="320"/>
      <c r="N444" s="320"/>
      <c r="O444" s="320"/>
      <c r="P444" s="320"/>
      <c r="Q444" s="320"/>
      <c r="R444" s="320"/>
      <c r="S444" s="320"/>
      <c r="T444" s="320"/>
    </row>
    <row r="445">
      <c r="A445" s="362" t="str">
        <f>IFERROR(__xludf.DUMMYFUNCTION("""COMPUTED_VALUE"""),"Enchantment Fortune 4")</f>
        <v>Enchantment Fortune 4</v>
      </c>
      <c r="B445" s="373">
        <f>IFERROR(__xludf.DUMMYFUNCTION("""COMPUTED_VALUE"""),315482.838)</f>
        <v>315482.838</v>
      </c>
      <c r="C445" s="320"/>
      <c r="D445" s="320"/>
      <c r="E445" s="320"/>
      <c r="F445" s="320"/>
      <c r="G445" s="320"/>
      <c r="H445" s="320"/>
      <c r="I445" s="320"/>
      <c r="J445" s="320"/>
      <c r="K445" s="320"/>
      <c r="L445" s="320"/>
      <c r="M445" s="320"/>
      <c r="N445" s="320"/>
      <c r="O445" s="320"/>
      <c r="P445" s="320"/>
      <c r="Q445" s="320"/>
      <c r="R445" s="320"/>
      <c r="S445" s="320"/>
      <c r="T445" s="320"/>
    </row>
    <row r="446">
      <c r="A446" s="362" t="str">
        <f>IFERROR(__xludf.DUMMYFUNCTION("""COMPUTED_VALUE"""),"Enchantment Frail 1")</f>
        <v>Enchantment Frail 1</v>
      </c>
      <c r="B446" s="373"/>
      <c r="C446" s="320"/>
      <c r="D446" s="320"/>
      <c r="E446" s="320"/>
      <c r="F446" s="320"/>
      <c r="G446" s="320"/>
      <c r="H446" s="320"/>
      <c r="I446" s="320"/>
      <c r="J446" s="320"/>
      <c r="K446" s="320"/>
      <c r="L446" s="320"/>
      <c r="M446" s="320"/>
      <c r="N446" s="320"/>
      <c r="O446" s="320"/>
      <c r="P446" s="320"/>
      <c r="Q446" s="320"/>
      <c r="R446" s="320"/>
      <c r="S446" s="320"/>
      <c r="T446" s="320"/>
    </row>
    <row r="447">
      <c r="A447" s="362" t="str">
        <f>IFERROR(__xludf.DUMMYFUNCTION("""COMPUTED_VALUE"""),"Enchantment Frail 2")</f>
        <v>Enchantment Frail 2</v>
      </c>
      <c r="B447" s="373"/>
      <c r="C447" s="320"/>
      <c r="D447" s="320"/>
      <c r="E447" s="320"/>
      <c r="F447" s="320"/>
      <c r="G447" s="320"/>
      <c r="H447" s="320"/>
      <c r="I447" s="320"/>
      <c r="J447" s="320"/>
      <c r="K447" s="320"/>
      <c r="L447" s="320"/>
      <c r="M447" s="320"/>
      <c r="N447" s="320"/>
      <c r="O447" s="320"/>
      <c r="P447" s="320"/>
      <c r="Q447" s="320"/>
      <c r="R447" s="320"/>
      <c r="S447" s="320"/>
      <c r="T447" s="320"/>
    </row>
    <row r="448">
      <c r="A448" s="362" t="str">
        <f>IFERROR(__xludf.DUMMYFUNCTION("""COMPUTED_VALUE"""),"Enchantment Frail 3")</f>
        <v>Enchantment Frail 3</v>
      </c>
      <c r="B448" s="373"/>
      <c r="C448" s="320"/>
      <c r="D448" s="320"/>
      <c r="E448" s="320"/>
      <c r="F448" s="320"/>
      <c r="G448" s="320"/>
      <c r="H448" s="320"/>
      <c r="I448" s="320"/>
      <c r="J448" s="320"/>
      <c r="K448" s="320"/>
      <c r="L448" s="320"/>
      <c r="M448" s="320"/>
      <c r="N448" s="320"/>
      <c r="O448" s="320"/>
      <c r="P448" s="320"/>
      <c r="Q448" s="320"/>
      <c r="R448" s="320"/>
      <c r="S448" s="320"/>
      <c r="T448" s="320"/>
    </row>
    <row r="449">
      <c r="A449" s="362" t="str">
        <f>IFERROR(__xludf.DUMMYFUNCTION("""COMPUTED_VALUE"""),"Enchantment Frail 4")</f>
        <v>Enchantment Frail 4</v>
      </c>
      <c r="B449" s="373"/>
      <c r="C449" s="320"/>
      <c r="D449" s="320"/>
      <c r="E449" s="320"/>
      <c r="F449" s="320"/>
      <c r="G449" s="320"/>
      <c r="H449" s="320"/>
      <c r="I449" s="320"/>
      <c r="J449" s="320"/>
      <c r="K449" s="320"/>
      <c r="L449" s="320"/>
      <c r="M449" s="320"/>
      <c r="N449" s="320"/>
      <c r="O449" s="320"/>
      <c r="P449" s="320"/>
      <c r="Q449" s="320"/>
      <c r="R449" s="320"/>
      <c r="S449" s="320"/>
      <c r="T449" s="320"/>
    </row>
    <row r="450">
      <c r="A450" s="362" t="str">
        <f>IFERROR(__xludf.DUMMYFUNCTION("""COMPUTED_VALUE"""),"Enchantment Frail 5")</f>
        <v>Enchantment Frail 5</v>
      </c>
      <c r="B450" s="373"/>
      <c r="C450" s="320"/>
      <c r="D450" s="320"/>
      <c r="E450" s="320"/>
      <c r="F450" s="320"/>
      <c r="G450" s="320"/>
      <c r="H450" s="320"/>
      <c r="I450" s="320"/>
      <c r="J450" s="320"/>
      <c r="K450" s="320"/>
      <c r="L450" s="320"/>
      <c r="M450" s="320"/>
      <c r="N450" s="320"/>
      <c r="O450" s="320"/>
      <c r="P450" s="320"/>
      <c r="Q450" s="320"/>
      <c r="R450" s="320"/>
      <c r="S450" s="320"/>
      <c r="T450" s="320"/>
    </row>
    <row r="451">
      <c r="A451" s="362" t="str">
        <f>IFERROR(__xludf.DUMMYFUNCTION("""COMPUTED_VALUE"""),"Enchantment Frail 6")</f>
        <v>Enchantment Frail 6</v>
      </c>
      <c r="B451" s="373">
        <f>IFERROR(__xludf.DUMMYFUNCTION("""COMPUTED_VALUE"""),249.45)</f>
        <v>249.45</v>
      </c>
      <c r="C451" s="320"/>
      <c r="D451" s="320"/>
      <c r="E451" s="320"/>
      <c r="F451" s="320"/>
      <c r="G451" s="320"/>
      <c r="H451" s="320"/>
      <c r="I451" s="320"/>
      <c r="J451" s="320"/>
      <c r="K451" s="320"/>
      <c r="L451" s="320"/>
      <c r="M451" s="320"/>
      <c r="N451" s="320"/>
      <c r="O451" s="320"/>
      <c r="P451" s="320"/>
      <c r="Q451" s="320"/>
      <c r="R451" s="320"/>
      <c r="S451" s="320"/>
      <c r="T451" s="320"/>
    </row>
    <row r="452">
      <c r="A452" s="362" t="str">
        <f>IFERROR(__xludf.DUMMYFUNCTION("""COMPUTED_VALUE"""),"Enchantment Frost Walker 1")</f>
        <v>Enchantment Frost Walker 1</v>
      </c>
      <c r="B452" s="373"/>
      <c r="C452" s="320"/>
      <c r="D452" s="320"/>
      <c r="E452" s="320"/>
      <c r="F452" s="320"/>
      <c r="G452" s="320"/>
      <c r="H452" s="320"/>
      <c r="I452" s="320"/>
      <c r="J452" s="320"/>
      <c r="K452" s="320"/>
      <c r="L452" s="320"/>
      <c r="M452" s="320"/>
      <c r="N452" s="320"/>
      <c r="O452" s="320"/>
      <c r="P452" s="320"/>
      <c r="Q452" s="320"/>
      <c r="R452" s="320"/>
      <c r="S452" s="320"/>
      <c r="T452" s="320"/>
    </row>
    <row r="453">
      <c r="A453" s="362" t="str">
        <f>IFERROR(__xludf.DUMMYFUNCTION("""COMPUTED_VALUE"""),"Enchantment Frost Walker 2")</f>
        <v>Enchantment Frost Walker 2</v>
      </c>
      <c r="B453" s="373"/>
      <c r="C453" s="320"/>
      <c r="D453" s="320"/>
      <c r="E453" s="320"/>
      <c r="F453" s="320"/>
      <c r="G453" s="320"/>
      <c r="H453" s="320"/>
      <c r="I453" s="320"/>
      <c r="J453" s="320"/>
      <c r="K453" s="320"/>
      <c r="L453" s="320"/>
      <c r="M453" s="320"/>
      <c r="N453" s="320"/>
      <c r="O453" s="320"/>
      <c r="P453" s="320"/>
      <c r="Q453" s="320"/>
      <c r="R453" s="320"/>
      <c r="S453" s="320"/>
      <c r="T453" s="320"/>
    </row>
    <row r="454">
      <c r="A454" s="362" t="str">
        <f>IFERROR(__xludf.DUMMYFUNCTION("""COMPUTED_VALUE"""),"Enchantment Giant Killer 1")</f>
        <v>Enchantment Giant Killer 1</v>
      </c>
      <c r="B454" s="373"/>
      <c r="C454" s="320"/>
      <c r="D454" s="320"/>
      <c r="E454" s="320"/>
      <c r="F454" s="320"/>
      <c r="G454" s="320"/>
      <c r="H454" s="320"/>
      <c r="I454" s="320"/>
      <c r="J454" s="320"/>
      <c r="K454" s="320"/>
      <c r="L454" s="320"/>
      <c r="M454" s="320"/>
      <c r="N454" s="320"/>
      <c r="O454" s="320"/>
      <c r="P454" s="320"/>
      <c r="Q454" s="320"/>
      <c r="R454" s="320"/>
      <c r="S454" s="320"/>
      <c r="T454" s="320"/>
    </row>
    <row r="455">
      <c r="A455" s="362" t="str">
        <f>IFERROR(__xludf.DUMMYFUNCTION("""COMPUTED_VALUE"""),"Enchantment Giant Killer 2")</f>
        <v>Enchantment Giant Killer 2</v>
      </c>
      <c r="B455" s="373"/>
      <c r="C455" s="320"/>
      <c r="D455" s="320"/>
      <c r="E455" s="320"/>
      <c r="F455" s="320"/>
      <c r="G455" s="320"/>
      <c r="H455" s="320"/>
      <c r="I455" s="320"/>
      <c r="J455" s="320"/>
      <c r="K455" s="320"/>
      <c r="L455" s="320"/>
      <c r="M455" s="320"/>
      <c r="N455" s="320"/>
      <c r="O455" s="320"/>
      <c r="P455" s="320"/>
      <c r="Q455" s="320"/>
      <c r="R455" s="320"/>
      <c r="S455" s="320"/>
      <c r="T455" s="320"/>
    </row>
    <row r="456">
      <c r="A456" s="362" t="str">
        <f>IFERROR(__xludf.DUMMYFUNCTION("""COMPUTED_VALUE"""),"Enchantment Giant Killer 3")</f>
        <v>Enchantment Giant Killer 3</v>
      </c>
      <c r="B456" s="373"/>
      <c r="C456" s="320"/>
      <c r="D456" s="320"/>
      <c r="E456" s="320"/>
      <c r="F456" s="320"/>
      <c r="G456" s="320"/>
      <c r="H456" s="320"/>
      <c r="I456" s="320"/>
      <c r="J456" s="320"/>
      <c r="K456" s="320"/>
      <c r="L456" s="320"/>
      <c r="M456" s="320"/>
      <c r="N456" s="320"/>
      <c r="O456" s="320"/>
      <c r="P456" s="320"/>
      <c r="Q456" s="320"/>
      <c r="R456" s="320"/>
      <c r="S456" s="320"/>
      <c r="T456" s="320"/>
    </row>
    <row r="457">
      <c r="A457" s="362" t="str">
        <f>IFERROR(__xludf.DUMMYFUNCTION("""COMPUTED_VALUE"""),"Enchantment Giant Killer 4")</f>
        <v>Enchantment Giant Killer 4</v>
      </c>
      <c r="B457" s="373"/>
      <c r="C457" s="320"/>
      <c r="D457" s="320"/>
      <c r="E457" s="320"/>
      <c r="F457" s="320"/>
      <c r="G457" s="320"/>
      <c r="H457" s="320"/>
      <c r="I457" s="320"/>
      <c r="J457" s="320"/>
      <c r="K457" s="320"/>
      <c r="L457" s="320"/>
      <c r="M457" s="320"/>
      <c r="N457" s="320"/>
      <c r="O457" s="320"/>
      <c r="P457" s="320"/>
      <c r="Q457" s="320"/>
      <c r="R457" s="320"/>
      <c r="S457" s="320"/>
      <c r="T457" s="320"/>
    </row>
    <row r="458">
      <c r="A458" s="362" t="str">
        <f>IFERROR(__xludf.DUMMYFUNCTION("""COMPUTED_VALUE"""),"Enchantment Giant Killer 5")</f>
        <v>Enchantment Giant Killer 5</v>
      </c>
      <c r="B458" s="373"/>
      <c r="C458" s="320"/>
      <c r="D458" s="320"/>
      <c r="E458" s="320"/>
      <c r="F458" s="320"/>
      <c r="G458" s="320"/>
      <c r="H458" s="320"/>
      <c r="I458" s="320"/>
      <c r="J458" s="320"/>
      <c r="K458" s="320"/>
      <c r="L458" s="320"/>
      <c r="M458" s="320"/>
      <c r="N458" s="320"/>
      <c r="O458" s="320"/>
      <c r="P458" s="320"/>
      <c r="Q458" s="320"/>
      <c r="R458" s="320"/>
      <c r="S458" s="320"/>
      <c r="T458" s="320"/>
    </row>
    <row r="459">
      <c r="A459" s="362" t="str">
        <f>IFERROR(__xludf.DUMMYFUNCTION("""COMPUTED_VALUE"""),"Enchantment Giant Killer 6")</f>
        <v>Enchantment Giant Killer 6</v>
      </c>
      <c r="B459" s="373">
        <f>IFERROR(__xludf.DUMMYFUNCTION("""COMPUTED_VALUE"""),793564.712)</f>
        <v>793564.712</v>
      </c>
      <c r="C459" s="320"/>
      <c r="D459" s="320"/>
      <c r="E459" s="320"/>
      <c r="F459" s="320"/>
      <c r="G459" s="320"/>
      <c r="H459" s="320"/>
      <c r="I459" s="320"/>
      <c r="J459" s="320"/>
      <c r="K459" s="320"/>
      <c r="L459" s="320"/>
      <c r="M459" s="320"/>
      <c r="N459" s="320"/>
      <c r="O459" s="320"/>
      <c r="P459" s="320"/>
      <c r="Q459" s="320"/>
      <c r="R459" s="320"/>
      <c r="S459" s="320"/>
      <c r="T459" s="320"/>
    </row>
    <row r="460">
      <c r="A460" s="362" t="str">
        <f>IFERROR(__xludf.DUMMYFUNCTION("""COMPUTED_VALUE"""),"Enchantment Giant Killer 7")</f>
        <v>Enchantment Giant Killer 7</v>
      </c>
      <c r="B460" s="373">
        <f>IFERROR(__xludf.DUMMYFUNCTION("""COMPUTED_VALUE"""),1.707578888E8)</f>
        <v>170757888.8</v>
      </c>
      <c r="C460" s="320"/>
      <c r="D460" s="320"/>
      <c r="E460" s="320"/>
      <c r="F460" s="320"/>
      <c r="G460" s="320"/>
      <c r="H460" s="320"/>
      <c r="I460" s="320"/>
      <c r="J460" s="320"/>
      <c r="K460" s="320"/>
      <c r="L460" s="320"/>
      <c r="M460" s="320"/>
      <c r="N460" s="320"/>
      <c r="O460" s="320"/>
      <c r="P460" s="320"/>
      <c r="Q460" s="320"/>
      <c r="R460" s="320"/>
      <c r="S460" s="320"/>
      <c r="T460" s="320"/>
    </row>
    <row r="461">
      <c r="A461" s="362" t="str">
        <f>IFERROR(__xludf.DUMMYFUNCTION("""COMPUTED_VALUE"""),"Enchantment Green Thumb 1")</f>
        <v>Enchantment Green Thumb 1</v>
      </c>
      <c r="B461" s="373">
        <f>IFERROR(__xludf.DUMMYFUNCTION("""COMPUTED_VALUE"""),8353426.483)</f>
        <v>8353426.483</v>
      </c>
      <c r="C461" s="320"/>
      <c r="D461" s="320"/>
      <c r="E461" s="320"/>
      <c r="F461" s="320"/>
      <c r="G461" s="320"/>
      <c r="H461" s="320"/>
      <c r="I461" s="320"/>
      <c r="J461" s="320"/>
      <c r="K461" s="320"/>
      <c r="L461" s="320"/>
      <c r="M461" s="320"/>
      <c r="N461" s="320"/>
      <c r="O461" s="320"/>
      <c r="P461" s="320"/>
      <c r="Q461" s="320"/>
      <c r="R461" s="320"/>
      <c r="S461" s="320"/>
      <c r="T461" s="320"/>
    </row>
    <row r="462">
      <c r="A462" s="362" t="str">
        <f>IFERROR(__xludf.DUMMYFUNCTION("""COMPUTED_VALUE"""),"Enchantment Green Thumb 2")</f>
        <v>Enchantment Green Thumb 2</v>
      </c>
      <c r="B462" s="373">
        <f>IFERROR(__xludf.DUMMYFUNCTION("""COMPUTED_VALUE"""),1.609999975E7)</f>
        <v>16099999.75</v>
      </c>
      <c r="C462" s="320"/>
      <c r="D462" s="320"/>
      <c r="E462" s="320"/>
      <c r="F462" s="320"/>
      <c r="G462" s="320"/>
      <c r="H462" s="320"/>
      <c r="I462" s="320"/>
      <c r="J462" s="320"/>
      <c r="K462" s="320"/>
      <c r="L462" s="320"/>
      <c r="M462" s="320"/>
      <c r="N462" s="320"/>
      <c r="O462" s="320"/>
      <c r="P462" s="320"/>
      <c r="Q462" s="320"/>
      <c r="R462" s="320"/>
      <c r="S462" s="320"/>
      <c r="T462" s="320"/>
    </row>
    <row r="463">
      <c r="A463" s="362" t="str">
        <f>IFERROR(__xludf.DUMMYFUNCTION("""COMPUTED_VALUE"""),"Enchantment Green Thumb 3")</f>
        <v>Enchantment Green Thumb 3</v>
      </c>
      <c r="B463" s="373">
        <f>IFERROR(__xludf.DUMMYFUNCTION("""COMPUTED_VALUE"""),3.0207498E7)</f>
        <v>30207498</v>
      </c>
      <c r="C463" s="320"/>
      <c r="D463" s="320"/>
      <c r="E463" s="320"/>
      <c r="F463" s="320"/>
      <c r="G463" s="320"/>
      <c r="H463" s="320"/>
      <c r="I463" s="320"/>
      <c r="J463" s="320"/>
      <c r="K463" s="320"/>
      <c r="L463" s="320"/>
      <c r="M463" s="320"/>
      <c r="N463" s="320"/>
      <c r="O463" s="320"/>
      <c r="P463" s="320"/>
      <c r="Q463" s="320"/>
      <c r="R463" s="320"/>
      <c r="S463" s="320"/>
      <c r="T463" s="320"/>
    </row>
    <row r="464">
      <c r="A464" s="362" t="str">
        <f>IFERROR(__xludf.DUMMYFUNCTION("""COMPUTED_VALUE"""),"Enchantment Green Thumb 4")</f>
        <v>Enchantment Green Thumb 4</v>
      </c>
      <c r="B464" s="373">
        <f>IFERROR(__xludf.DUMMYFUNCTION("""COMPUTED_VALUE"""),5.633999765E7)</f>
        <v>56339997.65</v>
      </c>
      <c r="C464" s="320"/>
      <c r="D464" s="320"/>
      <c r="E464" s="320"/>
      <c r="F464" s="320"/>
      <c r="G464" s="320"/>
      <c r="H464" s="320"/>
      <c r="I464" s="320"/>
      <c r="J464" s="320"/>
      <c r="K464" s="320"/>
      <c r="L464" s="320"/>
      <c r="M464" s="320"/>
      <c r="N464" s="320"/>
      <c r="O464" s="320"/>
      <c r="P464" s="320"/>
      <c r="Q464" s="320"/>
      <c r="R464" s="320"/>
      <c r="S464" s="320"/>
      <c r="T464" s="320"/>
    </row>
    <row r="465">
      <c r="A465" s="362" t="str">
        <f>IFERROR(__xludf.DUMMYFUNCTION("""COMPUTED_VALUE"""),"Enchantment Green Thumb 5")</f>
        <v>Enchantment Green Thumb 5</v>
      </c>
      <c r="B465" s="373">
        <f>IFERROR(__xludf.DUMMYFUNCTION("""COMPUTED_VALUE"""),1.405799975E8)</f>
        <v>140579997.5</v>
      </c>
      <c r="C465" s="320"/>
      <c r="D465" s="320"/>
      <c r="E465" s="320"/>
      <c r="F465" s="320"/>
      <c r="G465" s="320"/>
      <c r="H465" s="320"/>
      <c r="I465" s="320"/>
      <c r="J465" s="320"/>
      <c r="K465" s="320"/>
      <c r="L465" s="320"/>
      <c r="M465" s="320"/>
      <c r="N465" s="320"/>
      <c r="O465" s="320"/>
      <c r="P465" s="320"/>
      <c r="Q465" s="320"/>
      <c r="R465" s="320"/>
      <c r="S465" s="320"/>
      <c r="T465" s="320"/>
    </row>
    <row r="466">
      <c r="A466" s="362" t="str">
        <f>IFERROR(__xludf.DUMMYFUNCTION("""COMPUTED_VALUE"""),"Enchantment Growth 1")</f>
        <v>Enchantment Growth 1</v>
      </c>
      <c r="B466" s="373"/>
      <c r="C466" s="320"/>
      <c r="D466" s="320"/>
      <c r="E466" s="320"/>
      <c r="F466" s="320"/>
      <c r="G466" s="320"/>
      <c r="H466" s="320"/>
      <c r="I466" s="320"/>
      <c r="J466" s="320"/>
      <c r="K466" s="320"/>
      <c r="L466" s="320"/>
      <c r="M466" s="320"/>
      <c r="N466" s="320"/>
      <c r="O466" s="320"/>
      <c r="P466" s="320"/>
      <c r="Q466" s="320"/>
      <c r="R466" s="320"/>
      <c r="S466" s="320"/>
      <c r="T466" s="320"/>
    </row>
    <row r="467">
      <c r="A467" s="362" t="str">
        <f>IFERROR(__xludf.DUMMYFUNCTION("""COMPUTED_VALUE"""),"Enchantment Growth 2")</f>
        <v>Enchantment Growth 2</v>
      </c>
      <c r="B467" s="373"/>
      <c r="C467" s="320"/>
      <c r="D467" s="320"/>
      <c r="E467" s="320"/>
      <c r="F467" s="320"/>
      <c r="G467" s="320"/>
      <c r="H467" s="320"/>
      <c r="I467" s="320"/>
      <c r="J467" s="320"/>
      <c r="K467" s="320"/>
      <c r="L467" s="320"/>
      <c r="M467" s="320"/>
      <c r="N467" s="320"/>
      <c r="O467" s="320"/>
      <c r="P467" s="320"/>
      <c r="Q467" s="320"/>
      <c r="R467" s="320"/>
      <c r="S467" s="320"/>
      <c r="T467" s="320"/>
    </row>
    <row r="468">
      <c r="A468" s="362" t="str">
        <f>IFERROR(__xludf.DUMMYFUNCTION("""COMPUTED_VALUE"""),"Enchantment Growth 3")</f>
        <v>Enchantment Growth 3</v>
      </c>
      <c r="B468" s="373"/>
      <c r="C468" s="320"/>
      <c r="D468" s="320"/>
      <c r="E468" s="320"/>
      <c r="F468" s="320"/>
      <c r="G468" s="320"/>
      <c r="H468" s="320"/>
      <c r="I468" s="320"/>
      <c r="J468" s="320"/>
      <c r="K468" s="320"/>
      <c r="L468" s="320"/>
      <c r="M468" s="320"/>
      <c r="N468" s="320"/>
      <c r="O468" s="320"/>
      <c r="P468" s="320"/>
      <c r="Q468" s="320"/>
      <c r="R468" s="320"/>
      <c r="S468" s="320"/>
      <c r="T468" s="320"/>
    </row>
    <row r="469">
      <c r="A469" s="362" t="str">
        <f>IFERROR(__xludf.DUMMYFUNCTION("""COMPUTED_VALUE"""),"Enchantment Growth 4")</f>
        <v>Enchantment Growth 4</v>
      </c>
      <c r="B469" s="373"/>
      <c r="C469" s="320"/>
      <c r="D469" s="320"/>
      <c r="E469" s="320"/>
      <c r="F469" s="320"/>
      <c r="G469" s="320"/>
      <c r="H469" s="320"/>
      <c r="I469" s="320"/>
      <c r="J469" s="320"/>
      <c r="K469" s="320"/>
      <c r="L469" s="320"/>
      <c r="M469" s="320"/>
      <c r="N469" s="320"/>
      <c r="O469" s="320"/>
      <c r="P469" s="320"/>
      <c r="Q469" s="320"/>
      <c r="R469" s="320"/>
      <c r="S469" s="320"/>
      <c r="T469" s="320"/>
    </row>
    <row r="470">
      <c r="A470" s="362" t="str">
        <f>IFERROR(__xludf.DUMMYFUNCTION("""COMPUTED_VALUE"""),"Enchantment Growth 5")</f>
        <v>Enchantment Growth 5</v>
      </c>
      <c r="B470" s="373"/>
      <c r="C470" s="320"/>
      <c r="D470" s="320"/>
      <c r="E470" s="320"/>
      <c r="F470" s="320"/>
      <c r="G470" s="320"/>
      <c r="H470" s="320"/>
      <c r="I470" s="320"/>
      <c r="J470" s="320"/>
      <c r="K470" s="320"/>
      <c r="L470" s="320"/>
      <c r="M470" s="320"/>
      <c r="N470" s="320"/>
      <c r="O470" s="320"/>
      <c r="P470" s="320"/>
      <c r="Q470" s="320"/>
      <c r="R470" s="320"/>
      <c r="S470" s="320"/>
      <c r="T470" s="320"/>
    </row>
    <row r="471">
      <c r="A471" s="362" t="str">
        <f>IFERROR(__xludf.DUMMYFUNCTION("""COMPUTED_VALUE"""),"Enchantment Growth 6")</f>
        <v>Enchantment Growth 6</v>
      </c>
      <c r="B471" s="373">
        <f>IFERROR(__xludf.DUMMYFUNCTION("""COMPUTED_VALUE"""),6701933.51)</f>
        <v>6701933.51</v>
      </c>
      <c r="C471" s="320"/>
      <c r="D471" s="320"/>
      <c r="E471" s="320"/>
      <c r="F471" s="320"/>
      <c r="G471" s="320"/>
      <c r="H471" s="320"/>
      <c r="I471" s="320"/>
      <c r="J471" s="320"/>
      <c r="K471" s="320"/>
      <c r="L471" s="320"/>
      <c r="M471" s="320"/>
      <c r="N471" s="320"/>
      <c r="O471" s="320"/>
      <c r="P471" s="320"/>
      <c r="Q471" s="320"/>
      <c r="R471" s="320"/>
      <c r="S471" s="320"/>
      <c r="T471" s="320"/>
    </row>
    <row r="472">
      <c r="A472" s="362" t="str">
        <f>IFERROR(__xludf.DUMMYFUNCTION("""COMPUTED_VALUE"""),"Enchantment Growth 7")</f>
        <v>Enchantment Growth 7</v>
      </c>
      <c r="B472" s="373">
        <f>IFERROR(__xludf.DUMMYFUNCTION("""COMPUTED_VALUE"""),1.2099999835E8)</f>
        <v>120999998.4</v>
      </c>
      <c r="C472" s="320"/>
      <c r="D472" s="320"/>
      <c r="E472" s="320"/>
      <c r="F472" s="320"/>
      <c r="G472" s="320"/>
      <c r="H472" s="320"/>
      <c r="I472" s="320"/>
      <c r="J472" s="320"/>
      <c r="K472" s="320"/>
      <c r="L472" s="320"/>
      <c r="M472" s="320"/>
      <c r="N472" s="320"/>
      <c r="O472" s="320"/>
      <c r="P472" s="320"/>
      <c r="Q472" s="320"/>
      <c r="R472" s="320"/>
      <c r="S472" s="320"/>
      <c r="T472" s="320"/>
    </row>
    <row r="473">
      <c r="A473" s="362" t="str">
        <f>IFERROR(__xludf.DUMMYFUNCTION("""COMPUTED_VALUE"""),"Enchantment Hardened Mana 1")</f>
        <v>Enchantment Hardened Mana 1</v>
      </c>
      <c r="B473" s="373">
        <f>IFERROR(__xludf.DUMMYFUNCTION("""COMPUTED_VALUE"""),42796.2)</f>
        <v>42796.2</v>
      </c>
      <c r="C473" s="320"/>
      <c r="D473" s="320"/>
      <c r="E473" s="320"/>
      <c r="F473" s="320"/>
      <c r="G473" s="320"/>
      <c r="H473" s="320"/>
      <c r="I473" s="320"/>
      <c r="J473" s="320"/>
      <c r="K473" s="320"/>
      <c r="L473" s="320"/>
      <c r="M473" s="320"/>
      <c r="N473" s="320"/>
      <c r="O473" s="320"/>
      <c r="P473" s="320"/>
      <c r="Q473" s="320"/>
      <c r="R473" s="320"/>
      <c r="S473" s="320"/>
      <c r="T473" s="320"/>
    </row>
    <row r="474">
      <c r="A474" s="362" t="str">
        <f>IFERROR(__xludf.DUMMYFUNCTION("""COMPUTED_VALUE"""),"Enchantment Hardened Mana 10")</f>
        <v>Enchantment Hardened Mana 10</v>
      </c>
      <c r="B474" s="373">
        <f>IFERROR(__xludf.DUMMYFUNCTION("""COMPUTED_VALUE"""),7656600.4)</f>
        <v>7656600.4</v>
      </c>
      <c r="C474" s="320"/>
      <c r="D474" s="320"/>
      <c r="E474" s="320"/>
      <c r="F474" s="320"/>
      <c r="G474" s="320"/>
      <c r="H474" s="320"/>
      <c r="I474" s="320"/>
      <c r="J474" s="320"/>
      <c r="K474" s="320"/>
      <c r="L474" s="320"/>
      <c r="M474" s="320"/>
      <c r="N474" s="320"/>
      <c r="O474" s="320"/>
      <c r="P474" s="320"/>
      <c r="Q474" s="320"/>
      <c r="R474" s="320"/>
      <c r="S474" s="320"/>
      <c r="T474" s="320"/>
    </row>
    <row r="475">
      <c r="A475" s="362" t="str">
        <f>IFERROR(__xludf.DUMMYFUNCTION("""COMPUTED_VALUE"""),"Enchantment Hardened Mana 2")</f>
        <v>Enchantment Hardened Mana 2</v>
      </c>
      <c r="B475" s="373">
        <f>IFERROR(__xludf.DUMMYFUNCTION("""COMPUTED_VALUE"""),38572.75)</f>
        <v>38572.75</v>
      </c>
      <c r="C475" s="320"/>
      <c r="D475" s="320"/>
      <c r="E475" s="320"/>
      <c r="F475" s="320"/>
      <c r="G475" s="320"/>
      <c r="H475" s="320"/>
      <c r="I475" s="320"/>
      <c r="J475" s="320"/>
      <c r="K475" s="320"/>
      <c r="L475" s="320"/>
      <c r="M475" s="320"/>
      <c r="N475" s="320"/>
      <c r="O475" s="320"/>
      <c r="P475" s="320"/>
      <c r="Q475" s="320"/>
      <c r="R475" s="320"/>
      <c r="S475" s="320"/>
      <c r="T475" s="320"/>
    </row>
    <row r="476">
      <c r="A476" s="362" t="str">
        <f>IFERROR(__xludf.DUMMYFUNCTION("""COMPUTED_VALUE"""),"Enchantment Hardened Mana 3")</f>
        <v>Enchantment Hardened Mana 3</v>
      </c>
      <c r="B476" s="373">
        <f>IFERROR(__xludf.DUMMYFUNCTION("""COMPUTED_VALUE"""),73476.2)</f>
        <v>73476.2</v>
      </c>
      <c r="C476" s="320"/>
      <c r="D476" s="320"/>
      <c r="E476" s="320"/>
      <c r="F476" s="320"/>
      <c r="G476" s="320"/>
      <c r="H476" s="320"/>
      <c r="I476" s="320"/>
      <c r="J476" s="320"/>
      <c r="K476" s="320"/>
      <c r="L476" s="320"/>
      <c r="M476" s="320"/>
      <c r="N476" s="320"/>
      <c r="O476" s="320"/>
      <c r="P476" s="320"/>
      <c r="Q476" s="320"/>
      <c r="R476" s="320"/>
      <c r="S476" s="320"/>
      <c r="T476" s="320"/>
    </row>
    <row r="477">
      <c r="A477" s="362" t="str">
        <f>IFERROR(__xludf.DUMMYFUNCTION("""COMPUTED_VALUE"""),"Enchantment Hardened Mana 4")</f>
        <v>Enchantment Hardened Mana 4</v>
      </c>
      <c r="B477" s="373">
        <f>IFERROR(__xludf.DUMMYFUNCTION("""COMPUTED_VALUE"""),162918.85)</f>
        <v>162918.85</v>
      </c>
      <c r="C477" s="320"/>
      <c r="D477" s="320"/>
      <c r="E477" s="320"/>
      <c r="F477" s="320"/>
      <c r="G477" s="320"/>
      <c r="H477" s="320"/>
      <c r="I477" s="320"/>
      <c r="J477" s="320"/>
      <c r="K477" s="320"/>
      <c r="L477" s="320"/>
      <c r="M477" s="320"/>
      <c r="N477" s="320"/>
      <c r="O477" s="320"/>
      <c r="P477" s="320"/>
      <c r="Q477" s="320"/>
      <c r="R477" s="320"/>
      <c r="S477" s="320"/>
      <c r="T477" s="320"/>
    </row>
    <row r="478">
      <c r="A478" s="362" t="str">
        <f>IFERROR(__xludf.DUMMYFUNCTION("""COMPUTED_VALUE"""),"Enchantment Hardened Mana 5")</f>
        <v>Enchantment Hardened Mana 5</v>
      </c>
      <c r="B478" s="373">
        <f>IFERROR(__xludf.DUMMYFUNCTION("""COMPUTED_VALUE"""),186275.4)</f>
        <v>186275.4</v>
      </c>
      <c r="C478" s="320"/>
      <c r="D478" s="320"/>
      <c r="E478" s="320"/>
      <c r="F478" s="320"/>
      <c r="G478" s="320"/>
      <c r="H478" s="320"/>
      <c r="I478" s="320"/>
      <c r="J478" s="320"/>
      <c r="K478" s="320"/>
      <c r="L478" s="320"/>
      <c r="M478" s="320"/>
      <c r="N478" s="320"/>
      <c r="O478" s="320"/>
      <c r="P478" s="320"/>
      <c r="Q478" s="320"/>
      <c r="R478" s="320"/>
      <c r="S478" s="320"/>
      <c r="T478" s="320"/>
    </row>
    <row r="479">
      <c r="A479" s="362" t="str">
        <f>IFERROR(__xludf.DUMMYFUNCTION("""COMPUTED_VALUE"""),"Enchantment Hardened Mana 6")</f>
        <v>Enchantment Hardened Mana 6</v>
      </c>
      <c r="B479" s="373">
        <f>IFERROR(__xludf.DUMMYFUNCTION("""COMPUTED_VALUE"""),1185001.3)</f>
        <v>1185001.3</v>
      </c>
      <c r="C479" s="320"/>
      <c r="D479" s="320"/>
      <c r="E479" s="320"/>
      <c r="F479" s="320"/>
      <c r="G479" s="320"/>
      <c r="H479" s="320"/>
      <c r="I479" s="320"/>
      <c r="J479" s="320"/>
      <c r="K479" s="320"/>
      <c r="L479" s="320"/>
      <c r="M479" s="320"/>
      <c r="N479" s="320"/>
      <c r="O479" s="320"/>
      <c r="P479" s="320"/>
      <c r="Q479" s="320"/>
      <c r="R479" s="320"/>
      <c r="S479" s="320"/>
      <c r="T479" s="320"/>
    </row>
    <row r="480">
      <c r="A480" s="362" t="str">
        <f>IFERROR(__xludf.DUMMYFUNCTION("""COMPUTED_VALUE"""),"Enchantment Hardened Mana 7")</f>
        <v>Enchantment Hardened Mana 7</v>
      </c>
      <c r="B480" s="373">
        <f>IFERROR(__xludf.DUMMYFUNCTION("""COMPUTED_VALUE"""),1770500.35)</f>
        <v>1770500.35</v>
      </c>
      <c r="C480" s="320"/>
      <c r="D480" s="320"/>
      <c r="E480" s="320"/>
      <c r="F480" s="320"/>
      <c r="G480" s="320"/>
      <c r="H480" s="320"/>
      <c r="I480" s="320"/>
      <c r="J480" s="320"/>
      <c r="K480" s="320"/>
      <c r="L480" s="320"/>
      <c r="M480" s="320"/>
      <c r="N480" s="320"/>
      <c r="O480" s="320"/>
      <c r="P480" s="320"/>
      <c r="Q480" s="320"/>
      <c r="R480" s="320"/>
      <c r="S480" s="320"/>
      <c r="T480" s="320"/>
    </row>
    <row r="481">
      <c r="A481" s="362" t="str">
        <f>IFERROR(__xludf.DUMMYFUNCTION("""COMPUTED_VALUE"""),"Enchantment Hardened Mana 8")</f>
        <v>Enchantment Hardened Mana 8</v>
      </c>
      <c r="B481" s="373">
        <f>IFERROR(__xludf.DUMMYFUNCTION("""COMPUTED_VALUE"""),3419001.55)</f>
        <v>3419001.55</v>
      </c>
      <c r="C481" s="320"/>
      <c r="D481" s="320"/>
      <c r="E481" s="320"/>
      <c r="F481" s="320"/>
      <c r="G481" s="320"/>
      <c r="H481" s="320"/>
      <c r="I481" s="320"/>
      <c r="J481" s="320"/>
      <c r="K481" s="320"/>
      <c r="L481" s="320"/>
      <c r="M481" s="320"/>
      <c r="N481" s="320"/>
      <c r="O481" s="320"/>
      <c r="P481" s="320"/>
      <c r="Q481" s="320"/>
      <c r="R481" s="320"/>
      <c r="S481" s="320"/>
      <c r="T481" s="320"/>
    </row>
    <row r="482">
      <c r="A482" s="362" t="str">
        <f>IFERROR(__xludf.DUMMYFUNCTION("""COMPUTED_VALUE"""),"Enchantment Hardened Mana 9")</f>
        <v>Enchantment Hardened Mana 9</v>
      </c>
      <c r="B482" s="373">
        <f>IFERROR(__xludf.DUMMYFUNCTION("""COMPUTED_VALUE"""),1.4762253503E7)</f>
        <v>14762253.5</v>
      </c>
      <c r="C482" s="320"/>
      <c r="D482" s="320"/>
      <c r="E482" s="320"/>
      <c r="F482" s="320"/>
      <c r="G482" s="320"/>
      <c r="H482" s="320"/>
      <c r="I482" s="320"/>
      <c r="J482" s="320"/>
      <c r="K482" s="320"/>
      <c r="L482" s="320"/>
      <c r="M482" s="320"/>
      <c r="N482" s="320"/>
      <c r="O482" s="320"/>
      <c r="P482" s="320"/>
      <c r="Q482" s="320"/>
      <c r="R482" s="320"/>
      <c r="S482" s="320"/>
      <c r="T482" s="320"/>
    </row>
    <row r="483">
      <c r="A483" s="362" t="str">
        <f>IFERROR(__xludf.DUMMYFUNCTION("""COMPUTED_VALUE"""),"Enchantment Harvesting 1")</f>
        <v>Enchantment Harvesting 1</v>
      </c>
      <c r="B483" s="373"/>
      <c r="C483" s="320"/>
      <c r="D483" s="320"/>
      <c r="E483" s="320"/>
      <c r="F483" s="320"/>
      <c r="G483" s="320"/>
      <c r="H483" s="320"/>
      <c r="I483" s="320"/>
      <c r="J483" s="320"/>
      <c r="K483" s="320"/>
      <c r="L483" s="320"/>
      <c r="M483" s="320"/>
      <c r="N483" s="320"/>
      <c r="O483" s="320"/>
      <c r="P483" s="320"/>
      <c r="Q483" s="320"/>
      <c r="R483" s="320"/>
      <c r="S483" s="320"/>
      <c r="T483" s="320"/>
    </row>
    <row r="484">
      <c r="A484" s="362" t="str">
        <f>IFERROR(__xludf.DUMMYFUNCTION("""COMPUTED_VALUE"""),"Enchantment Harvesting 2")</f>
        <v>Enchantment Harvesting 2</v>
      </c>
      <c r="B484" s="373"/>
      <c r="C484" s="320"/>
      <c r="D484" s="320"/>
      <c r="E484" s="320"/>
      <c r="F484" s="320"/>
      <c r="G484" s="320"/>
      <c r="H484" s="320"/>
      <c r="I484" s="320"/>
      <c r="J484" s="320"/>
      <c r="K484" s="320"/>
      <c r="L484" s="320"/>
      <c r="M484" s="320"/>
      <c r="N484" s="320"/>
      <c r="O484" s="320"/>
      <c r="P484" s="320"/>
      <c r="Q484" s="320"/>
      <c r="R484" s="320"/>
      <c r="S484" s="320"/>
      <c r="T484" s="320"/>
    </row>
    <row r="485">
      <c r="A485" s="362" t="str">
        <f>IFERROR(__xludf.DUMMYFUNCTION("""COMPUTED_VALUE"""),"Enchantment Harvesting 3")</f>
        <v>Enchantment Harvesting 3</v>
      </c>
      <c r="B485" s="373"/>
      <c r="C485" s="320"/>
      <c r="D485" s="320"/>
      <c r="E485" s="320"/>
      <c r="F485" s="320"/>
      <c r="G485" s="320"/>
      <c r="H485" s="320"/>
      <c r="I485" s="320"/>
      <c r="J485" s="320"/>
      <c r="K485" s="320"/>
      <c r="L485" s="320"/>
      <c r="M485" s="320"/>
      <c r="N485" s="320"/>
      <c r="O485" s="320"/>
      <c r="P485" s="320"/>
      <c r="Q485" s="320"/>
      <c r="R485" s="320"/>
      <c r="S485" s="320"/>
      <c r="T485" s="320"/>
    </row>
    <row r="486">
      <c r="A486" s="362" t="str">
        <f>IFERROR(__xludf.DUMMYFUNCTION("""COMPUTED_VALUE"""),"Enchantment Harvesting 4")</f>
        <v>Enchantment Harvesting 4</v>
      </c>
      <c r="B486" s="373"/>
      <c r="C486" s="320"/>
      <c r="D486" s="320"/>
      <c r="E486" s="320"/>
      <c r="F486" s="320"/>
      <c r="G486" s="320"/>
      <c r="H486" s="320"/>
      <c r="I486" s="320"/>
      <c r="J486" s="320"/>
      <c r="K486" s="320"/>
      <c r="L486" s="320"/>
      <c r="M486" s="320"/>
      <c r="N486" s="320"/>
      <c r="O486" s="320"/>
      <c r="P486" s="320"/>
      <c r="Q486" s="320"/>
      <c r="R486" s="320"/>
      <c r="S486" s="320"/>
      <c r="T486" s="320"/>
    </row>
    <row r="487">
      <c r="A487" s="362" t="str">
        <f>IFERROR(__xludf.DUMMYFUNCTION("""COMPUTED_VALUE"""),"Enchantment Harvesting 5")</f>
        <v>Enchantment Harvesting 5</v>
      </c>
      <c r="B487" s="373"/>
      <c r="C487" s="320"/>
      <c r="D487" s="320"/>
      <c r="E487" s="320"/>
      <c r="F487" s="320"/>
      <c r="G487" s="320"/>
      <c r="H487" s="320"/>
      <c r="I487" s="320"/>
      <c r="J487" s="320"/>
      <c r="K487" s="320"/>
      <c r="L487" s="320"/>
      <c r="M487" s="320"/>
      <c r="N487" s="320"/>
      <c r="O487" s="320"/>
      <c r="P487" s="320"/>
      <c r="Q487" s="320"/>
      <c r="R487" s="320"/>
      <c r="S487" s="320"/>
      <c r="T487" s="320"/>
    </row>
    <row r="488">
      <c r="A488" s="362" t="str">
        <f>IFERROR(__xludf.DUMMYFUNCTION("""COMPUTED_VALUE"""),"Enchantment Harvesting 6")</f>
        <v>Enchantment Harvesting 6</v>
      </c>
      <c r="B488" s="373">
        <f>IFERROR(__xludf.DUMMYFUNCTION("""COMPUTED_VALUE"""),3056816.342)</f>
        <v>3056816.342</v>
      </c>
      <c r="C488" s="320"/>
      <c r="D488" s="320"/>
      <c r="E488" s="320"/>
      <c r="F488" s="320"/>
      <c r="G488" s="320"/>
      <c r="H488" s="320"/>
      <c r="I488" s="320"/>
      <c r="J488" s="320"/>
      <c r="K488" s="320"/>
      <c r="L488" s="320"/>
      <c r="M488" s="320"/>
      <c r="N488" s="320"/>
      <c r="O488" s="320"/>
      <c r="P488" s="320"/>
      <c r="Q488" s="320"/>
      <c r="R488" s="320"/>
      <c r="S488" s="320"/>
      <c r="T488" s="320"/>
    </row>
    <row r="489">
      <c r="A489" s="362" t="str">
        <f>IFERROR(__xludf.DUMMYFUNCTION("""COMPUTED_VALUE"""),"Enchantment Hecatomb 1")</f>
        <v>Enchantment Hecatomb 1</v>
      </c>
      <c r="B489" s="373">
        <f>IFERROR(__xludf.DUMMYFUNCTION("""COMPUTED_VALUE"""),7368370.275)</f>
        <v>7368370.275</v>
      </c>
      <c r="C489" s="320"/>
      <c r="D489" s="320"/>
      <c r="E489" s="320"/>
      <c r="F489" s="320"/>
      <c r="G489" s="320"/>
      <c r="H489" s="320"/>
      <c r="I489" s="320"/>
      <c r="J489" s="320"/>
      <c r="K489" s="320"/>
      <c r="L489" s="320"/>
      <c r="M489" s="320"/>
      <c r="N489" s="320"/>
      <c r="O489" s="320"/>
      <c r="P489" s="320"/>
      <c r="Q489" s="320"/>
      <c r="R489" s="320"/>
      <c r="S489" s="320"/>
      <c r="T489" s="320"/>
    </row>
    <row r="490">
      <c r="A490" s="362" t="str">
        <f>IFERROR(__xludf.DUMMYFUNCTION("""COMPUTED_VALUE"""),"Enchantment Hecatomb 10")</f>
        <v>Enchantment Hecatomb 10</v>
      </c>
      <c r="B490" s="373"/>
      <c r="C490" s="320"/>
      <c r="D490" s="320"/>
      <c r="E490" s="320"/>
      <c r="F490" s="320"/>
      <c r="G490" s="320"/>
      <c r="H490" s="320"/>
      <c r="I490" s="320"/>
      <c r="J490" s="320"/>
      <c r="K490" s="320"/>
      <c r="L490" s="320"/>
      <c r="M490" s="320"/>
      <c r="N490" s="320"/>
      <c r="O490" s="320"/>
      <c r="P490" s="320"/>
      <c r="Q490" s="320"/>
      <c r="R490" s="320"/>
      <c r="S490" s="320"/>
      <c r="T490" s="320"/>
    </row>
    <row r="491">
      <c r="A491" s="362" t="str">
        <f>IFERROR(__xludf.DUMMYFUNCTION("""COMPUTED_VALUE"""),"Enchantment Hecatomb 2")</f>
        <v>Enchantment Hecatomb 2</v>
      </c>
      <c r="B491" s="373"/>
      <c r="C491" s="320"/>
      <c r="D491" s="320"/>
      <c r="E491" s="320"/>
      <c r="F491" s="320"/>
      <c r="G491" s="320"/>
      <c r="H491" s="320"/>
      <c r="I491" s="320"/>
      <c r="J491" s="320"/>
      <c r="K491" s="320"/>
      <c r="L491" s="320"/>
      <c r="M491" s="320"/>
      <c r="N491" s="320"/>
      <c r="O491" s="320"/>
      <c r="P491" s="320"/>
      <c r="Q491" s="320"/>
      <c r="R491" s="320"/>
      <c r="S491" s="320"/>
      <c r="T491" s="320"/>
    </row>
    <row r="492">
      <c r="A492" s="362" t="str">
        <f>IFERROR(__xludf.DUMMYFUNCTION("""COMPUTED_VALUE"""),"Enchantment Hecatomb 3")</f>
        <v>Enchantment Hecatomb 3</v>
      </c>
      <c r="B492" s="373"/>
      <c r="C492" s="320"/>
      <c r="D492" s="320"/>
      <c r="E492" s="320"/>
      <c r="F492" s="320"/>
      <c r="G492" s="320"/>
      <c r="H492" s="320"/>
      <c r="I492" s="320"/>
      <c r="J492" s="320"/>
      <c r="K492" s="320"/>
      <c r="L492" s="320"/>
      <c r="M492" s="320"/>
      <c r="N492" s="320"/>
      <c r="O492" s="320"/>
      <c r="P492" s="320"/>
      <c r="Q492" s="320"/>
      <c r="R492" s="320"/>
      <c r="S492" s="320"/>
      <c r="T492" s="320"/>
    </row>
    <row r="493">
      <c r="A493" s="362" t="str">
        <f>IFERROR(__xludf.DUMMYFUNCTION("""COMPUTED_VALUE"""),"Enchantment Hecatomb 4")</f>
        <v>Enchantment Hecatomb 4</v>
      </c>
      <c r="B493" s="373"/>
      <c r="C493" s="320"/>
      <c r="D493" s="320"/>
      <c r="E493" s="320"/>
      <c r="F493" s="320"/>
      <c r="G493" s="320"/>
      <c r="H493" s="320"/>
      <c r="I493" s="320"/>
      <c r="J493" s="320"/>
      <c r="K493" s="320"/>
      <c r="L493" s="320"/>
      <c r="M493" s="320"/>
      <c r="N493" s="320"/>
      <c r="O493" s="320"/>
      <c r="P493" s="320"/>
      <c r="Q493" s="320"/>
      <c r="R493" s="320"/>
      <c r="S493" s="320"/>
      <c r="T493" s="320"/>
    </row>
    <row r="494">
      <c r="A494" s="362" t="str">
        <f>IFERROR(__xludf.DUMMYFUNCTION("""COMPUTED_VALUE"""),"Enchantment Hecatomb 5")</f>
        <v>Enchantment Hecatomb 5</v>
      </c>
      <c r="B494" s="373"/>
      <c r="C494" s="320"/>
      <c r="D494" s="320"/>
      <c r="E494" s="320"/>
      <c r="F494" s="320"/>
      <c r="G494" s="320"/>
      <c r="H494" s="320"/>
      <c r="I494" s="320"/>
      <c r="J494" s="320"/>
      <c r="K494" s="320"/>
      <c r="L494" s="320"/>
      <c r="M494" s="320"/>
      <c r="N494" s="320"/>
      <c r="O494" s="320"/>
      <c r="P494" s="320"/>
      <c r="Q494" s="320"/>
      <c r="R494" s="320"/>
      <c r="S494" s="320"/>
      <c r="T494" s="320"/>
    </row>
    <row r="495">
      <c r="A495" s="362" t="str">
        <f>IFERROR(__xludf.DUMMYFUNCTION("""COMPUTED_VALUE"""),"Enchantment Hecatomb 6")</f>
        <v>Enchantment Hecatomb 6</v>
      </c>
      <c r="B495" s="373"/>
      <c r="C495" s="320"/>
      <c r="D495" s="320"/>
      <c r="E495" s="320"/>
      <c r="F495" s="320"/>
      <c r="G495" s="320"/>
      <c r="H495" s="320"/>
      <c r="I495" s="320"/>
      <c r="J495" s="320"/>
      <c r="K495" s="320"/>
      <c r="L495" s="320"/>
      <c r="M495" s="320"/>
      <c r="N495" s="320"/>
      <c r="O495" s="320"/>
      <c r="P495" s="320"/>
      <c r="Q495" s="320"/>
      <c r="R495" s="320"/>
      <c r="S495" s="320"/>
      <c r="T495" s="320"/>
    </row>
    <row r="496">
      <c r="A496" s="362" t="str">
        <f>IFERROR(__xludf.DUMMYFUNCTION("""COMPUTED_VALUE"""),"Enchantment Hecatomb 7")</f>
        <v>Enchantment Hecatomb 7</v>
      </c>
      <c r="B496" s="373"/>
      <c r="C496" s="320"/>
      <c r="D496" s="320"/>
      <c r="E496" s="320"/>
      <c r="F496" s="320"/>
      <c r="G496" s="320"/>
      <c r="H496" s="320"/>
      <c r="I496" s="320"/>
      <c r="J496" s="320"/>
      <c r="K496" s="320"/>
      <c r="L496" s="320"/>
      <c r="M496" s="320"/>
      <c r="N496" s="320"/>
      <c r="O496" s="320"/>
      <c r="P496" s="320"/>
      <c r="Q496" s="320"/>
      <c r="R496" s="320"/>
      <c r="S496" s="320"/>
      <c r="T496" s="320"/>
    </row>
    <row r="497">
      <c r="A497" s="362" t="str">
        <f>IFERROR(__xludf.DUMMYFUNCTION("""COMPUTED_VALUE"""),"Enchantment Hecatomb 8")</f>
        <v>Enchantment Hecatomb 8</v>
      </c>
      <c r="B497" s="373"/>
      <c r="C497" s="320"/>
      <c r="D497" s="320"/>
      <c r="E497" s="320"/>
      <c r="F497" s="320"/>
      <c r="G497" s="320"/>
      <c r="H497" s="320"/>
      <c r="I497" s="320"/>
      <c r="J497" s="320"/>
      <c r="K497" s="320"/>
      <c r="L497" s="320"/>
      <c r="M497" s="320"/>
      <c r="N497" s="320"/>
      <c r="O497" s="320"/>
      <c r="P497" s="320"/>
      <c r="Q497" s="320"/>
      <c r="R497" s="320"/>
      <c r="S497" s="320"/>
      <c r="T497" s="320"/>
    </row>
    <row r="498">
      <c r="A498" s="362" t="str">
        <f>IFERROR(__xludf.DUMMYFUNCTION("""COMPUTED_VALUE"""),"Enchantment Hecatomb 9")</f>
        <v>Enchantment Hecatomb 9</v>
      </c>
      <c r="B498" s="373"/>
      <c r="C498" s="320"/>
      <c r="D498" s="320"/>
      <c r="E498" s="320"/>
      <c r="F498" s="320"/>
      <c r="G498" s="320"/>
      <c r="H498" s="320"/>
      <c r="I498" s="320"/>
      <c r="J498" s="320"/>
      <c r="K498" s="320"/>
      <c r="L498" s="320"/>
      <c r="M498" s="320"/>
      <c r="N498" s="320"/>
      <c r="O498" s="320"/>
      <c r="P498" s="320"/>
      <c r="Q498" s="320"/>
      <c r="R498" s="320"/>
      <c r="S498" s="320"/>
      <c r="T498" s="320"/>
    </row>
    <row r="499">
      <c r="A499" s="362" t="str">
        <f>IFERROR(__xludf.DUMMYFUNCTION("""COMPUTED_VALUE"""),"Enchantment Impaling 1")</f>
        <v>Enchantment Impaling 1</v>
      </c>
      <c r="B499" s="373"/>
      <c r="C499" s="320"/>
      <c r="D499" s="320"/>
      <c r="E499" s="320"/>
      <c r="F499" s="320"/>
      <c r="G499" s="320"/>
      <c r="H499" s="320"/>
      <c r="I499" s="320"/>
      <c r="J499" s="320"/>
      <c r="K499" s="320"/>
      <c r="L499" s="320"/>
      <c r="M499" s="320"/>
      <c r="N499" s="320"/>
      <c r="O499" s="320"/>
      <c r="P499" s="320"/>
      <c r="Q499" s="320"/>
      <c r="R499" s="320"/>
      <c r="S499" s="320"/>
      <c r="T499" s="320"/>
    </row>
    <row r="500">
      <c r="A500" s="362" t="str">
        <f>IFERROR(__xludf.DUMMYFUNCTION("""COMPUTED_VALUE"""),"Enchantment Impaling 2")</f>
        <v>Enchantment Impaling 2</v>
      </c>
      <c r="B500" s="373"/>
      <c r="C500" s="320"/>
      <c r="D500" s="320"/>
      <c r="E500" s="320"/>
      <c r="F500" s="320"/>
      <c r="G500" s="320"/>
      <c r="H500" s="320"/>
      <c r="I500" s="320"/>
      <c r="J500" s="320"/>
      <c r="K500" s="320"/>
      <c r="L500" s="320"/>
      <c r="M500" s="320"/>
      <c r="N500" s="320"/>
      <c r="O500" s="320"/>
      <c r="P500" s="320"/>
      <c r="Q500" s="320"/>
      <c r="R500" s="320"/>
      <c r="S500" s="320"/>
      <c r="T500" s="320"/>
    </row>
    <row r="501">
      <c r="A501" s="362" t="str">
        <f>IFERROR(__xludf.DUMMYFUNCTION("""COMPUTED_VALUE"""),"Enchantment Impaling 3")</f>
        <v>Enchantment Impaling 3</v>
      </c>
      <c r="B501" s="373"/>
      <c r="C501" s="320"/>
      <c r="D501" s="320"/>
      <c r="E501" s="320"/>
      <c r="F501" s="320"/>
      <c r="G501" s="320"/>
      <c r="H501" s="320"/>
      <c r="I501" s="320"/>
      <c r="J501" s="320"/>
      <c r="K501" s="320"/>
      <c r="L501" s="320"/>
      <c r="M501" s="320"/>
      <c r="N501" s="320"/>
      <c r="O501" s="320"/>
      <c r="P501" s="320"/>
      <c r="Q501" s="320"/>
      <c r="R501" s="320"/>
      <c r="S501" s="320"/>
      <c r="T501" s="320"/>
    </row>
    <row r="502">
      <c r="A502" s="362" t="str">
        <f>IFERROR(__xludf.DUMMYFUNCTION("""COMPUTED_VALUE"""),"Enchantment Infinite Quiver 1")</f>
        <v>Enchantment Infinite Quiver 1</v>
      </c>
      <c r="B502" s="373"/>
      <c r="C502" s="320"/>
      <c r="D502" s="320"/>
      <c r="E502" s="320"/>
      <c r="F502" s="320"/>
      <c r="G502" s="320"/>
      <c r="H502" s="320"/>
      <c r="I502" s="320"/>
      <c r="J502" s="320"/>
      <c r="K502" s="320"/>
      <c r="L502" s="320"/>
      <c r="M502" s="320"/>
      <c r="N502" s="320"/>
      <c r="O502" s="320"/>
      <c r="P502" s="320"/>
      <c r="Q502" s="320"/>
      <c r="R502" s="320"/>
      <c r="S502" s="320"/>
      <c r="T502" s="320"/>
    </row>
    <row r="503">
      <c r="A503" s="362" t="str">
        <f>IFERROR(__xludf.DUMMYFUNCTION("""COMPUTED_VALUE"""),"Enchantment Infinite Quiver 10")</f>
        <v>Enchantment Infinite Quiver 10</v>
      </c>
      <c r="B503" s="373">
        <f>IFERROR(__xludf.DUMMYFUNCTION("""COMPUTED_VALUE"""),179999.55)</f>
        <v>179999.55</v>
      </c>
      <c r="C503" s="320"/>
      <c r="D503" s="320"/>
      <c r="E503" s="320"/>
      <c r="F503" s="320"/>
      <c r="G503" s="320"/>
      <c r="H503" s="320"/>
      <c r="I503" s="320"/>
      <c r="J503" s="320"/>
      <c r="K503" s="320"/>
      <c r="L503" s="320"/>
      <c r="M503" s="320"/>
      <c r="N503" s="320"/>
      <c r="O503" s="320"/>
      <c r="P503" s="320"/>
      <c r="Q503" s="320"/>
      <c r="R503" s="320"/>
      <c r="S503" s="320"/>
      <c r="T503" s="320"/>
    </row>
    <row r="504">
      <c r="A504" s="362" t="str">
        <f>IFERROR(__xludf.DUMMYFUNCTION("""COMPUTED_VALUE"""),"Enchantment Infinite Quiver 2")</f>
        <v>Enchantment Infinite Quiver 2</v>
      </c>
      <c r="B504" s="373"/>
      <c r="C504" s="320"/>
      <c r="D504" s="320"/>
      <c r="E504" s="320"/>
      <c r="F504" s="320"/>
      <c r="G504" s="320"/>
      <c r="H504" s="320"/>
      <c r="I504" s="320"/>
      <c r="J504" s="320"/>
      <c r="K504" s="320"/>
      <c r="L504" s="320"/>
      <c r="M504" s="320"/>
      <c r="N504" s="320"/>
      <c r="O504" s="320"/>
      <c r="P504" s="320"/>
      <c r="Q504" s="320"/>
      <c r="R504" s="320"/>
      <c r="S504" s="320"/>
      <c r="T504" s="320"/>
    </row>
    <row r="505">
      <c r="A505" s="362" t="str">
        <f>IFERROR(__xludf.DUMMYFUNCTION("""COMPUTED_VALUE"""),"Enchantment Infinite Quiver 3")</f>
        <v>Enchantment Infinite Quiver 3</v>
      </c>
      <c r="B505" s="373"/>
      <c r="C505" s="320"/>
      <c r="D505" s="320"/>
      <c r="E505" s="320"/>
      <c r="F505" s="320"/>
      <c r="G505" s="320"/>
      <c r="H505" s="320"/>
      <c r="I505" s="320"/>
      <c r="J505" s="320"/>
      <c r="K505" s="320"/>
      <c r="L505" s="320"/>
      <c r="M505" s="320"/>
      <c r="N505" s="320"/>
      <c r="O505" s="320"/>
      <c r="P505" s="320"/>
      <c r="Q505" s="320"/>
      <c r="R505" s="320"/>
      <c r="S505" s="320"/>
      <c r="T505" s="320"/>
    </row>
    <row r="506">
      <c r="A506" s="362" t="str">
        <f>IFERROR(__xludf.DUMMYFUNCTION("""COMPUTED_VALUE"""),"Enchantment Infinite Quiver 4")</f>
        <v>Enchantment Infinite Quiver 4</v>
      </c>
      <c r="B506" s="373"/>
      <c r="C506" s="320"/>
      <c r="D506" s="320"/>
      <c r="E506" s="320"/>
      <c r="F506" s="320"/>
      <c r="G506" s="320"/>
      <c r="H506" s="320"/>
      <c r="I506" s="320"/>
      <c r="J506" s="320"/>
      <c r="K506" s="320"/>
      <c r="L506" s="320"/>
      <c r="M506" s="320"/>
      <c r="N506" s="320"/>
      <c r="O506" s="320"/>
      <c r="P506" s="320"/>
      <c r="Q506" s="320"/>
      <c r="R506" s="320"/>
      <c r="S506" s="320"/>
      <c r="T506" s="320"/>
    </row>
    <row r="507">
      <c r="A507" s="362" t="str">
        <f>IFERROR(__xludf.DUMMYFUNCTION("""COMPUTED_VALUE"""),"Enchantment Infinite Quiver 5")</f>
        <v>Enchantment Infinite Quiver 5</v>
      </c>
      <c r="B507" s="373"/>
      <c r="C507" s="320"/>
      <c r="D507" s="320"/>
      <c r="E507" s="320"/>
      <c r="F507" s="320"/>
      <c r="G507" s="320"/>
      <c r="H507" s="320"/>
      <c r="I507" s="320"/>
      <c r="J507" s="320"/>
      <c r="K507" s="320"/>
      <c r="L507" s="320"/>
      <c r="M507" s="320"/>
      <c r="N507" s="320"/>
      <c r="O507" s="320"/>
      <c r="P507" s="320"/>
      <c r="Q507" s="320"/>
      <c r="R507" s="320"/>
      <c r="S507" s="320"/>
      <c r="T507" s="320"/>
    </row>
    <row r="508">
      <c r="A508" s="362" t="str">
        <f>IFERROR(__xludf.DUMMYFUNCTION("""COMPUTED_VALUE"""),"Enchantment Infinite Quiver 6")</f>
        <v>Enchantment Infinite Quiver 6</v>
      </c>
      <c r="B508" s="373">
        <f>IFERROR(__xludf.DUMMYFUNCTION("""COMPUTED_VALUE"""),31.3)</f>
        <v>31.3</v>
      </c>
      <c r="C508" s="320"/>
      <c r="D508" s="320"/>
      <c r="E508" s="320"/>
      <c r="F508" s="320"/>
      <c r="G508" s="320"/>
      <c r="H508" s="320"/>
      <c r="I508" s="320"/>
      <c r="J508" s="320"/>
      <c r="K508" s="320"/>
      <c r="L508" s="320"/>
      <c r="M508" s="320"/>
      <c r="N508" s="320"/>
      <c r="O508" s="320"/>
      <c r="P508" s="320"/>
      <c r="Q508" s="320"/>
      <c r="R508" s="320"/>
      <c r="S508" s="320"/>
      <c r="T508" s="320"/>
    </row>
    <row r="509">
      <c r="A509" s="362" t="str">
        <f>IFERROR(__xludf.DUMMYFUNCTION("""COMPUTED_VALUE"""),"Enchantment Infinite Quiver 7")</f>
        <v>Enchantment Infinite Quiver 7</v>
      </c>
      <c r="B509" s="373">
        <f>IFERROR(__xludf.DUMMYFUNCTION("""COMPUTED_VALUE"""),444.943)</f>
        <v>444.943</v>
      </c>
      <c r="C509" s="320"/>
      <c r="D509" s="320"/>
      <c r="E509" s="320"/>
      <c r="F509" s="320"/>
      <c r="G509" s="320"/>
      <c r="H509" s="320"/>
      <c r="I509" s="320"/>
      <c r="J509" s="320"/>
      <c r="K509" s="320"/>
      <c r="L509" s="320"/>
      <c r="M509" s="320"/>
      <c r="N509" s="320"/>
      <c r="O509" s="320"/>
      <c r="P509" s="320"/>
      <c r="Q509" s="320"/>
      <c r="R509" s="320"/>
      <c r="S509" s="320"/>
      <c r="T509" s="320"/>
    </row>
    <row r="510">
      <c r="A510" s="362" t="str">
        <f>IFERROR(__xludf.DUMMYFUNCTION("""COMPUTED_VALUE"""),"Enchantment Infinite Quiver 8")</f>
        <v>Enchantment Infinite Quiver 8</v>
      </c>
      <c r="B510" s="373">
        <f>IFERROR(__xludf.DUMMYFUNCTION("""COMPUTED_VALUE"""),8149.35)</f>
        <v>8149.35</v>
      </c>
      <c r="C510" s="320"/>
      <c r="D510" s="320"/>
      <c r="E510" s="320"/>
      <c r="F510" s="320"/>
      <c r="G510" s="320"/>
      <c r="H510" s="320"/>
      <c r="I510" s="320"/>
      <c r="J510" s="320"/>
      <c r="K510" s="320"/>
      <c r="L510" s="320"/>
      <c r="M510" s="320"/>
      <c r="N510" s="320"/>
      <c r="O510" s="320"/>
      <c r="P510" s="320"/>
      <c r="Q510" s="320"/>
      <c r="R510" s="320"/>
      <c r="S510" s="320"/>
      <c r="T510" s="320"/>
    </row>
    <row r="511">
      <c r="A511" s="362" t="str">
        <f>IFERROR(__xludf.DUMMYFUNCTION("""COMPUTED_VALUE"""),"Enchantment Infinite Quiver 9")</f>
        <v>Enchantment Infinite Quiver 9</v>
      </c>
      <c r="B511" s="373">
        <f>IFERROR(__xludf.DUMMYFUNCTION("""COMPUTED_VALUE"""),22504.85)</f>
        <v>22504.85</v>
      </c>
      <c r="C511" s="320"/>
      <c r="D511" s="320"/>
      <c r="E511" s="320"/>
      <c r="F511" s="320"/>
      <c r="G511" s="320"/>
      <c r="H511" s="320"/>
      <c r="I511" s="320"/>
      <c r="J511" s="320"/>
      <c r="K511" s="320"/>
      <c r="L511" s="320"/>
      <c r="M511" s="320"/>
      <c r="N511" s="320"/>
      <c r="O511" s="320"/>
      <c r="P511" s="320"/>
      <c r="Q511" s="320"/>
      <c r="R511" s="320"/>
      <c r="S511" s="320"/>
      <c r="T511" s="320"/>
    </row>
    <row r="512">
      <c r="A512" s="362" t="str">
        <f>IFERROR(__xludf.DUMMYFUNCTION("""COMPUTED_VALUE"""),"Enchantment Knockback 1")</f>
        <v>Enchantment Knockback 1</v>
      </c>
      <c r="B512" s="373"/>
      <c r="C512" s="320"/>
      <c r="D512" s="320"/>
      <c r="E512" s="320"/>
      <c r="F512" s="320"/>
      <c r="G512" s="320"/>
      <c r="H512" s="320"/>
      <c r="I512" s="320"/>
      <c r="J512" s="320"/>
      <c r="K512" s="320"/>
      <c r="L512" s="320"/>
      <c r="M512" s="320"/>
      <c r="N512" s="320"/>
      <c r="O512" s="320"/>
      <c r="P512" s="320"/>
      <c r="Q512" s="320"/>
      <c r="R512" s="320"/>
      <c r="S512" s="320"/>
      <c r="T512" s="320"/>
    </row>
    <row r="513">
      <c r="A513" s="362" t="str">
        <f>IFERROR(__xludf.DUMMYFUNCTION("""COMPUTED_VALUE"""),"Enchantment Knockback 2")</f>
        <v>Enchantment Knockback 2</v>
      </c>
      <c r="B513" s="373"/>
      <c r="C513" s="320"/>
      <c r="D513" s="320"/>
      <c r="E513" s="320"/>
      <c r="F513" s="320"/>
      <c r="G513" s="320"/>
      <c r="H513" s="320"/>
      <c r="I513" s="320"/>
      <c r="J513" s="320"/>
      <c r="K513" s="320"/>
      <c r="L513" s="320"/>
      <c r="M513" s="320"/>
      <c r="N513" s="320"/>
      <c r="O513" s="320"/>
      <c r="P513" s="320"/>
      <c r="Q513" s="320"/>
      <c r="R513" s="320"/>
      <c r="S513" s="320"/>
      <c r="T513" s="320"/>
    </row>
    <row r="514">
      <c r="A514" s="362" t="str">
        <f>IFERROR(__xludf.DUMMYFUNCTION("""COMPUTED_VALUE"""),"Enchantment Lethality 1")</f>
        <v>Enchantment Lethality 1</v>
      </c>
      <c r="B514" s="373"/>
      <c r="C514" s="320"/>
      <c r="D514" s="320"/>
      <c r="E514" s="320"/>
      <c r="F514" s="320"/>
      <c r="G514" s="320"/>
      <c r="H514" s="320"/>
      <c r="I514" s="320"/>
      <c r="J514" s="320"/>
      <c r="K514" s="320"/>
      <c r="L514" s="320"/>
      <c r="M514" s="320"/>
      <c r="N514" s="320"/>
      <c r="O514" s="320"/>
      <c r="P514" s="320"/>
      <c r="Q514" s="320"/>
      <c r="R514" s="320"/>
      <c r="S514" s="320"/>
      <c r="T514" s="320"/>
    </row>
    <row r="515">
      <c r="A515" s="362" t="str">
        <f>IFERROR(__xludf.DUMMYFUNCTION("""COMPUTED_VALUE"""),"Enchantment Lethality 2")</f>
        <v>Enchantment Lethality 2</v>
      </c>
      <c r="B515" s="373"/>
      <c r="C515" s="320"/>
      <c r="D515" s="320"/>
      <c r="E515" s="320"/>
      <c r="F515" s="320"/>
      <c r="G515" s="320"/>
      <c r="H515" s="320"/>
      <c r="I515" s="320"/>
      <c r="J515" s="320"/>
      <c r="K515" s="320"/>
      <c r="L515" s="320"/>
      <c r="M515" s="320"/>
      <c r="N515" s="320"/>
      <c r="O515" s="320"/>
      <c r="P515" s="320"/>
      <c r="Q515" s="320"/>
      <c r="R515" s="320"/>
      <c r="S515" s="320"/>
      <c r="T515" s="320"/>
    </row>
    <row r="516">
      <c r="A516" s="362" t="str">
        <f>IFERROR(__xludf.DUMMYFUNCTION("""COMPUTED_VALUE"""),"Enchantment Lethality 3")</f>
        <v>Enchantment Lethality 3</v>
      </c>
      <c r="B516" s="373"/>
      <c r="C516" s="320"/>
      <c r="D516" s="320"/>
      <c r="E516" s="320"/>
      <c r="F516" s="320"/>
      <c r="G516" s="320"/>
      <c r="H516" s="320"/>
      <c r="I516" s="320"/>
      <c r="J516" s="320"/>
      <c r="K516" s="320"/>
      <c r="L516" s="320"/>
      <c r="M516" s="320"/>
      <c r="N516" s="320"/>
      <c r="O516" s="320"/>
      <c r="P516" s="320"/>
      <c r="Q516" s="320"/>
      <c r="R516" s="320"/>
      <c r="S516" s="320"/>
      <c r="T516" s="320"/>
    </row>
    <row r="517">
      <c r="A517" s="362" t="str">
        <f>IFERROR(__xludf.DUMMYFUNCTION("""COMPUTED_VALUE"""),"Enchantment Lethality 4")</f>
        <v>Enchantment Lethality 4</v>
      </c>
      <c r="B517" s="373"/>
      <c r="C517" s="320"/>
      <c r="D517" s="320"/>
      <c r="E517" s="320"/>
      <c r="F517" s="320"/>
      <c r="G517" s="320"/>
      <c r="H517" s="320"/>
      <c r="I517" s="320"/>
      <c r="J517" s="320"/>
      <c r="K517" s="320"/>
      <c r="L517" s="320"/>
      <c r="M517" s="320"/>
      <c r="N517" s="320"/>
      <c r="O517" s="320"/>
      <c r="P517" s="320"/>
      <c r="Q517" s="320"/>
      <c r="R517" s="320"/>
      <c r="S517" s="320"/>
      <c r="T517" s="320"/>
    </row>
    <row r="518">
      <c r="A518" s="362" t="str">
        <f>IFERROR(__xludf.DUMMYFUNCTION("""COMPUTED_VALUE"""),"Enchantment Lethality 5")</f>
        <v>Enchantment Lethality 5</v>
      </c>
      <c r="B518" s="373"/>
      <c r="C518" s="320"/>
      <c r="D518" s="320"/>
      <c r="E518" s="320"/>
      <c r="F518" s="320"/>
      <c r="G518" s="320"/>
      <c r="H518" s="320"/>
      <c r="I518" s="320"/>
      <c r="J518" s="320"/>
      <c r="K518" s="320"/>
      <c r="L518" s="320"/>
      <c r="M518" s="320"/>
      <c r="N518" s="320"/>
      <c r="O518" s="320"/>
      <c r="P518" s="320"/>
      <c r="Q518" s="320"/>
      <c r="R518" s="320"/>
      <c r="S518" s="320"/>
      <c r="T518" s="320"/>
    </row>
    <row r="519">
      <c r="A519" s="362" t="str">
        <f>IFERROR(__xludf.DUMMYFUNCTION("""COMPUTED_VALUE"""),"Enchantment Lethality 6")</f>
        <v>Enchantment Lethality 6</v>
      </c>
      <c r="B519" s="373">
        <f>IFERROR(__xludf.DUMMYFUNCTION("""COMPUTED_VALUE"""),129369.75)</f>
        <v>129369.75</v>
      </c>
      <c r="C519" s="320"/>
      <c r="D519" s="320"/>
      <c r="E519" s="320"/>
      <c r="F519" s="320"/>
      <c r="G519" s="320"/>
      <c r="H519" s="320"/>
      <c r="I519" s="320"/>
      <c r="J519" s="320"/>
      <c r="K519" s="320"/>
      <c r="L519" s="320"/>
      <c r="M519" s="320"/>
      <c r="N519" s="320"/>
      <c r="O519" s="320"/>
      <c r="P519" s="320"/>
      <c r="Q519" s="320"/>
      <c r="R519" s="320"/>
      <c r="S519" s="320"/>
      <c r="T519" s="320"/>
    </row>
    <row r="520">
      <c r="A520" s="362" t="str">
        <f>IFERROR(__xludf.DUMMYFUNCTION("""COMPUTED_VALUE"""),"Enchantment Life Steal 1")</f>
        <v>Enchantment Life Steal 1</v>
      </c>
      <c r="B520" s="373"/>
      <c r="C520" s="320"/>
      <c r="D520" s="320"/>
      <c r="E520" s="320"/>
      <c r="F520" s="320"/>
      <c r="G520" s="320"/>
      <c r="H520" s="320"/>
      <c r="I520" s="320"/>
      <c r="J520" s="320"/>
      <c r="K520" s="320"/>
      <c r="L520" s="320"/>
      <c r="M520" s="320"/>
      <c r="N520" s="320"/>
      <c r="O520" s="320"/>
      <c r="P520" s="320"/>
      <c r="Q520" s="320"/>
      <c r="R520" s="320"/>
      <c r="S520" s="320"/>
      <c r="T520" s="320"/>
    </row>
    <row r="521">
      <c r="A521" s="362" t="str">
        <f>IFERROR(__xludf.DUMMYFUNCTION("""COMPUTED_VALUE"""),"Enchantment Life Steal 2")</f>
        <v>Enchantment Life Steal 2</v>
      </c>
      <c r="B521" s="373"/>
      <c r="C521" s="320"/>
      <c r="D521" s="320"/>
      <c r="E521" s="320"/>
      <c r="F521" s="320"/>
      <c r="G521" s="320"/>
      <c r="H521" s="320"/>
      <c r="I521" s="320"/>
      <c r="J521" s="320"/>
      <c r="K521" s="320"/>
      <c r="L521" s="320"/>
      <c r="M521" s="320"/>
      <c r="N521" s="320"/>
      <c r="O521" s="320"/>
      <c r="P521" s="320"/>
      <c r="Q521" s="320"/>
      <c r="R521" s="320"/>
      <c r="S521" s="320"/>
      <c r="T521" s="320"/>
    </row>
    <row r="522">
      <c r="A522" s="362" t="str">
        <f>IFERROR(__xludf.DUMMYFUNCTION("""COMPUTED_VALUE"""),"Enchantment Life Steal 3")</f>
        <v>Enchantment Life Steal 3</v>
      </c>
      <c r="B522" s="373"/>
      <c r="C522" s="320"/>
      <c r="D522" s="320"/>
      <c r="E522" s="320"/>
      <c r="F522" s="320"/>
      <c r="G522" s="320"/>
      <c r="H522" s="320"/>
      <c r="I522" s="320"/>
      <c r="J522" s="320"/>
      <c r="K522" s="320"/>
      <c r="L522" s="320"/>
      <c r="M522" s="320"/>
      <c r="N522" s="320"/>
      <c r="O522" s="320"/>
      <c r="P522" s="320"/>
      <c r="Q522" s="320"/>
      <c r="R522" s="320"/>
      <c r="S522" s="320"/>
      <c r="T522" s="320"/>
    </row>
    <row r="523">
      <c r="A523" s="362" t="str">
        <f>IFERROR(__xludf.DUMMYFUNCTION("""COMPUTED_VALUE"""),"Enchantment Life Steal 4")</f>
        <v>Enchantment Life Steal 4</v>
      </c>
      <c r="B523" s="373">
        <f>IFERROR(__xludf.DUMMYFUNCTION("""COMPUTED_VALUE"""),96432.725)</f>
        <v>96432.725</v>
      </c>
      <c r="C523" s="320"/>
      <c r="D523" s="320"/>
      <c r="E523" s="320"/>
      <c r="F523" s="320"/>
      <c r="G523" s="320"/>
      <c r="H523" s="320"/>
      <c r="I523" s="320"/>
      <c r="J523" s="320"/>
      <c r="K523" s="320"/>
      <c r="L523" s="320"/>
      <c r="M523" s="320"/>
      <c r="N523" s="320"/>
      <c r="O523" s="320"/>
      <c r="P523" s="320"/>
      <c r="Q523" s="320"/>
      <c r="R523" s="320"/>
      <c r="S523" s="320"/>
      <c r="T523" s="320"/>
    </row>
    <row r="524">
      <c r="A524" s="362" t="str">
        <f>IFERROR(__xludf.DUMMYFUNCTION("""COMPUTED_VALUE"""),"Enchantment Life Steal 5")</f>
        <v>Enchantment Life Steal 5</v>
      </c>
      <c r="B524" s="373">
        <f>IFERROR(__xludf.DUMMYFUNCTION("""COMPUTED_VALUE"""),1.54341496E7)</f>
        <v>15434149.6</v>
      </c>
      <c r="C524" s="320"/>
      <c r="D524" s="320"/>
      <c r="E524" s="320"/>
      <c r="F524" s="320"/>
      <c r="G524" s="320"/>
      <c r="H524" s="320"/>
      <c r="I524" s="320"/>
      <c r="J524" s="320"/>
      <c r="K524" s="320"/>
      <c r="L524" s="320"/>
      <c r="M524" s="320"/>
      <c r="N524" s="320"/>
      <c r="O524" s="320"/>
      <c r="P524" s="320"/>
      <c r="Q524" s="320"/>
      <c r="R524" s="320"/>
      <c r="S524" s="320"/>
      <c r="T524" s="320"/>
    </row>
    <row r="525">
      <c r="A525" s="362" t="str">
        <f>IFERROR(__xludf.DUMMYFUNCTION("""COMPUTED_VALUE"""),"Enchantment Looting 1")</f>
        <v>Enchantment Looting 1</v>
      </c>
      <c r="B525" s="373"/>
      <c r="C525" s="320"/>
      <c r="D525" s="320"/>
      <c r="E525" s="320"/>
      <c r="F525" s="320"/>
      <c r="G525" s="320"/>
      <c r="H525" s="320"/>
      <c r="I525" s="320"/>
      <c r="J525" s="320"/>
      <c r="K525" s="320"/>
      <c r="L525" s="320"/>
      <c r="M525" s="320"/>
      <c r="N525" s="320"/>
      <c r="O525" s="320"/>
      <c r="P525" s="320"/>
      <c r="Q525" s="320"/>
      <c r="R525" s="320"/>
      <c r="S525" s="320"/>
      <c r="T525" s="320"/>
    </row>
    <row r="526">
      <c r="A526" s="362" t="str">
        <f>IFERROR(__xludf.DUMMYFUNCTION("""COMPUTED_VALUE"""),"Enchantment Looting 2")</f>
        <v>Enchantment Looting 2</v>
      </c>
      <c r="B526" s="373"/>
      <c r="C526" s="320"/>
      <c r="D526" s="320"/>
      <c r="E526" s="320"/>
      <c r="F526" s="320"/>
      <c r="G526" s="320"/>
      <c r="H526" s="320"/>
      <c r="I526" s="320"/>
      <c r="J526" s="320"/>
      <c r="K526" s="320"/>
      <c r="L526" s="320"/>
      <c r="M526" s="320"/>
      <c r="N526" s="320"/>
      <c r="O526" s="320"/>
      <c r="P526" s="320"/>
      <c r="Q526" s="320"/>
      <c r="R526" s="320"/>
      <c r="S526" s="320"/>
      <c r="T526" s="320"/>
    </row>
    <row r="527">
      <c r="A527" s="362" t="str">
        <f>IFERROR(__xludf.DUMMYFUNCTION("""COMPUTED_VALUE"""),"Enchantment Looting 3")</f>
        <v>Enchantment Looting 3</v>
      </c>
      <c r="B527" s="373"/>
      <c r="C527" s="320"/>
      <c r="D527" s="320"/>
      <c r="E527" s="320"/>
      <c r="F527" s="320"/>
      <c r="G527" s="320"/>
      <c r="H527" s="320"/>
      <c r="I527" s="320"/>
      <c r="J527" s="320"/>
      <c r="K527" s="320"/>
      <c r="L527" s="320"/>
      <c r="M527" s="320"/>
      <c r="N527" s="320"/>
      <c r="O527" s="320"/>
      <c r="P527" s="320"/>
      <c r="Q527" s="320"/>
      <c r="R527" s="320"/>
      <c r="S527" s="320"/>
      <c r="T527" s="320"/>
    </row>
    <row r="528">
      <c r="A528" s="362" t="str">
        <f>IFERROR(__xludf.DUMMYFUNCTION("""COMPUTED_VALUE"""),"Enchantment Looting 4")</f>
        <v>Enchantment Looting 4</v>
      </c>
      <c r="B528" s="373">
        <f>IFERROR(__xludf.DUMMYFUNCTION("""COMPUTED_VALUE"""),6665.936)</f>
        <v>6665.936</v>
      </c>
      <c r="C528" s="320"/>
      <c r="D528" s="320"/>
      <c r="E528" s="320"/>
      <c r="F528" s="320"/>
      <c r="G528" s="320"/>
      <c r="H528" s="320"/>
      <c r="I528" s="320"/>
      <c r="J528" s="320"/>
      <c r="K528" s="320"/>
      <c r="L528" s="320"/>
      <c r="M528" s="320"/>
      <c r="N528" s="320"/>
      <c r="O528" s="320"/>
      <c r="P528" s="320"/>
      <c r="Q528" s="320"/>
      <c r="R528" s="320"/>
      <c r="S528" s="320"/>
      <c r="T528" s="320"/>
    </row>
    <row r="529">
      <c r="A529" s="362" t="str">
        <f>IFERROR(__xludf.DUMMYFUNCTION("""COMPUTED_VALUE"""),"Enchantment Looting 5")</f>
        <v>Enchantment Looting 5</v>
      </c>
      <c r="B529" s="373">
        <f>IFERROR(__xludf.DUMMYFUNCTION("""COMPUTED_VALUE"""),1.9076168755E8)</f>
        <v>190761687.6</v>
      </c>
      <c r="C529" s="320"/>
      <c r="D529" s="320"/>
      <c r="E529" s="320"/>
      <c r="F529" s="320"/>
      <c r="G529" s="320"/>
      <c r="H529" s="320"/>
      <c r="I529" s="320"/>
      <c r="J529" s="320"/>
      <c r="K529" s="320"/>
      <c r="L529" s="320"/>
      <c r="M529" s="320"/>
      <c r="N529" s="320"/>
      <c r="O529" s="320"/>
      <c r="P529" s="320"/>
      <c r="Q529" s="320"/>
      <c r="R529" s="320"/>
      <c r="S529" s="320"/>
      <c r="T529" s="320"/>
    </row>
    <row r="530">
      <c r="A530" s="362" t="str">
        <f>IFERROR(__xludf.DUMMYFUNCTION("""COMPUTED_VALUE"""),"Enchantment Luck 1")</f>
        <v>Enchantment Luck 1</v>
      </c>
      <c r="B530" s="373"/>
      <c r="C530" s="320"/>
      <c r="D530" s="320"/>
      <c r="E530" s="320"/>
      <c r="F530" s="320"/>
      <c r="G530" s="320"/>
      <c r="H530" s="320"/>
      <c r="I530" s="320"/>
      <c r="J530" s="320"/>
      <c r="K530" s="320"/>
      <c r="L530" s="320"/>
      <c r="M530" s="320"/>
      <c r="N530" s="320"/>
      <c r="O530" s="320"/>
      <c r="P530" s="320"/>
      <c r="Q530" s="320"/>
      <c r="R530" s="320"/>
      <c r="S530" s="320"/>
      <c r="T530" s="320"/>
    </row>
    <row r="531">
      <c r="A531" s="362" t="str">
        <f>IFERROR(__xludf.DUMMYFUNCTION("""COMPUTED_VALUE"""),"Enchantment Luck 2")</f>
        <v>Enchantment Luck 2</v>
      </c>
      <c r="B531" s="373"/>
      <c r="C531" s="320"/>
      <c r="D531" s="320"/>
      <c r="E531" s="320"/>
      <c r="F531" s="320"/>
      <c r="G531" s="320"/>
      <c r="H531" s="320"/>
      <c r="I531" s="320"/>
      <c r="J531" s="320"/>
      <c r="K531" s="320"/>
      <c r="L531" s="320"/>
      <c r="M531" s="320"/>
      <c r="N531" s="320"/>
      <c r="O531" s="320"/>
      <c r="P531" s="320"/>
      <c r="Q531" s="320"/>
      <c r="R531" s="320"/>
      <c r="S531" s="320"/>
      <c r="T531" s="320"/>
    </row>
    <row r="532">
      <c r="A532" s="362" t="str">
        <f>IFERROR(__xludf.DUMMYFUNCTION("""COMPUTED_VALUE"""),"Enchantment Luck 3")</f>
        <v>Enchantment Luck 3</v>
      </c>
      <c r="B532" s="373"/>
      <c r="C532" s="320"/>
      <c r="D532" s="320"/>
      <c r="E532" s="320"/>
      <c r="F532" s="320"/>
      <c r="G532" s="320"/>
      <c r="H532" s="320"/>
      <c r="I532" s="320"/>
      <c r="J532" s="320"/>
      <c r="K532" s="320"/>
      <c r="L532" s="320"/>
      <c r="M532" s="320"/>
      <c r="N532" s="320"/>
      <c r="O532" s="320"/>
      <c r="P532" s="320"/>
      <c r="Q532" s="320"/>
      <c r="R532" s="320"/>
      <c r="S532" s="320"/>
      <c r="T532" s="320"/>
    </row>
    <row r="533">
      <c r="A533" s="362" t="str">
        <f>IFERROR(__xludf.DUMMYFUNCTION("""COMPUTED_VALUE"""),"Enchantment Luck 4")</f>
        <v>Enchantment Luck 4</v>
      </c>
      <c r="B533" s="373"/>
      <c r="C533" s="320"/>
      <c r="D533" s="320"/>
      <c r="E533" s="320"/>
      <c r="F533" s="320"/>
      <c r="G533" s="320"/>
      <c r="H533" s="320"/>
      <c r="I533" s="320"/>
      <c r="J533" s="320"/>
      <c r="K533" s="320"/>
      <c r="L533" s="320"/>
      <c r="M533" s="320"/>
      <c r="N533" s="320"/>
      <c r="O533" s="320"/>
      <c r="P533" s="320"/>
      <c r="Q533" s="320"/>
      <c r="R533" s="320"/>
      <c r="S533" s="320"/>
      <c r="T533" s="320"/>
    </row>
    <row r="534">
      <c r="A534" s="362" t="str">
        <f>IFERROR(__xludf.DUMMYFUNCTION("""COMPUTED_VALUE"""),"Enchantment Luck 5")</f>
        <v>Enchantment Luck 5</v>
      </c>
      <c r="B534" s="373"/>
      <c r="C534" s="320"/>
      <c r="D534" s="320"/>
      <c r="E534" s="320"/>
      <c r="F534" s="320"/>
      <c r="G534" s="320"/>
      <c r="H534" s="320"/>
      <c r="I534" s="320"/>
      <c r="J534" s="320"/>
      <c r="K534" s="320"/>
      <c r="L534" s="320"/>
      <c r="M534" s="320"/>
      <c r="N534" s="320"/>
      <c r="O534" s="320"/>
      <c r="P534" s="320"/>
      <c r="Q534" s="320"/>
      <c r="R534" s="320"/>
      <c r="S534" s="320"/>
      <c r="T534" s="320"/>
    </row>
    <row r="535">
      <c r="A535" s="362" t="str">
        <f>IFERROR(__xludf.DUMMYFUNCTION("""COMPUTED_VALUE"""),"Enchantment Luck 6")</f>
        <v>Enchantment Luck 6</v>
      </c>
      <c r="B535" s="373">
        <f>IFERROR(__xludf.DUMMYFUNCTION("""COMPUTED_VALUE"""),500.2)</f>
        <v>500.2</v>
      </c>
      <c r="C535" s="320"/>
      <c r="D535" s="320"/>
      <c r="E535" s="320"/>
      <c r="F535" s="320"/>
      <c r="G535" s="320"/>
      <c r="H535" s="320"/>
      <c r="I535" s="320"/>
      <c r="J535" s="320"/>
      <c r="K535" s="320"/>
      <c r="L535" s="320"/>
      <c r="M535" s="320"/>
      <c r="N535" s="320"/>
      <c r="O535" s="320"/>
      <c r="P535" s="320"/>
      <c r="Q535" s="320"/>
      <c r="R535" s="320"/>
      <c r="S535" s="320"/>
      <c r="T535" s="320"/>
    </row>
    <row r="536">
      <c r="A536" s="362" t="str">
        <f>IFERROR(__xludf.DUMMYFUNCTION("""COMPUTED_VALUE"""),"Enchantment Luck 7")</f>
        <v>Enchantment Luck 7</v>
      </c>
      <c r="B536" s="373">
        <f>IFERROR(__xludf.DUMMYFUNCTION("""COMPUTED_VALUE"""),3.60515513E7)</f>
        <v>36051551.3</v>
      </c>
      <c r="C536" s="320"/>
      <c r="D536" s="320"/>
      <c r="E536" s="320"/>
      <c r="F536" s="320"/>
      <c r="G536" s="320"/>
      <c r="H536" s="320"/>
      <c r="I536" s="320"/>
      <c r="J536" s="320"/>
      <c r="K536" s="320"/>
      <c r="L536" s="320"/>
      <c r="M536" s="320"/>
      <c r="N536" s="320"/>
      <c r="O536" s="320"/>
      <c r="P536" s="320"/>
      <c r="Q536" s="320"/>
      <c r="R536" s="320"/>
      <c r="S536" s="320"/>
      <c r="T536" s="320"/>
    </row>
    <row r="537">
      <c r="A537" s="362" t="str">
        <f>IFERROR(__xludf.DUMMYFUNCTION("""COMPUTED_VALUE"""),"Enchantment Luck Of The Sea 1")</f>
        <v>Enchantment Luck Of The Sea 1</v>
      </c>
      <c r="B537" s="373"/>
      <c r="C537" s="320"/>
      <c r="D537" s="320"/>
      <c r="E537" s="320"/>
      <c r="F537" s="320"/>
      <c r="G537" s="320"/>
      <c r="H537" s="320"/>
      <c r="I537" s="320"/>
      <c r="J537" s="320"/>
      <c r="K537" s="320"/>
      <c r="L537" s="320"/>
      <c r="M537" s="320"/>
      <c r="N537" s="320"/>
      <c r="O537" s="320"/>
      <c r="P537" s="320"/>
      <c r="Q537" s="320"/>
      <c r="R537" s="320"/>
      <c r="S537" s="320"/>
      <c r="T537" s="320"/>
    </row>
    <row r="538">
      <c r="A538" s="362" t="str">
        <f>IFERROR(__xludf.DUMMYFUNCTION("""COMPUTED_VALUE"""),"Enchantment Luck Of The Sea 2")</f>
        <v>Enchantment Luck Of The Sea 2</v>
      </c>
      <c r="B538" s="373"/>
      <c r="C538" s="320"/>
      <c r="D538" s="320"/>
      <c r="E538" s="320"/>
      <c r="F538" s="320"/>
      <c r="G538" s="320"/>
      <c r="H538" s="320"/>
      <c r="I538" s="320"/>
      <c r="J538" s="320"/>
      <c r="K538" s="320"/>
      <c r="L538" s="320"/>
      <c r="M538" s="320"/>
      <c r="N538" s="320"/>
      <c r="O538" s="320"/>
      <c r="P538" s="320"/>
      <c r="Q538" s="320"/>
      <c r="R538" s="320"/>
      <c r="S538" s="320"/>
      <c r="T538" s="320"/>
    </row>
    <row r="539">
      <c r="A539" s="362" t="str">
        <f>IFERROR(__xludf.DUMMYFUNCTION("""COMPUTED_VALUE"""),"Enchantment Luck Of The Sea 3")</f>
        <v>Enchantment Luck Of The Sea 3</v>
      </c>
      <c r="B539" s="373"/>
      <c r="C539" s="320"/>
      <c r="D539" s="320"/>
      <c r="E539" s="320"/>
      <c r="F539" s="320"/>
      <c r="G539" s="320"/>
      <c r="H539" s="320"/>
      <c r="I539" s="320"/>
      <c r="J539" s="320"/>
      <c r="K539" s="320"/>
      <c r="L539" s="320"/>
      <c r="M539" s="320"/>
      <c r="N539" s="320"/>
      <c r="O539" s="320"/>
      <c r="P539" s="320"/>
      <c r="Q539" s="320"/>
      <c r="R539" s="320"/>
      <c r="S539" s="320"/>
      <c r="T539" s="320"/>
    </row>
    <row r="540">
      <c r="A540" s="362" t="str">
        <f>IFERROR(__xludf.DUMMYFUNCTION("""COMPUTED_VALUE"""),"Enchantment Luck Of The Sea 4")</f>
        <v>Enchantment Luck Of The Sea 4</v>
      </c>
      <c r="B540" s="373"/>
      <c r="C540" s="320"/>
      <c r="D540" s="320"/>
      <c r="E540" s="320"/>
      <c r="F540" s="320"/>
      <c r="G540" s="320"/>
      <c r="H540" s="320"/>
      <c r="I540" s="320"/>
      <c r="J540" s="320"/>
      <c r="K540" s="320"/>
      <c r="L540" s="320"/>
      <c r="M540" s="320"/>
      <c r="N540" s="320"/>
      <c r="O540" s="320"/>
      <c r="P540" s="320"/>
      <c r="Q540" s="320"/>
      <c r="R540" s="320"/>
      <c r="S540" s="320"/>
      <c r="T540" s="320"/>
    </row>
    <row r="541">
      <c r="A541" s="362" t="str">
        <f>IFERROR(__xludf.DUMMYFUNCTION("""COMPUTED_VALUE"""),"Enchantment Luck Of The Sea 5")</f>
        <v>Enchantment Luck Of The Sea 5</v>
      </c>
      <c r="B541" s="373"/>
      <c r="C541" s="320"/>
      <c r="D541" s="320"/>
      <c r="E541" s="320"/>
      <c r="F541" s="320"/>
      <c r="G541" s="320"/>
      <c r="H541" s="320"/>
      <c r="I541" s="320"/>
      <c r="J541" s="320"/>
      <c r="K541" s="320"/>
      <c r="L541" s="320"/>
      <c r="M541" s="320"/>
      <c r="N541" s="320"/>
      <c r="O541" s="320"/>
      <c r="P541" s="320"/>
      <c r="Q541" s="320"/>
      <c r="R541" s="320"/>
      <c r="S541" s="320"/>
      <c r="T541" s="320"/>
    </row>
    <row r="542">
      <c r="A542" s="362" t="str">
        <f>IFERROR(__xludf.DUMMYFUNCTION("""COMPUTED_VALUE"""),"Enchantment Luck Of The Sea 6")</f>
        <v>Enchantment Luck Of The Sea 6</v>
      </c>
      <c r="B542" s="373">
        <f>IFERROR(__xludf.DUMMYFUNCTION("""COMPUTED_VALUE"""),178750.95)</f>
        <v>178750.95</v>
      </c>
      <c r="C542" s="320"/>
      <c r="D542" s="320"/>
      <c r="E542" s="320"/>
      <c r="F542" s="320"/>
      <c r="G542" s="320"/>
      <c r="H542" s="320"/>
      <c r="I542" s="320"/>
      <c r="J542" s="320"/>
      <c r="K542" s="320"/>
      <c r="L542" s="320"/>
      <c r="M542" s="320"/>
      <c r="N542" s="320"/>
      <c r="O542" s="320"/>
      <c r="P542" s="320"/>
      <c r="Q542" s="320"/>
      <c r="R542" s="320"/>
      <c r="S542" s="320"/>
      <c r="T542" s="320"/>
    </row>
    <row r="543">
      <c r="A543" s="362" t="str">
        <f>IFERROR(__xludf.DUMMYFUNCTION("""COMPUTED_VALUE"""),"Enchantment Lure 1")</f>
        <v>Enchantment Lure 1</v>
      </c>
      <c r="B543" s="373"/>
      <c r="C543" s="320"/>
      <c r="D543" s="320"/>
      <c r="E543" s="320"/>
      <c r="F543" s="320"/>
      <c r="G543" s="320"/>
      <c r="H543" s="320"/>
      <c r="I543" s="320"/>
      <c r="J543" s="320"/>
      <c r="K543" s="320"/>
      <c r="L543" s="320"/>
      <c r="M543" s="320"/>
      <c r="N543" s="320"/>
      <c r="O543" s="320"/>
      <c r="P543" s="320"/>
      <c r="Q543" s="320"/>
      <c r="R543" s="320"/>
      <c r="S543" s="320"/>
      <c r="T543" s="320"/>
    </row>
    <row r="544">
      <c r="A544" s="362" t="str">
        <f>IFERROR(__xludf.DUMMYFUNCTION("""COMPUTED_VALUE"""),"Enchantment Lure 2")</f>
        <v>Enchantment Lure 2</v>
      </c>
      <c r="B544" s="373"/>
      <c r="C544" s="320"/>
      <c r="D544" s="320"/>
      <c r="E544" s="320"/>
      <c r="F544" s="320"/>
      <c r="G544" s="320"/>
      <c r="H544" s="320"/>
      <c r="I544" s="320"/>
      <c r="J544" s="320"/>
      <c r="K544" s="320"/>
      <c r="L544" s="320"/>
      <c r="M544" s="320"/>
      <c r="N544" s="320"/>
      <c r="O544" s="320"/>
      <c r="P544" s="320"/>
      <c r="Q544" s="320"/>
      <c r="R544" s="320"/>
      <c r="S544" s="320"/>
      <c r="T544" s="320"/>
    </row>
    <row r="545">
      <c r="A545" s="362" t="str">
        <f>IFERROR(__xludf.DUMMYFUNCTION("""COMPUTED_VALUE"""),"Enchantment Lure 3")</f>
        <v>Enchantment Lure 3</v>
      </c>
      <c r="B545" s="373"/>
      <c r="C545" s="320"/>
      <c r="D545" s="320"/>
      <c r="E545" s="320"/>
      <c r="F545" s="320"/>
      <c r="G545" s="320"/>
      <c r="H545" s="320"/>
      <c r="I545" s="320"/>
      <c r="J545" s="320"/>
      <c r="K545" s="320"/>
      <c r="L545" s="320"/>
      <c r="M545" s="320"/>
      <c r="N545" s="320"/>
      <c r="O545" s="320"/>
      <c r="P545" s="320"/>
      <c r="Q545" s="320"/>
      <c r="R545" s="320"/>
      <c r="S545" s="320"/>
      <c r="T545" s="320"/>
    </row>
    <row r="546">
      <c r="A546" s="362" t="str">
        <f>IFERROR(__xludf.DUMMYFUNCTION("""COMPUTED_VALUE"""),"Enchantment Lure 4")</f>
        <v>Enchantment Lure 4</v>
      </c>
      <c r="B546" s="373"/>
      <c r="C546" s="320"/>
      <c r="D546" s="320"/>
      <c r="E546" s="320"/>
      <c r="F546" s="320"/>
      <c r="G546" s="320"/>
      <c r="H546" s="320"/>
      <c r="I546" s="320"/>
      <c r="J546" s="320"/>
      <c r="K546" s="320"/>
      <c r="L546" s="320"/>
      <c r="M546" s="320"/>
      <c r="N546" s="320"/>
      <c r="O546" s="320"/>
      <c r="P546" s="320"/>
      <c r="Q546" s="320"/>
      <c r="R546" s="320"/>
      <c r="S546" s="320"/>
      <c r="T546" s="320"/>
    </row>
    <row r="547">
      <c r="A547" s="362" t="str">
        <f>IFERROR(__xludf.DUMMYFUNCTION("""COMPUTED_VALUE"""),"Enchantment Lure 5")</f>
        <v>Enchantment Lure 5</v>
      </c>
      <c r="B547" s="373"/>
      <c r="C547" s="320"/>
      <c r="D547" s="320"/>
      <c r="E547" s="320"/>
      <c r="F547" s="320"/>
      <c r="G547" s="320"/>
      <c r="H547" s="320"/>
      <c r="I547" s="320"/>
      <c r="J547" s="320"/>
      <c r="K547" s="320"/>
      <c r="L547" s="320"/>
      <c r="M547" s="320"/>
      <c r="N547" s="320"/>
      <c r="O547" s="320"/>
      <c r="P547" s="320"/>
      <c r="Q547" s="320"/>
      <c r="R547" s="320"/>
      <c r="S547" s="320"/>
      <c r="T547" s="320"/>
    </row>
    <row r="548">
      <c r="A548" s="362" t="str">
        <f>IFERROR(__xludf.DUMMYFUNCTION("""COMPUTED_VALUE"""),"Enchantment Lure 6")</f>
        <v>Enchantment Lure 6</v>
      </c>
      <c r="B548" s="373">
        <f>IFERROR(__xludf.DUMMYFUNCTION("""COMPUTED_VALUE"""),7500.25)</f>
        <v>7500.25</v>
      </c>
      <c r="C548" s="320"/>
      <c r="D548" s="320"/>
      <c r="E548" s="320"/>
      <c r="F548" s="320"/>
      <c r="G548" s="320"/>
      <c r="H548" s="320"/>
      <c r="I548" s="320"/>
      <c r="J548" s="320"/>
      <c r="K548" s="320"/>
      <c r="L548" s="320"/>
      <c r="M548" s="320"/>
      <c r="N548" s="320"/>
      <c r="O548" s="320"/>
      <c r="P548" s="320"/>
      <c r="Q548" s="320"/>
      <c r="R548" s="320"/>
      <c r="S548" s="320"/>
      <c r="T548" s="320"/>
    </row>
    <row r="549">
      <c r="A549" s="362" t="str">
        <f>IFERROR(__xludf.DUMMYFUNCTION("""COMPUTED_VALUE"""),"Enchantment Magnet 1")</f>
        <v>Enchantment Magnet 1</v>
      </c>
      <c r="B549" s="373"/>
      <c r="C549" s="320"/>
      <c r="D549" s="320"/>
      <c r="E549" s="320"/>
      <c r="F549" s="320"/>
      <c r="G549" s="320"/>
      <c r="H549" s="320"/>
      <c r="I549" s="320"/>
      <c r="J549" s="320"/>
      <c r="K549" s="320"/>
      <c r="L549" s="320"/>
      <c r="M549" s="320"/>
      <c r="N549" s="320"/>
      <c r="O549" s="320"/>
      <c r="P549" s="320"/>
      <c r="Q549" s="320"/>
      <c r="R549" s="320"/>
      <c r="S549" s="320"/>
      <c r="T549" s="320"/>
    </row>
    <row r="550">
      <c r="A550" s="362" t="str">
        <f>IFERROR(__xludf.DUMMYFUNCTION("""COMPUTED_VALUE"""),"Enchantment Magnet 2")</f>
        <v>Enchantment Magnet 2</v>
      </c>
      <c r="B550" s="373"/>
      <c r="C550" s="320"/>
      <c r="D550" s="320"/>
      <c r="E550" s="320"/>
      <c r="F550" s="320"/>
      <c r="G550" s="320"/>
      <c r="H550" s="320"/>
      <c r="I550" s="320"/>
      <c r="J550" s="320"/>
      <c r="K550" s="320"/>
      <c r="L550" s="320"/>
      <c r="M550" s="320"/>
      <c r="N550" s="320"/>
      <c r="O550" s="320"/>
      <c r="P550" s="320"/>
      <c r="Q550" s="320"/>
      <c r="R550" s="320"/>
      <c r="S550" s="320"/>
      <c r="T550" s="320"/>
    </row>
    <row r="551">
      <c r="A551" s="362" t="str">
        <f>IFERROR(__xludf.DUMMYFUNCTION("""COMPUTED_VALUE"""),"Enchantment Magnet 3")</f>
        <v>Enchantment Magnet 3</v>
      </c>
      <c r="B551" s="373"/>
      <c r="C551" s="320"/>
      <c r="D551" s="320"/>
      <c r="E551" s="320"/>
      <c r="F551" s="320"/>
      <c r="G551" s="320"/>
      <c r="H551" s="320"/>
      <c r="I551" s="320"/>
      <c r="J551" s="320"/>
      <c r="K551" s="320"/>
      <c r="L551" s="320"/>
      <c r="M551" s="320"/>
      <c r="N551" s="320"/>
      <c r="O551" s="320"/>
      <c r="P551" s="320"/>
      <c r="Q551" s="320"/>
      <c r="R551" s="320"/>
      <c r="S551" s="320"/>
      <c r="T551" s="320"/>
    </row>
    <row r="552">
      <c r="A552" s="362" t="str">
        <f>IFERROR(__xludf.DUMMYFUNCTION("""COMPUTED_VALUE"""),"Enchantment Magnet 4")</f>
        <v>Enchantment Magnet 4</v>
      </c>
      <c r="B552" s="373"/>
      <c r="C552" s="320"/>
      <c r="D552" s="320"/>
      <c r="E552" s="320"/>
      <c r="F552" s="320"/>
      <c r="G552" s="320"/>
      <c r="H552" s="320"/>
      <c r="I552" s="320"/>
      <c r="J552" s="320"/>
      <c r="K552" s="320"/>
      <c r="L552" s="320"/>
      <c r="M552" s="320"/>
      <c r="N552" s="320"/>
      <c r="O552" s="320"/>
      <c r="P552" s="320"/>
      <c r="Q552" s="320"/>
      <c r="R552" s="320"/>
      <c r="S552" s="320"/>
      <c r="T552" s="320"/>
    </row>
    <row r="553">
      <c r="A553" s="362" t="str">
        <f>IFERROR(__xludf.DUMMYFUNCTION("""COMPUTED_VALUE"""),"Enchantment Magnet 5")</f>
        <v>Enchantment Magnet 5</v>
      </c>
      <c r="B553" s="373"/>
      <c r="C553" s="320"/>
      <c r="D553" s="320"/>
      <c r="E553" s="320"/>
      <c r="F553" s="320"/>
      <c r="G553" s="320"/>
      <c r="H553" s="320"/>
      <c r="I553" s="320"/>
      <c r="J553" s="320"/>
      <c r="K553" s="320"/>
      <c r="L553" s="320"/>
      <c r="M553" s="320"/>
      <c r="N553" s="320"/>
      <c r="O553" s="320"/>
      <c r="P553" s="320"/>
      <c r="Q553" s="320"/>
      <c r="R553" s="320"/>
      <c r="S553" s="320"/>
      <c r="T553" s="320"/>
    </row>
    <row r="554">
      <c r="A554" s="362" t="str">
        <f>IFERROR(__xludf.DUMMYFUNCTION("""COMPUTED_VALUE"""),"Enchantment Magnet 6")</f>
        <v>Enchantment Magnet 6</v>
      </c>
      <c r="B554" s="373">
        <f>IFERROR(__xludf.DUMMYFUNCTION("""COMPUTED_VALUE"""),6.45)</f>
        <v>6.45</v>
      </c>
      <c r="C554" s="320"/>
      <c r="D554" s="320"/>
      <c r="E554" s="320"/>
      <c r="F554" s="320"/>
      <c r="G554" s="320"/>
      <c r="H554" s="320"/>
      <c r="I554" s="320"/>
      <c r="J554" s="320"/>
      <c r="K554" s="320"/>
      <c r="L554" s="320"/>
      <c r="M554" s="320"/>
      <c r="N554" s="320"/>
      <c r="O554" s="320"/>
      <c r="P554" s="320"/>
      <c r="Q554" s="320"/>
      <c r="R554" s="320"/>
      <c r="S554" s="320"/>
      <c r="T554" s="320"/>
    </row>
    <row r="555">
      <c r="A555" s="362" t="str">
        <f>IFERROR(__xludf.DUMMYFUNCTION("""COMPUTED_VALUE"""),"Enchantment Mana Steal 1")</f>
        <v>Enchantment Mana Steal 1</v>
      </c>
      <c r="B555" s="373">
        <f>IFERROR(__xludf.DUMMYFUNCTION("""COMPUTED_VALUE"""),13333.4)</f>
        <v>13333.4</v>
      </c>
      <c r="C555" s="320"/>
      <c r="D555" s="320"/>
      <c r="E555" s="320"/>
      <c r="F555" s="320"/>
      <c r="G555" s="320"/>
      <c r="H555" s="320"/>
      <c r="I555" s="320"/>
      <c r="J555" s="320"/>
      <c r="K555" s="320"/>
      <c r="L555" s="320"/>
      <c r="M555" s="320"/>
      <c r="N555" s="320"/>
      <c r="O555" s="320"/>
      <c r="P555" s="320"/>
      <c r="Q555" s="320"/>
      <c r="R555" s="320"/>
      <c r="S555" s="320"/>
      <c r="T555" s="320"/>
    </row>
    <row r="556">
      <c r="A556" s="362" t="str">
        <f>IFERROR(__xludf.DUMMYFUNCTION("""COMPUTED_VALUE"""),"Enchantment Mana Steal 2")</f>
        <v>Enchantment Mana Steal 2</v>
      </c>
      <c r="B556" s="373">
        <f>IFERROR(__xludf.DUMMYFUNCTION("""COMPUTED_VALUE"""),23498.5)</f>
        <v>23498.5</v>
      </c>
      <c r="C556" s="320"/>
      <c r="D556" s="320"/>
      <c r="E556" s="320"/>
      <c r="F556" s="320"/>
      <c r="G556" s="320"/>
      <c r="H556" s="320"/>
      <c r="I556" s="320"/>
      <c r="J556" s="320"/>
      <c r="K556" s="320"/>
      <c r="L556" s="320"/>
      <c r="M556" s="320"/>
      <c r="N556" s="320"/>
      <c r="O556" s="320"/>
      <c r="P556" s="320"/>
      <c r="Q556" s="320"/>
      <c r="R556" s="320"/>
      <c r="S556" s="320"/>
      <c r="T556" s="320"/>
    </row>
    <row r="557">
      <c r="A557" s="362" t="str">
        <f>IFERROR(__xludf.DUMMYFUNCTION("""COMPUTED_VALUE"""),"Enchantment Mana Steal 3")</f>
        <v>Enchantment Mana Steal 3</v>
      </c>
      <c r="B557" s="373">
        <f>IFERROR(__xludf.DUMMYFUNCTION("""COMPUTED_VALUE"""),80431.4)</f>
        <v>80431.4</v>
      </c>
      <c r="C557" s="320"/>
      <c r="D557" s="320"/>
      <c r="E557" s="320"/>
      <c r="F557" s="320"/>
      <c r="G557" s="320"/>
      <c r="H557" s="320"/>
      <c r="I557" s="320"/>
      <c r="J557" s="320"/>
      <c r="K557" s="320"/>
      <c r="L557" s="320"/>
      <c r="M557" s="320"/>
      <c r="N557" s="320"/>
      <c r="O557" s="320"/>
      <c r="P557" s="320"/>
      <c r="Q557" s="320"/>
      <c r="R557" s="320"/>
      <c r="S557" s="320"/>
      <c r="T557" s="320"/>
    </row>
    <row r="558">
      <c r="A558" s="362" t="str">
        <f>IFERROR(__xludf.DUMMYFUNCTION("""COMPUTED_VALUE"""),"Enchantment Mana Vampire 1")</f>
        <v>Enchantment Mana Vampire 1</v>
      </c>
      <c r="B558" s="373">
        <f>IFERROR(__xludf.DUMMYFUNCTION("""COMPUTED_VALUE"""),231114.75)</f>
        <v>231114.75</v>
      </c>
      <c r="C558" s="320"/>
      <c r="D558" s="320"/>
      <c r="E558" s="320"/>
      <c r="F558" s="320"/>
      <c r="G558" s="320"/>
      <c r="H558" s="320"/>
      <c r="I558" s="320"/>
      <c r="J558" s="320"/>
      <c r="K558" s="320"/>
      <c r="L558" s="320"/>
      <c r="M558" s="320"/>
      <c r="N558" s="320"/>
      <c r="O558" s="320"/>
      <c r="P558" s="320"/>
      <c r="Q558" s="320"/>
      <c r="R558" s="320"/>
      <c r="S558" s="320"/>
      <c r="T558" s="320"/>
    </row>
    <row r="559">
      <c r="A559" s="362" t="str">
        <f>IFERROR(__xludf.DUMMYFUNCTION("""COMPUTED_VALUE"""),"Enchantment Mana Vampire 10")</f>
        <v>Enchantment Mana Vampire 10</v>
      </c>
      <c r="B559" s="373">
        <f>IFERROR(__xludf.DUMMYFUNCTION("""COMPUTED_VALUE"""),5.199519855E7)</f>
        <v>51995198.55</v>
      </c>
      <c r="C559" s="320"/>
      <c r="D559" s="320"/>
      <c r="E559" s="320"/>
      <c r="F559" s="320"/>
      <c r="G559" s="320"/>
      <c r="H559" s="320"/>
      <c r="I559" s="320"/>
      <c r="J559" s="320"/>
      <c r="K559" s="320"/>
      <c r="L559" s="320"/>
      <c r="M559" s="320"/>
      <c r="N559" s="320"/>
      <c r="O559" s="320"/>
      <c r="P559" s="320"/>
      <c r="Q559" s="320"/>
      <c r="R559" s="320"/>
      <c r="S559" s="320"/>
      <c r="T559" s="320"/>
    </row>
    <row r="560">
      <c r="A560" s="362" t="str">
        <f>IFERROR(__xludf.DUMMYFUNCTION("""COMPUTED_VALUE"""),"Enchantment Mana Vampire 2")</f>
        <v>Enchantment Mana Vampire 2</v>
      </c>
      <c r="B560" s="373">
        <f>IFERROR(__xludf.DUMMYFUNCTION("""COMPUTED_VALUE"""),500008.6)</f>
        <v>500008.6</v>
      </c>
      <c r="C560" s="320"/>
      <c r="D560" s="320"/>
      <c r="E560" s="320"/>
      <c r="F560" s="320"/>
      <c r="G560" s="320"/>
      <c r="H560" s="320"/>
      <c r="I560" s="320"/>
      <c r="J560" s="320"/>
      <c r="K560" s="320"/>
      <c r="L560" s="320"/>
      <c r="M560" s="320"/>
      <c r="N560" s="320"/>
      <c r="O560" s="320"/>
      <c r="P560" s="320"/>
      <c r="Q560" s="320"/>
      <c r="R560" s="320"/>
      <c r="S560" s="320"/>
      <c r="T560" s="320"/>
    </row>
    <row r="561">
      <c r="A561" s="362" t="str">
        <f>IFERROR(__xludf.DUMMYFUNCTION("""COMPUTED_VALUE"""),"Enchantment Mana Vampire 3")</f>
        <v>Enchantment Mana Vampire 3</v>
      </c>
      <c r="B561" s="373">
        <f>IFERROR(__xludf.DUMMYFUNCTION("""COMPUTED_VALUE"""),409286.6)</f>
        <v>409286.6</v>
      </c>
      <c r="C561" s="320"/>
      <c r="D561" s="320"/>
      <c r="E561" s="320"/>
      <c r="F561" s="320"/>
      <c r="G561" s="320"/>
      <c r="H561" s="320"/>
      <c r="I561" s="320"/>
      <c r="J561" s="320"/>
      <c r="K561" s="320"/>
      <c r="L561" s="320"/>
      <c r="M561" s="320"/>
      <c r="N561" s="320"/>
      <c r="O561" s="320"/>
      <c r="P561" s="320"/>
      <c r="Q561" s="320"/>
      <c r="R561" s="320"/>
      <c r="S561" s="320"/>
      <c r="T561" s="320"/>
    </row>
    <row r="562">
      <c r="A562" s="362" t="str">
        <f>IFERROR(__xludf.DUMMYFUNCTION("""COMPUTED_VALUE"""),"Enchantment Mana Vampire 4")</f>
        <v>Enchantment Mana Vampire 4</v>
      </c>
      <c r="B562" s="373">
        <f>IFERROR(__xludf.DUMMYFUNCTION("""COMPUTED_VALUE"""),685566.75)</f>
        <v>685566.75</v>
      </c>
      <c r="C562" s="320"/>
      <c r="D562" s="320"/>
      <c r="E562" s="320"/>
      <c r="F562" s="320"/>
      <c r="G562" s="320"/>
      <c r="H562" s="320"/>
      <c r="I562" s="320"/>
      <c r="J562" s="320"/>
      <c r="K562" s="320"/>
      <c r="L562" s="320"/>
      <c r="M562" s="320"/>
      <c r="N562" s="320"/>
      <c r="O562" s="320"/>
      <c r="P562" s="320"/>
      <c r="Q562" s="320"/>
      <c r="R562" s="320"/>
      <c r="S562" s="320"/>
      <c r="T562" s="320"/>
    </row>
    <row r="563">
      <c r="A563" s="362" t="str">
        <f>IFERROR(__xludf.DUMMYFUNCTION("""COMPUTED_VALUE"""),"Enchantment Mana Vampire 5")</f>
        <v>Enchantment Mana Vampire 5</v>
      </c>
      <c r="B563" s="373">
        <f>IFERROR(__xludf.DUMMYFUNCTION("""COMPUTED_VALUE"""),1536384.65)</f>
        <v>1536384.65</v>
      </c>
      <c r="C563" s="320"/>
      <c r="D563" s="320"/>
      <c r="E563" s="320"/>
      <c r="F563" s="320"/>
      <c r="G563" s="320"/>
      <c r="H563" s="320"/>
      <c r="I563" s="320"/>
      <c r="J563" s="320"/>
      <c r="K563" s="320"/>
      <c r="L563" s="320"/>
      <c r="M563" s="320"/>
      <c r="N563" s="320"/>
      <c r="O563" s="320"/>
      <c r="P563" s="320"/>
      <c r="Q563" s="320"/>
      <c r="R563" s="320"/>
      <c r="S563" s="320"/>
      <c r="T563" s="320"/>
    </row>
    <row r="564">
      <c r="A564" s="362" t="str">
        <f>IFERROR(__xludf.DUMMYFUNCTION("""COMPUTED_VALUE"""),"Enchantment Mana Vampire 6")</f>
        <v>Enchantment Mana Vampire 6</v>
      </c>
      <c r="B564" s="373">
        <f>IFERROR(__xludf.DUMMYFUNCTION("""COMPUTED_VALUE"""),2309527.15)</f>
        <v>2309527.15</v>
      </c>
      <c r="C564" s="320"/>
      <c r="D564" s="320"/>
      <c r="E564" s="320"/>
      <c r="F564" s="320"/>
      <c r="G564" s="320"/>
      <c r="H564" s="320"/>
      <c r="I564" s="320"/>
      <c r="J564" s="320"/>
      <c r="K564" s="320"/>
      <c r="L564" s="320"/>
      <c r="M564" s="320"/>
      <c r="N564" s="320"/>
      <c r="O564" s="320"/>
      <c r="P564" s="320"/>
      <c r="Q564" s="320"/>
      <c r="R564" s="320"/>
      <c r="S564" s="320"/>
      <c r="T564" s="320"/>
    </row>
    <row r="565">
      <c r="A565" s="362" t="str">
        <f>IFERROR(__xludf.DUMMYFUNCTION("""COMPUTED_VALUE"""),"Enchantment Mana Vampire 7")</f>
        <v>Enchantment Mana Vampire 7</v>
      </c>
      <c r="B565" s="373">
        <f>IFERROR(__xludf.DUMMYFUNCTION("""COMPUTED_VALUE"""),6979990.2)</f>
        <v>6979990.2</v>
      </c>
      <c r="C565" s="320"/>
      <c r="D565" s="320"/>
      <c r="E565" s="320"/>
      <c r="F565" s="320"/>
      <c r="G565" s="320"/>
      <c r="H565" s="320"/>
      <c r="I565" s="320"/>
      <c r="J565" s="320"/>
      <c r="K565" s="320"/>
      <c r="L565" s="320"/>
      <c r="M565" s="320"/>
      <c r="N565" s="320"/>
      <c r="O565" s="320"/>
      <c r="P565" s="320"/>
      <c r="Q565" s="320"/>
      <c r="R565" s="320"/>
      <c r="S565" s="320"/>
      <c r="T565" s="320"/>
    </row>
    <row r="566">
      <c r="A566" s="362" t="str">
        <f>IFERROR(__xludf.DUMMYFUNCTION("""COMPUTED_VALUE"""),"Enchantment Mana Vampire 8")</f>
        <v>Enchantment Mana Vampire 8</v>
      </c>
      <c r="B566" s="373">
        <f>IFERROR(__xludf.DUMMYFUNCTION("""COMPUTED_VALUE"""),1.349999915E7)</f>
        <v>13499999.15</v>
      </c>
      <c r="C566" s="320"/>
      <c r="D566" s="320"/>
      <c r="E566" s="320"/>
      <c r="F566" s="320"/>
      <c r="G566" s="320"/>
      <c r="H566" s="320"/>
      <c r="I566" s="320"/>
      <c r="J566" s="320"/>
      <c r="K566" s="320"/>
      <c r="L566" s="320"/>
      <c r="M566" s="320"/>
      <c r="N566" s="320"/>
      <c r="O566" s="320"/>
      <c r="P566" s="320"/>
      <c r="Q566" s="320"/>
      <c r="R566" s="320"/>
      <c r="S566" s="320"/>
      <c r="T566" s="320"/>
    </row>
    <row r="567">
      <c r="A567" s="362" t="str">
        <f>IFERROR(__xludf.DUMMYFUNCTION("""COMPUTED_VALUE"""),"Enchantment Mana Vampire 9")</f>
        <v>Enchantment Mana Vampire 9</v>
      </c>
      <c r="B567" s="373">
        <f>IFERROR(__xludf.DUMMYFUNCTION("""COMPUTED_VALUE"""),2.300000005E7)</f>
        <v>23000000.05</v>
      </c>
      <c r="C567" s="320"/>
      <c r="D567" s="320"/>
      <c r="E567" s="320"/>
      <c r="F567" s="320"/>
      <c r="G567" s="320"/>
      <c r="H567" s="320"/>
      <c r="I567" s="320"/>
      <c r="J567" s="320"/>
      <c r="K567" s="320"/>
      <c r="L567" s="320"/>
      <c r="M567" s="320"/>
      <c r="N567" s="320"/>
      <c r="O567" s="320"/>
      <c r="P567" s="320"/>
      <c r="Q567" s="320"/>
      <c r="R567" s="320"/>
      <c r="S567" s="320"/>
      <c r="T567" s="320"/>
    </row>
    <row r="568">
      <c r="A568" s="362" t="str">
        <f>IFERROR(__xludf.DUMMYFUNCTION("""COMPUTED_VALUE"""),"Enchantment Overload 1")</f>
        <v>Enchantment Overload 1</v>
      </c>
      <c r="B568" s="373">
        <f>IFERROR(__xludf.DUMMYFUNCTION("""COMPUTED_VALUE"""),844564.98)</f>
        <v>844564.98</v>
      </c>
      <c r="C568" s="320"/>
      <c r="D568" s="320"/>
      <c r="E568" s="320"/>
      <c r="F568" s="320"/>
      <c r="G568" s="320"/>
      <c r="H568" s="320"/>
      <c r="I568" s="320"/>
      <c r="J568" s="320"/>
      <c r="K568" s="320"/>
      <c r="L568" s="320"/>
      <c r="M568" s="320"/>
      <c r="N568" s="320"/>
      <c r="O568" s="320"/>
      <c r="P568" s="320"/>
      <c r="Q568" s="320"/>
      <c r="R568" s="320"/>
      <c r="S568" s="320"/>
      <c r="T568" s="320"/>
    </row>
    <row r="569">
      <c r="A569" s="362" t="str">
        <f>IFERROR(__xludf.DUMMYFUNCTION("""COMPUTED_VALUE"""),"Enchantment Overload 2")</f>
        <v>Enchantment Overload 2</v>
      </c>
      <c r="B569" s="373">
        <f>IFERROR(__xludf.DUMMYFUNCTION("""COMPUTED_VALUE"""),5067050.0)</f>
        <v>5067050</v>
      </c>
      <c r="C569" s="320"/>
      <c r="D569" s="320"/>
      <c r="E569" s="320"/>
      <c r="F569" s="320"/>
      <c r="G569" s="320"/>
      <c r="H569" s="320"/>
      <c r="I569" s="320"/>
      <c r="J569" s="320"/>
      <c r="K569" s="320"/>
      <c r="L569" s="320"/>
      <c r="M569" s="320"/>
      <c r="N569" s="320"/>
      <c r="O569" s="320"/>
      <c r="P569" s="320"/>
      <c r="Q569" s="320"/>
      <c r="R569" s="320"/>
      <c r="S569" s="320"/>
      <c r="T569" s="320"/>
    </row>
    <row r="570">
      <c r="A570" s="362" t="str">
        <f>IFERROR(__xludf.DUMMYFUNCTION("""COMPUTED_VALUE"""),"Enchantment Overload 3")</f>
        <v>Enchantment Overload 3</v>
      </c>
      <c r="B570" s="373">
        <f>IFERROR(__xludf.DUMMYFUNCTION("""COMPUTED_VALUE"""),3830804.15)</f>
        <v>3830804.15</v>
      </c>
      <c r="C570" s="320"/>
      <c r="D570" s="320"/>
      <c r="E570" s="320"/>
      <c r="F570" s="320"/>
      <c r="G570" s="320"/>
      <c r="H570" s="320"/>
      <c r="I570" s="320"/>
      <c r="J570" s="320"/>
      <c r="K570" s="320"/>
      <c r="L570" s="320"/>
      <c r="M570" s="320"/>
      <c r="N570" s="320"/>
      <c r="O570" s="320"/>
      <c r="P570" s="320"/>
      <c r="Q570" s="320"/>
      <c r="R570" s="320"/>
      <c r="S570" s="320"/>
      <c r="T570" s="320"/>
    </row>
    <row r="571">
      <c r="A571" s="362" t="str">
        <f>IFERROR(__xludf.DUMMYFUNCTION("""COMPUTED_VALUE"""),"Enchantment Overload 4")</f>
        <v>Enchantment Overload 4</v>
      </c>
      <c r="B571" s="373">
        <f>IFERROR(__xludf.DUMMYFUNCTION("""COMPUTED_VALUE"""),8390621.5)</f>
        <v>8390621.5</v>
      </c>
      <c r="C571" s="320"/>
      <c r="D571" s="320"/>
      <c r="E571" s="320"/>
      <c r="F571" s="320"/>
      <c r="G571" s="320"/>
      <c r="H571" s="320"/>
      <c r="I571" s="320"/>
      <c r="J571" s="320"/>
      <c r="K571" s="320"/>
      <c r="L571" s="320"/>
      <c r="M571" s="320"/>
      <c r="N571" s="320"/>
      <c r="O571" s="320"/>
      <c r="P571" s="320"/>
      <c r="Q571" s="320"/>
      <c r="R571" s="320"/>
      <c r="S571" s="320"/>
      <c r="T571" s="320"/>
    </row>
    <row r="572">
      <c r="A572" s="362" t="str">
        <f>IFERROR(__xludf.DUMMYFUNCTION("""COMPUTED_VALUE"""),"Enchantment Overload 5")</f>
        <v>Enchantment Overload 5</v>
      </c>
      <c r="B572" s="373">
        <f>IFERROR(__xludf.DUMMYFUNCTION("""COMPUTED_VALUE"""),1.435049295E7)</f>
        <v>14350492.95</v>
      </c>
      <c r="C572" s="320"/>
      <c r="D572" s="320"/>
      <c r="E572" s="320"/>
      <c r="F572" s="320"/>
      <c r="G572" s="320"/>
      <c r="H572" s="320"/>
      <c r="I572" s="320"/>
      <c r="J572" s="320"/>
      <c r="K572" s="320"/>
      <c r="L572" s="320"/>
      <c r="M572" s="320"/>
      <c r="N572" s="320"/>
      <c r="O572" s="320"/>
      <c r="P572" s="320"/>
      <c r="Q572" s="320"/>
      <c r="R572" s="320"/>
      <c r="S572" s="320"/>
      <c r="T572" s="320"/>
    </row>
    <row r="573">
      <c r="A573" s="362" t="str">
        <f>IFERROR(__xludf.DUMMYFUNCTION("""COMPUTED_VALUE"""),"Enchantment Pesterminator 1")</f>
        <v>Enchantment Pesterminator 1</v>
      </c>
      <c r="B573" s="373">
        <f>IFERROR(__xludf.DUMMYFUNCTION("""COMPUTED_VALUE"""),3014814.5)</f>
        <v>3014814.5</v>
      </c>
      <c r="C573" s="320"/>
      <c r="D573" s="320"/>
      <c r="E573" s="320"/>
      <c r="F573" s="320"/>
      <c r="G573" s="320"/>
      <c r="H573" s="320"/>
      <c r="I573" s="320"/>
      <c r="J573" s="320"/>
      <c r="K573" s="320"/>
      <c r="L573" s="320"/>
      <c r="M573" s="320"/>
      <c r="N573" s="320"/>
      <c r="O573" s="320"/>
      <c r="P573" s="320"/>
      <c r="Q573" s="320"/>
      <c r="R573" s="320"/>
      <c r="S573" s="320"/>
      <c r="T573" s="320"/>
    </row>
    <row r="574">
      <c r="A574" s="362" t="str">
        <f>IFERROR(__xludf.DUMMYFUNCTION("""COMPUTED_VALUE"""),"Enchantment Pesterminator 2")</f>
        <v>Enchantment Pesterminator 2</v>
      </c>
      <c r="B574" s="373">
        <f>IFERROR(__xludf.DUMMYFUNCTION("""COMPUTED_VALUE"""),6098743.1)</f>
        <v>6098743.1</v>
      </c>
      <c r="C574" s="320"/>
      <c r="D574" s="320"/>
      <c r="E574" s="320"/>
      <c r="F574" s="320"/>
      <c r="G574" s="320"/>
      <c r="H574" s="320"/>
      <c r="I574" s="320"/>
      <c r="J574" s="320"/>
      <c r="K574" s="320"/>
      <c r="L574" s="320"/>
      <c r="M574" s="320"/>
      <c r="N574" s="320"/>
      <c r="O574" s="320"/>
      <c r="P574" s="320"/>
      <c r="Q574" s="320"/>
      <c r="R574" s="320"/>
      <c r="S574" s="320"/>
      <c r="T574" s="320"/>
    </row>
    <row r="575">
      <c r="A575" s="362" t="str">
        <f>IFERROR(__xludf.DUMMYFUNCTION("""COMPUTED_VALUE"""),"Enchantment Pesterminator 3")</f>
        <v>Enchantment Pesterminator 3</v>
      </c>
      <c r="B575" s="373">
        <f>IFERROR(__xludf.DUMMYFUNCTION("""COMPUTED_VALUE"""),1.260011865E7)</f>
        <v>12600118.65</v>
      </c>
      <c r="C575" s="320"/>
      <c r="D575" s="320"/>
      <c r="E575" s="320"/>
      <c r="F575" s="320"/>
      <c r="G575" s="320"/>
      <c r="H575" s="320"/>
      <c r="I575" s="320"/>
      <c r="J575" s="320"/>
      <c r="K575" s="320"/>
      <c r="L575" s="320"/>
      <c r="M575" s="320"/>
      <c r="N575" s="320"/>
      <c r="O575" s="320"/>
      <c r="P575" s="320"/>
      <c r="Q575" s="320"/>
      <c r="R575" s="320"/>
      <c r="S575" s="320"/>
      <c r="T575" s="320"/>
    </row>
    <row r="576">
      <c r="A576" s="362" t="str">
        <f>IFERROR(__xludf.DUMMYFUNCTION("""COMPUTED_VALUE"""),"Enchantment Pesterminator 4")</f>
        <v>Enchantment Pesterminator 4</v>
      </c>
      <c r="B576" s="373">
        <f>IFERROR(__xludf.DUMMYFUNCTION("""COMPUTED_VALUE"""),2.45505537E7)</f>
        <v>24550553.7</v>
      </c>
      <c r="C576" s="320"/>
      <c r="D576" s="320"/>
      <c r="E576" s="320"/>
      <c r="F576" s="320"/>
      <c r="G576" s="320"/>
      <c r="H576" s="320"/>
      <c r="I576" s="320"/>
      <c r="J576" s="320"/>
      <c r="K576" s="320"/>
      <c r="L576" s="320"/>
      <c r="M576" s="320"/>
      <c r="N576" s="320"/>
      <c r="O576" s="320"/>
      <c r="P576" s="320"/>
      <c r="Q576" s="320"/>
      <c r="R576" s="320"/>
      <c r="S576" s="320"/>
      <c r="T576" s="320"/>
    </row>
    <row r="577">
      <c r="A577" s="362" t="str">
        <f>IFERROR(__xludf.DUMMYFUNCTION("""COMPUTED_VALUE"""),"Enchantment Pesterminator 5")</f>
        <v>Enchantment Pesterminator 5</v>
      </c>
      <c r="B577" s="373">
        <f>IFERROR(__xludf.DUMMYFUNCTION("""COMPUTED_VALUE"""),4.96444721E7)</f>
        <v>49644472.1</v>
      </c>
      <c r="C577" s="320"/>
      <c r="D577" s="320"/>
      <c r="E577" s="320"/>
      <c r="F577" s="320"/>
      <c r="G577" s="320"/>
      <c r="H577" s="320"/>
      <c r="I577" s="320"/>
      <c r="J577" s="320"/>
      <c r="K577" s="320"/>
      <c r="L577" s="320"/>
      <c r="M577" s="320"/>
      <c r="N577" s="320"/>
      <c r="O577" s="320"/>
      <c r="P577" s="320"/>
      <c r="Q577" s="320"/>
      <c r="R577" s="320"/>
      <c r="S577" s="320"/>
      <c r="T577" s="320"/>
    </row>
    <row r="578">
      <c r="A578" s="362" t="str">
        <f>IFERROR(__xludf.DUMMYFUNCTION("""COMPUTED_VALUE"""),"Enchantment Piercing 1")</f>
        <v>Enchantment Piercing 1</v>
      </c>
      <c r="B578" s="373"/>
      <c r="C578" s="320"/>
      <c r="D578" s="320"/>
      <c r="E578" s="320"/>
      <c r="F578" s="320"/>
      <c r="G578" s="320"/>
      <c r="H578" s="320"/>
      <c r="I578" s="320"/>
      <c r="J578" s="320"/>
      <c r="K578" s="320"/>
      <c r="L578" s="320"/>
      <c r="M578" s="320"/>
      <c r="N578" s="320"/>
      <c r="O578" s="320"/>
      <c r="P578" s="320"/>
      <c r="Q578" s="320"/>
      <c r="R578" s="320"/>
      <c r="S578" s="320"/>
      <c r="T578" s="320"/>
    </row>
    <row r="579">
      <c r="A579" s="362" t="str">
        <f>IFERROR(__xludf.DUMMYFUNCTION("""COMPUTED_VALUE"""),"Enchantment Piscary 1")</f>
        <v>Enchantment Piscary 1</v>
      </c>
      <c r="B579" s="373"/>
      <c r="C579" s="320"/>
      <c r="D579" s="320"/>
      <c r="E579" s="320"/>
      <c r="F579" s="320"/>
      <c r="G579" s="320"/>
      <c r="H579" s="320"/>
      <c r="I579" s="320"/>
      <c r="J579" s="320"/>
      <c r="K579" s="320"/>
      <c r="L579" s="320"/>
      <c r="M579" s="320"/>
      <c r="N579" s="320"/>
      <c r="O579" s="320"/>
      <c r="P579" s="320"/>
      <c r="Q579" s="320"/>
      <c r="R579" s="320"/>
      <c r="S579" s="320"/>
      <c r="T579" s="320"/>
    </row>
    <row r="580">
      <c r="A580" s="362" t="str">
        <f>IFERROR(__xludf.DUMMYFUNCTION("""COMPUTED_VALUE"""),"Enchantment Piscary 2")</f>
        <v>Enchantment Piscary 2</v>
      </c>
      <c r="B580" s="373"/>
      <c r="C580" s="320"/>
      <c r="D580" s="320"/>
      <c r="E580" s="320"/>
      <c r="F580" s="320"/>
      <c r="G580" s="320"/>
      <c r="H580" s="320"/>
      <c r="I580" s="320"/>
      <c r="J580" s="320"/>
      <c r="K580" s="320"/>
      <c r="L580" s="320"/>
      <c r="M580" s="320"/>
      <c r="N580" s="320"/>
      <c r="O580" s="320"/>
      <c r="P580" s="320"/>
      <c r="Q580" s="320"/>
      <c r="R580" s="320"/>
      <c r="S580" s="320"/>
      <c r="T580" s="320"/>
    </row>
    <row r="581">
      <c r="A581" s="362" t="str">
        <f>IFERROR(__xludf.DUMMYFUNCTION("""COMPUTED_VALUE"""),"Enchantment Piscary 3")</f>
        <v>Enchantment Piscary 3</v>
      </c>
      <c r="B581" s="373"/>
      <c r="C581" s="320"/>
      <c r="D581" s="320"/>
      <c r="E581" s="320"/>
      <c r="F581" s="320"/>
      <c r="G581" s="320"/>
      <c r="H581" s="320"/>
      <c r="I581" s="320"/>
      <c r="J581" s="320"/>
      <c r="K581" s="320"/>
      <c r="L581" s="320"/>
      <c r="M581" s="320"/>
      <c r="N581" s="320"/>
      <c r="O581" s="320"/>
      <c r="P581" s="320"/>
      <c r="Q581" s="320"/>
      <c r="R581" s="320"/>
      <c r="S581" s="320"/>
      <c r="T581" s="320"/>
    </row>
    <row r="582">
      <c r="A582" s="362" t="str">
        <f>IFERROR(__xludf.DUMMYFUNCTION("""COMPUTED_VALUE"""),"Enchantment Piscary 4")</f>
        <v>Enchantment Piscary 4</v>
      </c>
      <c r="B582" s="373"/>
      <c r="C582" s="320"/>
      <c r="D582" s="320"/>
      <c r="E582" s="320"/>
      <c r="F582" s="320"/>
      <c r="G582" s="320"/>
      <c r="H582" s="320"/>
      <c r="I582" s="320"/>
      <c r="J582" s="320"/>
      <c r="K582" s="320"/>
      <c r="L582" s="320"/>
      <c r="M582" s="320"/>
      <c r="N582" s="320"/>
      <c r="O582" s="320"/>
      <c r="P582" s="320"/>
      <c r="Q582" s="320"/>
      <c r="R582" s="320"/>
      <c r="S582" s="320"/>
      <c r="T582" s="320"/>
    </row>
    <row r="583">
      <c r="A583" s="362" t="str">
        <f>IFERROR(__xludf.DUMMYFUNCTION("""COMPUTED_VALUE"""),"Enchantment Piscary 5")</f>
        <v>Enchantment Piscary 5</v>
      </c>
      <c r="B583" s="373"/>
      <c r="C583" s="320"/>
      <c r="D583" s="320"/>
      <c r="E583" s="320"/>
      <c r="F583" s="320"/>
      <c r="G583" s="320"/>
      <c r="H583" s="320"/>
      <c r="I583" s="320"/>
      <c r="J583" s="320"/>
      <c r="K583" s="320"/>
      <c r="L583" s="320"/>
      <c r="M583" s="320"/>
      <c r="N583" s="320"/>
      <c r="O583" s="320"/>
      <c r="P583" s="320"/>
      <c r="Q583" s="320"/>
      <c r="R583" s="320"/>
      <c r="S583" s="320"/>
      <c r="T583" s="320"/>
    </row>
    <row r="584">
      <c r="A584" s="362" t="str">
        <f>IFERROR(__xludf.DUMMYFUNCTION("""COMPUTED_VALUE"""),"Enchantment Piscary 6")</f>
        <v>Enchantment Piscary 6</v>
      </c>
      <c r="B584" s="373">
        <f>IFERROR(__xludf.DUMMYFUNCTION("""COMPUTED_VALUE"""),6820264.9)</f>
        <v>6820264.9</v>
      </c>
      <c r="C584" s="320"/>
      <c r="D584" s="320"/>
      <c r="E584" s="320"/>
      <c r="F584" s="320"/>
      <c r="G584" s="320"/>
      <c r="H584" s="320"/>
      <c r="I584" s="320"/>
      <c r="J584" s="320"/>
      <c r="K584" s="320"/>
      <c r="L584" s="320"/>
      <c r="M584" s="320"/>
      <c r="N584" s="320"/>
      <c r="O584" s="320"/>
      <c r="P584" s="320"/>
      <c r="Q584" s="320"/>
      <c r="R584" s="320"/>
      <c r="S584" s="320"/>
      <c r="T584" s="320"/>
    </row>
    <row r="585">
      <c r="A585" s="362" t="str">
        <f>IFERROR(__xludf.DUMMYFUNCTION("""COMPUTED_VALUE"""),"Enchantment Power 1")</f>
        <v>Enchantment Power 1</v>
      </c>
      <c r="B585" s="373"/>
      <c r="C585" s="320"/>
      <c r="D585" s="320"/>
      <c r="E585" s="320"/>
      <c r="F585" s="320"/>
      <c r="G585" s="320"/>
      <c r="H585" s="320"/>
      <c r="I585" s="320"/>
      <c r="J585" s="320"/>
      <c r="K585" s="320"/>
      <c r="L585" s="320"/>
      <c r="M585" s="320"/>
      <c r="N585" s="320"/>
      <c r="O585" s="320"/>
      <c r="P585" s="320"/>
      <c r="Q585" s="320"/>
      <c r="R585" s="320"/>
      <c r="S585" s="320"/>
      <c r="T585" s="320"/>
    </row>
    <row r="586">
      <c r="A586" s="362" t="str">
        <f>IFERROR(__xludf.DUMMYFUNCTION("""COMPUTED_VALUE"""),"Enchantment Power 2")</f>
        <v>Enchantment Power 2</v>
      </c>
      <c r="B586" s="373"/>
      <c r="C586" s="320"/>
      <c r="D586" s="320"/>
      <c r="E586" s="320"/>
      <c r="F586" s="320"/>
      <c r="G586" s="320"/>
      <c r="H586" s="320"/>
      <c r="I586" s="320"/>
      <c r="J586" s="320"/>
      <c r="K586" s="320"/>
      <c r="L586" s="320"/>
      <c r="M586" s="320"/>
      <c r="N586" s="320"/>
      <c r="O586" s="320"/>
      <c r="P586" s="320"/>
      <c r="Q586" s="320"/>
      <c r="R586" s="320"/>
      <c r="S586" s="320"/>
      <c r="T586" s="320"/>
    </row>
    <row r="587">
      <c r="A587" s="362" t="str">
        <f>IFERROR(__xludf.DUMMYFUNCTION("""COMPUTED_VALUE"""),"Enchantment Power 3")</f>
        <v>Enchantment Power 3</v>
      </c>
      <c r="B587" s="373"/>
      <c r="C587" s="320"/>
      <c r="D587" s="320"/>
      <c r="E587" s="320"/>
      <c r="F587" s="320"/>
      <c r="G587" s="320"/>
      <c r="H587" s="320"/>
      <c r="I587" s="320"/>
      <c r="J587" s="320"/>
      <c r="K587" s="320"/>
      <c r="L587" s="320"/>
      <c r="M587" s="320"/>
      <c r="N587" s="320"/>
      <c r="O587" s="320"/>
      <c r="P587" s="320"/>
      <c r="Q587" s="320"/>
      <c r="R587" s="320"/>
      <c r="S587" s="320"/>
      <c r="T587" s="320"/>
    </row>
    <row r="588">
      <c r="A588" s="362" t="str">
        <f>IFERROR(__xludf.DUMMYFUNCTION("""COMPUTED_VALUE"""),"Enchantment Power 4")</f>
        <v>Enchantment Power 4</v>
      </c>
      <c r="B588" s="373"/>
      <c r="C588" s="320"/>
      <c r="D588" s="320"/>
      <c r="E588" s="320"/>
      <c r="F588" s="320"/>
      <c r="G588" s="320"/>
      <c r="H588" s="320"/>
      <c r="I588" s="320"/>
      <c r="J588" s="320"/>
      <c r="K588" s="320"/>
      <c r="L588" s="320"/>
      <c r="M588" s="320"/>
      <c r="N588" s="320"/>
      <c r="O588" s="320"/>
      <c r="P588" s="320"/>
      <c r="Q588" s="320"/>
      <c r="R588" s="320"/>
      <c r="S588" s="320"/>
      <c r="T588" s="320"/>
    </row>
    <row r="589">
      <c r="A589" s="362" t="str">
        <f>IFERROR(__xludf.DUMMYFUNCTION("""COMPUTED_VALUE"""),"Enchantment Power 5")</f>
        <v>Enchantment Power 5</v>
      </c>
      <c r="B589" s="373"/>
      <c r="C589" s="320"/>
      <c r="D589" s="320"/>
      <c r="E589" s="320"/>
      <c r="F589" s="320"/>
      <c r="G589" s="320"/>
      <c r="H589" s="320"/>
      <c r="I589" s="320"/>
      <c r="J589" s="320"/>
      <c r="K589" s="320"/>
      <c r="L589" s="320"/>
      <c r="M589" s="320"/>
      <c r="N589" s="320"/>
      <c r="O589" s="320"/>
      <c r="P589" s="320"/>
      <c r="Q589" s="320"/>
      <c r="R589" s="320"/>
      <c r="S589" s="320"/>
      <c r="T589" s="320"/>
    </row>
    <row r="590">
      <c r="A590" s="362" t="str">
        <f>IFERROR(__xludf.DUMMYFUNCTION("""COMPUTED_VALUE"""),"Enchantment Power 6")</f>
        <v>Enchantment Power 6</v>
      </c>
      <c r="B590" s="373">
        <f>IFERROR(__xludf.DUMMYFUNCTION("""COMPUTED_VALUE"""),315378.1)</f>
        <v>315378.1</v>
      </c>
      <c r="C590" s="320"/>
      <c r="D590" s="320"/>
      <c r="E590" s="320"/>
      <c r="F590" s="320"/>
      <c r="G590" s="320"/>
      <c r="H590" s="320"/>
      <c r="I590" s="320"/>
      <c r="J590" s="320"/>
      <c r="K590" s="320"/>
      <c r="L590" s="320"/>
      <c r="M590" s="320"/>
      <c r="N590" s="320"/>
      <c r="O590" s="320"/>
      <c r="P590" s="320"/>
      <c r="Q590" s="320"/>
      <c r="R590" s="320"/>
      <c r="S590" s="320"/>
      <c r="T590" s="320"/>
    </row>
    <row r="591">
      <c r="A591" s="362" t="str">
        <f>IFERROR(__xludf.DUMMYFUNCTION("""COMPUTED_VALUE"""),"Enchantment Power 7")</f>
        <v>Enchantment Power 7</v>
      </c>
      <c r="B591" s="373">
        <f>IFERROR(__xludf.DUMMYFUNCTION("""COMPUTED_VALUE"""),2.206951286E8)</f>
        <v>220695128.6</v>
      </c>
      <c r="C591" s="320"/>
      <c r="D591" s="320"/>
      <c r="E591" s="320"/>
      <c r="F591" s="320"/>
      <c r="G591" s="320"/>
      <c r="H591" s="320"/>
      <c r="I591" s="320"/>
      <c r="J591" s="320"/>
      <c r="K591" s="320"/>
      <c r="L591" s="320"/>
      <c r="M591" s="320"/>
      <c r="N591" s="320"/>
      <c r="O591" s="320"/>
      <c r="P591" s="320"/>
      <c r="Q591" s="320"/>
      <c r="R591" s="320"/>
      <c r="S591" s="320"/>
      <c r="T591" s="320"/>
    </row>
    <row r="592">
      <c r="A592" s="362" t="str">
        <f>IFERROR(__xludf.DUMMYFUNCTION("""COMPUTED_VALUE"""),"Enchantment Pristine 1")</f>
        <v>Enchantment Pristine 1</v>
      </c>
      <c r="B592" s="373">
        <f>IFERROR(__xludf.DUMMYFUNCTION("""COMPUTED_VALUE"""),1200995.7)</f>
        <v>1200995.7</v>
      </c>
      <c r="C592" s="320"/>
      <c r="D592" s="320"/>
      <c r="E592" s="320"/>
      <c r="F592" s="320"/>
      <c r="G592" s="320"/>
      <c r="H592" s="320"/>
      <c r="I592" s="320"/>
      <c r="J592" s="320"/>
      <c r="K592" s="320"/>
      <c r="L592" s="320"/>
      <c r="M592" s="320"/>
      <c r="N592" s="320"/>
      <c r="O592" s="320"/>
      <c r="P592" s="320"/>
      <c r="Q592" s="320"/>
      <c r="R592" s="320"/>
      <c r="S592" s="320"/>
      <c r="T592" s="320"/>
    </row>
    <row r="593">
      <c r="A593" s="362" t="str">
        <f>IFERROR(__xludf.DUMMYFUNCTION("""COMPUTED_VALUE"""),"Enchantment Pristine 2")</f>
        <v>Enchantment Pristine 2</v>
      </c>
      <c r="B593" s="373">
        <f>IFERROR(__xludf.DUMMYFUNCTION("""COMPUTED_VALUE"""),2262690.05)</f>
        <v>2262690.05</v>
      </c>
      <c r="C593" s="320"/>
      <c r="D593" s="320"/>
      <c r="E593" s="320"/>
      <c r="F593" s="320"/>
      <c r="G593" s="320"/>
      <c r="H593" s="320"/>
      <c r="I593" s="320"/>
      <c r="J593" s="320"/>
      <c r="K593" s="320"/>
      <c r="L593" s="320"/>
      <c r="M593" s="320"/>
      <c r="N593" s="320"/>
      <c r="O593" s="320"/>
      <c r="P593" s="320"/>
      <c r="Q593" s="320"/>
      <c r="R593" s="320"/>
      <c r="S593" s="320"/>
      <c r="T593" s="320"/>
    </row>
    <row r="594">
      <c r="A594" s="362" t="str">
        <f>IFERROR(__xludf.DUMMYFUNCTION("""COMPUTED_VALUE"""),"Enchantment Pristine 3")</f>
        <v>Enchantment Pristine 3</v>
      </c>
      <c r="B594" s="373">
        <f>IFERROR(__xludf.DUMMYFUNCTION("""COMPUTED_VALUE"""),4951994.6)</f>
        <v>4951994.6</v>
      </c>
      <c r="C594" s="320"/>
      <c r="D594" s="320"/>
      <c r="E594" s="320"/>
      <c r="F594" s="320"/>
      <c r="G594" s="320"/>
      <c r="H594" s="320"/>
      <c r="I594" s="320"/>
      <c r="J594" s="320"/>
      <c r="K594" s="320"/>
      <c r="L594" s="320"/>
      <c r="M594" s="320"/>
      <c r="N594" s="320"/>
      <c r="O594" s="320"/>
      <c r="P594" s="320"/>
      <c r="Q594" s="320"/>
      <c r="R594" s="320"/>
      <c r="S594" s="320"/>
      <c r="T594" s="320"/>
    </row>
    <row r="595">
      <c r="A595" s="362" t="str">
        <f>IFERROR(__xludf.DUMMYFUNCTION("""COMPUTED_VALUE"""),"Enchantment Pristine 4")</f>
        <v>Enchantment Pristine 4</v>
      </c>
      <c r="B595" s="373">
        <f>IFERROR(__xludf.DUMMYFUNCTION("""COMPUTED_VALUE"""),6310501.45)</f>
        <v>6310501.45</v>
      </c>
      <c r="C595" s="320"/>
      <c r="D595" s="320"/>
      <c r="E595" s="320"/>
      <c r="F595" s="320"/>
      <c r="G595" s="320"/>
      <c r="H595" s="320"/>
      <c r="I595" s="320"/>
      <c r="J595" s="320"/>
      <c r="K595" s="320"/>
      <c r="L595" s="320"/>
      <c r="M595" s="320"/>
      <c r="N595" s="320"/>
      <c r="O595" s="320"/>
      <c r="P595" s="320"/>
      <c r="Q595" s="320"/>
      <c r="R595" s="320"/>
      <c r="S595" s="320"/>
      <c r="T595" s="320"/>
    </row>
    <row r="596">
      <c r="A596" s="362" t="str">
        <f>IFERROR(__xludf.DUMMYFUNCTION("""COMPUTED_VALUE"""),"Enchantment Pristine 5")</f>
        <v>Enchantment Pristine 5</v>
      </c>
      <c r="B596" s="373">
        <f>IFERROR(__xludf.DUMMYFUNCTION("""COMPUTED_VALUE"""),1.0950543125E7)</f>
        <v>10950543.13</v>
      </c>
      <c r="C596" s="320"/>
      <c r="D596" s="320"/>
      <c r="E596" s="320"/>
      <c r="F596" s="320"/>
      <c r="G596" s="320"/>
      <c r="H596" s="320"/>
      <c r="I596" s="320"/>
      <c r="J596" s="320"/>
      <c r="K596" s="320"/>
      <c r="L596" s="320"/>
      <c r="M596" s="320"/>
      <c r="N596" s="320"/>
      <c r="O596" s="320"/>
      <c r="P596" s="320"/>
      <c r="Q596" s="320"/>
      <c r="R596" s="320"/>
      <c r="S596" s="320"/>
      <c r="T596" s="320"/>
    </row>
    <row r="597">
      <c r="A597" s="362" t="str">
        <f>IFERROR(__xludf.DUMMYFUNCTION("""COMPUTED_VALUE"""),"Enchantment Projectile Protection 1")</f>
        <v>Enchantment Projectile Protection 1</v>
      </c>
      <c r="B597" s="373"/>
      <c r="C597" s="320"/>
      <c r="D597" s="320"/>
      <c r="E597" s="320"/>
      <c r="F597" s="320"/>
      <c r="G597" s="320"/>
      <c r="H597" s="320"/>
      <c r="I597" s="320"/>
      <c r="J597" s="320"/>
      <c r="K597" s="320"/>
      <c r="L597" s="320"/>
      <c r="M597" s="320"/>
      <c r="N597" s="320"/>
      <c r="O597" s="320"/>
      <c r="P597" s="320"/>
      <c r="Q597" s="320"/>
      <c r="R597" s="320"/>
      <c r="S597" s="320"/>
      <c r="T597" s="320"/>
    </row>
    <row r="598">
      <c r="A598" s="362" t="str">
        <f>IFERROR(__xludf.DUMMYFUNCTION("""COMPUTED_VALUE"""),"Enchantment Projectile Protection 2")</f>
        <v>Enchantment Projectile Protection 2</v>
      </c>
      <c r="B598" s="373"/>
      <c r="C598" s="320"/>
      <c r="D598" s="320"/>
      <c r="E598" s="320"/>
      <c r="F598" s="320"/>
      <c r="G598" s="320"/>
      <c r="H598" s="320"/>
      <c r="I598" s="320"/>
      <c r="J598" s="320"/>
      <c r="K598" s="320"/>
      <c r="L598" s="320"/>
      <c r="M598" s="320"/>
      <c r="N598" s="320"/>
      <c r="O598" s="320"/>
      <c r="P598" s="320"/>
      <c r="Q598" s="320"/>
      <c r="R598" s="320"/>
      <c r="S598" s="320"/>
      <c r="T598" s="320"/>
    </row>
    <row r="599">
      <c r="A599" s="362" t="str">
        <f>IFERROR(__xludf.DUMMYFUNCTION("""COMPUTED_VALUE"""),"Enchantment Projectile Protection 3")</f>
        <v>Enchantment Projectile Protection 3</v>
      </c>
      <c r="B599" s="373"/>
      <c r="C599" s="320"/>
      <c r="D599" s="320"/>
      <c r="E599" s="320"/>
      <c r="F599" s="320"/>
      <c r="G599" s="320"/>
      <c r="H599" s="320"/>
      <c r="I599" s="320"/>
      <c r="J599" s="320"/>
      <c r="K599" s="320"/>
      <c r="L599" s="320"/>
      <c r="M599" s="320"/>
      <c r="N599" s="320"/>
      <c r="O599" s="320"/>
      <c r="P599" s="320"/>
      <c r="Q599" s="320"/>
      <c r="R599" s="320"/>
      <c r="S599" s="320"/>
      <c r="T599" s="320"/>
    </row>
    <row r="600">
      <c r="A600" s="362" t="str">
        <f>IFERROR(__xludf.DUMMYFUNCTION("""COMPUTED_VALUE"""),"Enchantment Projectile Protection 4")</f>
        <v>Enchantment Projectile Protection 4</v>
      </c>
      <c r="B600" s="373"/>
      <c r="C600" s="320"/>
      <c r="D600" s="320"/>
      <c r="E600" s="320"/>
      <c r="F600" s="320"/>
      <c r="G600" s="320"/>
      <c r="H600" s="320"/>
      <c r="I600" s="320"/>
      <c r="J600" s="320"/>
      <c r="K600" s="320"/>
      <c r="L600" s="320"/>
      <c r="M600" s="320"/>
      <c r="N600" s="320"/>
      <c r="O600" s="320"/>
      <c r="P600" s="320"/>
      <c r="Q600" s="320"/>
      <c r="R600" s="320"/>
      <c r="S600" s="320"/>
      <c r="T600" s="320"/>
    </row>
    <row r="601">
      <c r="A601" s="362" t="str">
        <f>IFERROR(__xludf.DUMMYFUNCTION("""COMPUTED_VALUE"""),"Enchantment Projectile Protection 5")</f>
        <v>Enchantment Projectile Protection 5</v>
      </c>
      <c r="B601" s="373"/>
      <c r="C601" s="320"/>
      <c r="D601" s="320"/>
      <c r="E601" s="320"/>
      <c r="F601" s="320"/>
      <c r="G601" s="320"/>
      <c r="H601" s="320"/>
      <c r="I601" s="320"/>
      <c r="J601" s="320"/>
      <c r="K601" s="320"/>
      <c r="L601" s="320"/>
      <c r="M601" s="320"/>
      <c r="N601" s="320"/>
      <c r="O601" s="320"/>
      <c r="P601" s="320"/>
      <c r="Q601" s="320"/>
      <c r="R601" s="320"/>
      <c r="S601" s="320"/>
      <c r="T601" s="320"/>
    </row>
    <row r="602">
      <c r="A602" s="362" t="str">
        <f>IFERROR(__xludf.DUMMYFUNCTION("""COMPUTED_VALUE"""),"Enchantment Projectile Protection 6")</f>
        <v>Enchantment Projectile Protection 6</v>
      </c>
      <c r="B602" s="373">
        <f>IFERROR(__xludf.DUMMYFUNCTION("""COMPUTED_VALUE"""),500.75)</f>
        <v>500.75</v>
      </c>
      <c r="C602" s="320"/>
      <c r="D602" s="320"/>
      <c r="E602" s="320"/>
      <c r="F602" s="320"/>
      <c r="G602" s="320"/>
      <c r="H602" s="320"/>
      <c r="I602" s="320"/>
      <c r="J602" s="320"/>
      <c r="K602" s="320"/>
      <c r="L602" s="320"/>
      <c r="M602" s="320"/>
      <c r="N602" s="320"/>
      <c r="O602" s="320"/>
      <c r="P602" s="320"/>
      <c r="Q602" s="320"/>
      <c r="R602" s="320"/>
      <c r="S602" s="320"/>
      <c r="T602" s="320"/>
    </row>
    <row r="603">
      <c r="A603" s="362" t="str">
        <f>IFERROR(__xludf.DUMMYFUNCTION("""COMPUTED_VALUE"""),"Enchantment Projectile Protection 7")</f>
        <v>Enchantment Projectile Protection 7</v>
      </c>
      <c r="B603" s="373">
        <f>IFERROR(__xludf.DUMMYFUNCTION("""COMPUTED_VALUE"""),8947845.35)</f>
        <v>8947845.35</v>
      </c>
      <c r="C603" s="320"/>
      <c r="D603" s="320"/>
      <c r="E603" s="320"/>
      <c r="F603" s="320"/>
      <c r="G603" s="320"/>
      <c r="H603" s="320"/>
      <c r="I603" s="320"/>
      <c r="J603" s="320"/>
      <c r="K603" s="320"/>
      <c r="L603" s="320"/>
      <c r="M603" s="320"/>
      <c r="N603" s="320"/>
      <c r="O603" s="320"/>
      <c r="P603" s="320"/>
      <c r="Q603" s="320"/>
      <c r="R603" s="320"/>
      <c r="S603" s="320"/>
      <c r="T603" s="320"/>
    </row>
    <row r="604">
      <c r="A604" s="362" t="str">
        <f>IFERROR(__xludf.DUMMYFUNCTION("""COMPUTED_VALUE"""),"Enchantment Prosecute 1")</f>
        <v>Enchantment Prosecute 1</v>
      </c>
      <c r="B604" s="373"/>
      <c r="C604" s="320"/>
      <c r="D604" s="320"/>
      <c r="E604" s="320"/>
      <c r="F604" s="320"/>
      <c r="G604" s="320"/>
      <c r="H604" s="320"/>
      <c r="I604" s="320"/>
      <c r="J604" s="320"/>
      <c r="K604" s="320"/>
      <c r="L604" s="320"/>
      <c r="M604" s="320"/>
      <c r="N604" s="320"/>
      <c r="O604" s="320"/>
      <c r="P604" s="320"/>
      <c r="Q604" s="320"/>
      <c r="R604" s="320"/>
      <c r="S604" s="320"/>
      <c r="T604" s="320"/>
    </row>
    <row r="605">
      <c r="A605" s="362" t="str">
        <f>IFERROR(__xludf.DUMMYFUNCTION("""COMPUTED_VALUE"""),"Enchantment Prosecute 2")</f>
        <v>Enchantment Prosecute 2</v>
      </c>
      <c r="B605" s="373"/>
      <c r="C605" s="320"/>
      <c r="D605" s="320"/>
      <c r="E605" s="320"/>
      <c r="F605" s="320"/>
      <c r="G605" s="320"/>
      <c r="H605" s="320"/>
      <c r="I605" s="320"/>
      <c r="J605" s="320"/>
      <c r="K605" s="320"/>
      <c r="L605" s="320"/>
      <c r="M605" s="320"/>
      <c r="N605" s="320"/>
      <c r="O605" s="320"/>
      <c r="P605" s="320"/>
      <c r="Q605" s="320"/>
      <c r="R605" s="320"/>
      <c r="S605" s="320"/>
      <c r="T605" s="320"/>
    </row>
    <row r="606">
      <c r="A606" s="362" t="str">
        <f>IFERROR(__xludf.DUMMYFUNCTION("""COMPUTED_VALUE"""),"Enchantment Prosecute 3")</f>
        <v>Enchantment Prosecute 3</v>
      </c>
      <c r="B606" s="373"/>
      <c r="C606" s="320"/>
      <c r="D606" s="320"/>
      <c r="E606" s="320"/>
      <c r="F606" s="320"/>
      <c r="G606" s="320"/>
      <c r="H606" s="320"/>
      <c r="I606" s="320"/>
      <c r="J606" s="320"/>
      <c r="K606" s="320"/>
      <c r="L606" s="320"/>
      <c r="M606" s="320"/>
      <c r="N606" s="320"/>
      <c r="O606" s="320"/>
      <c r="P606" s="320"/>
      <c r="Q606" s="320"/>
      <c r="R606" s="320"/>
      <c r="S606" s="320"/>
      <c r="T606" s="320"/>
    </row>
    <row r="607">
      <c r="A607" s="362" t="str">
        <f>IFERROR(__xludf.DUMMYFUNCTION("""COMPUTED_VALUE"""),"Enchantment Prosecute 4")</f>
        <v>Enchantment Prosecute 4</v>
      </c>
      <c r="B607" s="373"/>
      <c r="C607" s="320"/>
      <c r="D607" s="320"/>
      <c r="E607" s="320"/>
      <c r="F607" s="320"/>
      <c r="G607" s="320"/>
      <c r="H607" s="320"/>
      <c r="I607" s="320"/>
      <c r="J607" s="320"/>
      <c r="K607" s="320"/>
      <c r="L607" s="320"/>
      <c r="M607" s="320"/>
      <c r="N607" s="320"/>
      <c r="O607" s="320"/>
      <c r="P607" s="320"/>
      <c r="Q607" s="320"/>
      <c r="R607" s="320"/>
      <c r="S607" s="320"/>
      <c r="T607" s="320"/>
    </row>
    <row r="608">
      <c r="A608" s="362" t="str">
        <f>IFERROR(__xludf.DUMMYFUNCTION("""COMPUTED_VALUE"""),"Enchantment Prosecute 5")</f>
        <v>Enchantment Prosecute 5</v>
      </c>
      <c r="B608" s="373"/>
      <c r="C608" s="320"/>
      <c r="D608" s="320"/>
      <c r="E608" s="320"/>
      <c r="F608" s="320"/>
      <c r="G608" s="320"/>
      <c r="H608" s="320"/>
      <c r="I608" s="320"/>
      <c r="J608" s="320"/>
      <c r="K608" s="320"/>
      <c r="L608" s="320"/>
      <c r="M608" s="320"/>
      <c r="N608" s="320"/>
      <c r="O608" s="320"/>
      <c r="P608" s="320"/>
      <c r="Q608" s="320"/>
      <c r="R608" s="320"/>
      <c r="S608" s="320"/>
      <c r="T608" s="320"/>
    </row>
    <row r="609">
      <c r="A609" s="362" t="str">
        <f>IFERROR(__xludf.DUMMYFUNCTION("""COMPUTED_VALUE"""),"Enchantment Prosecute 6")</f>
        <v>Enchantment Prosecute 6</v>
      </c>
      <c r="B609" s="373">
        <f>IFERROR(__xludf.DUMMYFUNCTION("""COMPUTED_VALUE"""),5.5910455E7)</f>
        <v>55910455</v>
      </c>
      <c r="C609" s="320"/>
      <c r="D609" s="320"/>
      <c r="E609" s="320"/>
      <c r="F609" s="320"/>
      <c r="G609" s="320"/>
      <c r="H609" s="320"/>
      <c r="I609" s="320"/>
      <c r="J609" s="320"/>
      <c r="K609" s="320"/>
      <c r="L609" s="320"/>
      <c r="M609" s="320"/>
      <c r="N609" s="320"/>
      <c r="O609" s="320"/>
      <c r="P609" s="320"/>
      <c r="Q609" s="320"/>
      <c r="R609" s="320"/>
      <c r="S609" s="320"/>
      <c r="T609" s="320"/>
    </row>
    <row r="610">
      <c r="A610" s="362" t="str">
        <f>IFERROR(__xludf.DUMMYFUNCTION("""COMPUTED_VALUE"""),"Enchantment Prosperity 1")</f>
        <v>Enchantment Prosperity 1</v>
      </c>
      <c r="B610" s="373">
        <f>IFERROR(__xludf.DUMMYFUNCTION("""COMPUTED_VALUE"""),2202041.95)</f>
        <v>2202041.95</v>
      </c>
      <c r="C610" s="320"/>
      <c r="D610" s="320"/>
      <c r="E610" s="320"/>
      <c r="F610" s="320"/>
      <c r="G610" s="320"/>
      <c r="H610" s="320"/>
      <c r="I610" s="320"/>
      <c r="J610" s="320"/>
      <c r="K610" s="320"/>
      <c r="L610" s="320"/>
      <c r="M610" s="320"/>
      <c r="N610" s="320"/>
      <c r="O610" s="320"/>
      <c r="P610" s="320"/>
      <c r="Q610" s="320"/>
      <c r="R610" s="320"/>
      <c r="S610" s="320"/>
      <c r="T610" s="320"/>
    </row>
    <row r="611">
      <c r="A611" s="362" t="str">
        <f>IFERROR(__xludf.DUMMYFUNCTION("""COMPUTED_VALUE"""),"Enchantment Prosperity 2")</f>
        <v>Enchantment Prosperity 2</v>
      </c>
      <c r="B611" s="373">
        <f>IFERROR(__xludf.DUMMYFUNCTION("""COMPUTED_VALUE"""),8.01000007E7)</f>
        <v>80100000.7</v>
      </c>
      <c r="C611" s="320"/>
      <c r="D611" s="320"/>
      <c r="E611" s="320"/>
      <c r="F611" s="320"/>
      <c r="G611" s="320"/>
      <c r="H611" s="320"/>
      <c r="I611" s="320"/>
      <c r="J611" s="320"/>
      <c r="K611" s="320"/>
      <c r="L611" s="320"/>
      <c r="M611" s="320"/>
      <c r="N611" s="320"/>
      <c r="O611" s="320"/>
      <c r="P611" s="320"/>
      <c r="Q611" s="320"/>
      <c r="R611" s="320"/>
      <c r="S611" s="320"/>
      <c r="T611" s="320"/>
    </row>
    <row r="612">
      <c r="A612" s="362" t="str">
        <f>IFERROR(__xludf.DUMMYFUNCTION("""COMPUTED_VALUE"""),"Enchantment Prosperity 3")</f>
        <v>Enchantment Prosperity 3</v>
      </c>
      <c r="B612" s="373">
        <f>IFERROR(__xludf.DUMMYFUNCTION("""COMPUTED_VALUE"""),8.00150009E7)</f>
        <v>80015000.9</v>
      </c>
      <c r="C612" s="320"/>
      <c r="D612" s="320"/>
      <c r="E612" s="320"/>
      <c r="F612" s="320"/>
      <c r="G612" s="320"/>
      <c r="H612" s="320"/>
      <c r="I612" s="320"/>
      <c r="J612" s="320"/>
      <c r="K612" s="320"/>
      <c r="L612" s="320"/>
      <c r="M612" s="320"/>
      <c r="N612" s="320"/>
      <c r="O612" s="320"/>
      <c r="P612" s="320"/>
      <c r="Q612" s="320"/>
      <c r="R612" s="320"/>
      <c r="S612" s="320"/>
      <c r="T612" s="320"/>
    </row>
    <row r="613">
      <c r="A613" s="362" t="str">
        <f>IFERROR(__xludf.DUMMYFUNCTION("""COMPUTED_VALUE"""),"Enchantment Prosperity 4")</f>
        <v>Enchantment Prosperity 4</v>
      </c>
      <c r="B613" s="373">
        <f>IFERROR(__xludf.DUMMYFUNCTION("""COMPUTED_VALUE"""),1.588930026E8)</f>
        <v>158893002.6</v>
      </c>
      <c r="C613" s="320"/>
      <c r="D613" s="320"/>
      <c r="E613" s="320"/>
      <c r="F613" s="320"/>
      <c r="G613" s="320"/>
      <c r="H613" s="320"/>
      <c r="I613" s="320"/>
      <c r="J613" s="320"/>
      <c r="K613" s="320"/>
      <c r="L613" s="320"/>
      <c r="M613" s="320"/>
      <c r="N613" s="320"/>
      <c r="O613" s="320"/>
      <c r="P613" s="320"/>
      <c r="Q613" s="320"/>
      <c r="R613" s="320"/>
      <c r="S613" s="320"/>
      <c r="T613" s="320"/>
    </row>
    <row r="614">
      <c r="A614" s="362" t="str">
        <f>IFERROR(__xludf.DUMMYFUNCTION("""COMPUTED_VALUE"""),"Enchantment Prosperity 5")</f>
        <v>Enchantment Prosperity 5</v>
      </c>
      <c r="B614" s="373">
        <f>IFERROR(__xludf.DUMMYFUNCTION("""COMPUTED_VALUE"""),3.172750485E7)</f>
        <v>31727504.85</v>
      </c>
      <c r="C614" s="320"/>
      <c r="D614" s="320"/>
      <c r="E614" s="320"/>
      <c r="F614" s="320"/>
      <c r="G614" s="320"/>
      <c r="H614" s="320"/>
      <c r="I614" s="320"/>
      <c r="J614" s="320"/>
      <c r="K614" s="320"/>
      <c r="L614" s="320"/>
      <c r="M614" s="320"/>
      <c r="N614" s="320"/>
      <c r="O614" s="320"/>
      <c r="P614" s="320"/>
      <c r="Q614" s="320"/>
      <c r="R614" s="320"/>
      <c r="S614" s="320"/>
      <c r="T614" s="320"/>
    </row>
    <row r="615">
      <c r="A615" s="362" t="str">
        <f>IFERROR(__xludf.DUMMYFUNCTION("""COMPUTED_VALUE"""),"Enchantment Protection 1")</f>
        <v>Enchantment Protection 1</v>
      </c>
      <c r="B615" s="373"/>
      <c r="C615" s="320"/>
      <c r="D615" s="320"/>
      <c r="E615" s="320"/>
      <c r="F615" s="320"/>
      <c r="G615" s="320"/>
      <c r="H615" s="320"/>
      <c r="I615" s="320"/>
      <c r="J615" s="320"/>
      <c r="K615" s="320"/>
      <c r="L615" s="320"/>
      <c r="M615" s="320"/>
      <c r="N615" s="320"/>
      <c r="O615" s="320"/>
      <c r="P615" s="320"/>
      <c r="Q615" s="320"/>
      <c r="R615" s="320"/>
      <c r="S615" s="320"/>
      <c r="T615" s="320"/>
    </row>
    <row r="616">
      <c r="A616" s="362" t="str">
        <f>IFERROR(__xludf.DUMMYFUNCTION("""COMPUTED_VALUE"""),"Enchantment Protection 2")</f>
        <v>Enchantment Protection 2</v>
      </c>
      <c r="B616" s="373"/>
      <c r="C616" s="320"/>
      <c r="D616" s="320"/>
      <c r="E616" s="320"/>
      <c r="F616" s="320"/>
      <c r="G616" s="320"/>
      <c r="H616" s="320"/>
      <c r="I616" s="320"/>
      <c r="J616" s="320"/>
      <c r="K616" s="320"/>
      <c r="L616" s="320"/>
      <c r="M616" s="320"/>
      <c r="N616" s="320"/>
      <c r="O616" s="320"/>
      <c r="P616" s="320"/>
      <c r="Q616" s="320"/>
      <c r="R616" s="320"/>
      <c r="S616" s="320"/>
      <c r="T616" s="320"/>
    </row>
    <row r="617">
      <c r="A617" s="362" t="str">
        <f>IFERROR(__xludf.DUMMYFUNCTION("""COMPUTED_VALUE"""),"Enchantment Protection 3")</f>
        <v>Enchantment Protection 3</v>
      </c>
      <c r="B617" s="373"/>
      <c r="C617" s="320"/>
      <c r="D617" s="320"/>
      <c r="E617" s="320"/>
      <c r="F617" s="320"/>
      <c r="G617" s="320"/>
      <c r="H617" s="320"/>
      <c r="I617" s="320"/>
      <c r="J617" s="320"/>
      <c r="K617" s="320"/>
      <c r="L617" s="320"/>
      <c r="M617" s="320"/>
      <c r="N617" s="320"/>
      <c r="O617" s="320"/>
      <c r="P617" s="320"/>
      <c r="Q617" s="320"/>
      <c r="R617" s="320"/>
      <c r="S617" s="320"/>
      <c r="T617" s="320"/>
    </row>
    <row r="618">
      <c r="A618" s="362" t="str">
        <f>IFERROR(__xludf.DUMMYFUNCTION("""COMPUTED_VALUE"""),"Enchantment Protection 4")</f>
        <v>Enchantment Protection 4</v>
      </c>
      <c r="B618" s="373"/>
      <c r="C618" s="320"/>
      <c r="D618" s="320"/>
      <c r="E618" s="320"/>
      <c r="F618" s="320"/>
      <c r="G618" s="320"/>
      <c r="H618" s="320"/>
      <c r="I618" s="320"/>
      <c r="J618" s="320"/>
      <c r="K618" s="320"/>
      <c r="L618" s="320"/>
      <c r="M618" s="320"/>
      <c r="N618" s="320"/>
      <c r="O618" s="320"/>
      <c r="P618" s="320"/>
      <c r="Q618" s="320"/>
      <c r="R618" s="320"/>
      <c r="S618" s="320"/>
      <c r="T618" s="320"/>
    </row>
    <row r="619">
      <c r="A619" s="362" t="str">
        <f>IFERROR(__xludf.DUMMYFUNCTION("""COMPUTED_VALUE"""),"Enchantment Protection 5")</f>
        <v>Enchantment Protection 5</v>
      </c>
      <c r="B619" s="373"/>
      <c r="C619" s="320"/>
      <c r="D619" s="320"/>
      <c r="E619" s="320"/>
      <c r="F619" s="320"/>
      <c r="G619" s="320"/>
      <c r="H619" s="320"/>
      <c r="I619" s="320"/>
      <c r="J619" s="320"/>
      <c r="K619" s="320"/>
      <c r="L619" s="320"/>
      <c r="M619" s="320"/>
      <c r="N619" s="320"/>
      <c r="O619" s="320"/>
      <c r="P619" s="320"/>
      <c r="Q619" s="320"/>
      <c r="R619" s="320"/>
      <c r="S619" s="320"/>
      <c r="T619" s="320"/>
    </row>
    <row r="620">
      <c r="A620" s="362" t="str">
        <f>IFERROR(__xludf.DUMMYFUNCTION("""COMPUTED_VALUE"""),"Enchantment Protection 6")</f>
        <v>Enchantment Protection 6</v>
      </c>
      <c r="B620" s="373">
        <f>IFERROR(__xludf.DUMMYFUNCTION("""COMPUTED_VALUE"""),2818251.683)</f>
        <v>2818251.683</v>
      </c>
      <c r="C620" s="320"/>
      <c r="D620" s="320"/>
      <c r="E620" s="320"/>
      <c r="F620" s="320"/>
      <c r="G620" s="320"/>
      <c r="H620" s="320"/>
      <c r="I620" s="320"/>
      <c r="J620" s="320"/>
      <c r="K620" s="320"/>
      <c r="L620" s="320"/>
      <c r="M620" s="320"/>
      <c r="N620" s="320"/>
      <c r="O620" s="320"/>
      <c r="P620" s="320"/>
      <c r="Q620" s="320"/>
      <c r="R620" s="320"/>
      <c r="S620" s="320"/>
      <c r="T620" s="320"/>
    </row>
    <row r="621">
      <c r="A621" s="362" t="str">
        <f>IFERROR(__xludf.DUMMYFUNCTION("""COMPUTED_VALUE"""),"Enchantment Protection 7")</f>
        <v>Enchantment Protection 7</v>
      </c>
      <c r="B621" s="373">
        <f>IFERROR(__xludf.DUMMYFUNCTION("""COMPUTED_VALUE"""),2.81586267E7)</f>
        <v>28158626.7</v>
      </c>
      <c r="C621" s="320"/>
      <c r="D621" s="320"/>
      <c r="E621" s="320"/>
      <c r="F621" s="320"/>
      <c r="G621" s="320"/>
      <c r="H621" s="320"/>
      <c r="I621" s="320"/>
      <c r="J621" s="320"/>
      <c r="K621" s="320"/>
      <c r="L621" s="320"/>
      <c r="M621" s="320"/>
      <c r="N621" s="320"/>
      <c r="O621" s="320"/>
      <c r="P621" s="320"/>
      <c r="Q621" s="320"/>
      <c r="R621" s="320"/>
      <c r="S621" s="320"/>
      <c r="T621" s="320"/>
    </row>
    <row r="622">
      <c r="A622" s="362" t="str">
        <f>IFERROR(__xludf.DUMMYFUNCTION("""COMPUTED_VALUE"""),"Enchantment Punch 1")</f>
        <v>Enchantment Punch 1</v>
      </c>
      <c r="B622" s="373"/>
      <c r="C622" s="320"/>
      <c r="D622" s="320"/>
      <c r="E622" s="320"/>
      <c r="F622" s="320"/>
      <c r="G622" s="320"/>
      <c r="H622" s="320"/>
      <c r="I622" s="320"/>
      <c r="J622" s="320"/>
      <c r="K622" s="320"/>
      <c r="L622" s="320"/>
      <c r="M622" s="320"/>
      <c r="N622" s="320"/>
      <c r="O622" s="320"/>
      <c r="P622" s="320"/>
      <c r="Q622" s="320"/>
      <c r="R622" s="320"/>
      <c r="S622" s="320"/>
      <c r="T622" s="320"/>
    </row>
    <row r="623">
      <c r="A623" s="362" t="str">
        <f>IFERROR(__xludf.DUMMYFUNCTION("""COMPUTED_VALUE"""),"Enchantment Punch 2")</f>
        <v>Enchantment Punch 2</v>
      </c>
      <c r="B623" s="373"/>
      <c r="C623" s="320"/>
      <c r="D623" s="320"/>
      <c r="E623" s="320"/>
      <c r="F623" s="320"/>
      <c r="G623" s="320"/>
      <c r="H623" s="320"/>
      <c r="I623" s="320"/>
      <c r="J623" s="320"/>
      <c r="K623" s="320"/>
      <c r="L623" s="320"/>
      <c r="M623" s="320"/>
      <c r="N623" s="320"/>
      <c r="O623" s="320"/>
      <c r="P623" s="320"/>
      <c r="Q623" s="320"/>
      <c r="R623" s="320"/>
      <c r="S623" s="320"/>
      <c r="T623" s="320"/>
    </row>
    <row r="624">
      <c r="A624" s="362" t="str">
        <f>IFERROR(__xludf.DUMMYFUNCTION("""COMPUTED_VALUE"""),"Enchantment Quantum 3")</f>
        <v>Enchantment Quantum 3</v>
      </c>
      <c r="B624" s="373">
        <f>IFERROR(__xludf.DUMMYFUNCTION("""COMPUTED_VALUE"""),391551.0)</f>
        <v>391551</v>
      </c>
      <c r="C624" s="320"/>
      <c r="D624" s="320"/>
      <c r="E624" s="320"/>
      <c r="F624" s="320"/>
      <c r="G624" s="320"/>
      <c r="H624" s="320"/>
      <c r="I624" s="320"/>
      <c r="J624" s="320"/>
      <c r="K624" s="320"/>
      <c r="L624" s="320"/>
      <c r="M624" s="320"/>
      <c r="N624" s="320"/>
      <c r="O624" s="320"/>
      <c r="P624" s="320"/>
      <c r="Q624" s="320"/>
      <c r="R624" s="320"/>
      <c r="S624" s="320"/>
      <c r="T624" s="320"/>
    </row>
    <row r="625">
      <c r="A625" s="362" t="str">
        <f>IFERROR(__xludf.DUMMYFUNCTION("""COMPUTED_VALUE"""),"Enchantment Quantum 4")</f>
        <v>Enchantment Quantum 4</v>
      </c>
      <c r="B625" s="373">
        <f>IFERROR(__xludf.DUMMYFUNCTION("""COMPUTED_VALUE"""),634811.4)</f>
        <v>634811.4</v>
      </c>
      <c r="C625" s="320"/>
      <c r="D625" s="320"/>
      <c r="E625" s="320"/>
      <c r="F625" s="320"/>
      <c r="G625" s="320"/>
      <c r="H625" s="320"/>
      <c r="I625" s="320"/>
      <c r="J625" s="320"/>
      <c r="K625" s="320"/>
      <c r="L625" s="320"/>
      <c r="M625" s="320"/>
      <c r="N625" s="320"/>
      <c r="O625" s="320"/>
      <c r="P625" s="320"/>
      <c r="Q625" s="320"/>
      <c r="R625" s="320"/>
      <c r="S625" s="320"/>
      <c r="T625" s="320"/>
    </row>
    <row r="626">
      <c r="A626" s="362" t="str">
        <f>IFERROR(__xludf.DUMMYFUNCTION("""COMPUTED_VALUE"""),"Enchantment Quantum 5")</f>
        <v>Enchantment Quantum 5</v>
      </c>
      <c r="B626" s="373">
        <f>IFERROR(__xludf.DUMMYFUNCTION("""COMPUTED_VALUE"""),1792126.45)</f>
        <v>1792126.45</v>
      </c>
      <c r="C626" s="320"/>
      <c r="D626" s="320"/>
      <c r="E626" s="320"/>
      <c r="F626" s="320"/>
      <c r="G626" s="320"/>
      <c r="H626" s="320"/>
      <c r="I626" s="320"/>
      <c r="J626" s="320"/>
      <c r="K626" s="320"/>
      <c r="L626" s="320"/>
      <c r="M626" s="320"/>
      <c r="N626" s="320"/>
      <c r="O626" s="320"/>
      <c r="P626" s="320"/>
      <c r="Q626" s="320"/>
      <c r="R626" s="320"/>
      <c r="S626" s="320"/>
      <c r="T626" s="320"/>
    </row>
    <row r="627">
      <c r="A627" s="362" t="str">
        <f>IFERROR(__xludf.DUMMYFUNCTION("""COMPUTED_VALUE"""),"Enchantment Reflection 1")</f>
        <v>Enchantment Reflection 1</v>
      </c>
      <c r="B627" s="373">
        <f>IFERROR(__xludf.DUMMYFUNCTION("""COMPUTED_VALUE"""),268489.225)</f>
        <v>268489.225</v>
      </c>
      <c r="C627" s="320"/>
      <c r="D627" s="320"/>
      <c r="E627" s="320"/>
      <c r="F627" s="320"/>
      <c r="G627" s="320"/>
      <c r="H627" s="320"/>
      <c r="I627" s="320"/>
      <c r="J627" s="320"/>
      <c r="K627" s="320"/>
      <c r="L627" s="320"/>
      <c r="M627" s="320"/>
      <c r="N627" s="320"/>
      <c r="O627" s="320"/>
      <c r="P627" s="320"/>
      <c r="Q627" s="320"/>
      <c r="R627" s="320"/>
      <c r="S627" s="320"/>
      <c r="T627" s="320"/>
    </row>
    <row r="628">
      <c r="A628" s="362" t="str">
        <f>IFERROR(__xludf.DUMMYFUNCTION("""COMPUTED_VALUE"""),"Enchantment Reflection 2")</f>
        <v>Enchantment Reflection 2</v>
      </c>
      <c r="B628" s="373">
        <f>IFERROR(__xludf.DUMMYFUNCTION("""COMPUTED_VALUE"""),2.500302634E7)</f>
        <v>25003026.34</v>
      </c>
      <c r="C628" s="320"/>
      <c r="D628" s="320"/>
      <c r="E628" s="320"/>
      <c r="F628" s="320"/>
      <c r="G628" s="320"/>
      <c r="H628" s="320"/>
      <c r="I628" s="320"/>
      <c r="J628" s="320"/>
      <c r="K628" s="320"/>
      <c r="L628" s="320"/>
      <c r="M628" s="320"/>
      <c r="N628" s="320"/>
      <c r="O628" s="320"/>
      <c r="P628" s="320"/>
      <c r="Q628" s="320"/>
      <c r="R628" s="320"/>
      <c r="S628" s="320"/>
      <c r="T628" s="320"/>
    </row>
    <row r="629">
      <c r="A629" s="362" t="str">
        <f>IFERROR(__xludf.DUMMYFUNCTION("""COMPUTED_VALUE"""),"Enchantment Reflection 3")</f>
        <v>Enchantment Reflection 3</v>
      </c>
      <c r="B629" s="373">
        <f>IFERROR(__xludf.DUMMYFUNCTION("""COMPUTED_VALUE"""),1.2151487735E8)</f>
        <v>121514877.4</v>
      </c>
      <c r="C629" s="320"/>
      <c r="D629" s="320"/>
      <c r="E629" s="320"/>
      <c r="F629" s="320"/>
      <c r="G629" s="320"/>
      <c r="H629" s="320"/>
      <c r="I629" s="320"/>
      <c r="J629" s="320"/>
      <c r="K629" s="320"/>
      <c r="L629" s="320"/>
      <c r="M629" s="320"/>
      <c r="N629" s="320"/>
      <c r="O629" s="320"/>
      <c r="P629" s="320"/>
      <c r="Q629" s="320"/>
      <c r="R629" s="320"/>
      <c r="S629" s="320"/>
      <c r="T629" s="320"/>
    </row>
    <row r="630">
      <c r="A630" s="362" t="str">
        <f>IFERROR(__xludf.DUMMYFUNCTION("""COMPUTED_VALUE"""),"Enchantment Reflection 4")</f>
        <v>Enchantment Reflection 4</v>
      </c>
      <c r="B630" s="373">
        <f>IFERROR(__xludf.DUMMYFUNCTION("""COMPUTED_VALUE"""),4375000.65)</f>
        <v>4375000.65</v>
      </c>
      <c r="C630" s="320"/>
      <c r="D630" s="320"/>
      <c r="E630" s="320"/>
      <c r="F630" s="320"/>
      <c r="G630" s="320"/>
      <c r="H630" s="320"/>
      <c r="I630" s="320"/>
      <c r="J630" s="320"/>
      <c r="K630" s="320"/>
      <c r="L630" s="320"/>
      <c r="M630" s="320"/>
      <c r="N630" s="320"/>
      <c r="O630" s="320"/>
      <c r="P630" s="320"/>
      <c r="Q630" s="320"/>
      <c r="R630" s="320"/>
      <c r="S630" s="320"/>
      <c r="T630" s="320"/>
    </row>
    <row r="631">
      <c r="A631" s="362" t="str">
        <f>IFERROR(__xludf.DUMMYFUNCTION("""COMPUTED_VALUE"""),"Enchantment Reflection 5")</f>
        <v>Enchantment Reflection 5</v>
      </c>
      <c r="B631" s="373">
        <f>IFERROR(__xludf.DUMMYFUNCTION("""COMPUTED_VALUE"""),5113747.65)</f>
        <v>5113747.65</v>
      </c>
      <c r="C631" s="320"/>
      <c r="D631" s="320"/>
      <c r="E631" s="320"/>
      <c r="F631" s="320"/>
      <c r="G631" s="320"/>
      <c r="H631" s="320"/>
      <c r="I631" s="320"/>
      <c r="J631" s="320"/>
      <c r="K631" s="320"/>
      <c r="L631" s="320"/>
      <c r="M631" s="320"/>
      <c r="N631" s="320"/>
      <c r="O631" s="320"/>
      <c r="P631" s="320"/>
      <c r="Q631" s="320"/>
      <c r="R631" s="320"/>
      <c r="S631" s="320"/>
      <c r="T631" s="320"/>
    </row>
    <row r="632">
      <c r="A632" s="362" t="str">
        <f>IFERROR(__xludf.DUMMYFUNCTION("""COMPUTED_VALUE"""),"Enchantment Rejuvenate 1")</f>
        <v>Enchantment Rejuvenate 1</v>
      </c>
      <c r="B632" s="373">
        <f>IFERROR(__xludf.DUMMYFUNCTION("""COMPUTED_VALUE"""),28657.898)</f>
        <v>28657.898</v>
      </c>
      <c r="C632" s="320"/>
      <c r="D632" s="320"/>
      <c r="E632" s="320"/>
      <c r="F632" s="320"/>
      <c r="G632" s="320"/>
      <c r="H632" s="320"/>
      <c r="I632" s="320"/>
      <c r="J632" s="320"/>
      <c r="K632" s="320"/>
      <c r="L632" s="320"/>
      <c r="M632" s="320"/>
      <c r="N632" s="320"/>
      <c r="O632" s="320"/>
      <c r="P632" s="320"/>
      <c r="Q632" s="320"/>
      <c r="R632" s="320"/>
      <c r="S632" s="320"/>
      <c r="T632" s="320"/>
    </row>
    <row r="633">
      <c r="A633" s="362" t="str">
        <f>IFERROR(__xludf.DUMMYFUNCTION("""COMPUTED_VALUE"""),"Enchantment Rejuvenate 2")</f>
        <v>Enchantment Rejuvenate 2</v>
      </c>
      <c r="B633" s="373">
        <f>IFERROR(__xludf.DUMMYFUNCTION("""COMPUTED_VALUE"""),54501.95)</f>
        <v>54501.95</v>
      </c>
      <c r="C633" s="320"/>
      <c r="D633" s="320"/>
      <c r="E633" s="320"/>
      <c r="F633" s="320"/>
      <c r="G633" s="320"/>
      <c r="H633" s="320"/>
      <c r="I633" s="320"/>
      <c r="J633" s="320"/>
      <c r="K633" s="320"/>
      <c r="L633" s="320"/>
      <c r="M633" s="320"/>
      <c r="N633" s="320"/>
      <c r="O633" s="320"/>
      <c r="P633" s="320"/>
      <c r="Q633" s="320"/>
      <c r="R633" s="320"/>
      <c r="S633" s="320"/>
      <c r="T633" s="320"/>
    </row>
    <row r="634">
      <c r="A634" s="362" t="str">
        <f>IFERROR(__xludf.DUMMYFUNCTION("""COMPUTED_VALUE"""),"Enchantment Rejuvenate 3")</f>
        <v>Enchantment Rejuvenate 3</v>
      </c>
      <c r="B634" s="373">
        <f>IFERROR(__xludf.DUMMYFUNCTION("""COMPUTED_VALUE"""),118386.65)</f>
        <v>118386.65</v>
      </c>
      <c r="C634" s="320"/>
      <c r="D634" s="320"/>
      <c r="E634" s="320"/>
      <c r="F634" s="320"/>
      <c r="G634" s="320"/>
      <c r="H634" s="320"/>
      <c r="I634" s="320"/>
      <c r="J634" s="320"/>
      <c r="K634" s="320"/>
      <c r="L634" s="320"/>
      <c r="M634" s="320"/>
      <c r="N634" s="320"/>
      <c r="O634" s="320"/>
      <c r="P634" s="320"/>
      <c r="Q634" s="320"/>
      <c r="R634" s="320"/>
      <c r="S634" s="320"/>
      <c r="T634" s="320"/>
    </row>
    <row r="635">
      <c r="A635" s="362" t="str">
        <f>IFERROR(__xludf.DUMMYFUNCTION("""COMPUTED_VALUE"""),"Enchantment Rejuvenate 4")</f>
        <v>Enchantment Rejuvenate 4</v>
      </c>
      <c r="B635" s="373">
        <f>IFERROR(__xludf.DUMMYFUNCTION("""COMPUTED_VALUE"""),195777.9)</f>
        <v>195777.9</v>
      </c>
      <c r="C635" s="320"/>
      <c r="D635" s="320"/>
      <c r="E635" s="320"/>
      <c r="F635" s="320"/>
      <c r="G635" s="320"/>
      <c r="H635" s="320"/>
      <c r="I635" s="320"/>
      <c r="J635" s="320"/>
      <c r="K635" s="320"/>
      <c r="L635" s="320"/>
      <c r="M635" s="320"/>
      <c r="N635" s="320"/>
      <c r="O635" s="320"/>
      <c r="P635" s="320"/>
      <c r="Q635" s="320"/>
      <c r="R635" s="320"/>
      <c r="S635" s="320"/>
      <c r="T635" s="320"/>
    </row>
    <row r="636">
      <c r="A636" s="362" t="str">
        <f>IFERROR(__xludf.DUMMYFUNCTION("""COMPUTED_VALUE"""),"Enchantment Rejuvenate 5")</f>
        <v>Enchantment Rejuvenate 5</v>
      </c>
      <c r="B636" s="373">
        <f>IFERROR(__xludf.DUMMYFUNCTION("""COMPUTED_VALUE"""),597942.9)</f>
        <v>597942.9</v>
      </c>
      <c r="C636" s="320"/>
      <c r="D636" s="320"/>
      <c r="E636" s="320"/>
      <c r="F636" s="320"/>
      <c r="G636" s="320"/>
      <c r="H636" s="320"/>
      <c r="I636" s="320"/>
      <c r="J636" s="320"/>
      <c r="K636" s="320"/>
      <c r="L636" s="320"/>
      <c r="M636" s="320"/>
      <c r="N636" s="320"/>
      <c r="O636" s="320"/>
      <c r="P636" s="320"/>
      <c r="Q636" s="320"/>
      <c r="R636" s="320"/>
      <c r="S636" s="320"/>
      <c r="T636" s="320"/>
    </row>
    <row r="637">
      <c r="A637" s="362" t="str">
        <f>IFERROR(__xludf.DUMMYFUNCTION("""COMPUTED_VALUE"""),"Enchantment Replenish 1")</f>
        <v>Enchantment Replenish 1</v>
      </c>
      <c r="B637" s="373">
        <f>IFERROR(__xludf.DUMMYFUNCTION("""COMPUTED_VALUE"""),1285504.355)</f>
        <v>1285504.355</v>
      </c>
      <c r="C637" s="320"/>
      <c r="D637" s="320"/>
      <c r="E637" s="320"/>
      <c r="F637" s="320"/>
      <c r="G637" s="320"/>
      <c r="H637" s="320"/>
      <c r="I637" s="320"/>
      <c r="J637" s="320"/>
      <c r="K637" s="320"/>
      <c r="L637" s="320"/>
      <c r="M637" s="320"/>
      <c r="N637" s="320"/>
      <c r="O637" s="320"/>
      <c r="P637" s="320"/>
      <c r="Q637" s="320"/>
      <c r="R637" s="320"/>
      <c r="S637" s="320"/>
      <c r="T637" s="320"/>
    </row>
    <row r="638">
      <c r="A638" s="362" t="str">
        <f>IFERROR(__xludf.DUMMYFUNCTION("""COMPUTED_VALUE"""),"Enchantment Respiration 1")</f>
        <v>Enchantment Respiration 1</v>
      </c>
      <c r="B638" s="373"/>
      <c r="C638" s="320"/>
      <c r="D638" s="320"/>
      <c r="E638" s="320"/>
      <c r="F638" s="320"/>
      <c r="G638" s="320"/>
      <c r="H638" s="320"/>
      <c r="I638" s="320"/>
      <c r="J638" s="320"/>
      <c r="K638" s="320"/>
      <c r="L638" s="320"/>
      <c r="M638" s="320"/>
      <c r="N638" s="320"/>
      <c r="O638" s="320"/>
      <c r="P638" s="320"/>
      <c r="Q638" s="320"/>
      <c r="R638" s="320"/>
      <c r="S638" s="320"/>
      <c r="T638" s="320"/>
    </row>
    <row r="639">
      <c r="A639" s="362" t="str">
        <f>IFERROR(__xludf.DUMMYFUNCTION("""COMPUTED_VALUE"""),"Enchantment Respiration 2")</f>
        <v>Enchantment Respiration 2</v>
      </c>
      <c r="B639" s="373"/>
      <c r="C639" s="320"/>
      <c r="D639" s="320"/>
      <c r="E639" s="320"/>
      <c r="F639" s="320"/>
      <c r="G639" s="320"/>
      <c r="H639" s="320"/>
      <c r="I639" s="320"/>
      <c r="J639" s="320"/>
      <c r="K639" s="320"/>
      <c r="L639" s="320"/>
      <c r="M639" s="320"/>
      <c r="N639" s="320"/>
      <c r="O639" s="320"/>
      <c r="P639" s="320"/>
      <c r="Q639" s="320"/>
      <c r="R639" s="320"/>
      <c r="S639" s="320"/>
      <c r="T639" s="320"/>
    </row>
    <row r="640">
      <c r="A640" s="362" t="str">
        <f>IFERROR(__xludf.DUMMYFUNCTION("""COMPUTED_VALUE"""),"Enchantment Respiration 3")</f>
        <v>Enchantment Respiration 3</v>
      </c>
      <c r="B640" s="373"/>
      <c r="C640" s="320"/>
      <c r="D640" s="320"/>
      <c r="E640" s="320"/>
      <c r="F640" s="320"/>
      <c r="G640" s="320"/>
      <c r="H640" s="320"/>
      <c r="I640" s="320"/>
      <c r="J640" s="320"/>
      <c r="K640" s="320"/>
      <c r="L640" s="320"/>
      <c r="M640" s="320"/>
      <c r="N640" s="320"/>
      <c r="O640" s="320"/>
      <c r="P640" s="320"/>
      <c r="Q640" s="320"/>
      <c r="R640" s="320"/>
      <c r="S640" s="320"/>
      <c r="T640" s="320"/>
    </row>
    <row r="641">
      <c r="A641" s="362" t="str">
        <f>IFERROR(__xludf.DUMMYFUNCTION("""COMPUTED_VALUE"""),"Enchantment Respite 1")</f>
        <v>Enchantment Respite 1</v>
      </c>
      <c r="B641" s="373">
        <f>IFERROR(__xludf.DUMMYFUNCTION("""COMPUTED_VALUE"""),80249.65)</f>
        <v>80249.65</v>
      </c>
      <c r="C641" s="320"/>
      <c r="D641" s="320"/>
      <c r="E641" s="320"/>
      <c r="F641" s="320"/>
      <c r="G641" s="320"/>
      <c r="H641" s="320"/>
      <c r="I641" s="320"/>
      <c r="J641" s="320"/>
      <c r="K641" s="320"/>
      <c r="L641" s="320"/>
      <c r="M641" s="320"/>
      <c r="N641" s="320"/>
      <c r="O641" s="320"/>
      <c r="P641" s="320"/>
      <c r="Q641" s="320"/>
      <c r="R641" s="320"/>
      <c r="S641" s="320"/>
      <c r="T641" s="320"/>
    </row>
    <row r="642">
      <c r="A642" s="362" t="str">
        <f>IFERROR(__xludf.DUMMYFUNCTION("""COMPUTED_VALUE"""),"Enchantment Respite 2")</f>
        <v>Enchantment Respite 2</v>
      </c>
      <c r="B642" s="373">
        <f>IFERROR(__xludf.DUMMYFUNCTION("""COMPUTED_VALUE"""),43304.75)</f>
        <v>43304.75</v>
      </c>
      <c r="C642" s="320"/>
      <c r="D642" s="320"/>
      <c r="E642" s="320"/>
      <c r="F642" s="320"/>
      <c r="G642" s="320"/>
      <c r="H642" s="320"/>
      <c r="I642" s="320"/>
      <c r="J642" s="320"/>
      <c r="K642" s="320"/>
      <c r="L642" s="320"/>
      <c r="M642" s="320"/>
      <c r="N642" s="320"/>
      <c r="O642" s="320"/>
      <c r="P642" s="320"/>
      <c r="Q642" s="320"/>
      <c r="R642" s="320"/>
      <c r="S642" s="320"/>
      <c r="T642" s="320"/>
    </row>
    <row r="643">
      <c r="A643" s="362" t="str">
        <f>IFERROR(__xludf.DUMMYFUNCTION("""COMPUTED_VALUE"""),"Enchantment Respite 3")</f>
        <v>Enchantment Respite 3</v>
      </c>
      <c r="B643" s="373">
        <f>IFERROR(__xludf.DUMMYFUNCTION("""COMPUTED_VALUE"""),185102.5)</f>
        <v>185102.5</v>
      </c>
      <c r="C643" s="320"/>
      <c r="D643" s="320"/>
      <c r="E643" s="320"/>
      <c r="F643" s="320"/>
      <c r="G643" s="320"/>
      <c r="H643" s="320"/>
      <c r="I643" s="320"/>
      <c r="J643" s="320"/>
      <c r="K643" s="320"/>
      <c r="L643" s="320"/>
      <c r="M643" s="320"/>
      <c r="N643" s="320"/>
      <c r="O643" s="320"/>
      <c r="P643" s="320"/>
      <c r="Q643" s="320"/>
      <c r="R643" s="320"/>
      <c r="S643" s="320"/>
      <c r="T643" s="320"/>
    </row>
    <row r="644">
      <c r="A644" s="362" t="str">
        <f>IFERROR(__xludf.DUMMYFUNCTION("""COMPUTED_VALUE"""),"Enchantment Respite 4")</f>
        <v>Enchantment Respite 4</v>
      </c>
      <c r="B644" s="373">
        <f>IFERROR(__xludf.DUMMYFUNCTION("""COMPUTED_VALUE"""),5766007.35)</f>
        <v>5766007.35</v>
      </c>
      <c r="C644" s="320"/>
      <c r="D644" s="320"/>
      <c r="E644" s="320"/>
      <c r="F644" s="320"/>
      <c r="G644" s="320"/>
      <c r="H644" s="320"/>
      <c r="I644" s="320"/>
      <c r="J644" s="320"/>
      <c r="K644" s="320"/>
      <c r="L644" s="320"/>
      <c r="M644" s="320"/>
      <c r="N644" s="320"/>
      <c r="O644" s="320"/>
      <c r="P644" s="320"/>
      <c r="Q644" s="320"/>
      <c r="R644" s="320"/>
      <c r="S644" s="320"/>
      <c r="T644" s="320"/>
    </row>
    <row r="645">
      <c r="A645" s="362" t="str">
        <f>IFERROR(__xludf.DUMMYFUNCTION("""COMPUTED_VALUE"""),"Enchantment Respite 5")</f>
        <v>Enchantment Respite 5</v>
      </c>
      <c r="B645" s="373">
        <f>IFERROR(__xludf.DUMMYFUNCTION("""COMPUTED_VALUE"""),472658.0)</f>
        <v>472658</v>
      </c>
      <c r="C645" s="320"/>
      <c r="D645" s="320"/>
      <c r="E645" s="320"/>
      <c r="F645" s="320"/>
      <c r="G645" s="320"/>
      <c r="H645" s="320"/>
      <c r="I645" s="320"/>
      <c r="J645" s="320"/>
      <c r="K645" s="320"/>
      <c r="L645" s="320"/>
      <c r="M645" s="320"/>
      <c r="N645" s="320"/>
      <c r="O645" s="320"/>
      <c r="P645" s="320"/>
      <c r="Q645" s="320"/>
      <c r="R645" s="320"/>
      <c r="S645" s="320"/>
      <c r="T645" s="320"/>
    </row>
    <row r="646">
      <c r="A646" s="362" t="str">
        <f>IFERROR(__xludf.DUMMYFUNCTION("""COMPUTED_VALUE"""),"Enchantment Scavenger 1")</f>
        <v>Enchantment Scavenger 1</v>
      </c>
      <c r="B646" s="373"/>
      <c r="C646" s="320"/>
      <c r="D646" s="320"/>
      <c r="E646" s="320"/>
      <c r="F646" s="320"/>
      <c r="G646" s="320"/>
      <c r="H646" s="320"/>
      <c r="I646" s="320"/>
      <c r="J646" s="320"/>
      <c r="K646" s="320"/>
      <c r="L646" s="320"/>
      <c r="M646" s="320"/>
      <c r="N646" s="320"/>
      <c r="O646" s="320"/>
      <c r="P646" s="320"/>
      <c r="Q646" s="320"/>
      <c r="R646" s="320"/>
      <c r="S646" s="320"/>
      <c r="T646" s="320"/>
    </row>
    <row r="647">
      <c r="A647" s="362" t="str">
        <f>IFERROR(__xludf.DUMMYFUNCTION("""COMPUTED_VALUE"""),"Enchantment Scavenger 2")</f>
        <v>Enchantment Scavenger 2</v>
      </c>
      <c r="B647" s="373"/>
      <c r="C647" s="320"/>
      <c r="D647" s="320"/>
      <c r="E647" s="320"/>
      <c r="F647" s="320"/>
      <c r="G647" s="320"/>
      <c r="H647" s="320"/>
      <c r="I647" s="320"/>
      <c r="J647" s="320"/>
      <c r="K647" s="320"/>
      <c r="L647" s="320"/>
      <c r="M647" s="320"/>
      <c r="N647" s="320"/>
      <c r="O647" s="320"/>
      <c r="P647" s="320"/>
      <c r="Q647" s="320"/>
      <c r="R647" s="320"/>
      <c r="S647" s="320"/>
      <c r="T647" s="320"/>
    </row>
    <row r="648">
      <c r="A648" s="362" t="str">
        <f>IFERROR(__xludf.DUMMYFUNCTION("""COMPUTED_VALUE"""),"Enchantment Scavenger 3")</f>
        <v>Enchantment Scavenger 3</v>
      </c>
      <c r="B648" s="373"/>
      <c r="C648" s="320"/>
      <c r="D648" s="320"/>
      <c r="E648" s="320"/>
      <c r="F648" s="320"/>
      <c r="G648" s="320"/>
      <c r="H648" s="320"/>
      <c r="I648" s="320"/>
      <c r="J648" s="320"/>
      <c r="K648" s="320"/>
      <c r="L648" s="320"/>
      <c r="M648" s="320"/>
      <c r="N648" s="320"/>
      <c r="O648" s="320"/>
      <c r="P648" s="320"/>
      <c r="Q648" s="320"/>
      <c r="R648" s="320"/>
      <c r="S648" s="320"/>
      <c r="T648" s="320"/>
    </row>
    <row r="649">
      <c r="A649" s="362" t="str">
        <f>IFERROR(__xludf.DUMMYFUNCTION("""COMPUTED_VALUE"""),"Enchantment Scavenger 4")</f>
        <v>Enchantment Scavenger 4</v>
      </c>
      <c r="B649" s="373">
        <f>IFERROR(__xludf.DUMMYFUNCTION("""COMPUTED_VALUE"""),1154.067)</f>
        <v>1154.067</v>
      </c>
      <c r="C649" s="320"/>
      <c r="D649" s="320"/>
      <c r="E649" s="320"/>
      <c r="F649" s="320"/>
      <c r="G649" s="320"/>
      <c r="H649" s="320"/>
      <c r="I649" s="320"/>
      <c r="J649" s="320"/>
      <c r="K649" s="320"/>
      <c r="L649" s="320"/>
      <c r="M649" s="320"/>
      <c r="N649" s="320"/>
      <c r="O649" s="320"/>
      <c r="P649" s="320"/>
      <c r="Q649" s="320"/>
      <c r="R649" s="320"/>
      <c r="S649" s="320"/>
      <c r="T649" s="320"/>
    </row>
    <row r="650">
      <c r="A650" s="362" t="str">
        <f>IFERROR(__xludf.DUMMYFUNCTION("""COMPUTED_VALUE"""),"Enchantment Scavenger 5")</f>
        <v>Enchantment Scavenger 5</v>
      </c>
      <c r="B650" s="373">
        <f>IFERROR(__xludf.DUMMYFUNCTION("""COMPUTED_VALUE"""),1.419934525E7)</f>
        <v>14199345.25</v>
      </c>
      <c r="C650" s="320"/>
      <c r="D650" s="320"/>
      <c r="E650" s="320"/>
      <c r="F650" s="320"/>
      <c r="G650" s="320"/>
      <c r="H650" s="320"/>
      <c r="I650" s="320"/>
      <c r="J650" s="320"/>
      <c r="K650" s="320"/>
      <c r="L650" s="320"/>
      <c r="M650" s="320"/>
      <c r="N650" s="320"/>
      <c r="O650" s="320"/>
      <c r="P650" s="320"/>
      <c r="Q650" s="320"/>
      <c r="R650" s="320"/>
      <c r="S650" s="320"/>
      <c r="T650" s="320"/>
    </row>
    <row r="651">
      <c r="A651" s="362" t="str">
        <f>IFERROR(__xludf.DUMMYFUNCTION("""COMPUTED_VALUE"""),"Enchantment Sharpness 1")</f>
        <v>Enchantment Sharpness 1</v>
      </c>
      <c r="B651" s="373"/>
      <c r="C651" s="320"/>
      <c r="D651" s="320"/>
      <c r="E651" s="320"/>
      <c r="F651" s="320"/>
      <c r="G651" s="320"/>
      <c r="H651" s="320"/>
      <c r="I651" s="320"/>
      <c r="J651" s="320"/>
      <c r="K651" s="320"/>
      <c r="L651" s="320"/>
      <c r="M651" s="320"/>
      <c r="N651" s="320"/>
      <c r="O651" s="320"/>
      <c r="P651" s="320"/>
      <c r="Q651" s="320"/>
      <c r="R651" s="320"/>
      <c r="S651" s="320"/>
      <c r="T651" s="320"/>
    </row>
    <row r="652">
      <c r="A652" s="362" t="str">
        <f>IFERROR(__xludf.DUMMYFUNCTION("""COMPUTED_VALUE"""),"Enchantment Sharpness 2")</f>
        <v>Enchantment Sharpness 2</v>
      </c>
      <c r="B652" s="373"/>
      <c r="C652" s="320"/>
      <c r="D652" s="320"/>
      <c r="E652" s="320"/>
      <c r="F652" s="320"/>
      <c r="G652" s="320"/>
      <c r="H652" s="320"/>
      <c r="I652" s="320"/>
      <c r="J652" s="320"/>
      <c r="K652" s="320"/>
      <c r="L652" s="320"/>
      <c r="M652" s="320"/>
      <c r="N652" s="320"/>
      <c r="O652" s="320"/>
      <c r="P652" s="320"/>
      <c r="Q652" s="320"/>
      <c r="R652" s="320"/>
      <c r="S652" s="320"/>
      <c r="T652" s="320"/>
    </row>
    <row r="653">
      <c r="A653" s="362" t="str">
        <f>IFERROR(__xludf.DUMMYFUNCTION("""COMPUTED_VALUE"""),"Enchantment Sharpness 3")</f>
        <v>Enchantment Sharpness 3</v>
      </c>
      <c r="B653" s="373"/>
      <c r="C653" s="320"/>
      <c r="D653" s="320"/>
      <c r="E653" s="320"/>
      <c r="F653" s="320"/>
      <c r="G653" s="320"/>
      <c r="H653" s="320"/>
      <c r="I653" s="320"/>
      <c r="J653" s="320"/>
      <c r="K653" s="320"/>
      <c r="L653" s="320"/>
      <c r="M653" s="320"/>
      <c r="N653" s="320"/>
      <c r="O653" s="320"/>
      <c r="P653" s="320"/>
      <c r="Q653" s="320"/>
      <c r="R653" s="320"/>
      <c r="S653" s="320"/>
      <c r="T653" s="320"/>
    </row>
    <row r="654">
      <c r="A654" s="362" t="str">
        <f>IFERROR(__xludf.DUMMYFUNCTION("""COMPUTED_VALUE"""),"Enchantment Sharpness 4")</f>
        <v>Enchantment Sharpness 4</v>
      </c>
      <c r="B654" s="373"/>
      <c r="C654" s="320"/>
      <c r="D654" s="320"/>
      <c r="E654" s="320"/>
      <c r="F654" s="320"/>
      <c r="G654" s="320"/>
      <c r="H654" s="320"/>
      <c r="I654" s="320"/>
      <c r="J654" s="320"/>
      <c r="K654" s="320"/>
      <c r="L654" s="320"/>
      <c r="M654" s="320"/>
      <c r="N654" s="320"/>
      <c r="O654" s="320"/>
      <c r="P654" s="320"/>
      <c r="Q654" s="320"/>
      <c r="R654" s="320"/>
      <c r="S654" s="320"/>
      <c r="T654" s="320"/>
    </row>
    <row r="655">
      <c r="A655" s="362" t="str">
        <f>IFERROR(__xludf.DUMMYFUNCTION("""COMPUTED_VALUE"""),"Enchantment Sharpness 5")</f>
        <v>Enchantment Sharpness 5</v>
      </c>
      <c r="B655" s="373"/>
      <c r="C655" s="320"/>
      <c r="D655" s="320"/>
      <c r="E655" s="320"/>
      <c r="F655" s="320"/>
      <c r="G655" s="320"/>
      <c r="H655" s="320"/>
      <c r="I655" s="320"/>
      <c r="J655" s="320"/>
      <c r="K655" s="320"/>
      <c r="L655" s="320"/>
      <c r="M655" s="320"/>
      <c r="N655" s="320"/>
      <c r="O655" s="320"/>
      <c r="P655" s="320"/>
      <c r="Q655" s="320"/>
      <c r="R655" s="320"/>
      <c r="S655" s="320"/>
      <c r="T655" s="320"/>
    </row>
    <row r="656">
      <c r="A656" s="362" t="str">
        <f>IFERROR(__xludf.DUMMYFUNCTION("""COMPUTED_VALUE"""),"Enchantment Sharpness 6")</f>
        <v>Enchantment Sharpness 6</v>
      </c>
      <c r="B656" s="373">
        <f>IFERROR(__xludf.DUMMYFUNCTION("""COMPUTED_VALUE"""),2078371.75)</f>
        <v>2078371.75</v>
      </c>
      <c r="C656" s="320"/>
      <c r="D656" s="320"/>
      <c r="E656" s="320"/>
      <c r="F656" s="320"/>
      <c r="G656" s="320"/>
      <c r="H656" s="320"/>
      <c r="I656" s="320"/>
      <c r="J656" s="320"/>
      <c r="K656" s="320"/>
      <c r="L656" s="320"/>
      <c r="M656" s="320"/>
      <c r="N656" s="320"/>
      <c r="O656" s="320"/>
      <c r="P656" s="320"/>
      <c r="Q656" s="320"/>
      <c r="R656" s="320"/>
      <c r="S656" s="320"/>
      <c r="T656" s="320"/>
    </row>
    <row r="657">
      <c r="A657" s="362" t="str">
        <f>IFERROR(__xludf.DUMMYFUNCTION("""COMPUTED_VALUE"""),"Enchantment Sharpness 7")</f>
        <v>Enchantment Sharpness 7</v>
      </c>
      <c r="B657" s="373">
        <f>IFERROR(__xludf.DUMMYFUNCTION("""COMPUTED_VALUE"""),1.0862058225E8)</f>
        <v>108620582.3</v>
      </c>
      <c r="C657" s="320"/>
      <c r="D657" s="320"/>
      <c r="E657" s="320"/>
      <c r="F657" s="320"/>
      <c r="G657" s="320"/>
      <c r="H657" s="320"/>
      <c r="I657" s="320"/>
      <c r="J657" s="320"/>
      <c r="K657" s="320"/>
      <c r="L657" s="320"/>
      <c r="M657" s="320"/>
      <c r="N657" s="320"/>
      <c r="O657" s="320"/>
      <c r="P657" s="320"/>
      <c r="Q657" s="320"/>
      <c r="R657" s="320"/>
      <c r="S657" s="320"/>
      <c r="T657" s="320"/>
    </row>
    <row r="658">
      <c r="A658" s="362" t="str">
        <f>IFERROR(__xludf.DUMMYFUNCTION("""COMPUTED_VALUE"""),"Enchantment Silk Touch 1")</f>
        <v>Enchantment Silk Touch 1</v>
      </c>
      <c r="B658" s="373"/>
      <c r="C658" s="320"/>
      <c r="D658" s="320"/>
      <c r="E658" s="320"/>
      <c r="F658" s="320"/>
      <c r="G658" s="320"/>
      <c r="H658" s="320"/>
      <c r="I658" s="320"/>
      <c r="J658" s="320"/>
      <c r="K658" s="320"/>
      <c r="L658" s="320"/>
      <c r="M658" s="320"/>
      <c r="N658" s="320"/>
      <c r="O658" s="320"/>
      <c r="P658" s="320"/>
      <c r="Q658" s="320"/>
      <c r="R658" s="320"/>
      <c r="S658" s="320"/>
      <c r="T658" s="320"/>
    </row>
    <row r="659">
      <c r="A659" s="362" t="str">
        <f>IFERROR(__xludf.DUMMYFUNCTION("""COMPUTED_VALUE"""),"Enchantment Smarty Pants 1")</f>
        <v>Enchantment Smarty Pants 1</v>
      </c>
      <c r="B659" s="373">
        <f>IFERROR(__xludf.DUMMYFUNCTION("""COMPUTED_VALUE"""),439807.95)</f>
        <v>439807.95</v>
      </c>
      <c r="C659" s="320"/>
      <c r="D659" s="320"/>
      <c r="E659" s="320"/>
      <c r="F659" s="320"/>
      <c r="G659" s="320"/>
      <c r="H659" s="320"/>
      <c r="I659" s="320"/>
      <c r="J659" s="320"/>
      <c r="K659" s="320"/>
      <c r="L659" s="320"/>
      <c r="M659" s="320"/>
      <c r="N659" s="320"/>
      <c r="O659" s="320"/>
      <c r="P659" s="320"/>
      <c r="Q659" s="320"/>
      <c r="R659" s="320"/>
      <c r="S659" s="320"/>
      <c r="T659" s="320"/>
    </row>
    <row r="660">
      <c r="A660" s="362" t="str">
        <f>IFERROR(__xludf.DUMMYFUNCTION("""COMPUTED_VALUE"""),"Enchantment Smarty Pants 2")</f>
        <v>Enchantment Smarty Pants 2</v>
      </c>
      <c r="B660" s="373">
        <f>IFERROR(__xludf.DUMMYFUNCTION("""COMPUTED_VALUE"""),754999.9)</f>
        <v>754999.9</v>
      </c>
      <c r="C660" s="320"/>
      <c r="D660" s="320"/>
      <c r="E660" s="320"/>
      <c r="F660" s="320"/>
      <c r="G660" s="320"/>
      <c r="H660" s="320"/>
      <c r="I660" s="320"/>
      <c r="J660" s="320"/>
      <c r="K660" s="320"/>
      <c r="L660" s="320"/>
      <c r="M660" s="320"/>
      <c r="N660" s="320"/>
      <c r="O660" s="320"/>
      <c r="P660" s="320"/>
      <c r="Q660" s="320"/>
      <c r="R660" s="320"/>
      <c r="S660" s="320"/>
      <c r="T660" s="320"/>
    </row>
    <row r="661">
      <c r="A661" s="362" t="str">
        <f>IFERROR(__xludf.DUMMYFUNCTION("""COMPUTED_VALUE"""),"Enchantment Smarty Pants 3")</f>
        <v>Enchantment Smarty Pants 3</v>
      </c>
      <c r="B661" s="373">
        <f>IFERROR(__xludf.DUMMYFUNCTION("""COMPUTED_VALUE"""),1937496.85)</f>
        <v>1937496.85</v>
      </c>
      <c r="C661" s="320"/>
      <c r="D661" s="320"/>
      <c r="E661" s="320"/>
      <c r="F661" s="320"/>
      <c r="G661" s="320"/>
      <c r="H661" s="320"/>
      <c r="I661" s="320"/>
      <c r="J661" s="320"/>
      <c r="K661" s="320"/>
      <c r="L661" s="320"/>
      <c r="M661" s="320"/>
      <c r="N661" s="320"/>
      <c r="O661" s="320"/>
      <c r="P661" s="320"/>
      <c r="Q661" s="320"/>
      <c r="R661" s="320"/>
      <c r="S661" s="320"/>
      <c r="T661" s="320"/>
    </row>
    <row r="662">
      <c r="A662" s="362" t="str">
        <f>IFERROR(__xludf.DUMMYFUNCTION("""COMPUTED_VALUE"""),"Enchantment Smarty Pants 4")</f>
        <v>Enchantment Smarty Pants 4</v>
      </c>
      <c r="B662" s="373">
        <f>IFERROR(__xludf.DUMMYFUNCTION("""COMPUTED_VALUE"""),3925441.15)</f>
        <v>3925441.15</v>
      </c>
      <c r="C662" s="320"/>
      <c r="D662" s="320"/>
      <c r="E662" s="320"/>
      <c r="F662" s="320"/>
      <c r="G662" s="320"/>
      <c r="H662" s="320"/>
      <c r="I662" s="320"/>
      <c r="J662" s="320"/>
      <c r="K662" s="320"/>
      <c r="L662" s="320"/>
      <c r="M662" s="320"/>
      <c r="N662" s="320"/>
      <c r="O662" s="320"/>
      <c r="P662" s="320"/>
      <c r="Q662" s="320"/>
      <c r="R662" s="320"/>
      <c r="S662" s="320"/>
      <c r="T662" s="320"/>
    </row>
    <row r="663">
      <c r="A663" s="362" t="str">
        <f>IFERROR(__xludf.DUMMYFUNCTION("""COMPUTED_VALUE"""),"Enchantment Smarty Pants 5")</f>
        <v>Enchantment Smarty Pants 5</v>
      </c>
      <c r="B663" s="373">
        <f>IFERROR(__xludf.DUMMYFUNCTION("""COMPUTED_VALUE"""),7449149.0)</f>
        <v>7449149</v>
      </c>
      <c r="C663" s="320"/>
      <c r="D663" s="320"/>
      <c r="E663" s="320"/>
      <c r="F663" s="320"/>
      <c r="G663" s="320"/>
      <c r="H663" s="320"/>
      <c r="I663" s="320"/>
      <c r="J663" s="320"/>
      <c r="K663" s="320"/>
      <c r="L663" s="320"/>
      <c r="M663" s="320"/>
      <c r="N663" s="320"/>
      <c r="O663" s="320"/>
      <c r="P663" s="320"/>
      <c r="Q663" s="320"/>
      <c r="R663" s="320"/>
      <c r="S663" s="320"/>
      <c r="T663" s="320"/>
    </row>
    <row r="664">
      <c r="A664" s="362" t="str">
        <f>IFERROR(__xludf.DUMMYFUNCTION("""COMPUTED_VALUE"""),"Enchantment Smelting Touch 1")</f>
        <v>Enchantment Smelting Touch 1</v>
      </c>
      <c r="B664" s="373"/>
      <c r="C664" s="320"/>
      <c r="D664" s="320"/>
      <c r="E664" s="320"/>
      <c r="F664" s="320"/>
      <c r="G664" s="320"/>
      <c r="H664" s="320"/>
      <c r="I664" s="320"/>
      <c r="J664" s="320"/>
      <c r="K664" s="320"/>
      <c r="L664" s="320"/>
      <c r="M664" s="320"/>
      <c r="N664" s="320"/>
      <c r="O664" s="320"/>
      <c r="P664" s="320"/>
      <c r="Q664" s="320"/>
      <c r="R664" s="320"/>
      <c r="S664" s="320"/>
      <c r="T664" s="320"/>
    </row>
    <row r="665">
      <c r="A665" s="362" t="str">
        <f>IFERROR(__xludf.DUMMYFUNCTION("""COMPUTED_VALUE"""),"Enchantment Smite 1")</f>
        <v>Enchantment Smite 1</v>
      </c>
      <c r="B665" s="373"/>
      <c r="C665" s="320"/>
      <c r="D665" s="320"/>
      <c r="E665" s="320"/>
      <c r="F665" s="320"/>
      <c r="G665" s="320"/>
      <c r="H665" s="320"/>
      <c r="I665" s="320"/>
      <c r="J665" s="320"/>
      <c r="K665" s="320"/>
      <c r="L665" s="320"/>
      <c r="M665" s="320"/>
      <c r="N665" s="320"/>
      <c r="O665" s="320"/>
      <c r="P665" s="320"/>
      <c r="Q665" s="320"/>
      <c r="R665" s="320"/>
      <c r="S665" s="320"/>
      <c r="T665" s="320"/>
    </row>
    <row r="666">
      <c r="A666" s="362" t="str">
        <f>IFERROR(__xludf.DUMMYFUNCTION("""COMPUTED_VALUE"""),"Enchantment Smite 2")</f>
        <v>Enchantment Smite 2</v>
      </c>
      <c r="B666" s="373"/>
      <c r="C666" s="320"/>
      <c r="D666" s="320"/>
      <c r="E666" s="320"/>
      <c r="F666" s="320"/>
      <c r="G666" s="320"/>
      <c r="H666" s="320"/>
      <c r="I666" s="320"/>
      <c r="J666" s="320"/>
      <c r="K666" s="320"/>
      <c r="L666" s="320"/>
      <c r="M666" s="320"/>
      <c r="N666" s="320"/>
      <c r="O666" s="320"/>
      <c r="P666" s="320"/>
      <c r="Q666" s="320"/>
      <c r="R666" s="320"/>
      <c r="S666" s="320"/>
      <c r="T666" s="320"/>
    </row>
    <row r="667">
      <c r="A667" s="362" t="str">
        <f>IFERROR(__xludf.DUMMYFUNCTION("""COMPUTED_VALUE"""),"Enchantment Smite 3")</f>
        <v>Enchantment Smite 3</v>
      </c>
      <c r="B667" s="373"/>
      <c r="C667" s="320"/>
      <c r="D667" s="320"/>
      <c r="E667" s="320"/>
      <c r="F667" s="320"/>
      <c r="G667" s="320"/>
      <c r="H667" s="320"/>
      <c r="I667" s="320"/>
      <c r="J667" s="320"/>
      <c r="K667" s="320"/>
      <c r="L667" s="320"/>
      <c r="M667" s="320"/>
      <c r="N667" s="320"/>
      <c r="O667" s="320"/>
      <c r="P667" s="320"/>
      <c r="Q667" s="320"/>
      <c r="R667" s="320"/>
      <c r="S667" s="320"/>
      <c r="T667" s="320"/>
    </row>
    <row r="668">
      <c r="A668" s="362" t="str">
        <f>IFERROR(__xludf.DUMMYFUNCTION("""COMPUTED_VALUE"""),"Enchantment Smite 4")</f>
        <v>Enchantment Smite 4</v>
      </c>
      <c r="B668" s="373"/>
      <c r="C668" s="320"/>
      <c r="D668" s="320"/>
      <c r="E668" s="320"/>
      <c r="F668" s="320"/>
      <c r="G668" s="320"/>
      <c r="H668" s="320"/>
      <c r="I668" s="320"/>
      <c r="J668" s="320"/>
      <c r="K668" s="320"/>
      <c r="L668" s="320"/>
      <c r="M668" s="320"/>
      <c r="N668" s="320"/>
      <c r="O668" s="320"/>
      <c r="P668" s="320"/>
      <c r="Q668" s="320"/>
      <c r="R668" s="320"/>
      <c r="S668" s="320"/>
      <c r="T668" s="320"/>
    </row>
    <row r="669">
      <c r="A669" s="362" t="str">
        <f>IFERROR(__xludf.DUMMYFUNCTION("""COMPUTED_VALUE"""),"Enchantment Smite 5")</f>
        <v>Enchantment Smite 5</v>
      </c>
      <c r="B669" s="373"/>
      <c r="C669" s="320"/>
      <c r="D669" s="320"/>
      <c r="E669" s="320"/>
      <c r="F669" s="320"/>
      <c r="G669" s="320"/>
      <c r="H669" s="320"/>
      <c r="I669" s="320"/>
      <c r="J669" s="320"/>
      <c r="K669" s="320"/>
      <c r="L669" s="320"/>
      <c r="M669" s="320"/>
      <c r="N669" s="320"/>
      <c r="O669" s="320"/>
      <c r="P669" s="320"/>
      <c r="Q669" s="320"/>
      <c r="R669" s="320"/>
      <c r="S669" s="320"/>
      <c r="T669" s="320"/>
    </row>
    <row r="670">
      <c r="A670" s="362" t="str">
        <f>IFERROR(__xludf.DUMMYFUNCTION("""COMPUTED_VALUE"""),"Enchantment Smite 6")</f>
        <v>Enchantment Smite 6</v>
      </c>
      <c r="B670" s="373">
        <f>IFERROR(__xludf.DUMMYFUNCTION("""COMPUTED_VALUE"""),325.558)</f>
        <v>325.558</v>
      </c>
      <c r="C670" s="320"/>
      <c r="D670" s="320"/>
      <c r="E670" s="320"/>
      <c r="F670" s="320"/>
      <c r="G670" s="320"/>
      <c r="H670" s="320"/>
      <c r="I670" s="320"/>
      <c r="J670" s="320"/>
      <c r="K670" s="320"/>
      <c r="L670" s="320"/>
      <c r="M670" s="320"/>
      <c r="N670" s="320"/>
      <c r="O670" s="320"/>
      <c r="P670" s="320"/>
      <c r="Q670" s="320"/>
      <c r="R670" s="320"/>
      <c r="S670" s="320"/>
      <c r="T670" s="320"/>
    </row>
    <row r="671">
      <c r="A671" s="362" t="str">
        <f>IFERROR(__xludf.DUMMYFUNCTION("""COMPUTED_VALUE"""),"Enchantment Smite 7")</f>
        <v>Enchantment Smite 7</v>
      </c>
      <c r="B671" s="373">
        <f>IFERROR(__xludf.DUMMYFUNCTION("""COMPUTED_VALUE"""),4462001.35)</f>
        <v>4462001.35</v>
      </c>
      <c r="C671" s="320"/>
      <c r="D671" s="320"/>
      <c r="E671" s="320"/>
      <c r="F671" s="320"/>
      <c r="G671" s="320"/>
      <c r="H671" s="320"/>
      <c r="I671" s="320"/>
      <c r="J671" s="320"/>
      <c r="K671" s="320"/>
      <c r="L671" s="320"/>
      <c r="M671" s="320"/>
      <c r="N671" s="320"/>
      <c r="O671" s="320"/>
      <c r="P671" s="320"/>
      <c r="Q671" s="320"/>
      <c r="R671" s="320"/>
      <c r="S671" s="320"/>
      <c r="T671" s="320"/>
    </row>
    <row r="672">
      <c r="A672" s="362" t="str">
        <f>IFERROR(__xludf.DUMMYFUNCTION("""COMPUTED_VALUE"""),"Enchantment Smoldering 1")</f>
        <v>Enchantment Smoldering 1</v>
      </c>
      <c r="B672" s="373">
        <f>IFERROR(__xludf.DUMMYFUNCTION("""COMPUTED_VALUE"""),3668397.8)</f>
        <v>3668397.8</v>
      </c>
      <c r="C672" s="320"/>
      <c r="D672" s="320"/>
      <c r="E672" s="320"/>
      <c r="F672" s="320"/>
      <c r="G672" s="320"/>
      <c r="H672" s="320"/>
      <c r="I672" s="320"/>
      <c r="J672" s="320"/>
      <c r="K672" s="320"/>
      <c r="L672" s="320"/>
      <c r="M672" s="320"/>
      <c r="N672" s="320"/>
      <c r="O672" s="320"/>
      <c r="P672" s="320"/>
      <c r="Q672" s="320"/>
      <c r="R672" s="320"/>
      <c r="S672" s="320"/>
      <c r="T672" s="320"/>
    </row>
    <row r="673">
      <c r="A673" s="362" t="str">
        <f>IFERROR(__xludf.DUMMYFUNCTION("""COMPUTED_VALUE"""),"Enchantment Smoldering 2")</f>
        <v>Enchantment Smoldering 2</v>
      </c>
      <c r="B673" s="373">
        <f>IFERROR(__xludf.DUMMYFUNCTION("""COMPUTED_VALUE"""),2.026705095E7)</f>
        <v>20267050.95</v>
      </c>
      <c r="C673" s="320"/>
      <c r="D673" s="320"/>
      <c r="E673" s="320"/>
      <c r="F673" s="320"/>
      <c r="G673" s="320"/>
      <c r="H673" s="320"/>
      <c r="I673" s="320"/>
      <c r="J673" s="320"/>
      <c r="K673" s="320"/>
      <c r="L673" s="320"/>
      <c r="M673" s="320"/>
      <c r="N673" s="320"/>
      <c r="O673" s="320"/>
      <c r="P673" s="320"/>
      <c r="Q673" s="320"/>
      <c r="R673" s="320"/>
      <c r="S673" s="320"/>
      <c r="T673" s="320"/>
    </row>
    <row r="674">
      <c r="A674" s="362" t="str">
        <f>IFERROR(__xludf.DUMMYFUNCTION("""COMPUTED_VALUE"""),"Enchantment Smoldering 3")</f>
        <v>Enchantment Smoldering 3</v>
      </c>
      <c r="B674" s="373">
        <f>IFERROR(__xludf.DUMMYFUNCTION("""COMPUTED_VALUE"""),2.500500004E8)</f>
        <v>250050000.4</v>
      </c>
      <c r="C674" s="320"/>
      <c r="D674" s="320"/>
      <c r="E674" s="320"/>
      <c r="F674" s="320"/>
      <c r="G674" s="320"/>
      <c r="H674" s="320"/>
      <c r="I674" s="320"/>
      <c r="J674" s="320"/>
      <c r="K674" s="320"/>
      <c r="L674" s="320"/>
      <c r="M674" s="320"/>
      <c r="N674" s="320"/>
      <c r="O674" s="320"/>
      <c r="P674" s="320"/>
      <c r="Q674" s="320"/>
      <c r="R674" s="320"/>
      <c r="S674" s="320"/>
      <c r="T674" s="320"/>
    </row>
    <row r="675">
      <c r="A675" s="362" t="str">
        <f>IFERROR(__xludf.DUMMYFUNCTION("""COMPUTED_VALUE"""),"Enchantment Smoldering 4")</f>
        <v>Enchantment Smoldering 4</v>
      </c>
      <c r="B675" s="373">
        <f>IFERROR(__xludf.DUMMYFUNCTION("""COMPUTED_VALUE"""),6.088449945E7)</f>
        <v>60884499.45</v>
      </c>
      <c r="C675" s="320"/>
      <c r="D675" s="320"/>
      <c r="E675" s="320"/>
      <c r="F675" s="320"/>
      <c r="G675" s="320"/>
      <c r="H675" s="320"/>
      <c r="I675" s="320"/>
      <c r="J675" s="320"/>
      <c r="K675" s="320"/>
      <c r="L675" s="320"/>
      <c r="M675" s="320"/>
      <c r="N675" s="320"/>
      <c r="O675" s="320"/>
      <c r="P675" s="320"/>
      <c r="Q675" s="320"/>
      <c r="R675" s="320"/>
      <c r="S675" s="320"/>
      <c r="T675" s="320"/>
    </row>
    <row r="676">
      <c r="A676" s="362" t="str">
        <f>IFERROR(__xludf.DUMMYFUNCTION("""COMPUTED_VALUE"""),"Enchantment Smoldering 5")</f>
        <v>Enchantment Smoldering 5</v>
      </c>
      <c r="B676" s="373">
        <f>IFERROR(__xludf.DUMMYFUNCTION("""COMPUTED_VALUE"""),5.19135663E7)</f>
        <v>51913566.3</v>
      </c>
      <c r="C676" s="320"/>
      <c r="D676" s="320"/>
      <c r="E676" s="320"/>
      <c r="F676" s="320"/>
      <c r="G676" s="320"/>
      <c r="H676" s="320"/>
      <c r="I676" s="320"/>
      <c r="J676" s="320"/>
      <c r="K676" s="320"/>
      <c r="L676" s="320"/>
      <c r="M676" s="320"/>
      <c r="N676" s="320"/>
      <c r="O676" s="320"/>
      <c r="P676" s="320"/>
      <c r="Q676" s="320"/>
      <c r="R676" s="320"/>
      <c r="S676" s="320"/>
      <c r="T676" s="320"/>
    </row>
    <row r="677">
      <c r="A677" s="362" t="str">
        <f>IFERROR(__xludf.DUMMYFUNCTION("""COMPUTED_VALUE"""),"Enchantment Snipe 1")</f>
        <v>Enchantment Snipe 1</v>
      </c>
      <c r="B677" s="373"/>
      <c r="C677" s="320"/>
      <c r="D677" s="320"/>
      <c r="E677" s="320"/>
      <c r="F677" s="320"/>
      <c r="G677" s="320"/>
      <c r="H677" s="320"/>
      <c r="I677" s="320"/>
      <c r="J677" s="320"/>
      <c r="K677" s="320"/>
      <c r="L677" s="320"/>
      <c r="M677" s="320"/>
      <c r="N677" s="320"/>
      <c r="O677" s="320"/>
      <c r="P677" s="320"/>
      <c r="Q677" s="320"/>
      <c r="R677" s="320"/>
      <c r="S677" s="320"/>
      <c r="T677" s="320"/>
    </row>
    <row r="678">
      <c r="A678" s="362" t="str">
        <f>IFERROR(__xludf.DUMMYFUNCTION("""COMPUTED_VALUE"""),"Enchantment Snipe 2")</f>
        <v>Enchantment Snipe 2</v>
      </c>
      <c r="B678" s="373"/>
      <c r="C678" s="320"/>
      <c r="D678" s="320"/>
      <c r="E678" s="320"/>
      <c r="F678" s="320"/>
      <c r="G678" s="320"/>
      <c r="H678" s="320"/>
      <c r="I678" s="320"/>
      <c r="J678" s="320"/>
      <c r="K678" s="320"/>
      <c r="L678" s="320"/>
      <c r="M678" s="320"/>
      <c r="N678" s="320"/>
      <c r="O678" s="320"/>
      <c r="P678" s="320"/>
      <c r="Q678" s="320"/>
      <c r="R678" s="320"/>
      <c r="S678" s="320"/>
      <c r="T678" s="320"/>
    </row>
    <row r="679">
      <c r="A679" s="362" t="str">
        <f>IFERROR(__xludf.DUMMYFUNCTION("""COMPUTED_VALUE"""),"Enchantment Snipe 3")</f>
        <v>Enchantment Snipe 3</v>
      </c>
      <c r="B679" s="373"/>
      <c r="C679" s="320"/>
      <c r="D679" s="320"/>
      <c r="E679" s="320"/>
      <c r="F679" s="320"/>
      <c r="G679" s="320"/>
      <c r="H679" s="320"/>
      <c r="I679" s="320"/>
      <c r="J679" s="320"/>
      <c r="K679" s="320"/>
      <c r="L679" s="320"/>
      <c r="M679" s="320"/>
      <c r="N679" s="320"/>
      <c r="O679" s="320"/>
      <c r="P679" s="320"/>
      <c r="Q679" s="320"/>
      <c r="R679" s="320"/>
      <c r="S679" s="320"/>
      <c r="T679" s="320"/>
    </row>
    <row r="680">
      <c r="A680" s="362" t="str">
        <f>IFERROR(__xludf.DUMMYFUNCTION("""COMPUTED_VALUE"""),"Enchantment Snipe 4")</f>
        <v>Enchantment Snipe 4</v>
      </c>
      <c r="B680" s="373">
        <f>IFERROR(__xludf.DUMMYFUNCTION("""COMPUTED_VALUE"""),9.90843205E7)</f>
        <v>99084320.5</v>
      </c>
      <c r="C680" s="320"/>
      <c r="D680" s="320"/>
      <c r="E680" s="320"/>
      <c r="F680" s="320"/>
      <c r="G680" s="320"/>
      <c r="H680" s="320"/>
      <c r="I680" s="320"/>
      <c r="J680" s="320"/>
      <c r="K680" s="320"/>
      <c r="L680" s="320"/>
      <c r="M680" s="320"/>
      <c r="N680" s="320"/>
      <c r="O680" s="320"/>
      <c r="P680" s="320"/>
      <c r="Q680" s="320"/>
      <c r="R680" s="320"/>
      <c r="S680" s="320"/>
      <c r="T680" s="320"/>
    </row>
    <row r="681">
      <c r="A681" s="362" t="str">
        <f>IFERROR(__xludf.DUMMYFUNCTION("""COMPUTED_VALUE"""),"Enchantment Spiked Hook 1")</f>
        <v>Enchantment Spiked Hook 1</v>
      </c>
      <c r="B681" s="373"/>
      <c r="C681" s="320"/>
      <c r="D681" s="320"/>
      <c r="E681" s="320"/>
      <c r="F681" s="320"/>
      <c r="G681" s="320"/>
      <c r="H681" s="320"/>
      <c r="I681" s="320"/>
      <c r="J681" s="320"/>
      <c r="K681" s="320"/>
      <c r="L681" s="320"/>
      <c r="M681" s="320"/>
      <c r="N681" s="320"/>
      <c r="O681" s="320"/>
      <c r="P681" s="320"/>
      <c r="Q681" s="320"/>
      <c r="R681" s="320"/>
      <c r="S681" s="320"/>
      <c r="T681" s="320"/>
    </row>
    <row r="682">
      <c r="A682" s="362" t="str">
        <f>IFERROR(__xludf.DUMMYFUNCTION("""COMPUTED_VALUE"""),"Enchantment Spiked Hook 2")</f>
        <v>Enchantment Spiked Hook 2</v>
      </c>
      <c r="B682" s="373"/>
      <c r="C682" s="320"/>
      <c r="D682" s="320"/>
      <c r="E682" s="320"/>
      <c r="F682" s="320"/>
      <c r="G682" s="320"/>
      <c r="H682" s="320"/>
      <c r="I682" s="320"/>
      <c r="J682" s="320"/>
      <c r="K682" s="320"/>
      <c r="L682" s="320"/>
      <c r="M682" s="320"/>
      <c r="N682" s="320"/>
      <c r="O682" s="320"/>
      <c r="P682" s="320"/>
      <c r="Q682" s="320"/>
      <c r="R682" s="320"/>
      <c r="S682" s="320"/>
      <c r="T682" s="320"/>
    </row>
    <row r="683">
      <c r="A683" s="362" t="str">
        <f>IFERROR(__xludf.DUMMYFUNCTION("""COMPUTED_VALUE"""),"Enchantment Spiked Hook 3")</f>
        <v>Enchantment Spiked Hook 3</v>
      </c>
      <c r="B683" s="373"/>
      <c r="C683" s="320"/>
      <c r="D683" s="320"/>
      <c r="E683" s="320"/>
      <c r="F683" s="320"/>
      <c r="G683" s="320"/>
      <c r="H683" s="320"/>
      <c r="I683" s="320"/>
      <c r="J683" s="320"/>
      <c r="K683" s="320"/>
      <c r="L683" s="320"/>
      <c r="M683" s="320"/>
      <c r="N683" s="320"/>
      <c r="O683" s="320"/>
      <c r="P683" s="320"/>
      <c r="Q683" s="320"/>
      <c r="R683" s="320"/>
      <c r="S683" s="320"/>
      <c r="T683" s="320"/>
    </row>
    <row r="684">
      <c r="A684" s="362" t="str">
        <f>IFERROR(__xludf.DUMMYFUNCTION("""COMPUTED_VALUE"""),"Enchantment Spiked Hook 4")</f>
        <v>Enchantment Spiked Hook 4</v>
      </c>
      <c r="B684" s="373"/>
      <c r="C684" s="320"/>
      <c r="D684" s="320"/>
      <c r="E684" s="320"/>
      <c r="F684" s="320"/>
      <c r="G684" s="320"/>
      <c r="H684" s="320"/>
      <c r="I684" s="320"/>
      <c r="J684" s="320"/>
      <c r="K684" s="320"/>
      <c r="L684" s="320"/>
      <c r="M684" s="320"/>
      <c r="N684" s="320"/>
      <c r="O684" s="320"/>
      <c r="P684" s="320"/>
      <c r="Q684" s="320"/>
      <c r="R684" s="320"/>
      <c r="S684" s="320"/>
      <c r="T684" s="320"/>
    </row>
    <row r="685">
      <c r="A685" s="362" t="str">
        <f>IFERROR(__xludf.DUMMYFUNCTION("""COMPUTED_VALUE"""),"Enchantment Spiked Hook 5")</f>
        <v>Enchantment Spiked Hook 5</v>
      </c>
      <c r="B685" s="373"/>
      <c r="C685" s="320"/>
      <c r="D685" s="320"/>
      <c r="E685" s="320"/>
      <c r="F685" s="320"/>
      <c r="G685" s="320"/>
      <c r="H685" s="320"/>
      <c r="I685" s="320"/>
      <c r="J685" s="320"/>
      <c r="K685" s="320"/>
      <c r="L685" s="320"/>
      <c r="M685" s="320"/>
      <c r="N685" s="320"/>
      <c r="O685" s="320"/>
      <c r="P685" s="320"/>
      <c r="Q685" s="320"/>
      <c r="R685" s="320"/>
      <c r="S685" s="320"/>
      <c r="T685" s="320"/>
    </row>
    <row r="686">
      <c r="A686" s="362" t="str">
        <f>IFERROR(__xludf.DUMMYFUNCTION("""COMPUTED_VALUE"""),"Enchantment Spiked Hook 6")</f>
        <v>Enchantment Spiked Hook 6</v>
      </c>
      <c r="B686" s="373">
        <f>IFERROR(__xludf.DUMMYFUNCTION("""COMPUTED_VALUE"""),2384.05)</f>
        <v>2384.05</v>
      </c>
      <c r="C686" s="320"/>
      <c r="D686" s="320"/>
      <c r="E686" s="320"/>
      <c r="F686" s="320"/>
      <c r="G686" s="320"/>
      <c r="H686" s="320"/>
      <c r="I686" s="320"/>
      <c r="J686" s="320"/>
      <c r="K686" s="320"/>
      <c r="L686" s="320"/>
      <c r="M686" s="320"/>
      <c r="N686" s="320"/>
      <c r="O686" s="320"/>
      <c r="P686" s="320"/>
      <c r="Q686" s="320"/>
      <c r="R686" s="320"/>
      <c r="S686" s="320"/>
      <c r="T686" s="320"/>
    </row>
    <row r="687">
      <c r="A687" s="362" t="str">
        <f>IFERROR(__xludf.DUMMYFUNCTION("""COMPUTED_VALUE"""),"Enchantment Strong Mana 1")</f>
        <v>Enchantment Strong Mana 1</v>
      </c>
      <c r="B687" s="373">
        <f>IFERROR(__xludf.DUMMYFUNCTION("""COMPUTED_VALUE"""),148995.65)</f>
        <v>148995.65</v>
      </c>
      <c r="C687" s="320"/>
      <c r="D687" s="320"/>
      <c r="E687" s="320"/>
      <c r="F687" s="320"/>
      <c r="G687" s="320"/>
      <c r="H687" s="320"/>
      <c r="I687" s="320"/>
      <c r="J687" s="320"/>
      <c r="K687" s="320"/>
      <c r="L687" s="320"/>
      <c r="M687" s="320"/>
      <c r="N687" s="320"/>
      <c r="O687" s="320"/>
      <c r="P687" s="320"/>
      <c r="Q687" s="320"/>
      <c r="R687" s="320"/>
      <c r="S687" s="320"/>
      <c r="T687" s="320"/>
    </row>
    <row r="688">
      <c r="A688" s="362" t="str">
        <f>IFERROR(__xludf.DUMMYFUNCTION("""COMPUTED_VALUE"""),"Enchantment Strong Mana 10")</f>
        <v>Enchantment Strong Mana 10</v>
      </c>
      <c r="B688" s="373">
        <f>IFERROR(__xludf.DUMMYFUNCTION("""COMPUTED_VALUE"""),6.799999995E7)</f>
        <v>67999999.95</v>
      </c>
      <c r="C688" s="320"/>
      <c r="D688" s="320"/>
      <c r="E688" s="320"/>
      <c r="F688" s="320"/>
      <c r="G688" s="320"/>
      <c r="H688" s="320"/>
      <c r="I688" s="320"/>
      <c r="J688" s="320"/>
      <c r="K688" s="320"/>
      <c r="L688" s="320"/>
      <c r="M688" s="320"/>
      <c r="N688" s="320"/>
      <c r="O688" s="320"/>
      <c r="P688" s="320"/>
      <c r="Q688" s="320"/>
      <c r="R688" s="320"/>
      <c r="S688" s="320"/>
      <c r="T688" s="320"/>
    </row>
    <row r="689">
      <c r="A689" s="362" t="str">
        <f>IFERROR(__xludf.DUMMYFUNCTION("""COMPUTED_VALUE"""),"Enchantment Strong Mana 2")</f>
        <v>Enchantment Strong Mana 2</v>
      </c>
      <c r="B689" s="373">
        <f>IFERROR(__xludf.DUMMYFUNCTION("""COMPUTED_VALUE"""),135237.844)</f>
        <v>135237.844</v>
      </c>
      <c r="C689" s="320"/>
      <c r="D689" s="320"/>
      <c r="E689" s="320"/>
      <c r="F689" s="320"/>
      <c r="G689" s="320"/>
      <c r="H689" s="320"/>
      <c r="I689" s="320"/>
      <c r="J689" s="320"/>
      <c r="K689" s="320"/>
      <c r="L689" s="320"/>
      <c r="M689" s="320"/>
      <c r="N689" s="320"/>
      <c r="O689" s="320"/>
      <c r="P689" s="320"/>
      <c r="Q689" s="320"/>
      <c r="R689" s="320"/>
      <c r="S689" s="320"/>
      <c r="T689" s="320"/>
    </row>
    <row r="690">
      <c r="A690" s="362" t="str">
        <f>IFERROR(__xludf.DUMMYFUNCTION("""COMPUTED_VALUE"""),"Enchantment Strong Mana 3")</f>
        <v>Enchantment Strong Mana 3</v>
      </c>
      <c r="B690" s="373">
        <f>IFERROR(__xludf.DUMMYFUNCTION("""COMPUTED_VALUE"""),266777.391)</f>
        <v>266777.391</v>
      </c>
      <c r="C690" s="320"/>
      <c r="D690" s="320"/>
      <c r="E690" s="320"/>
      <c r="F690" s="320"/>
      <c r="G690" s="320"/>
      <c r="H690" s="320"/>
      <c r="I690" s="320"/>
      <c r="J690" s="320"/>
      <c r="K690" s="320"/>
      <c r="L690" s="320"/>
      <c r="M690" s="320"/>
      <c r="N690" s="320"/>
      <c r="O690" s="320"/>
      <c r="P690" s="320"/>
      <c r="Q690" s="320"/>
      <c r="R690" s="320"/>
      <c r="S690" s="320"/>
      <c r="T690" s="320"/>
    </row>
    <row r="691">
      <c r="A691" s="362" t="str">
        <f>IFERROR(__xludf.DUMMYFUNCTION("""COMPUTED_VALUE"""),"Enchantment Strong Mana 4")</f>
        <v>Enchantment Strong Mana 4</v>
      </c>
      <c r="B691" s="373">
        <f>IFERROR(__xludf.DUMMYFUNCTION("""COMPUTED_VALUE"""),852726.6)</f>
        <v>852726.6</v>
      </c>
      <c r="C691" s="320"/>
      <c r="D691" s="320"/>
      <c r="E691" s="320"/>
      <c r="F691" s="320"/>
      <c r="G691" s="320"/>
      <c r="H691" s="320"/>
      <c r="I691" s="320"/>
      <c r="J691" s="320"/>
      <c r="K691" s="320"/>
      <c r="L691" s="320"/>
      <c r="M691" s="320"/>
      <c r="N691" s="320"/>
      <c r="O691" s="320"/>
      <c r="P691" s="320"/>
      <c r="Q691" s="320"/>
      <c r="R691" s="320"/>
      <c r="S691" s="320"/>
      <c r="T691" s="320"/>
    </row>
    <row r="692">
      <c r="A692" s="362" t="str">
        <f>IFERROR(__xludf.DUMMYFUNCTION("""COMPUTED_VALUE"""),"Enchantment Strong Mana 5")</f>
        <v>Enchantment Strong Mana 5</v>
      </c>
      <c r="B692" s="373">
        <f>IFERROR(__xludf.DUMMYFUNCTION("""COMPUTED_VALUE"""),2121045.275)</f>
        <v>2121045.275</v>
      </c>
      <c r="C692" s="320"/>
      <c r="D692" s="320"/>
      <c r="E692" s="320"/>
      <c r="F692" s="320"/>
      <c r="G692" s="320"/>
      <c r="H692" s="320"/>
      <c r="I692" s="320"/>
      <c r="J692" s="320"/>
      <c r="K692" s="320"/>
      <c r="L692" s="320"/>
      <c r="M692" s="320"/>
      <c r="N692" s="320"/>
      <c r="O692" s="320"/>
      <c r="P692" s="320"/>
      <c r="Q692" s="320"/>
      <c r="R692" s="320"/>
      <c r="S692" s="320"/>
      <c r="T692" s="320"/>
    </row>
    <row r="693">
      <c r="A693" s="362" t="str">
        <f>IFERROR(__xludf.DUMMYFUNCTION("""COMPUTED_VALUE"""),"Enchantment Strong Mana 6")</f>
        <v>Enchantment Strong Mana 6</v>
      </c>
      <c r="B693" s="373">
        <f>IFERROR(__xludf.DUMMYFUNCTION("""COMPUTED_VALUE"""),2502505.15)</f>
        <v>2502505.15</v>
      </c>
      <c r="C693" s="320"/>
      <c r="D693" s="320"/>
      <c r="E693" s="320"/>
      <c r="F693" s="320"/>
      <c r="G693" s="320"/>
      <c r="H693" s="320"/>
      <c r="I693" s="320"/>
      <c r="J693" s="320"/>
      <c r="K693" s="320"/>
      <c r="L693" s="320"/>
      <c r="M693" s="320"/>
      <c r="N693" s="320"/>
      <c r="O693" s="320"/>
      <c r="P693" s="320"/>
      <c r="Q693" s="320"/>
      <c r="R693" s="320"/>
      <c r="S693" s="320"/>
      <c r="T693" s="320"/>
    </row>
    <row r="694">
      <c r="A694" s="362" t="str">
        <f>IFERROR(__xludf.DUMMYFUNCTION("""COMPUTED_VALUE"""),"Enchantment Strong Mana 7")</f>
        <v>Enchantment Strong Mana 7</v>
      </c>
      <c r="B694" s="373">
        <f>IFERROR(__xludf.DUMMYFUNCTION("""COMPUTED_VALUE"""),5959379.95)</f>
        <v>5959379.95</v>
      </c>
      <c r="C694" s="320"/>
      <c r="D694" s="320"/>
      <c r="E694" s="320"/>
      <c r="F694" s="320"/>
      <c r="G694" s="320"/>
      <c r="H694" s="320"/>
      <c r="I694" s="320"/>
      <c r="J694" s="320"/>
      <c r="K694" s="320"/>
      <c r="L694" s="320"/>
      <c r="M694" s="320"/>
      <c r="N694" s="320"/>
      <c r="O694" s="320"/>
      <c r="P694" s="320"/>
      <c r="Q694" s="320"/>
      <c r="R694" s="320"/>
      <c r="S694" s="320"/>
      <c r="T694" s="320"/>
    </row>
    <row r="695">
      <c r="A695" s="362" t="str">
        <f>IFERROR(__xludf.DUMMYFUNCTION("""COMPUTED_VALUE"""),"Enchantment Strong Mana 8")</f>
        <v>Enchantment Strong Mana 8</v>
      </c>
      <c r="B695" s="373">
        <f>IFERROR(__xludf.DUMMYFUNCTION("""COMPUTED_VALUE"""),1.392000015E7)</f>
        <v>13920000.15</v>
      </c>
      <c r="C695" s="320"/>
      <c r="D695" s="320"/>
      <c r="E695" s="320"/>
      <c r="F695" s="320"/>
      <c r="G695" s="320"/>
      <c r="H695" s="320"/>
      <c r="I695" s="320"/>
      <c r="J695" s="320"/>
      <c r="K695" s="320"/>
      <c r="L695" s="320"/>
      <c r="M695" s="320"/>
      <c r="N695" s="320"/>
      <c r="O695" s="320"/>
      <c r="P695" s="320"/>
      <c r="Q695" s="320"/>
      <c r="R695" s="320"/>
      <c r="S695" s="320"/>
      <c r="T695" s="320"/>
    </row>
    <row r="696">
      <c r="A696" s="362" t="str">
        <f>IFERROR(__xludf.DUMMYFUNCTION("""COMPUTED_VALUE"""),"Enchantment Strong Mana 9")</f>
        <v>Enchantment Strong Mana 9</v>
      </c>
      <c r="B696" s="373">
        <f>IFERROR(__xludf.DUMMYFUNCTION("""COMPUTED_VALUE"""),2.00280017E7)</f>
        <v>20028001.7</v>
      </c>
      <c r="C696" s="320"/>
      <c r="D696" s="320"/>
      <c r="E696" s="320"/>
      <c r="F696" s="320"/>
      <c r="G696" s="320"/>
      <c r="H696" s="320"/>
      <c r="I696" s="320"/>
      <c r="J696" s="320"/>
      <c r="K696" s="320"/>
      <c r="L696" s="320"/>
      <c r="M696" s="320"/>
      <c r="N696" s="320"/>
      <c r="O696" s="320"/>
      <c r="P696" s="320"/>
      <c r="Q696" s="320"/>
      <c r="R696" s="320"/>
      <c r="S696" s="320"/>
      <c r="T696" s="320"/>
    </row>
    <row r="697">
      <c r="A697" s="362" t="str">
        <f>IFERROR(__xludf.DUMMYFUNCTION("""COMPUTED_VALUE"""),"Enchantment Sugar Rush 1")</f>
        <v>Enchantment Sugar Rush 1</v>
      </c>
      <c r="B697" s="373">
        <f>IFERROR(__xludf.DUMMYFUNCTION("""COMPUTED_VALUE"""),492039.4)</f>
        <v>492039.4</v>
      </c>
      <c r="C697" s="320"/>
      <c r="D697" s="320"/>
      <c r="E697" s="320"/>
      <c r="F697" s="320"/>
      <c r="G697" s="320"/>
      <c r="H697" s="320"/>
      <c r="I697" s="320"/>
      <c r="J697" s="320"/>
      <c r="K697" s="320"/>
      <c r="L697" s="320"/>
      <c r="M697" s="320"/>
      <c r="N697" s="320"/>
      <c r="O697" s="320"/>
      <c r="P697" s="320"/>
      <c r="Q697" s="320"/>
      <c r="R697" s="320"/>
      <c r="S697" s="320"/>
      <c r="T697" s="320"/>
    </row>
    <row r="698">
      <c r="A698" s="362" t="str">
        <f>IFERROR(__xludf.DUMMYFUNCTION("""COMPUTED_VALUE"""),"Enchantment Sugar Rush 2")</f>
        <v>Enchantment Sugar Rush 2</v>
      </c>
      <c r="B698" s="373">
        <f>IFERROR(__xludf.DUMMYFUNCTION("""COMPUTED_VALUE"""),1101991.75)</f>
        <v>1101991.75</v>
      </c>
      <c r="C698" s="320"/>
      <c r="D698" s="320"/>
      <c r="E698" s="320"/>
      <c r="F698" s="320"/>
      <c r="G698" s="320"/>
      <c r="H698" s="320"/>
      <c r="I698" s="320"/>
      <c r="J698" s="320"/>
      <c r="K698" s="320"/>
      <c r="L698" s="320"/>
      <c r="M698" s="320"/>
      <c r="N698" s="320"/>
      <c r="O698" s="320"/>
      <c r="P698" s="320"/>
      <c r="Q698" s="320"/>
      <c r="R698" s="320"/>
      <c r="S698" s="320"/>
      <c r="T698" s="320"/>
    </row>
    <row r="699">
      <c r="A699" s="362" t="str">
        <f>IFERROR(__xludf.DUMMYFUNCTION("""COMPUTED_VALUE"""),"Enchantment Sugar Rush 3")</f>
        <v>Enchantment Sugar Rush 3</v>
      </c>
      <c r="B699" s="373">
        <f>IFERROR(__xludf.DUMMYFUNCTION("""COMPUTED_VALUE"""),1797499.9)</f>
        <v>1797499.9</v>
      </c>
      <c r="C699" s="320"/>
      <c r="D699" s="320"/>
      <c r="E699" s="320"/>
      <c r="F699" s="320"/>
      <c r="G699" s="320"/>
      <c r="H699" s="320"/>
      <c r="I699" s="320"/>
      <c r="J699" s="320"/>
      <c r="K699" s="320"/>
      <c r="L699" s="320"/>
      <c r="M699" s="320"/>
      <c r="N699" s="320"/>
      <c r="O699" s="320"/>
      <c r="P699" s="320"/>
      <c r="Q699" s="320"/>
      <c r="R699" s="320"/>
      <c r="S699" s="320"/>
      <c r="T699" s="320"/>
    </row>
    <row r="700">
      <c r="A700" s="362" t="str">
        <f>IFERROR(__xludf.DUMMYFUNCTION("""COMPUTED_VALUE"""),"Enchantment Sunder 1")</f>
        <v>Enchantment Sunder 1</v>
      </c>
      <c r="B700" s="373">
        <f>IFERROR(__xludf.DUMMYFUNCTION("""COMPUTED_VALUE"""),51063.3)</f>
        <v>51063.3</v>
      </c>
      <c r="C700" s="320"/>
      <c r="D700" s="320"/>
      <c r="E700" s="320"/>
      <c r="F700" s="320"/>
      <c r="G700" s="320"/>
      <c r="H700" s="320"/>
      <c r="I700" s="320"/>
      <c r="J700" s="320"/>
      <c r="K700" s="320"/>
      <c r="L700" s="320"/>
      <c r="M700" s="320"/>
      <c r="N700" s="320"/>
      <c r="O700" s="320"/>
      <c r="P700" s="320"/>
      <c r="Q700" s="320"/>
      <c r="R700" s="320"/>
      <c r="S700" s="320"/>
      <c r="T700" s="320"/>
    </row>
    <row r="701">
      <c r="A701" s="362" t="str">
        <f>IFERROR(__xludf.DUMMYFUNCTION("""COMPUTED_VALUE"""),"Enchantment Sunder 2")</f>
        <v>Enchantment Sunder 2</v>
      </c>
      <c r="B701" s="373">
        <f>IFERROR(__xludf.DUMMYFUNCTION("""COMPUTED_VALUE"""),145745.75)</f>
        <v>145745.75</v>
      </c>
      <c r="C701" s="320"/>
      <c r="D701" s="320"/>
      <c r="E701" s="320"/>
      <c r="F701" s="320"/>
      <c r="G701" s="320"/>
      <c r="H701" s="320"/>
      <c r="I701" s="320"/>
      <c r="J701" s="320"/>
      <c r="K701" s="320"/>
      <c r="L701" s="320"/>
      <c r="M701" s="320"/>
      <c r="N701" s="320"/>
      <c r="O701" s="320"/>
      <c r="P701" s="320"/>
      <c r="Q701" s="320"/>
      <c r="R701" s="320"/>
      <c r="S701" s="320"/>
      <c r="T701" s="320"/>
    </row>
    <row r="702">
      <c r="A702" s="362" t="str">
        <f>IFERROR(__xludf.DUMMYFUNCTION("""COMPUTED_VALUE"""),"Enchantment Sunder 3")</f>
        <v>Enchantment Sunder 3</v>
      </c>
      <c r="B702" s="373">
        <f>IFERROR(__xludf.DUMMYFUNCTION("""COMPUTED_VALUE"""),212500.0)</f>
        <v>212500</v>
      </c>
      <c r="C702" s="320"/>
      <c r="D702" s="320"/>
      <c r="E702" s="320"/>
      <c r="F702" s="320"/>
      <c r="G702" s="320"/>
      <c r="H702" s="320"/>
      <c r="I702" s="320"/>
      <c r="J702" s="320"/>
      <c r="K702" s="320"/>
      <c r="L702" s="320"/>
      <c r="M702" s="320"/>
      <c r="N702" s="320"/>
      <c r="O702" s="320"/>
      <c r="P702" s="320"/>
      <c r="Q702" s="320"/>
      <c r="R702" s="320"/>
      <c r="S702" s="320"/>
      <c r="T702" s="320"/>
    </row>
    <row r="703">
      <c r="A703" s="362" t="str">
        <f>IFERROR(__xludf.DUMMYFUNCTION("""COMPUTED_VALUE"""),"Enchantment Sunder 4")</f>
        <v>Enchantment Sunder 4</v>
      </c>
      <c r="B703" s="373">
        <f>IFERROR(__xludf.DUMMYFUNCTION("""COMPUTED_VALUE"""),573959.5)</f>
        <v>573959.5</v>
      </c>
      <c r="C703" s="320"/>
      <c r="D703" s="320"/>
      <c r="E703" s="320"/>
      <c r="F703" s="320"/>
      <c r="G703" s="320"/>
      <c r="H703" s="320"/>
      <c r="I703" s="320"/>
      <c r="J703" s="320"/>
      <c r="K703" s="320"/>
      <c r="L703" s="320"/>
      <c r="M703" s="320"/>
      <c r="N703" s="320"/>
      <c r="O703" s="320"/>
      <c r="P703" s="320"/>
      <c r="Q703" s="320"/>
      <c r="R703" s="320"/>
      <c r="S703" s="320"/>
      <c r="T703" s="320"/>
    </row>
    <row r="704">
      <c r="A704" s="362" t="str">
        <f>IFERROR(__xludf.DUMMYFUNCTION("""COMPUTED_VALUE"""),"Enchantment Sunder 5")</f>
        <v>Enchantment Sunder 5</v>
      </c>
      <c r="B704" s="373">
        <f>IFERROR(__xludf.DUMMYFUNCTION("""COMPUTED_VALUE"""),902000.0)</f>
        <v>902000</v>
      </c>
      <c r="C704" s="320"/>
      <c r="D704" s="320"/>
      <c r="E704" s="320"/>
      <c r="F704" s="320"/>
      <c r="G704" s="320"/>
      <c r="H704" s="320"/>
      <c r="I704" s="320"/>
      <c r="J704" s="320"/>
      <c r="K704" s="320"/>
      <c r="L704" s="320"/>
      <c r="M704" s="320"/>
      <c r="N704" s="320"/>
      <c r="O704" s="320"/>
      <c r="P704" s="320"/>
      <c r="Q704" s="320"/>
      <c r="R704" s="320"/>
      <c r="S704" s="320"/>
      <c r="T704" s="320"/>
    </row>
    <row r="705">
      <c r="A705" s="362" t="str">
        <f>IFERROR(__xludf.DUMMYFUNCTION("""COMPUTED_VALUE"""),"Enchantment Sunder 6")</f>
        <v>Enchantment Sunder 6</v>
      </c>
      <c r="B705" s="373">
        <f>IFERROR(__xludf.DUMMYFUNCTION("""COMPUTED_VALUE"""),2408499.95)</f>
        <v>2408499.95</v>
      </c>
      <c r="C705" s="320"/>
      <c r="D705" s="320"/>
      <c r="E705" s="320"/>
      <c r="F705" s="320"/>
      <c r="G705" s="320"/>
      <c r="H705" s="320"/>
      <c r="I705" s="320"/>
      <c r="J705" s="320"/>
      <c r="K705" s="320"/>
      <c r="L705" s="320"/>
      <c r="M705" s="320"/>
      <c r="N705" s="320"/>
      <c r="O705" s="320"/>
      <c r="P705" s="320"/>
      <c r="Q705" s="320"/>
      <c r="R705" s="320"/>
      <c r="S705" s="320"/>
      <c r="T705" s="320"/>
    </row>
    <row r="706">
      <c r="A706" s="362" t="str">
        <f>IFERROR(__xludf.DUMMYFUNCTION("""COMPUTED_VALUE"""),"Enchantment Syphon 1")</f>
        <v>Enchantment Syphon 1</v>
      </c>
      <c r="B706" s="373"/>
      <c r="C706" s="320"/>
      <c r="D706" s="320"/>
      <c r="E706" s="320"/>
      <c r="F706" s="320"/>
      <c r="G706" s="320"/>
      <c r="H706" s="320"/>
      <c r="I706" s="320"/>
      <c r="J706" s="320"/>
      <c r="K706" s="320"/>
      <c r="L706" s="320"/>
      <c r="M706" s="320"/>
      <c r="N706" s="320"/>
      <c r="O706" s="320"/>
      <c r="P706" s="320"/>
      <c r="Q706" s="320"/>
      <c r="R706" s="320"/>
      <c r="S706" s="320"/>
      <c r="T706" s="320"/>
    </row>
    <row r="707">
      <c r="A707" s="362" t="str">
        <f>IFERROR(__xludf.DUMMYFUNCTION("""COMPUTED_VALUE"""),"Enchantment Syphon 2")</f>
        <v>Enchantment Syphon 2</v>
      </c>
      <c r="B707" s="373"/>
      <c r="C707" s="320"/>
      <c r="D707" s="320"/>
      <c r="E707" s="320"/>
      <c r="F707" s="320"/>
      <c r="G707" s="320"/>
      <c r="H707" s="320"/>
      <c r="I707" s="320"/>
      <c r="J707" s="320"/>
      <c r="K707" s="320"/>
      <c r="L707" s="320"/>
      <c r="M707" s="320"/>
      <c r="N707" s="320"/>
      <c r="O707" s="320"/>
      <c r="P707" s="320"/>
      <c r="Q707" s="320"/>
      <c r="R707" s="320"/>
      <c r="S707" s="320"/>
      <c r="T707" s="320"/>
    </row>
    <row r="708">
      <c r="A708" s="362" t="str">
        <f>IFERROR(__xludf.DUMMYFUNCTION("""COMPUTED_VALUE"""),"Enchantment Syphon 3")</f>
        <v>Enchantment Syphon 3</v>
      </c>
      <c r="B708" s="373"/>
      <c r="C708" s="320"/>
      <c r="D708" s="320"/>
      <c r="E708" s="320"/>
      <c r="F708" s="320"/>
      <c r="G708" s="320"/>
      <c r="H708" s="320"/>
      <c r="I708" s="320"/>
      <c r="J708" s="320"/>
      <c r="K708" s="320"/>
      <c r="L708" s="320"/>
      <c r="M708" s="320"/>
      <c r="N708" s="320"/>
      <c r="O708" s="320"/>
      <c r="P708" s="320"/>
      <c r="Q708" s="320"/>
      <c r="R708" s="320"/>
      <c r="S708" s="320"/>
      <c r="T708" s="320"/>
    </row>
    <row r="709">
      <c r="A709" s="362" t="str">
        <f>IFERROR(__xludf.DUMMYFUNCTION("""COMPUTED_VALUE"""),"Enchantment Syphon 4")</f>
        <v>Enchantment Syphon 4</v>
      </c>
      <c r="B709" s="373">
        <f>IFERROR(__xludf.DUMMYFUNCTION("""COMPUTED_VALUE"""),221813.125)</f>
        <v>221813.125</v>
      </c>
      <c r="C709" s="320"/>
      <c r="D709" s="320"/>
      <c r="E709" s="320"/>
      <c r="F709" s="320"/>
      <c r="G709" s="320"/>
      <c r="H709" s="320"/>
      <c r="I709" s="320"/>
      <c r="J709" s="320"/>
      <c r="K709" s="320"/>
      <c r="L709" s="320"/>
      <c r="M709" s="320"/>
      <c r="N709" s="320"/>
      <c r="O709" s="320"/>
      <c r="P709" s="320"/>
      <c r="Q709" s="320"/>
      <c r="R709" s="320"/>
      <c r="S709" s="320"/>
      <c r="T709" s="320"/>
    </row>
    <row r="710">
      <c r="A710" s="362" t="str">
        <f>IFERROR(__xludf.DUMMYFUNCTION("""COMPUTED_VALUE"""),"Enchantment Syphon 5")</f>
        <v>Enchantment Syphon 5</v>
      </c>
      <c r="B710" s="373">
        <f>IFERROR(__xludf.DUMMYFUNCTION("""COMPUTED_VALUE"""),6.8605707E7)</f>
        <v>68605707</v>
      </c>
      <c r="C710" s="320"/>
      <c r="D710" s="320"/>
      <c r="E710" s="320"/>
      <c r="F710" s="320"/>
      <c r="G710" s="320"/>
      <c r="H710" s="320"/>
      <c r="I710" s="320"/>
      <c r="J710" s="320"/>
      <c r="K710" s="320"/>
      <c r="L710" s="320"/>
      <c r="M710" s="320"/>
      <c r="N710" s="320"/>
      <c r="O710" s="320"/>
      <c r="P710" s="320"/>
      <c r="Q710" s="320"/>
      <c r="R710" s="320"/>
      <c r="S710" s="320"/>
      <c r="T710" s="320"/>
    </row>
    <row r="711">
      <c r="A711" s="362" t="str">
        <f>IFERROR(__xludf.DUMMYFUNCTION("""COMPUTED_VALUE"""),"Enchantment Tabasco 1")</f>
        <v>Enchantment Tabasco 1</v>
      </c>
      <c r="B711" s="373"/>
      <c r="C711" s="320"/>
      <c r="D711" s="320"/>
      <c r="E711" s="320"/>
      <c r="F711" s="320"/>
      <c r="G711" s="320"/>
      <c r="H711" s="320"/>
      <c r="I711" s="320"/>
      <c r="J711" s="320"/>
      <c r="K711" s="320"/>
      <c r="L711" s="320"/>
      <c r="M711" s="320"/>
      <c r="N711" s="320"/>
      <c r="O711" s="320"/>
      <c r="P711" s="320"/>
      <c r="Q711" s="320"/>
      <c r="R711" s="320"/>
      <c r="S711" s="320"/>
      <c r="T711" s="320"/>
    </row>
    <row r="712">
      <c r="A712" s="362" t="str">
        <f>IFERROR(__xludf.DUMMYFUNCTION("""COMPUTED_VALUE"""),"Enchantment Tabasco 2")</f>
        <v>Enchantment Tabasco 2</v>
      </c>
      <c r="B712" s="373">
        <f>IFERROR(__xludf.DUMMYFUNCTION("""COMPUTED_VALUE"""),8205897.1)</f>
        <v>8205897.1</v>
      </c>
      <c r="C712" s="320"/>
      <c r="D712" s="320"/>
      <c r="E712" s="320"/>
      <c r="F712" s="320"/>
      <c r="G712" s="320"/>
      <c r="H712" s="320"/>
      <c r="I712" s="320"/>
      <c r="J712" s="320"/>
      <c r="K712" s="320"/>
      <c r="L712" s="320"/>
      <c r="M712" s="320"/>
      <c r="N712" s="320"/>
      <c r="O712" s="320"/>
      <c r="P712" s="320"/>
      <c r="Q712" s="320"/>
      <c r="R712" s="320"/>
      <c r="S712" s="320"/>
      <c r="T712" s="320"/>
    </row>
    <row r="713">
      <c r="A713" s="362" t="str">
        <f>IFERROR(__xludf.DUMMYFUNCTION("""COMPUTED_VALUE"""),"Enchantment Tabasco 3")</f>
        <v>Enchantment Tabasco 3</v>
      </c>
      <c r="B713" s="373">
        <f>IFERROR(__xludf.DUMMYFUNCTION("""COMPUTED_VALUE"""),2260948.05)</f>
        <v>2260948.05</v>
      </c>
      <c r="C713" s="320"/>
      <c r="D713" s="320"/>
      <c r="E713" s="320"/>
      <c r="F713" s="320"/>
      <c r="G713" s="320"/>
      <c r="H713" s="320"/>
      <c r="I713" s="320"/>
      <c r="J713" s="320"/>
      <c r="K713" s="320"/>
      <c r="L713" s="320"/>
      <c r="M713" s="320"/>
      <c r="N713" s="320"/>
      <c r="O713" s="320"/>
      <c r="P713" s="320"/>
      <c r="Q713" s="320"/>
      <c r="R713" s="320"/>
      <c r="S713" s="320"/>
      <c r="T713" s="320"/>
    </row>
    <row r="714">
      <c r="A714" s="362" t="str">
        <f>IFERROR(__xludf.DUMMYFUNCTION("""COMPUTED_VALUE"""),"Enchantment Thorns 1")</f>
        <v>Enchantment Thorns 1</v>
      </c>
      <c r="B714" s="373"/>
      <c r="C714" s="320"/>
      <c r="D714" s="320"/>
      <c r="E714" s="320"/>
      <c r="F714" s="320"/>
      <c r="G714" s="320"/>
      <c r="H714" s="320"/>
      <c r="I714" s="320"/>
      <c r="J714" s="320"/>
      <c r="K714" s="320"/>
      <c r="L714" s="320"/>
      <c r="M714" s="320"/>
      <c r="N714" s="320"/>
      <c r="O714" s="320"/>
      <c r="P714" s="320"/>
      <c r="Q714" s="320"/>
      <c r="R714" s="320"/>
      <c r="S714" s="320"/>
      <c r="T714" s="320"/>
    </row>
    <row r="715">
      <c r="A715" s="362" t="str">
        <f>IFERROR(__xludf.DUMMYFUNCTION("""COMPUTED_VALUE"""),"Enchantment Thorns 2")</f>
        <v>Enchantment Thorns 2</v>
      </c>
      <c r="B715" s="373"/>
      <c r="C715" s="320"/>
      <c r="D715" s="320"/>
      <c r="E715" s="320"/>
      <c r="F715" s="320"/>
      <c r="G715" s="320"/>
      <c r="H715" s="320"/>
      <c r="I715" s="320"/>
      <c r="J715" s="320"/>
      <c r="K715" s="320"/>
      <c r="L715" s="320"/>
      <c r="M715" s="320"/>
      <c r="N715" s="320"/>
      <c r="O715" s="320"/>
      <c r="P715" s="320"/>
      <c r="Q715" s="320"/>
      <c r="R715" s="320"/>
      <c r="S715" s="320"/>
      <c r="T715" s="320"/>
    </row>
    <row r="716">
      <c r="A716" s="362" t="str">
        <f>IFERROR(__xludf.DUMMYFUNCTION("""COMPUTED_VALUE"""),"Enchantment Thorns 3")</f>
        <v>Enchantment Thorns 3</v>
      </c>
      <c r="B716" s="373"/>
      <c r="C716" s="320"/>
      <c r="D716" s="320"/>
      <c r="E716" s="320"/>
      <c r="F716" s="320"/>
      <c r="G716" s="320"/>
      <c r="H716" s="320"/>
      <c r="I716" s="320"/>
      <c r="J716" s="320"/>
      <c r="K716" s="320"/>
      <c r="L716" s="320"/>
      <c r="M716" s="320"/>
      <c r="N716" s="320"/>
      <c r="O716" s="320"/>
      <c r="P716" s="320"/>
      <c r="Q716" s="320"/>
      <c r="R716" s="320"/>
      <c r="S716" s="320"/>
      <c r="T716" s="320"/>
    </row>
    <row r="717">
      <c r="A717" s="362" t="str">
        <f>IFERROR(__xludf.DUMMYFUNCTION("""COMPUTED_VALUE"""),"Enchantment Thunderbolt 1")</f>
        <v>Enchantment Thunderbolt 1</v>
      </c>
      <c r="B717" s="373"/>
      <c r="C717" s="320"/>
      <c r="D717" s="320"/>
      <c r="E717" s="320"/>
      <c r="F717" s="320"/>
      <c r="G717" s="320"/>
      <c r="H717" s="320"/>
      <c r="I717" s="320"/>
      <c r="J717" s="320"/>
      <c r="K717" s="320"/>
      <c r="L717" s="320"/>
      <c r="M717" s="320"/>
      <c r="N717" s="320"/>
      <c r="O717" s="320"/>
      <c r="P717" s="320"/>
      <c r="Q717" s="320"/>
      <c r="R717" s="320"/>
      <c r="S717" s="320"/>
      <c r="T717" s="320"/>
    </row>
    <row r="718">
      <c r="A718" s="362" t="str">
        <f>IFERROR(__xludf.DUMMYFUNCTION("""COMPUTED_VALUE"""),"Enchantment Thunderbolt 2")</f>
        <v>Enchantment Thunderbolt 2</v>
      </c>
      <c r="B718" s="373"/>
      <c r="C718" s="320"/>
      <c r="D718" s="320"/>
      <c r="E718" s="320"/>
      <c r="F718" s="320"/>
      <c r="G718" s="320"/>
      <c r="H718" s="320"/>
      <c r="I718" s="320"/>
      <c r="J718" s="320"/>
      <c r="K718" s="320"/>
      <c r="L718" s="320"/>
      <c r="M718" s="320"/>
      <c r="N718" s="320"/>
      <c r="O718" s="320"/>
      <c r="P718" s="320"/>
      <c r="Q718" s="320"/>
      <c r="R718" s="320"/>
      <c r="S718" s="320"/>
      <c r="T718" s="320"/>
    </row>
    <row r="719">
      <c r="A719" s="362" t="str">
        <f>IFERROR(__xludf.DUMMYFUNCTION("""COMPUTED_VALUE"""),"Enchantment Thunderbolt 3")</f>
        <v>Enchantment Thunderbolt 3</v>
      </c>
      <c r="B719" s="373"/>
      <c r="C719" s="320"/>
      <c r="D719" s="320"/>
      <c r="E719" s="320"/>
      <c r="F719" s="320"/>
      <c r="G719" s="320"/>
      <c r="H719" s="320"/>
      <c r="I719" s="320"/>
      <c r="J719" s="320"/>
      <c r="K719" s="320"/>
      <c r="L719" s="320"/>
      <c r="M719" s="320"/>
      <c r="N719" s="320"/>
      <c r="O719" s="320"/>
      <c r="P719" s="320"/>
      <c r="Q719" s="320"/>
      <c r="R719" s="320"/>
      <c r="S719" s="320"/>
      <c r="T719" s="320"/>
    </row>
    <row r="720">
      <c r="A720" s="362" t="str">
        <f>IFERROR(__xludf.DUMMYFUNCTION("""COMPUTED_VALUE"""),"Enchantment Thunderbolt 4")</f>
        <v>Enchantment Thunderbolt 4</v>
      </c>
      <c r="B720" s="373"/>
      <c r="C720" s="320"/>
      <c r="D720" s="320"/>
      <c r="E720" s="320"/>
      <c r="F720" s="320"/>
      <c r="G720" s="320"/>
      <c r="H720" s="320"/>
      <c r="I720" s="320"/>
      <c r="J720" s="320"/>
      <c r="K720" s="320"/>
      <c r="L720" s="320"/>
      <c r="M720" s="320"/>
      <c r="N720" s="320"/>
      <c r="O720" s="320"/>
      <c r="P720" s="320"/>
      <c r="Q720" s="320"/>
      <c r="R720" s="320"/>
      <c r="S720" s="320"/>
      <c r="T720" s="320"/>
    </row>
    <row r="721">
      <c r="A721" s="362" t="str">
        <f>IFERROR(__xludf.DUMMYFUNCTION("""COMPUTED_VALUE"""),"Enchantment Thunderbolt 5")</f>
        <v>Enchantment Thunderbolt 5</v>
      </c>
      <c r="B721" s="373"/>
      <c r="C721" s="320"/>
      <c r="D721" s="320"/>
      <c r="E721" s="320"/>
      <c r="F721" s="320"/>
      <c r="G721" s="320"/>
      <c r="H721" s="320"/>
      <c r="I721" s="320"/>
      <c r="J721" s="320"/>
      <c r="K721" s="320"/>
      <c r="L721" s="320"/>
      <c r="M721" s="320"/>
      <c r="N721" s="320"/>
      <c r="O721" s="320"/>
      <c r="P721" s="320"/>
      <c r="Q721" s="320"/>
      <c r="R721" s="320"/>
      <c r="S721" s="320"/>
      <c r="T721" s="320"/>
    </row>
    <row r="722">
      <c r="A722" s="362" t="str">
        <f>IFERROR(__xludf.DUMMYFUNCTION("""COMPUTED_VALUE"""),"Enchantment Thunderbolt 6")</f>
        <v>Enchantment Thunderbolt 6</v>
      </c>
      <c r="B722" s="373">
        <f>IFERROR(__xludf.DUMMYFUNCTION("""COMPUTED_VALUE"""),3235312.65)</f>
        <v>3235312.65</v>
      </c>
      <c r="C722" s="320"/>
      <c r="D722" s="320"/>
      <c r="E722" s="320"/>
      <c r="F722" s="320"/>
      <c r="G722" s="320"/>
      <c r="H722" s="320"/>
      <c r="I722" s="320"/>
      <c r="J722" s="320"/>
      <c r="K722" s="320"/>
      <c r="L722" s="320"/>
      <c r="M722" s="320"/>
      <c r="N722" s="320"/>
      <c r="O722" s="320"/>
      <c r="P722" s="320"/>
      <c r="Q722" s="320"/>
      <c r="R722" s="320"/>
      <c r="S722" s="320"/>
      <c r="T722" s="320"/>
    </row>
    <row r="723">
      <c r="A723" s="362" t="str">
        <f>IFERROR(__xludf.DUMMYFUNCTION("""COMPUTED_VALUE"""),"Enchantment Thunderlord 1")</f>
        <v>Enchantment Thunderlord 1</v>
      </c>
      <c r="B723" s="373"/>
      <c r="C723" s="320"/>
      <c r="D723" s="320"/>
      <c r="E723" s="320"/>
      <c r="F723" s="320"/>
      <c r="G723" s="320"/>
      <c r="H723" s="320"/>
      <c r="I723" s="320"/>
      <c r="J723" s="320"/>
      <c r="K723" s="320"/>
      <c r="L723" s="320"/>
      <c r="M723" s="320"/>
      <c r="N723" s="320"/>
      <c r="O723" s="320"/>
      <c r="P723" s="320"/>
      <c r="Q723" s="320"/>
      <c r="R723" s="320"/>
      <c r="S723" s="320"/>
      <c r="T723" s="320"/>
    </row>
    <row r="724">
      <c r="A724" s="362" t="str">
        <f>IFERROR(__xludf.DUMMYFUNCTION("""COMPUTED_VALUE"""),"Enchantment Thunderlord 2")</f>
        <v>Enchantment Thunderlord 2</v>
      </c>
      <c r="B724" s="373"/>
      <c r="C724" s="320"/>
      <c r="D724" s="320"/>
      <c r="E724" s="320"/>
      <c r="F724" s="320"/>
      <c r="G724" s="320"/>
      <c r="H724" s="320"/>
      <c r="I724" s="320"/>
      <c r="J724" s="320"/>
      <c r="K724" s="320"/>
      <c r="L724" s="320"/>
      <c r="M724" s="320"/>
      <c r="N724" s="320"/>
      <c r="O724" s="320"/>
      <c r="P724" s="320"/>
      <c r="Q724" s="320"/>
      <c r="R724" s="320"/>
      <c r="S724" s="320"/>
      <c r="T724" s="320"/>
    </row>
    <row r="725">
      <c r="A725" s="362" t="str">
        <f>IFERROR(__xludf.DUMMYFUNCTION("""COMPUTED_VALUE"""),"Enchantment Thunderlord 3")</f>
        <v>Enchantment Thunderlord 3</v>
      </c>
      <c r="B725" s="373"/>
      <c r="C725" s="320"/>
      <c r="D725" s="320"/>
      <c r="E725" s="320"/>
      <c r="F725" s="320"/>
      <c r="G725" s="320"/>
      <c r="H725" s="320"/>
      <c r="I725" s="320"/>
      <c r="J725" s="320"/>
      <c r="K725" s="320"/>
      <c r="L725" s="320"/>
      <c r="M725" s="320"/>
      <c r="N725" s="320"/>
      <c r="O725" s="320"/>
      <c r="P725" s="320"/>
      <c r="Q725" s="320"/>
      <c r="R725" s="320"/>
      <c r="S725" s="320"/>
      <c r="T725" s="320"/>
    </row>
    <row r="726">
      <c r="A726" s="362" t="str">
        <f>IFERROR(__xludf.DUMMYFUNCTION("""COMPUTED_VALUE"""),"Enchantment Thunderlord 4")</f>
        <v>Enchantment Thunderlord 4</v>
      </c>
      <c r="B726" s="373"/>
      <c r="C726" s="320"/>
      <c r="D726" s="320"/>
      <c r="E726" s="320"/>
      <c r="F726" s="320"/>
      <c r="G726" s="320"/>
      <c r="H726" s="320"/>
      <c r="I726" s="320"/>
      <c r="J726" s="320"/>
      <c r="K726" s="320"/>
      <c r="L726" s="320"/>
      <c r="M726" s="320"/>
      <c r="N726" s="320"/>
      <c r="O726" s="320"/>
      <c r="P726" s="320"/>
      <c r="Q726" s="320"/>
      <c r="R726" s="320"/>
      <c r="S726" s="320"/>
      <c r="T726" s="320"/>
    </row>
    <row r="727">
      <c r="A727" s="362" t="str">
        <f>IFERROR(__xludf.DUMMYFUNCTION("""COMPUTED_VALUE"""),"Enchantment Thunderlord 5")</f>
        <v>Enchantment Thunderlord 5</v>
      </c>
      <c r="B727" s="373"/>
      <c r="C727" s="320"/>
      <c r="D727" s="320"/>
      <c r="E727" s="320"/>
      <c r="F727" s="320"/>
      <c r="G727" s="320"/>
      <c r="H727" s="320"/>
      <c r="I727" s="320"/>
      <c r="J727" s="320"/>
      <c r="K727" s="320"/>
      <c r="L727" s="320"/>
      <c r="M727" s="320"/>
      <c r="N727" s="320"/>
      <c r="O727" s="320"/>
      <c r="P727" s="320"/>
      <c r="Q727" s="320"/>
      <c r="R727" s="320"/>
      <c r="S727" s="320"/>
      <c r="T727" s="320"/>
    </row>
    <row r="728">
      <c r="A728" s="362" t="str">
        <f>IFERROR(__xludf.DUMMYFUNCTION("""COMPUTED_VALUE"""),"Enchantment Thunderlord 6")</f>
        <v>Enchantment Thunderlord 6</v>
      </c>
      <c r="B728" s="373">
        <f>IFERROR(__xludf.DUMMYFUNCTION("""COMPUTED_VALUE"""),902.55)</f>
        <v>902.55</v>
      </c>
      <c r="C728" s="320"/>
      <c r="D728" s="320"/>
      <c r="E728" s="320"/>
      <c r="F728" s="320"/>
      <c r="G728" s="320"/>
      <c r="H728" s="320"/>
      <c r="I728" s="320"/>
      <c r="J728" s="320"/>
      <c r="K728" s="320"/>
      <c r="L728" s="320"/>
      <c r="M728" s="320"/>
      <c r="N728" s="320"/>
      <c r="O728" s="320"/>
      <c r="P728" s="320"/>
      <c r="Q728" s="320"/>
      <c r="R728" s="320"/>
      <c r="S728" s="320"/>
      <c r="T728" s="320"/>
    </row>
    <row r="729">
      <c r="A729" s="362" t="str">
        <f>IFERROR(__xludf.DUMMYFUNCTION("""COMPUTED_VALUE"""),"Enchantment Thunderlord 7")</f>
        <v>Enchantment Thunderlord 7</v>
      </c>
      <c r="B729" s="373">
        <f>IFERROR(__xludf.DUMMYFUNCTION("""COMPUTED_VALUE"""),5295013.95)</f>
        <v>5295013.95</v>
      </c>
      <c r="C729" s="320"/>
      <c r="D729" s="320"/>
      <c r="E729" s="320"/>
      <c r="F729" s="320"/>
      <c r="G729" s="320"/>
      <c r="H729" s="320"/>
      <c r="I729" s="320"/>
      <c r="J729" s="320"/>
      <c r="K729" s="320"/>
      <c r="L729" s="320"/>
      <c r="M729" s="320"/>
      <c r="N729" s="320"/>
      <c r="O729" s="320"/>
      <c r="P729" s="320"/>
      <c r="Q729" s="320"/>
      <c r="R729" s="320"/>
      <c r="S729" s="320"/>
      <c r="T729" s="320"/>
    </row>
    <row r="730">
      <c r="A730" s="362" t="str">
        <f>IFERROR(__xludf.DUMMYFUNCTION("""COMPUTED_VALUE"""),"Enchantment Titan Killer 1")</f>
        <v>Enchantment Titan Killer 1</v>
      </c>
      <c r="B730" s="373"/>
      <c r="C730" s="320"/>
      <c r="D730" s="320"/>
      <c r="E730" s="320"/>
      <c r="F730" s="320"/>
      <c r="G730" s="320"/>
      <c r="H730" s="320"/>
      <c r="I730" s="320"/>
      <c r="J730" s="320"/>
      <c r="K730" s="320"/>
      <c r="L730" s="320"/>
      <c r="M730" s="320"/>
      <c r="N730" s="320"/>
      <c r="O730" s="320"/>
      <c r="P730" s="320"/>
      <c r="Q730" s="320"/>
      <c r="R730" s="320"/>
      <c r="S730" s="320"/>
      <c r="T730" s="320"/>
    </row>
    <row r="731">
      <c r="A731" s="362" t="str">
        <f>IFERROR(__xludf.DUMMYFUNCTION("""COMPUTED_VALUE"""),"Enchantment Titan Killer 2")</f>
        <v>Enchantment Titan Killer 2</v>
      </c>
      <c r="B731" s="373"/>
      <c r="C731" s="320"/>
      <c r="D731" s="320"/>
      <c r="E731" s="320"/>
      <c r="F731" s="320"/>
      <c r="G731" s="320"/>
      <c r="H731" s="320"/>
      <c r="I731" s="320"/>
      <c r="J731" s="320"/>
      <c r="K731" s="320"/>
      <c r="L731" s="320"/>
      <c r="M731" s="320"/>
      <c r="N731" s="320"/>
      <c r="O731" s="320"/>
      <c r="P731" s="320"/>
      <c r="Q731" s="320"/>
      <c r="R731" s="320"/>
      <c r="S731" s="320"/>
      <c r="T731" s="320"/>
    </row>
    <row r="732">
      <c r="A732" s="362" t="str">
        <f>IFERROR(__xludf.DUMMYFUNCTION("""COMPUTED_VALUE"""),"Enchantment Titan Killer 3")</f>
        <v>Enchantment Titan Killer 3</v>
      </c>
      <c r="B732" s="373"/>
      <c r="C732" s="320"/>
      <c r="D732" s="320"/>
      <c r="E732" s="320"/>
      <c r="F732" s="320"/>
      <c r="G732" s="320"/>
      <c r="H732" s="320"/>
      <c r="I732" s="320"/>
      <c r="J732" s="320"/>
      <c r="K732" s="320"/>
      <c r="L732" s="320"/>
      <c r="M732" s="320"/>
      <c r="N732" s="320"/>
      <c r="O732" s="320"/>
      <c r="P732" s="320"/>
      <c r="Q732" s="320"/>
      <c r="R732" s="320"/>
      <c r="S732" s="320"/>
      <c r="T732" s="320"/>
    </row>
    <row r="733">
      <c r="A733" s="362" t="str">
        <f>IFERROR(__xludf.DUMMYFUNCTION("""COMPUTED_VALUE"""),"Enchantment Titan Killer 4")</f>
        <v>Enchantment Titan Killer 4</v>
      </c>
      <c r="B733" s="373"/>
      <c r="C733" s="320"/>
      <c r="D733" s="320"/>
      <c r="E733" s="320"/>
      <c r="F733" s="320"/>
      <c r="G733" s="320"/>
      <c r="H733" s="320"/>
      <c r="I733" s="320"/>
      <c r="J733" s="320"/>
      <c r="K733" s="320"/>
      <c r="L733" s="320"/>
      <c r="M733" s="320"/>
      <c r="N733" s="320"/>
      <c r="O733" s="320"/>
      <c r="P733" s="320"/>
      <c r="Q733" s="320"/>
      <c r="R733" s="320"/>
      <c r="S733" s="320"/>
      <c r="T733" s="320"/>
    </row>
    <row r="734">
      <c r="A734" s="362" t="str">
        <f>IFERROR(__xludf.DUMMYFUNCTION("""COMPUTED_VALUE"""),"Enchantment Titan Killer 5")</f>
        <v>Enchantment Titan Killer 5</v>
      </c>
      <c r="B734" s="373"/>
      <c r="C734" s="320"/>
      <c r="D734" s="320"/>
      <c r="E734" s="320"/>
      <c r="F734" s="320"/>
      <c r="G734" s="320"/>
      <c r="H734" s="320"/>
      <c r="I734" s="320"/>
      <c r="J734" s="320"/>
      <c r="K734" s="320"/>
      <c r="L734" s="320"/>
      <c r="M734" s="320"/>
      <c r="N734" s="320"/>
      <c r="O734" s="320"/>
      <c r="P734" s="320"/>
      <c r="Q734" s="320"/>
      <c r="R734" s="320"/>
      <c r="S734" s="320"/>
      <c r="T734" s="320"/>
    </row>
    <row r="735">
      <c r="A735" s="362" t="str">
        <f>IFERROR(__xludf.DUMMYFUNCTION("""COMPUTED_VALUE"""),"Enchantment Titan Killer 6")</f>
        <v>Enchantment Titan Killer 6</v>
      </c>
      <c r="B735" s="373">
        <f>IFERROR(__xludf.DUMMYFUNCTION("""COMPUTED_VALUE"""),26395.0)</f>
        <v>26395</v>
      </c>
      <c r="C735" s="320"/>
      <c r="D735" s="320"/>
      <c r="E735" s="320"/>
      <c r="F735" s="320"/>
      <c r="G735" s="320"/>
      <c r="H735" s="320"/>
      <c r="I735" s="320"/>
      <c r="J735" s="320"/>
      <c r="K735" s="320"/>
      <c r="L735" s="320"/>
      <c r="M735" s="320"/>
      <c r="N735" s="320"/>
      <c r="O735" s="320"/>
      <c r="P735" s="320"/>
      <c r="Q735" s="320"/>
      <c r="R735" s="320"/>
      <c r="S735" s="320"/>
      <c r="T735" s="320"/>
    </row>
    <row r="736">
      <c r="A736" s="362" t="str">
        <f>IFERROR(__xludf.DUMMYFUNCTION("""COMPUTED_VALUE"""),"Enchantment Titan Killer 7")</f>
        <v>Enchantment Titan Killer 7</v>
      </c>
      <c r="B736" s="373">
        <f>IFERROR(__xludf.DUMMYFUNCTION("""COMPUTED_VALUE"""),1.66438107E7)</f>
        <v>16643810.7</v>
      </c>
      <c r="C736" s="320"/>
      <c r="D736" s="320"/>
      <c r="E736" s="320"/>
      <c r="F736" s="320"/>
      <c r="G736" s="320"/>
      <c r="H736" s="320"/>
      <c r="I736" s="320"/>
      <c r="J736" s="320"/>
      <c r="K736" s="320"/>
      <c r="L736" s="320"/>
      <c r="M736" s="320"/>
      <c r="N736" s="320"/>
      <c r="O736" s="320"/>
      <c r="P736" s="320"/>
      <c r="Q736" s="320"/>
      <c r="R736" s="320"/>
      <c r="S736" s="320"/>
      <c r="T736" s="320"/>
    </row>
    <row r="737">
      <c r="A737" s="362" t="str">
        <f>IFERROR(__xludf.DUMMYFUNCTION("""COMPUTED_VALUE"""),"Enchantment Transylvanian 4")</f>
        <v>Enchantment Transylvanian 4</v>
      </c>
      <c r="B737" s="373">
        <f>IFERROR(__xludf.DUMMYFUNCTION("""COMPUTED_VALUE"""),476689.083)</f>
        <v>476689.083</v>
      </c>
      <c r="C737" s="320"/>
      <c r="D737" s="320"/>
      <c r="E737" s="320"/>
      <c r="F737" s="320"/>
      <c r="G737" s="320"/>
      <c r="H737" s="320"/>
      <c r="I737" s="320"/>
      <c r="J737" s="320"/>
      <c r="K737" s="320"/>
      <c r="L737" s="320"/>
      <c r="M737" s="320"/>
      <c r="N737" s="320"/>
      <c r="O737" s="320"/>
      <c r="P737" s="320"/>
      <c r="Q737" s="320"/>
      <c r="R737" s="320"/>
      <c r="S737" s="320"/>
      <c r="T737" s="320"/>
    </row>
    <row r="738">
      <c r="A738" s="362" t="str">
        <f>IFERROR(__xludf.DUMMYFUNCTION("""COMPUTED_VALUE"""),"Enchantment Transylvanian 5")</f>
        <v>Enchantment Transylvanian 5</v>
      </c>
      <c r="B738" s="373">
        <f>IFERROR(__xludf.DUMMYFUNCTION("""COMPUTED_VALUE"""),762288.508)</f>
        <v>762288.508</v>
      </c>
      <c r="C738" s="320"/>
      <c r="D738" s="320"/>
      <c r="E738" s="320"/>
      <c r="F738" s="320"/>
      <c r="G738" s="320"/>
      <c r="H738" s="320"/>
      <c r="I738" s="320"/>
      <c r="J738" s="320"/>
      <c r="K738" s="320"/>
      <c r="L738" s="320"/>
      <c r="M738" s="320"/>
      <c r="N738" s="320"/>
      <c r="O738" s="320"/>
      <c r="P738" s="320"/>
      <c r="Q738" s="320"/>
      <c r="R738" s="320"/>
      <c r="S738" s="320"/>
      <c r="T738" s="320"/>
    </row>
    <row r="739">
      <c r="A739" s="362" t="str">
        <f>IFERROR(__xludf.DUMMYFUNCTION("""COMPUTED_VALUE"""),"Enchantment Triple Strike 1")</f>
        <v>Enchantment Triple Strike 1</v>
      </c>
      <c r="B739" s="373"/>
      <c r="C739" s="320"/>
      <c r="D739" s="320"/>
      <c r="E739" s="320"/>
      <c r="F739" s="320"/>
      <c r="G739" s="320"/>
      <c r="H739" s="320"/>
      <c r="I739" s="320"/>
      <c r="J739" s="320"/>
      <c r="K739" s="320"/>
      <c r="L739" s="320"/>
      <c r="M739" s="320"/>
      <c r="N739" s="320"/>
      <c r="O739" s="320"/>
      <c r="P739" s="320"/>
      <c r="Q739" s="320"/>
      <c r="R739" s="320"/>
      <c r="S739" s="320"/>
      <c r="T739" s="320"/>
    </row>
    <row r="740">
      <c r="A740" s="362" t="str">
        <f>IFERROR(__xludf.DUMMYFUNCTION("""COMPUTED_VALUE"""),"Enchantment Triple Strike 2")</f>
        <v>Enchantment Triple Strike 2</v>
      </c>
      <c r="B740" s="373"/>
      <c r="C740" s="320"/>
      <c r="D740" s="320"/>
      <c r="E740" s="320"/>
      <c r="F740" s="320"/>
      <c r="G740" s="320"/>
      <c r="H740" s="320"/>
      <c r="I740" s="320"/>
      <c r="J740" s="320"/>
      <c r="K740" s="320"/>
      <c r="L740" s="320"/>
      <c r="M740" s="320"/>
      <c r="N740" s="320"/>
      <c r="O740" s="320"/>
      <c r="P740" s="320"/>
      <c r="Q740" s="320"/>
      <c r="R740" s="320"/>
      <c r="S740" s="320"/>
      <c r="T740" s="320"/>
    </row>
    <row r="741">
      <c r="A741" s="362" t="str">
        <f>IFERROR(__xludf.DUMMYFUNCTION("""COMPUTED_VALUE"""),"Enchantment Triple Strike 3")</f>
        <v>Enchantment Triple Strike 3</v>
      </c>
      <c r="B741" s="373"/>
      <c r="C741" s="320"/>
      <c r="D741" s="320"/>
      <c r="E741" s="320"/>
      <c r="F741" s="320"/>
      <c r="G741" s="320"/>
      <c r="H741" s="320"/>
      <c r="I741" s="320"/>
      <c r="J741" s="320"/>
      <c r="K741" s="320"/>
      <c r="L741" s="320"/>
      <c r="M741" s="320"/>
      <c r="N741" s="320"/>
      <c r="O741" s="320"/>
      <c r="P741" s="320"/>
      <c r="Q741" s="320"/>
      <c r="R741" s="320"/>
      <c r="S741" s="320"/>
      <c r="T741" s="320"/>
    </row>
    <row r="742">
      <c r="A742" s="362" t="str">
        <f>IFERROR(__xludf.DUMMYFUNCTION("""COMPUTED_VALUE"""),"Enchantment Triple Strike 4")</f>
        <v>Enchantment Triple Strike 4</v>
      </c>
      <c r="B742" s="373"/>
      <c r="C742" s="320"/>
      <c r="D742" s="320"/>
      <c r="E742" s="320"/>
      <c r="F742" s="320"/>
      <c r="G742" s="320"/>
      <c r="H742" s="320"/>
      <c r="I742" s="320"/>
      <c r="J742" s="320"/>
      <c r="K742" s="320"/>
      <c r="L742" s="320"/>
      <c r="M742" s="320"/>
      <c r="N742" s="320"/>
      <c r="O742" s="320"/>
      <c r="P742" s="320"/>
      <c r="Q742" s="320"/>
      <c r="R742" s="320"/>
      <c r="S742" s="320"/>
      <c r="T742" s="320"/>
    </row>
    <row r="743">
      <c r="A743" s="362" t="str">
        <f>IFERROR(__xludf.DUMMYFUNCTION("""COMPUTED_VALUE"""),"Enchantment Triple Strike 5")</f>
        <v>Enchantment Triple Strike 5</v>
      </c>
      <c r="B743" s="373">
        <f>IFERROR(__xludf.DUMMYFUNCTION("""COMPUTED_VALUE"""),4.943853545E7)</f>
        <v>49438535.45</v>
      </c>
      <c r="C743" s="320"/>
      <c r="D743" s="320"/>
      <c r="E743" s="320"/>
      <c r="F743" s="320"/>
      <c r="G743" s="320"/>
      <c r="H743" s="320"/>
      <c r="I743" s="320"/>
      <c r="J743" s="320"/>
      <c r="K743" s="320"/>
      <c r="L743" s="320"/>
      <c r="M743" s="320"/>
      <c r="N743" s="320"/>
      <c r="O743" s="320"/>
      <c r="P743" s="320"/>
      <c r="Q743" s="320"/>
      <c r="R743" s="320"/>
      <c r="S743" s="320"/>
      <c r="T743" s="320"/>
    </row>
    <row r="744">
      <c r="A744" s="362" t="str">
        <f>IFERROR(__xludf.DUMMYFUNCTION("""COMPUTED_VALUE"""),"Enchantment True Protection 1")</f>
        <v>Enchantment True Protection 1</v>
      </c>
      <c r="B744" s="373">
        <f>IFERROR(__xludf.DUMMYFUNCTION("""COMPUTED_VALUE"""),785750.29)</f>
        <v>785750.29</v>
      </c>
      <c r="C744" s="320"/>
      <c r="D744" s="320"/>
      <c r="E744" s="320"/>
      <c r="F744" s="320"/>
      <c r="G744" s="320"/>
      <c r="H744" s="320"/>
      <c r="I744" s="320"/>
      <c r="J744" s="320"/>
      <c r="K744" s="320"/>
      <c r="L744" s="320"/>
      <c r="M744" s="320"/>
      <c r="N744" s="320"/>
      <c r="O744" s="320"/>
      <c r="P744" s="320"/>
      <c r="Q744" s="320"/>
      <c r="R744" s="320"/>
      <c r="S744" s="320"/>
      <c r="T744" s="320"/>
    </row>
    <row r="745">
      <c r="A745" s="362" t="str">
        <f>IFERROR(__xludf.DUMMYFUNCTION("""COMPUTED_VALUE"""),"Enchantment Turbo Cactus 1")</f>
        <v>Enchantment Turbo Cactus 1</v>
      </c>
      <c r="B745" s="373">
        <f>IFERROR(__xludf.DUMMYFUNCTION("""COMPUTED_VALUE"""),132231.45)</f>
        <v>132231.45</v>
      </c>
      <c r="C745" s="320"/>
      <c r="D745" s="320"/>
      <c r="E745" s="320"/>
      <c r="F745" s="320"/>
      <c r="G745" s="320"/>
      <c r="H745" s="320"/>
      <c r="I745" s="320"/>
      <c r="J745" s="320"/>
      <c r="K745" s="320"/>
      <c r="L745" s="320"/>
      <c r="M745" s="320"/>
      <c r="N745" s="320"/>
      <c r="O745" s="320"/>
      <c r="P745" s="320"/>
      <c r="Q745" s="320"/>
      <c r="R745" s="320"/>
      <c r="S745" s="320"/>
      <c r="T745" s="320"/>
    </row>
    <row r="746">
      <c r="A746" s="362" t="str">
        <f>IFERROR(__xludf.DUMMYFUNCTION("""COMPUTED_VALUE"""),"Enchantment Turbo Cactus 2")</f>
        <v>Enchantment Turbo Cactus 2</v>
      </c>
      <c r="B746" s="373">
        <f>IFERROR(__xludf.DUMMYFUNCTION("""COMPUTED_VALUE"""),324352.733)</f>
        <v>324352.733</v>
      </c>
      <c r="C746" s="320"/>
      <c r="D746" s="320"/>
      <c r="E746" s="320"/>
      <c r="F746" s="320"/>
      <c r="G746" s="320"/>
      <c r="H746" s="320"/>
      <c r="I746" s="320"/>
      <c r="J746" s="320"/>
      <c r="K746" s="320"/>
      <c r="L746" s="320"/>
      <c r="M746" s="320"/>
      <c r="N746" s="320"/>
      <c r="O746" s="320"/>
      <c r="P746" s="320"/>
      <c r="Q746" s="320"/>
      <c r="R746" s="320"/>
      <c r="S746" s="320"/>
      <c r="T746" s="320"/>
    </row>
    <row r="747">
      <c r="A747" s="362" t="str">
        <f>IFERROR(__xludf.DUMMYFUNCTION("""COMPUTED_VALUE"""),"Enchantment Turbo Cactus 3")</f>
        <v>Enchantment Turbo Cactus 3</v>
      </c>
      <c r="B747" s="373">
        <f>IFERROR(__xludf.DUMMYFUNCTION("""COMPUTED_VALUE"""),795907.1)</f>
        <v>795907.1</v>
      </c>
      <c r="C747" s="320"/>
      <c r="D747" s="320"/>
      <c r="E747" s="320"/>
      <c r="F747" s="320"/>
      <c r="G747" s="320"/>
      <c r="H747" s="320"/>
      <c r="I747" s="320"/>
      <c r="J747" s="320"/>
      <c r="K747" s="320"/>
      <c r="L747" s="320"/>
      <c r="M747" s="320"/>
      <c r="N747" s="320"/>
      <c r="O747" s="320"/>
      <c r="P747" s="320"/>
      <c r="Q747" s="320"/>
      <c r="R747" s="320"/>
      <c r="S747" s="320"/>
      <c r="T747" s="320"/>
    </row>
    <row r="748">
      <c r="A748" s="362" t="str">
        <f>IFERROR(__xludf.DUMMYFUNCTION("""COMPUTED_VALUE"""),"Enchantment Turbo Cactus 4")</f>
        <v>Enchantment Turbo Cactus 4</v>
      </c>
      <c r="B748" s="373">
        <f>IFERROR(__xludf.DUMMYFUNCTION("""COMPUTED_VALUE"""),1569499.0)</f>
        <v>1569499</v>
      </c>
      <c r="C748" s="320"/>
      <c r="D748" s="320"/>
      <c r="E748" s="320"/>
      <c r="F748" s="320"/>
      <c r="G748" s="320"/>
      <c r="H748" s="320"/>
      <c r="I748" s="320"/>
      <c r="J748" s="320"/>
      <c r="K748" s="320"/>
      <c r="L748" s="320"/>
      <c r="M748" s="320"/>
      <c r="N748" s="320"/>
      <c r="O748" s="320"/>
      <c r="P748" s="320"/>
      <c r="Q748" s="320"/>
      <c r="R748" s="320"/>
      <c r="S748" s="320"/>
      <c r="T748" s="320"/>
    </row>
    <row r="749">
      <c r="A749" s="362" t="str">
        <f>IFERROR(__xludf.DUMMYFUNCTION("""COMPUTED_VALUE"""),"Enchantment Turbo Cactus 5")</f>
        <v>Enchantment Turbo Cactus 5</v>
      </c>
      <c r="B749" s="373">
        <f>IFERROR(__xludf.DUMMYFUNCTION("""COMPUTED_VALUE"""),2651269.8)</f>
        <v>2651269.8</v>
      </c>
      <c r="C749" s="320"/>
      <c r="D749" s="320"/>
      <c r="E749" s="320"/>
      <c r="F749" s="320"/>
      <c r="G749" s="320"/>
      <c r="H749" s="320"/>
      <c r="I749" s="320"/>
      <c r="J749" s="320"/>
      <c r="K749" s="320"/>
      <c r="L749" s="320"/>
      <c r="M749" s="320"/>
      <c r="N749" s="320"/>
      <c r="O749" s="320"/>
      <c r="P749" s="320"/>
      <c r="Q749" s="320"/>
      <c r="R749" s="320"/>
      <c r="S749" s="320"/>
      <c r="T749" s="320"/>
    </row>
    <row r="750">
      <c r="A750" s="362" t="str">
        <f>IFERROR(__xludf.DUMMYFUNCTION("""COMPUTED_VALUE"""),"Enchantment Turbo Cane 1")</f>
        <v>Enchantment Turbo Cane 1</v>
      </c>
      <c r="B750" s="373">
        <f>IFERROR(__xludf.DUMMYFUNCTION("""COMPUTED_VALUE"""),11120.955)</f>
        <v>11120.955</v>
      </c>
      <c r="C750" s="320"/>
      <c r="D750" s="320"/>
      <c r="E750" s="320"/>
      <c r="F750" s="320"/>
      <c r="G750" s="320"/>
      <c r="H750" s="320"/>
      <c r="I750" s="320"/>
      <c r="J750" s="320"/>
      <c r="K750" s="320"/>
      <c r="L750" s="320"/>
      <c r="M750" s="320"/>
      <c r="N750" s="320"/>
      <c r="O750" s="320"/>
      <c r="P750" s="320"/>
      <c r="Q750" s="320"/>
      <c r="R750" s="320"/>
      <c r="S750" s="320"/>
      <c r="T750" s="320"/>
    </row>
    <row r="751">
      <c r="A751" s="362" t="str">
        <f>IFERROR(__xludf.DUMMYFUNCTION("""COMPUTED_VALUE"""),"Enchantment Turbo Cane 2")</f>
        <v>Enchantment Turbo Cane 2</v>
      </c>
      <c r="B751" s="373">
        <f>IFERROR(__xludf.DUMMYFUNCTION("""COMPUTED_VALUE"""),26991.5)</f>
        <v>26991.5</v>
      </c>
      <c r="C751" s="320"/>
      <c r="D751" s="320"/>
      <c r="E751" s="320"/>
      <c r="F751" s="320"/>
      <c r="G751" s="320"/>
      <c r="H751" s="320"/>
      <c r="I751" s="320"/>
      <c r="J751" s="320"/>
      <c r="K751" s="320"/>
      <c r="L751" s="320"/>
      <c r="M751" s="320"/>
      <c r="N751" s="320"/>
      <c r="O751" s="320"/>
      <c r="P751" s="320"/>
      <c r="Q751" s="320"/>
      <c r="R751" s="320"/>
      <c r="S751" s="320"/>
      <c r="T751" s="320"/>
    </row>
    <row r="752">
      <c r="A752" s="362" t="str">
        <f>IFERROR(__xludf.DUMMYFUNCTION("""COMPUTED_VALUE"""),"Enchantment Turbo Cane 3")</f>
        <v>Enchantment Turbo Cane 3</v>
      </c>
      <c r="B752" s="373">
        <f>IFERROR(__xludf.DUMMYFUNCTION("""COMPUTED_VALUE"""),81100.35)</f>
        <v>81100.35</v>
      </c>
      <c r="C752" s="320"/>
      <c r="D752" s="320"/>
      <c r="E752" s="320"/>
      <c r="F752" s="320"/>
      <c r="G752" s="320"/>
      <c r="H752" s="320"/>
      <c r="I752" s="320"/>
      <c r="J752" s="320"/>
      <c r="K752" s="320"/>
      <c r="L752" s="320"/>
      <c r="M752" s="320"/>
      <c r="N752" s="320"/>
      <c r="O752" s="320"/>
      <c r="P752" s="320"/>
      <c r="Q752" s="320"/>
      <c r="R752" s="320"/>
      <c r="S752" s="320"/>
      <c r="T752" s="320"/>
    </row>
    <row r="753">
      <c r="A753" s="362" t="str">
        <f>IFERROR(__xludf.DUMMYFUNCTION("""COMPUTED_VALUE"""),"Enchantment Turbo Cane 4")</f>
        <v>Enchantment Turbo Cane 4</v>
      </c>
      <c r="B753" s="373">
        <f>IFERROR(__xludf.DUMMYFUNCTION("""COMPUTED_VALUE"""),159700.05)</f>
        <v>159700.05</v>
      </c>
      <c r="C753" s="320"/>
      <c r="D753" s="320"/>
      <c r="E753" s="320"/>
      <c r="F753" s="320"/>
      <c r="G753" s="320"/>
      <c r="H753" s="320"/>
      <c r="I753" s="320"/>
      <c r="J753" s="320"/>
      <c r="K753" s="320"/>
      <c r="L753" s="320"/>
      <c r="M753" s="320"/>
      <c r="N753" s="320"/>
      <c r="O753" s="320"/>
      <c r="P753" s="320"/>
      <c r="Q753" s="320"/>
      <c r="R753" s="320"/>
      <c r="S753" s="320"/>
      <c r="T753" s="320"/>
    </row>
    <row r="754">
      <c r="A754" s="362" t="str">
        <f>IFERROR(__xludf.DUMMYFUNCTION("""COMPUTED_VALUE"""),"Enchantment Turbo Cane 5")</f>
        <v>Enchantment Turbo Cane 5</v>
      </c>
      <c r="B754" s="373">
        <f>IFERROR(__xludf.DUMMYFUNCTION("""COMPUTED_VALUE"""),195100.85)</f>
        <v>195100.85</v>
      </c>
      <c r="C754" s="320"/>
      <c r="D754" s="320"/>
      <c r="E754" s="320"/>
      <c r="F754" s="320"/>
      <c r="G754" s="320"/>
      <c r="H754" s="320"/>
      <c r="I754" s="320"/>
      <c r="J754" s="320"/>
      <c r="K754" s="320"/>
      <c r="L754" s="320"/>
      <c r="M754" s="320"/>
      <c r="N754" s="320"/>
      <c r="O754" s="320"/>
      <c r="P754" s="320"/>
      <c r="Q754" s="320"/>
      <c r="R754" s="320"/>
      <c r="S754" s="320"/>
      <c r="T754" s="320"/>
    </row>
    <row r="755">
      <c r="A755" s="362" t="str">
        <f>IFERROR(__xludf.DUMMYFUNCTION("""COMPUTED_VALUE"""),"Enchantment Turbo Carrot 1")</f>
        <v>Enchantment Turbo Carrot 1</v>
      </c>
      <c r="B755" s="373">
        <f>IFERROR(__xludf.DUMMYFUNCTION("""COMPUTED_VALUE"""),17000.38)</f>
        <v>17000.38</v>
      </c>
      <c r="C755" s="320"/>
      <c r="D755" s="320"/>
      <c r="E755" s="320"/>
      <c r="F755" s="320"/>
      <c r="G755" s="320"/>
      <c r="H755" s="320"/>
      <c r="I755" s="320"/>
      <c r="J755" s="320"/>
      <c r="K755" s="320"/>
      <c r="L755" s="320"/>
      <c r="M755" s="320"/>
      <c r="N755" s="320"/>
      <c r="O755" s="320"/>
      <c r="P755" s="320"/>
      <c r="Q755" s="320"/>
      <c r="R755" s="320"/>
      <c r="S755" s="320"/>
      <c r="T755" s="320"/>
    </row>
    <row r="756">
      <c r="A756" s="362" t="str">
        <f>IFERROR(__xludf.DUMMYFUNCTION("""COMPUTED_VALUE"""),"Enchantment Turbo Carrot 2")</f>
        <v>Enchantment Turbo Carrot 2</v>
      </c>
      <c r="B756" s="373">
        <f>IFERROR(__xludf.DUMMYFUNCTION("""COMPUTED_VALUE"""),33621.7)</f>
        <v>33621.7</v>
      </c>
      <c r="C756" s="320"/>
      <c r="D756" s="320"/>
      <c r="E756" s="320"/>
      <c r="F756" s="320"/>
      <c r="G756" s="320"/>
      <c r="H756" s="320"/>
      <c r="I756" s="320"/>
      <c r="J756" s="320"/>
      <c r="K756" s="320"/>
      <c r="L756" s="320"/>
      <c r="M756" s="320"/>
      <c r="N756" s="320"/>
      <c r="O756" s="320"/>
      <c r="P756" s="320"/>
      <c r="Q756" s="320"/>
      <c r="R756" s="320"/>
      <c r="S756" s="320"/>
      <c r="T756" s="320"/>
    </row>
    <row r="757">
      <c r="A757" s="362" t="str">
        <f>IFERROR(__xludf.DUMMYFUNCTION("""COMPUTED_VALUE"""),"Enchantment Turbo Carrot 3")</f>
        <v>Enchantment Turbo Carrot 3</v>
      </c>
      <c r="B757" s="373">
        <f>IFERROR(__xludf.DUMMYFUNCTION("""COMPUTED_VALUE"""),118483.625)</f>
        <v>118483.625</v>
      </c>
      <c r="C757" s="320"/>
      <c r="D757" s="320"/>
      <c r="E757" s="320"/>
      <c r="F757" s="320"/>
      <c r="G757" s="320"/>
      <c r="H757" s="320"/>
      <c r="I757" s="320"/>
      <c r="J757" s="320"/>
      <c r="K757" s="320"/>
      <c r="L757" s="320"/>
      <c r="M757" s="320"/>
      <c r="N757" s="320"/>
      <c r="O757" s="320"/>
      <c r="P757" s="320"/>
      <c r="Q757" s="320"/>
      <c r="R757" s="320"/>
      <c r="S757" s="320"/>
      <c r="T757" s="320"/>
    </row>
    <row r="758">
      <c r="A758" s="362" t="str">
        <f>IFERROR(__xludf.DUMMYFUNCTION("""COMPUTED_VALUE"""),"Enchantment Turbo Carrot 4")</f>
        <v>Enchantment Turbo Carrot 4</v>
      </c>
      <c r="B758" s="373">
        <f>IFERROR(__xludf.DUMMYFUNCTION("""COMPUTED_VALUE"""),228000.388)</f>
        <v>228000.388</v>
      </c>
      <c r="C758" s="320"/>
      <c r="D758" s="320"/>
      <c r="E758" s="320"/>
      <c r="F758" s="320"/>
      <c r="G758" s="320"/>
      <c r="H758" s="320"/>
      <c r="I758" s="320"/>
      <c r="J758" s="320"/>
      <c r="K758" s="320"/>
      <c r="L758" s="320"/>
      <c r="M758" s="320"/>
      <c r="N758" s="320"/>
      <c r="O758" s="320"/>
      <c r="P758" s="320"/>
      <c r="Q758" s="320"/>
      <c r="R758" s="320"/>
      <c r="S758" s="320"/>
      <c r="T758" s="320"/>
    </row>
    <row r="759">
      <c r="A759" s="362" t="str">
        <f>IFERROR(__xludf.DUMMYFUNCTION("""COMPUTED_VALUE"""),"Enchantment Turbo Carrot 5")</f>
        <v>Enchantment Turbo Carrot 5</v>
      </c>
      <c r="B759" s="373">
        <f>IFERROR(__xludf.DUMMYFUNCTION("""COMPUTED_VALUE"""),415726.6)</f>
        <v>415726.6</v>
      </c>
      <c r="C759" s="320"/>
      <c r="D759" s="320"/>
      <c r="E759" s="320"/>
      <c r="F759" s="320"/>
      <c r="G759" s="320"/>
      <c r="H759" s="320"/>
      <c r="I759" s="320"/>
      <c r="J759" s="320"/>
      <c r="K759" s="320"/>
      <c r="L759" s="320"/>
      <c r="M759" s="320"/>
      <c r="N759" s="320"/>
      <c r="O759" s="320"/>
      <c r="P759" s="320"/>
      <c r="Q759" s="320"/>
      <c r="R759" s="320"/>
      <c r="S759" s="320"/>
      <c r="T759" s="320"/>
    </row>
    <row r="760">
      <c r="A760" s="362" t="str">
        <f>IFERROR(__xludf.DUMMYFUNCTION("""COMPUTED_VALUE"""),"Enchantment Turbo Coco 1")</f>
        <v>Enchantment Turbo Coco 1</v>
      </c>
      <c r="B760" s="373">
        <f>IFERROR(__xludf.DUMMYFUNCTION("""COMPUTED_VALUE"""),59924.8)</f>
        <v>59924.8</v>
      </c>
      <c r="C760" s="320"/>
      <c r="D760" s="320"/>
      <c r="E760" s="320"/>
      <c r="F760" s="320"/>
      <c r="G760" s="320"/>
      <c r="H760" s="320"/>
      <c r="I760" s="320"/>
      <c r="J760" s="320"/>
      <c r="K760" s="320"/>
      <c r="L760" s="320"/>
      <c r="M760" s="320"/>
      <c r="N760" s="320"/>
      <c r="O760" s="320"/>
      <c r="P760" s="320"/>
      <c r="Q760" s="320"/>
      <c r="R760" s="320"/>
      <c r="S760" s="320"/>
      <c r="T760" s="320"/>
    </row>
    <row r="761">
      <c r="A761" s="362" t="str">
        <f>IFERROR(__xludf.DUMMYFUNCTION("""COMPUTED_VALUE"""),"Enchantment Turbo Coco 2")</f>
        <v>Enchantment Turbo Coco 2</v>
      </c>
      <c r="B761" s="373">
        <f>IFERROR(__xludf.DUMMYFUNCTION("""COMPUTED_VALUE"""),254778.3)</f>
        <v>254778.3</v>
      </c>
      <c r="C761" s="320"/>
      <c r="D761" s="320"/>
      <c r="E761" s="320"/>
      <c r="F761" s="320"/>
      <c r="G761" s="320"/>
      <c r="H761" s="320"/>
      <c r="I761" s="320"/>
      <c r="J761" s="320"/>
      <c r="K761" s="320"/>
      <c r="L761" s="320"/>
      <c r="M761" s="320"/>
      <c r="N761" s="320"/>
      <c r="O761" s="320"/>
      <c r="P761" s="320"/>
      <c r="Q761" s="320"/>
      <c r="R761" s="320"/>
      <c r="S761" s="320"/>
      <c r="T761" s="320"/>
    </row>
    <row r="762">
      <c r="A762" s="362" t="str">
        <f>IFERROR(__xludf.DUMMYFUNCTION("""COMPUTED_VALUE"""),"Enchantment Turbo Coco 3")</f>
        <v>Enchantment Turbo Coco 3</v>
      </c>
      <c r="B762" s="373">
        <f>IFERROR(__xludf.DUMMYFUNCTION("""COMPUTED_VALUE"""),352502.15)</f>
        <v>352502.15</v>
      </c>
      <c r="C762" s="320"/>
      <c r="D762" s="320"/>
      <c r="E762" s="320"/>
      <c r="F762" s="320"/>
      <c r="G762" s="320"/>
      <c r="H762" s="320"/>
      <c r="I762" s="320"/>
      <c r="J762" s="320"/>
      <c r="K762" s="320"/>
      <c r="L762" s="320"/>
      <c r="M762" s="320"/>
      <c r="N762" s="320"/>
      <c r="O762" s="320"/>
      <c r="P762" s="320"/>
      <c r="Q762" s="320"/>
      <c r="R762" s="320"/>
      <c r="S762" s="320"/>
      <c r="T762" s="320"/>
    </row>
    <row r="763">
      <c r="A763" s="362" t="str">
        <f>IFERROR(__xludf.DUMMYFUNCTION("""COMPUTED_VALUE"""),"Enchantment Turbo Coco 4")</f>
        <v>Enchantment Turbo Coco 4</v>
      </c>
      <c r="B763" s="373">
        <f>IFERROR(__xludf.DUMMYFUNCTION("""COMPUTED_VALUE"""),845000.35)</f>
        <v>845000.35</v>
      </c>
      <c r="C763" s="320"/>
      <c r="D763" s="320"/>
      <c r="E763" s="320"/>
      <c r="F763" s="320"/>
      <c r="G763" s="320"/>
      <c r="H763" s="320"/>
      <c r="I763" s="320"/>
      <c r="J763" s="320"/>
      <c r="K763" s="320"/>
      <c r="L763" s="320"/>
      <c r="M763" s="320"/>
      <c r="N763" s="320"/>
      <c r="O763" s="320"/>
      <c r="P763" s="320"/>
      <c r="Q763" s="320"/>
      <c r="R763" s="320"/>
      <c r="S763" s="320"/>
      <c r="T763" s="320"/>
    </row>
    <row r="764">
      <c r="A764" s="362" t="str">
        <f>IFERROR(__xludf.DUMMYFUNCTION("""COMPUTED_VALUE"""),"Enchantment Turbo Coco 5")</f>
        <v>Enchantment Turbo Coco 5</v>
      </c>
      <c r="B764" s="373">
        <f>IFERROR(__xludf.DUMMYFUNCTION("""COMPUTED_VALUE"""),1604055.05)</f>
        <v>1604055.05</v>
      </c>
      <c r="C764" s="320"/>
      <c r="D764" s="320"/>
      <c r="E764" s="320"/>
      <c r="F764" s="320"/>
      <c r="G764" s="320"/>
      <c r="H764" s="320"/>
      <c r="I764" s="320"/>
      <c r="J764" s="320"/>
      <c r="K764" s="320"/>
      <c r="L764" s="320"/>
      <c r="M764" s="320"/>
      <c r="N764" s="320"/>
      <c r="O764" s="320"/>
      <c r="P764" s="320"/>
      <c r="Q764" s="320"/>
      <c r="R764" s="320"/>
      <c r="S764" s="320"/>
      <c r="T764" s="320"/>
    </row>
    <row r="765">
      <c r="A765" s="362" t="str">
        <f>IFERROR(__xludf.DUMMYFUNCTION("""COMPUTED_VALUE"""),"Enchantment Turbo Melon 1")</f>
        <v>Enchantment Turbo Melon 1</v>
      </c>
      <c r="B765" s="373">
        <f>IFERROR(__xludf.DUMMYFUNCTION("""COMPUTED_VALUE"""),112151.45)</f>
        <v>112151.45</v>
      </c>
      <c r="C765" s="320"/>
      <c r="D765" s="320"/>
      <c r="E765" s="320"/>
      <c r="F765" s="320"/>
      <c r="G765" s="320"/>
      <c r="H765" s="320"/>
      <c r="I765" s="320"/>
      <c r="J765" s="320"/>
      <c r="K765" s="320"/>
      <c r="L765" s="320"/>
      <c r="M765" s="320"/>
      <c r="N765" s="320"/>
      <c r="O765" s="320"/>
      <c r="P765" s="320"/>
      <c r="Q765" s="320"/>
      <c r="R765" s="320"/>
      <c r="S765" s="320"/>
      <c r="T765" s="320"/>
    </row>
    <row r="766">
      <c r="A766" s="362" t="str">
        <f>IFERROR(__xludf.DUMMYFUNCTION("""COMPUTED_VALUE"""),"Enchantment Turbo Melon 2")</f>
        <v>Enchantment Turbo Melon 2</v>
      </c>
      <c r="B766" s="373">
        <f>IFERROR(__xludf.DUMMYFUNCTION("""COMPUTED_VALUE"""),286459.8)</f>
        <v>286459.8</v>
      </c>
      <c r="C766" s="320"/>
      <c r="D766" s="320"/>
      <c r="E766" s="320"/>
      <c r="F766" s="320"/>
      <c r="G766" s="320"/>
      <c r="H766" s="320"/>
      <c r="I766" s="320"/>
      <c r="J766" s="320"/>
      <c r="K766" s="320"/>
      <c r="L766" s="320"/>
      <c r="M766" s="320"/>
      <c r="N766" s="320"/>
      <c r="O766" s="320"/>
      <c r="P766" s="320"/>
      <c r="Q766" s="320"/>
      <c r="R766" s="320"/>
      <c r="S766" s="320"/>
      <c r="T766" s="320"/>
    </row>
    <row r="767">
      <c r="A767" s="362" t="str">
        <f>IFERROR(__xludf.DUMMYFUNCTION("""COMPUTED_VALUE"""),"Enchantment Turbo Melon 3")</f>
        <v>Enchantment Turbo Melon 3</v>
      </c>
      <c r="B767" s="373">
        <f>IFERROR(__xludf.DUMMYFUNCTION("""COMPUTED_VALUE"""),615214.425)</f>
        <v>615214.425</v>
      </c>
      <c r="C767" s="320"/>
      <c r="D767" s="320"/>
      <c r="E767" s="320"/>
      <c r="F767" s="320"/>
      <c r="G767" s="320"/>
      <c r="H767" s="320"/>
      <c r="I767" s="320"/>
      <c r="J767" s="320"/>
      <c r="K767" s="320"/>
      <c r="L767" s="320"/>
      <c r="M767" s="320"/>
      <c r="N767" s="320"/>
      <c r="O767" s="320"/>
      <c r="P767" s="320"/>
      <c r="Q767" s="320"/>
      <c r="R767" s="320"/>
      <c r="S767" s="320"/>
      <c r="T767" s="320"/>
    </row>
    <row r="768">
      <c r="A768" s="362" t="str">
        <f>IFERROR(__xludf.DUMMYFUNCTION("""COMPUTED_VALUE"""),"Enchantment Turbo Melon 4")</f>
        <v>Enchantment Turbo Melon 4</v>
      </c>
      <c r="B768" s="373">
        <f>IFERROR(__xludf.DUMMYFUNCTION("""COMPUTED_VALUE"""),1319790.0)</f>
        <v>1319790</v>
      </c>
      <c r="C768" s="320"/>
      <c r="D768" s="320"/>
      <c r="E768" s="320"/>
      <c r="F768" s="320"/>
      <c r="G768" s="320"/>
      <c r="H768" s="320"/>
      <c r="I768" s="320"/>
      <c r="J768" s="320"/>
      <c r="K768" s="320"/>
      <c r="L768" s="320"/>
      <c r="M768" s="320"/>
      <c r="N768" s="320"/>
      <c r="O768" s="320"/>
      <c r="P768" s="320"/>
      <c r="Q768" s="320"/>
      <c r="R768" s="320"/>
      <c r="S768" s="320"/>
      <c r="T768" s="320"/>
    </row>
    <row r="769">
      <c r="A769" s="362" t="str">
        <f>IFERROR(__xludf.DUMMYFUNCTION("""COMPUTED_VALUE"""),"Enchantment Turbo Melon 5")</f>
        <v>Enchantment Turbo Melon 5</v>
      </c>
      <c r="B769" s="373">
        <f>IFERROR(__xludf.DUMMYFUNCTION("""COMPUTED_VALUE"""),2472436.75)</f>
        <v>2472436.75</v>
      </c>
      <c r="C769" s="320"/>
      <c r="D769" s="320"/>
      <c r="E769" s="320"/>
      <c r="F769" s="320"/>
      <c r="G769" s="320"/>
      <c r="H769" s="320"/>
      <c r="I769" s="320"/>
      <c r="J769" s="320"/>
      <c r="K769" s="320"/>
      <c r="L769" s="320"/>
      <c r="M769" s="320"/>
      <c r="N769" s="320"/>
      <c r="O769" s="320"/>
      <c r="P769" s="320"/>
      <c r="Q769" s="320"/>
      <c r="R769" s="320"/>
      <c r="S769" s="320"/>
      <c r="T769" s="320"/>
    </row>
    <row r="770">
      <c r="A770" s="362" t="str">
        <f>IFERROR(__xludf.DUMMYFUNCTION("""COMPUTED_VALUE"""),"Enchantment Turbo Mushrooms 1")</f>
        <v>Enchantment Turbo Mushrooms 1</v>
      </c>
      <c r="B770" s="373">
        <f>IFERROR(__xludf.DUMMYFUNCTION("""COMPUTED_VALUE"""),748.479)</f>
        <v>748.479</v>
      </c>
      <c r="C770" s="320"/>
      <c r="D770" s="320"/>
      <c r="E770" s="320"/>
      <c r="F770" s="320"/>
      <c r="G770" s="320"/>
      <c r="H770" s="320"/>
      <c r="I770" s="320"/>
      <c r="J770" s="320"/>
      <c r="K770" s="320"/>
      <c r="L770" s="320"/>
      <c r="M770" s="320"/>
      <c r="N770" s="320"/>
      <c r="O770" s="320"/>
      <c r="P770" s="320"/>
      <c r="Q770" s="320"/>
      <c r="R770" s="320"/>
      <c r="S770" s="320"/>
      <c r="T770" s="320"/>
    </row>
    <row r="771">
      <c r="A771" s="362" t="str">
        <f>IFERROR(__xludf.DUMMYFUNCTION("""COMPUTED_VALUE"""),"Enchantment Turbo Mushrooms 2")</f>
        <v>Enchantment Turbo Mushrooms 2</v>
      </c>
      <c r="B771" s="373">
        <f>IFERROR(__xludf.DUMMYFUNCTION("""COMPUTED_VALUE"""),16199.7)</f>
        <v>16199.7</v>
      </c>
      <c r="C771" s="320"/>
      <c r="D771" s="320"/>
      <c r="E771" s="320"/>
      <c r="F771" s="320"/>
      <c r="G771" s="320"/>
      <c r="H771" s="320"/>
      <c r="I771" s="320"/>
      <c r="J771" s="320"/>
      <c r="K771" s="320"/>
      <c r="L771" s="320"/>
      <c r="M771" s="320"/>
      <c r="N771" s="320"/>
      <c r="O771" s="320"/>
      <c r="P771" s="320"/>
      <c r="Q771" s="320"/>
      <c r="R771" s="320"/>
      <c r="S771" s="320"/>
      <c r="T771" s="320"/>
    </row>
    <row r="772">
      <c r="A772" s="362" t="str">
        <f>IFERROR(__xludf.DUMMYFUNCTION("""COMPUTED_VALUE"""),"Enchantment Turbo Mushrooms 3")</f>
        <v>Enchantment Turbo Mushrooms 3</v>
      </c>
      <c r="B772" s="373">
        <f>IFERROR(__xludf.DUMMYFUNCTION("""COMPUTED_VALUE"""),32448.2)</f>
        <v>32448.2</v>
      </c>
      <c r="C772" s="320"/>
      <c r="D772" s="320"/>
      <c r="E772" s="320"/>
      <c r="F772" s="320"/>
      <c r="G772" s="320"/>
      <c r="H772" s="320"/>
      <c r="I772" s="320"/>
      <c r="J772" s="320"/>
      <c r="K772" s="320"/>
      <c r="L772" s="320"/>
      <c r="M772" s="320"/>
      <c r="N772" s="320"/>
      <c r="O772" s="320"/>
      <c r="P772" s="320"/>
      <c r="Q772" s="320"/>
      <c r="R772" s="320"/>
      <c r="S772" s="320"/>
      <c r="T772" s="320"/>
    </row>
    <row r="773">
      <c r="A773" s="362" t="str">
        <f>IFERROR(__xludf.DUMMYFUNCTION("""COMPUTED_VALUE"""),"Enchantment Turbo Mushrooms 4")</f>
        <v>Enchantment Turbo Mushrooms 4</v>
      </c>
      <c r="B773" s="373">
        <f>IFERROR(__xludf.DUMMYFUNCTION("""COMPUTED_VALUE"""),40559.267)</f>
        <v>40559.267</v>
      </c>
      <c r="C773" s="320"/>
      <c r="D773" s="320"/>
      <c r="E773" s="320"/>
      <c r="F773" s="320"/>
      <c r="G773" s="320"/>
      <c r="H773" s="320"/>
      <c r="I773" s="320"/>
      <c r="J773" s="320"/>
      <c r="K773" s="320"/>
      <c r="L773" s="320"/>
      <c r="M773" s="320"/>
      <c r="N773" s="320"/>
      <c r="O773" s="320"/>
      <c r="P773" s="320"/>
      <c r="Q773" s="320"/>
      <c r="R773" s="320"/>
      <c r="S773" s="320"/>
      <c r="T773" s="320"/>
    </row>
    <row r="774">
      <c r="A774" s="362" t="str">
        <f>IFERROR(__xludf.DUMMYFUNCTION("""COMPUTED_VALUE"""),"Enchantment Turbo Mushrooms 5")</f>
        <v>Enchantment Turbo Mushrooms 5</v>
      </c>
      <c r="B774" s="373">
        <f>IFERROR(__xludf.DUMMYFUNCTION("""COMPUTED_VALUE"""),89773.15)</f>
        <v>89773.15</v>
      </c>
      <c r="C774" s="320"/>
      <c r="D774" s="320"/>
      <c r="E774" s="320"/>
      <c r="F774" s="320"/>
      <c r="G774" s="320"/>
      <c r="H774" s="320"/>
      <c r="I774" s="320"/>
      <c r="J774" s="320"/>
      <c r="K774" s="320"/>
      <c r="L774" s="320"/>
      <c r="M774" s="320"/>
      <c r="N774" s="320"/>
      <c r="O774" s="320"/>
      <c r="P774" s="320"/>
      <c r="Q774" s="320"/>
      <c r="R774" s="320"/>
      <c r="S774" s="320"/>
      <c r="T774" s="320"/>
    </row>
    <row r="775">
      <c r="A775" s="362" t="str">
        <f>IFERROR(__xludf.DUMMYFUNCTION("""COMPUTED_VALUE"""),"Enchantment Turbo Potato 1")</f>
        <v>Enchantment Turbo Potato 1</v>
      </c>
      <c r="B775" s="373">
        <f>IFERROR(__xludf.DUMMYFUNCTION("""COMPUTED_VALUE"""),35386.75)</f>
        <v>35386.75</v>
      </c>
      <c r="C775" s="320"/>
      <c r="D775" s="320"/>
      <c r="E775" s="320"/>
      <c r="F775" s="320"/>
      <c r="G775" s="320"/>
      <c r="H775" s="320"/>
      <c r="I775" s="320"/>
      <c r="J775" s="320"/>
      <c r="K775" s="320"/>
      <c r="L775" s="320"/>
      <c r="M775" s="320"/>
      <c r="N775" s="320"/>
      <c r="O775" s="320"/>
      <c r="P775" s="320"/>
      <c r="Q775" s="320"/>
      <c r="R775" s="320"/>
      <c r="S775" s="320"/>
      <c r="T775" s="320"/>
    </row>
    <row r="776">
      <c r="A776" s="362" t="str">
        <f>IFERROR(__xludf.DUMMYFUNCTION("""COMPUTED_VALUE"""),"Enchantment Turbo Potato 2")</f>
        <v>Enchantment Turbo Potato 2</v>
      </c>
      <c r="B776" s="373">
        <f>IFERROR(__xludf.DUMMYFUNCTION("""COMPUTED_VALUE"""),663491.45)</f>
        <v>663491.45</v>
      </c>
      <c r="C776" s="320"/>
      <c r="D776" s="320"/>
      <c r="E776" s="320"/>
      <c r="F776" s="320"/>
      <c r="G776" s="320"/>
      <c r="H776" s="320"/>
      <c r="I776" s="320"/>
      <c r="J776" s="320"/>
      <c r="K776" s="320"/>
      <c r="L776" s="320"/>
      <c r="M776" s="320"/>
      <c r="N776" s="320"/>
      <c r="O776" s="320"/>
      <c r="P776" s="320"/>
      <c r="Q776" s="320"/>
      <c r="R776" s="320"/>
      <c r="S776" s="320"/>
      <c r="T776" s="320"/>
    </row>
    <row r="777">
      <c r="A777" s="362" t="str">
        <f>IFERROR(__xludf.DUMMYFUNCTION("""COMPUTED_VALUE"""),"Enchantment Turbo Potato 3")</f>
        <v>Enchantment Turbo Potato 3</v>
      </c>
      <c r="B777" s="373">
        <f>IFERROR(__xludf.DUMMYFUNCTION("""COMPUTED_VALUE"""),175398.95)</f>
        <v>175398.95</v>
      </c>
      <c r="C777" s="320"/>
      <c r="D777" s="320"/>
      <c r="E777" s="320"/>
      <c r="F777" s="320"/>
      <c r="G777" s="320"/>
      <c r="H777" s="320"/>
      <c r="I777" s="320"/>
      <c r="J777" s="320"/>
      <c r="K777" s="320"/>
      <c r="L777" s="320"/>
      <c r="M777" s="320"/>
      <c r="N777" s="320"/>
      <c r="O777" s="320"/>
      <c r="P777" s="320"/>
      <c r="Q777" s="320"/>
      <c r="R777" s="320"/>
      <c r="S777" s="320"/>
      <c r="T777" s="320"/>
    </row>
    <row r="778">
      <c r="A778" s="362" t="str">
        <f>IFERROR(__xludf.DUMMYFUNCTION("""COMPUTED_VALUE"""),"Enchantment Turbo Potato 4")</f>
        <v>Enchantment Turbo Potato 4</v>
      </c>
      <c r="B778" s="373">
        <f>IFERROR(__xludf.DUMMYFUNCTION("""COMPUTED_VALUE"""),449600.35)</f>
        <v>449600.35</v>
      </c>
      <c r="C778" s="320"/>
      <c r="D778" s="320"/>
      <c r="E778" s="320"/>
      <c r="F778" s="320"/>
      <c r="G778" s="320"/>
      <c r="H778" s="320"/>
      <c r="I778" s="320"/>
      <c r="J778" s="320"/>
      <c r="K778" s="320"/>
      <c r="L778" s="320"/>
      <c r="M778" s="320"/>
      <c r="N778" s="320"/>
      <c r="O778" s="320"/>
      <c r="P778" s="320"/>
      <c r="Q778" s="320"/>
      <c r="R778" s="320"/>
      <c r="S778" s="320"/>
      <c r="T778" s="320"/>
    </row>
    <row r="779">
      <c r="A779" s="362" t="str">
        <f>IFERROR(__xludf.DUMMYFUNCTION("""COMPUTED_VALUE"""),"Enchantment Turbo Potato 5")</f>
        <v>Enchantment Turbo Potato 5</v>
      </c>
      <c r="B779" s="373">
        <f>IFERROR(__xludf.DUMMYFUNCTION("""COMPUTED_VALUE"""),693978.35)</f>
        <v>693978.35</v>
      </c>
      <c r="C779" s="320"/>
      <c r="D779" s="320"/>
      <c r="E779" s="320"/>
      <c r="F779" s="320"/>
      <c r="G779" s="320"/>
      <c r="H779" s="320"/>
      <c r="I779" s="320"/>
      <c r="J779" s="320"/>
      <c r="K779" s="320"/>
      <c r="L779" s="320"/>
      <c r="M779" s="320"/>
      <c r="N779" s="320"/>
      <c r="O779" s="320"/>
      <c r="P779" s="320"/>
      <c r="Q779" s="320"/>
      <c r="R779" s="320"/>
      <c r="S779" s="320"/>
      <c r="T779" s="320"/>
    </row>
    <row r="780">
      <c r="A780" s="362" t="str">
        <f>IFERROR(__xludf.DUMMYFUNCTION("""COMPUTED_VALUE"""),"Enchantment Turbo Pumpkin 1")</f>
        <v>Enchantment Turbo Pumpkin 1</v>
      </c>
      <c r="B780" s="373">
        <f>IFERROR(__xludf.DUMMYFUNCTION("""COMPUTED_VALUE"""),67671.15)</f>
        <v>67671.15</v>
      </c>
      <c r="C780" s="320"/>
      <c r="D780" s="320"/>
      <c r="E780" s="320"/>
      <c r="F780" s="320"/>
      <c r="G780" s="320"/>
      <c r="H780" s="320"/>
      <c r="I780" s="320"/>
      <c r="J780" s="320"/>
      <c r="K780" s="320"/>
      <c r="L780" s="320"/>
      <c r="M780" s="320"/>
      <c r="N780" s="320"/>
      <c r="O780" s="320"/>
      <c r="P780" s="320"/>
      <c r="Q780" s="320"/>
      <c r="R780" s="320"/>
      <c r="S780" s="320"/>
      <c r="T780" s="320"/>
    </row>
    <row r="781">
      <c r="A781" s="362" t="str">
        <f>IFERROR(__xludf.DUMMYFUNCTION("""COMPUTED_VALUE"""),"Enchantment Turbo Pumpkin 2")</f>
        <v>Enchantment Turbo Pumpkin 2</v>
      </c>
      <c r="B781" s="373">
        <f>IFERROR(__xludf.DUMMYFUNCTION("""COMPUTED_VALUE"""),3695840.9)</f>
        <v>3695840.9</v>
      </c>
      <c r="C781" s="320"/>
      <c r="D781" s="320"/>
      <c r="E781" s="320"/>
      <c r="F781" s="320"/>
      <c r="G781" s="320"/>
      <c r="H781" s="320"/>
      <c r="I781" s="320"/>
      <c r="J781" s="320"/>
      <c r="K781" s="320"/>
      <c r="L781" s="320"/>
      <c r="M781" s="320"/>
      <c r="N781" s="320"/>
      <c r="O781" s="320"/>
      <c r="P781" s="320"/>
      <c r="Q781" s="320"/>
      <c r="R781" s="320"/>
      <c r="S781" s="320"/>
      <c r="T781" s="320"/>
    </row>
    <row r="782">
      <c r="A782" s="362" t="str">
        <f>IFERROR(__xludf.DUMMYFUNCTION("""COMPUTED_VALUE"""),"Enchantment Turbo Pumpkin 3")</f>
        <v>Enchantment Turbo Pumpkin 3</v>
      </c>
      <c r="B782" s="373">
        <f>IFERROR(__xludf.DUMMYFUNCTION("""COMPUTED_VALUE"""),367466.225)</f>
        <v>367466.225</v>
      </c>
      <c r="C782" s="320"/>
      <c r="D782" s="320"/>
      <c r="E782" s="320"/>
      <c r="F782" s="320"/>
      <c r="G782" s="320"/>
      <c r="H782" s="320"/>
      <c r="I782" s="320"/>
      <c r="J782" s="320"/>
      <c r="K782" s="320"/>
      <c r="L782" s="320"/>
      <c r="M782" s="320"/>
      <c r="N782" s="320"/>
      <c r="O782" s="320"/>
      <c r="P782" s="320"/>
      <c r="Q782" s="320"/>
      <c r="R782" s="320"/>
      <c r="S782" s="320"/>
      <c r="T782" s="320"/>
    </row>
    <row r="783">
      <c r="A783" s="362" t="str">
        <f>IFERROR(__xludf.DUMMYFUNCTION("""COMPUTED_VALUE"""),"Enchantment Turbo Pumpkin 4")</f>
        <v>Enchantment Turbo Pumpkin 4</v>
      </c>
      <c r="B783" s="373">
        <f>IFERROR(__xludf.DUMMYFUNCTION("""COMPUTED_VALUE"""),545000.35)</f>
        <v>545000.35</v>
      </c>
      <c r="C783" s="320"/>
      <c r="D783" s="320"/>
      <c r="E783" s="320"/>
      <c r="F783" s="320"/>
      <c r="G783" s="320"/>
      <c r="H783" s="320"/>
      <c r="I783" s="320"/>
      <c r="J783" s="320"/>
      <c r="K783" s="320"/>
      <c r="L783" s="320"/>
      <c r="M783" s="320"/>
      <c r="N783" s="320"/>
      <c r="O783" s="320"/>
      <c r="P783" s="320"/>
      <c r="Q783" s="320"/>
      <c r="R783" s="320"/>
      <c r="S783" s="320"/>
      <c r="T783" s="320"/>
    </row>
    <row r="784">
      <c r="A784" s="362" t="str">
        <f>IFERROR(__xludf.DUMMYFUNCTION("""COMPUTED_VALUE"""),"Enchantment Turbo Pumpkin 5")</f>
        <v>Enchantment Turbo Pumpkin 5</v>
      </c>
      <c r="B784" s="373">
        <f>IFERROR(__xludf.DUMMYFUNCTION("""COMPUTED_VALUE"""),1182500.0)</f>
        <v>1182500</v>
      </c>
      <c r="C784" s="320"/>
      <c r="D784" s="320"/>
      <c r="E784" s="320"/>
      <c r="F784" s="320"/>
      <c r="G784" s="320"/>
      <c r="H784" s="320"/>
      <c r="I784" s="320"/>
      <c r="J784" s="320"/>
      <c r="K784" s="320"/>
      <c r="L784" s="320"/>
      <c r="M784" s="320"/>
      <c r="N784" s="320"/>
      <c r="O784" s="320"/>
      <c r="P784" s="320"/>
      <c r="Q784" s="320"/>
      <c r="R784" s="320"/>
      <c r="S784" s="320"/>
      <c r="T784" s="320"/>
    </row>
    <row r="785">
      <c r="A785" s="362" t="str">
        <f>IFERROR(__xludf.DUMMYFUNCTION("""COMPUTED_VALUE"""),"Enchantment Turbo Warts 1")</f>
        <v>Enchantment Turbo Warts 1</v>
      </c>
      <c r="B785" s="373">
        <f>IFERROR(__xludf.DUMMYFUNCTION("""COMPUTED_VALUE"""),591.3)</f>
        <v>591.3</v>
      </c>
      <c r="C785" s="320"/>
      <c r="D785" s="320"/>
      <c r="E785" s="320"/>
      <c r="F785" s="320"/>
      <c r="G785" s="320"/>
      <c r="H785" s="320"/>
      <c r="I785" s="320"/>
      <c r="J785" s="320"/>
      <c r="K785" s="320"/>
      <c r="L785" s="320"/>
      <c r="M785" s="320"/>
      <c r="N785" s="320"/>
      <c r="O785" s="320"/>
      <c r="P785" s="320"/>
      <c r="Q785" s="320"/>
      <c r="R785" s="320"/>
      <c r="S785" s="320"/>
      <c r="T785" s="320"/>
    </row>
    <row r="786">
      <c r="A786" s="362" t="str">
        <f>IFERROR(__xludf.DUMMYFUNCTION("""COMPUTED_VALUE"""),"Enchantment Turbo Warts 2")</f>
        <v>Enchantment Turbo Warts 2</v>
      </c>
      <c r="B786" s="373">
        <f>IFERROR(__xludf.DUMMYFUNCTION("""COMPUTED_VALUE"""),42751.4)</f>
        <v>42751.4</v>
      </c>
      <c r="C786" s="320"/>
      <c r="D786" s="320"/>
      <c r="E786" s="320"/>
      <c r="F786" s="320"/>
      <c r="G786" s="320"/>
      <c r="H786" s="320"/>
      <c r="I786" s="320"/>
      <c r="J786" s="320"/>
      <c r="K786" s="320"/>
      <c r="L786" s="320"/>
      <c r="M786" s="320"/>
      <c r="N786" s="320"/>
      <c r="O786" s="320"/>
      <c r="P786" s="320"/>
      <c r="Q786" s="320"/>
      <c r="R786" s="320"/>
      <c r="S786" s="320"/>
      <c r="T786" s="320"/>
    </row>
    <row r="787">
      <c r="A787" s="362" t="str">
        <f>IFERROR(__xludf.DUMMYFUNCTION("""COMPUTED_VALUE"""),"Enchantment Turbo Warts 3")</f>
        <v>Enchantment Turbo Warts 3</v>
      </c>
      <c r="B787" s="373">
        <f>IFERROR(__xludf.DUMMYFUNCTION("""COMPUTED_VALUE"""),33691.575)</f>
        <v>33691.575</v>
      </c>
      <c r="C787" s="320"/>
      <c r="D787" s="320"/>
      <c r="E787" s="320"/>
      <c r="F787" s="320"/>
      <c r="G787" s="320"/>
      <c r="H787" s="320"/>
      <c r="I787" s="320"/>
      <c r="J787" s="320"/>
      <c r="K787" s="320"/>
      <c r="L787" s="320"/>
      <c r="M787" s="320"/>
      <c r="N787" s="320"/>
      <c r="O787" s="320"/>
      <c r="P787" s="320"/>
      <c r="Q787" s="320"/>
      <c r="R787" s="320"/>
      <c r="S787" s="320"/>
      <c r="T787" s="320"/>
    </row>
    <row r="788">
      <c r="A788" s="362" t="str">
        <f>IFERROR(__xludf.DUMMYFUNCTION("""COMPUTED_VALUE"""),"Enchantment Turbo Warts 4")</f>
        <v>Enchantment Turbo Warts 4</v>
      </c>
      <c r="B788" s="373">
        <f>IFERROR(__xludf.DUMMYFUNCTION("""COMPUTED_VALUE"""),90022.35)</f>
        <v>90022.35</v>
      </c>
      <c r="C788" s="320"/>
      <c r="D788" s="320"/>
      <c r="E788" s="320"/>
      <c r="F788" s="320"/>
      <c r="G788" s="320"/>
      <c r="H788" s="320"/>
      <c r="I788" s="320"/>
      <c r="J788" s="320"/>
      <c r="K788" s="320"/>
      <c r="L788" s="320"/>
      <c r="M788" s="320"/>
      <c r="N788" s="320"/>
      <c r="O788" s="320"/>
      <c r="P788" s="320"/>
      <c r="Q788" s="320"/>
      <c r="R788" s="320"/>
      <c r="S788" s="320"/>
      <c r="T788" s="320"/>
    </row>
    <row r="789">
      <c r="A789" s="362" t="str">
        <f>IFERROR(__xludf.DUMMYFUNCTION("""COMPUTED_VALUE"""),"Enchantment Turbo Warts 5")</f>
        <v>Enchantment Turbo Warts 5</v>
      </c>
      <c r="B789" s="373">
        <f>IFERROR(__xludf.DUMMYFUNCTION("""COMPUTED_VALUE"""),49217.7)</f>
        <v>49217.7</v>
      </c>
      <c r="C789" s="320"/>
      <c r="D789" s="320"/>
      <c r="E789" s="320"/>
      <c r="F789" s="320"/>
      <c r="G789" s="320"/>
      <c r="H789" s="320"/>
      <c r="I789" s="320"/>
      <c r="J789" s="320"/>
      <c r="K789" s="320"/>
      <c r="L789" s="320"/>
      <c r="M789" s="320"/>
      <c r="N789" s="320"/>
      <c r="O789" s="320"/>
      <c r="P789" s="320"/>
      <c r="Q789" s="320"/>
      <c r="R789" s="320"/>
      <c r="S789" s="320"/>
      <c r="T789" s="320"/>
    </row>
    <row r="790">
      <c r="A790" s="362" t="str">
        <f>IFERROR(__xludf.DUMMYFUNCTION("""COMPUTED_VALUE"""),"Enchantment Turbo Wheat 1")</f>
        <v>Enchantment Turbo Wheat 1</v>
      </c>
      <c r="B790" s="373">
        <f>IFERROR(__xludf.DUMMYFUNCTION("""COMPUTED_VALUE"""),11787.933)</f>
        <v>11787.933</v>
      </c>
      <c r="C790" s="320"/>
      <c r="D790" s="320"/>
      <c r="E790" s="320"/>
      <c r="F790" s="320"/>
      <c r="G790" s="320"/>
      <c r="H790" s="320"/>
      <c r="I790" s="320"/>
      <c r="J790" s="320"/>
      <c r="K790" s="320"/>
      <c r="L790" s="320"/>
      <c r="M790" s="320"/>
      <c r="N790" s="320"/>
      <c r="O790" s="320"/>
      <c r="P790" s="320"/>
      <c r="Q790" s="320"/>
      <c r="R790" s="320"/>
      <c r="S790" s="320"/>
      <c r="T790" s="320"/>
    </row>
    <row r="791">
      <c r="A791" s="362" t="str">
        <f>IFERROR(__xludf.DUMMYFUNCTION("""COMPUTED_VALUE"""),"Enchantment Turbo Wheat 2")</f>
        <v>Enchantment Turbo Wheat 2</v>
      </c>
      <c r="B791" s="373">
        <f>IFERROR(__xludf.DUMMYFUNCTION("""COMPUTED_VALUE"""),47113.586)</f>
        <v>47113.586</v>
      </c>
      <c r="C791" s="320"/>
      <c r="D791" s="320"/>
      <c r="E791" s="320"/>
      <c r="F791" s="320"/>
      <c r="G791" s="320"/>
      <c r="H791" s="320"/>
      <c r="I791" s="320"/>
      <c r="J791" s="320"/>
      <c r="K791" s="320"/>
      <c r="L791" s="320"/>
      <c r="M791" s="320"/>
      <c r="N791" s="320"/>
      <c r="O791" s="320"/>
      <c r="P791" s="320"/>
      <c r="Q791" s="320"/>
      <c r="R791" s="320"/>
      <c r="S791" s="320"/>
      <c r="T791" s="320"/>
    </row>
    <row r="792">
      <c r="A792" s="362" t="str">
        <f>IFERROR(__xludf.DUMMYFUNCTION("""COMPUTED_VALUE"""),"Enchantment Turbo Wheat 3")</f>
        <v>Enchantment Turbo Wheat 3</v>
      </c>
      <c r="B792" s="373">
        <f>IFERROR(__xludf.DUMMYFUNCTION("""COMPUTED_VALUE"""),2526.45)</f>
        <v>2526.45</v>
      </c>
      <c r="C792" s="320"/>
      <c r="D792" s="320"/>
      <c r="E792" s="320"/>
      <c r="F792" s="320"/>
      <c r="G792" s="320"/>
      <c r="H792" s="320"/>
      <c r="I792" s="320"/>
      <c r="J792" s="320"/>
      <c r="K792" s="320"/>
      <c r="L792" s="320"/>
      <c r="M792" s="320"/>
      <c r="N792" s="320"/>
      <c r="O792" s="320"/>
      <c r="P792" s="320"/>
      <c r="Q792" s="320"/>
      <c r="R792" s="320"/>
      <c r="S792" s="320"/>
      <c r="T792" s="320"/>
    </row>
    <row r="793">
      <c r="A793" s="362" t="str">
        <f>IFERROR(__xludf.DUMMYFUNCTION("""COMPUTED_VALUE"""),"Enchantment Turbo Wheat 4")</f>
        <v>Enchantment Turbo Wheat 4</v>
      </c>
      <c r="B793" s="373">
        <f>IFERROR(__xludf.DUMMYFUNCTION("""COMPUTED_VALUE"""),222497.654)</f>
        <v>222497.654</v>
      </c>
      <c r="C793" s="320"/>
      <c r="D793" s="320"/>
      <c r="E793" s="320"/>
      <c r="F793" s="320"/>
      <c r="G793" s="320"/>
      <c r="H793" s="320"/>
      <c r="I793" s="320"/>
      <c r="J793" s="320"/>
      <c r="K793" s="320"/>
      <c r="L793" s="320"/>
      <c r="M793" s="320"/>
      <c r="N793" s="320"/>
      <c r="O793" s="320"/>
      <c r="P793" s="320"/>
      <c r="Q793" s="320"/>
      <c r="R793" s="320"/>
      <c r="S793" s="320"/>
      <c r="T793" s="320"/>
    </row>
    <row r="794">
      <c r="A794" s="362" t="str">
        <f>IFERROR(__xludf.DUMMYFUNCTION("""COMPUTED_VALUE"""),"Enchantment Turbo Wheat 5")</f>
        <v>Enchantment Turbo Wheat 5</v>
      </c>
      <c r="B794" s="373">
        <f>IFERROR(__xludf.DUMMYFUNCTION("""COMPUTED_VALUE"""),315144.5)</f>
        <v>315144.5</v>
      </c>
      <c r="C794" s="320"/>
      <c r="D794" s="320"/>
      <c r="E794" s="320"/>
      <c r="F794" s="320"/>
      <c r="G794" s="320"/>
      <c r="H794" s="320"/>
      <c r="I794" s="320"/>
      <c r="J794" s="320"/>
      <c r="K794" s="320"/>
      <c r="L794" s="320"/>
      <c r="M794" s="320"/>
      <c r="N794" s="320"/>
      <c r="O794" s="320"/>
      <c r="P794" s="320"/>
      <c r="Q794" s="320"/>
      <c r="R794" s="320"/>
      <c r="S794" s="320"/>
      <c r="T794" s="320"/>
    </row>
    <row r="795">
      <c r="A795" s="362" t="str">
        <f>IFERROR(__xludf.DUMMYFUNCTION("""COMPUTED_VALUE"""),"Enchantment Ultimate Bank 1")</f>
        <v>Enchantment Ultimate Bank 1</v>
      </c>
      <c r="B795" s="373">
        <f>IFERROR(__xludf.DUMMYFUNCTION("""COMPUTED_VALUE"""),199.59)</f>
        <v>199.59</v>
      </c>
      <c r="C795" s="320"/>
      <c r="D795" s="320"/>
      <c r="E795" s="320"/>
      <c r="F795" s="320"/>
      <c r="G795" s="320"/>
      <c r="H795" s="320"/>
      <c r="I795" s="320"/>
      <c r="J795" s="320"/>
      <c r="K795" s="320"/>
      <c r="L795" s="320"/>
      <c r="M795" s="320"/>
      <c r="N795" s="320"/>
      <c r="O795" s="320"/>
      <c r="P795" s="320"/>
      <c r="Q795" s="320"/>
      <c r="R795" s="320"/>
      <c r="S795" s="320"/>
      <c r="T795" s="320"/>
    </row>
    <row r="796">
      <c r="A796" s="362" t="str">
        <f>IFERROR(__xludf.DUMMYFUNCTION("""COMPUTED_VALUE"""),"Enchantment Ultimate Bank 2")</f>
        <v>Enchantment Ultimate Bank 2</v>
      </c>
      <c r="B796" s="373">
        <f>IFERROR(__xludf.DUMMYFUNCTION("""COMPUTED_VALUE"""),75.0)</f>
        <v>75</v>
      </c>
      <c r="C796" s="320"/>
      <c r="D796" s="320"/>
      <c r="E796" s="320"/>
      <c r="F796" s="320"/>
      <c r="G796" s="320"/>
      <c r="H796" s="320"/>
      <c r="I796" s="320"/>
      <c r="J796" s="320"/>
      <c r="K796" s="320"/>
      <c r="L796" s="320"/>
      <c r="M796" s="320"/>
      <c r="N796" s="320"/>
      <c r="O796" s="320"/>
      <c r="P796" s="320"/>
      <c r="Q796" s="320"/>
      <c r="R796" s="320"/>
      <c r="S796" s="320"/>
      <c r="T796" s="320"/>
    </row>
    <row r="797">
      <c r="A797" s="362" t="str">
        <f>IFERROR(__xludf.DUMMYFUNCTION("""COMPUTED_VALUE"""),"Enchantment Ultimate Bank 3")</f>
        <v>Enchantment Ultimate Bank 3</v>
      </c>
      <c r="B797" s="373">
        <f>IFERROR(__xludf.DUMMYFUNCTION("""COMPUTED_VALUE"""),515.3)</f>
        <v>515.3</v>
      </c>
      <c r="C797" s="320"/>
      <c r="D797" s="320"/>
      <c r="E797" s="320"/>
      <c r="F797" s="320"/>
      <c r="G797" s="320"/>
      <c r="H797" s="320"/>
      <c r="I797" s="320"/>
      <c r="J797" s="320"/>
      <c r="K797" s="320"/>
      <c r="L797" s="320"/>
      <c r="M797" s="320"/>
      <c r="N797" s="320"/>
      <c r="O797" s="320"/>
      <c r="P797" s="320"/>
      <c r="Q797" s="320"/>
      <c r="R797" s="320"/>
      <c r="S797" s="320"/>
      <c r="T797" s="320"/>
    </row>
    <row r="798">
      <c r="A798" s="362" t="str">
        <f>IFERROR(__xludf.DUMMYFUNCTION("""COMPUTED_VALUE"""),"Enchantment Ultimate Bank 4")</f>
        <v>Enchantment Ultimate Bank 4</v>
      </c>
      <c r="B798" s="373">
        <f>IFERROR(__xludf.DUMMYFUNCTION("""COMPUTED_VALUE"""),18239.9)</f>
        <v>18239.9</v>
      </c>
      <c r="C798" s="320"/>
      <c r="D798" s="320"/>
      <c r="E798" s="320"/>
      <c r="F798" s="320"/>
      <c r="G798" s="320"/>
      <c r="H798" s="320"/>
      <c r="I798" s="320"/>
      <c r="J798" s="320"/>
      <c r="K798" s="320"/>
      <c r="L798" s="320"/>
      <c r="M798" s="320"/>
      <c r="N798" s="320"/>
      <c r="O798" s="320"/>
      <c r="P798" s="320"/>
      <c r="Q798" s="320"/>
      <c r="R798" s="320"/>
      <c r="S798" s="320"/>
      <c r="T798" s="320"/>
    </row>
    <row r="799">
      <c r="A799" s="362" t="str">
        <f>IFERROR(__xludf.DUMMYFUNCTION("""COMPUTED_VALUE"""),"Enchantment Ultimate Bank 5")</f>
        <v>Enchantment Ultimate Bank 5</v>
      </c>
      <c r="B799" s="373">
        <f>IFERROR(__xludf.DUMMYFUNCTION("""COMPUTED_VALUE"""),173666.383)</f>
        <v>173666.383</v>
      </c>
      <c r="C799" s="320"/>
      <c r="D799" s="320"/>
      <c r="E799" s="320"/>
      <c r="F799" s="320"/>
      <c r="G799" s="320"/>
      <c r="H799" s="320"/>
      <c r="I799" s="320"/>
      <c r="J799" s="320"/>
      <c r="K799" s="320"/>
      <c r="L799" s="320"/>
      <c r="M799" s="320"/>
      <c r="N799" s="320"/>
      <c r="O799" s="320"/>
      <c r="P799" s="320"/>
      <c r="Q799" s="320"/>
      <c r="R799" s="320"/>
      <c r="S799" s="320"/>
      <c r="T799" s="320"/>
    </row>
    <row r="800">
      <c r="A800" s="362" t="str">
        <f>IFERROR(__xludf.DUMMYFUNCTION("""COMPUTED_VALUE"""),"Enchantment Ultimate Bobbin Time 3")</f>
        <v>Enchantment Ultimate Bobbin Time 3</v>
      </c>
      <c r="B800" s="373">
        <f>IFERROR(__xludf.DUMMYFUNCTION("""COMPUTED_VALUE"""),2.792799375E7)</f>
        <v>27927993.75</v>
      </c>
      <c r="C800" s="320"/>
      <c r="D800" s="320"/>
      <c r="E800" s="320"/>
      <c r="F800" s="320"/>
      <c r="G800" s="320"/>
      <c r="H800" s="320"/>
      <c r="I800" s="320"/>
      <c r="J800" s="320"/>
      <c r="K800" s="320"/>
      <c r="L800" s="320"/>
      <c r="M800" s="320"/>
      <c r="N800" s="320"/>
      <c r="O800" s="320"/>
      <c r="P800" s="320"/>
      <c r="Q800" s="320"/>
      <c r="R800" s="320"/>
      <c r="S800" s="320"/>
      <c r="T800" s="320"/>
    </row>
    <row r="801">
      <c r="A801" s="362" t="str">
        <f>IFERROR(__xludf.DUMMYFUNCTION("""COMPUTED_VALUE"""),"Enchantment Ultimate Bobbin Time 4")</f>
        <v>Enchantment Ultimate Bobbin Time 4</v>
      </c>
      <c r="B801" s="373">
        <f>IFERROR(__xludf.DUMMYFUNCTION("""COMPUTED_VALUE"""),3.152500035E7)</f>
        <v>31525000.35</v>
      </c>
      <c r="C801" s="320"/>
      <c r="D801" s="320"/>
      <c r="E801" s="320"/>
      <c r="F801" s="320"/>
      <c r="G801" s="320"/>
      <c r="H801" s="320"/>
      <c r="I801" s="320"/>
      <c r="J801" s="320"/>
      <c r="K801" s="320"/>
      <c r="L801" s="320"/>
      <c r="M801" s="320"/>
      <c r="N801" s="320"/>
      <c r="O801" s="320"/>
      <c r="P801" s="320"/>
      <c r="Q801" s="320"/>
      <c r="R801" s="320"/>
      <c r="S801" s="320"/>
      <c r="T801" s="320"/>
    </row>
    <row r="802">
      <c r="A802" s="362" t="str">
        <f>IFERROR(__xludf.DUMMYFUNCTION("""COMPUTED_VALUE"""),"Enchantment Ultimate Bobbin Time 5")</f>
        <v>Enchantment Ultimate Bobbin Time 5</v>
      </c>
      <c r="B802" s="373">
        <f>IFERROR(__xludf.DUMMYFUNCTION("""COMPUTED_VALUE"""),7.705987345E7)</f>
        <v>77059873.45</v>
      </c>
      <c r="C802" s="320"/>
      <c r="D802" s="320"/>
      <c r="E802" s="320"/>
      <c r="F802" s="320"/>
      <c r="G802" s="320"/>
      <c r="H802" s="320"/>
      <c r="I802" s="320"/>
      <c r="J802" s="320"/>
      <c r="K802" s="320"/>
      <c r="L802" s="320"/>
      <c r="M802" s="320"/>
      <c r="N802" s="320"/>
      <c r="O802" s="320"/>
      <c r="P802" s="320"/>
      <c r="Q802" s="320"/>
      <c r="R802" s="320"/>
      <c r="S802" s="320"/>
      <c r="T802" s="320"/>
    </row>
    <row r="803">
      <c r="A803" s="362" t="str">
        <f>IFERROR(__xludf.DUMMYFUNCTION("""COMPUTED_VALUE"""),"Enchantment Ultimate Chimera 1")</f>
        <v>Enchantment Ultimate Chimera 1</v>
      </c>
      <c r="B803" s="373">
        <f>IFERROR(__xludf.DUMMYFUNCTION("""COMPUTED_VALUE"""),1.3848528065E8)</f>
        <v>138485280.7</v>
      </c>
      <c r="C803" s="320"/>
      <c r="D803" s="320"/>
      <c r="E803" s="320"/>
      <c r="F803" s="320"/>
      <c r="G803" s="320"/>
      <c r="H803" s="320"/>
      <c r="I803" s="320"/>
      <c r="J803" s="320"/>
      <c r="K803" s="320"/>
      <c r="L803" s="320"/>
      <c r="M803" s="320"/>
      <c r="N803" s="320"/>
      <c r="O803" s="320"/>
      <c r="P803" s="320"/>
      <c r="Q803" s="320"/>
      <c r="R803" s="320"/>
      <c r="S803" s="320"/>
      <c r="T803" s="320"/>
    </row>
    <row r="804">
      <c r="A804" s="362" t="str">
        <f>IFERROR(__xludf.DUMMYFUNCTION("""COMPUTED_VALUE"""),"Enchantment Ultimate Chimera 2")</f>
        <v>Enchantment Ultimate Chimera 2</v>
      </c>
      <c r="B804" s="373">
        <f>IFERROR(__xludf.DUMMYFUNCTION("""COMPUTED_VALUE"""),7.500000005E7)</f>
        <v>75000000.05</v>
      </c>
      <c r="C804" s="320"/>
      <c r="D804" s="320"/>
      <c r="E804" s="320"/>
      <c r="F804" s="320"/>
      <c r="G804" s="320"/>
      <c r="H804" s="320"/>
      <c r="I804" s="320"/>
      <c r="J804" s="320"/>
      <c r="K804" s="320"/>
      <c r="L804" s="320"/>
      <c r="M804" s="320"/>
      <c r="N804" s="320"/>
      <c r="O804" s="320"/>
      <c r="P804" s="320"/>
      <c r="Q804" s="320"/>
      <c r="R804" s="320"/>
      <c r="S804" s="320"/>
      <c r="T804" s="320"/>
    </row>
    <row r="805">
      <c r="A805" s="362" t="str">
        <f>IFERROR(__xludf.DUMMYFUNCTION("""COMPUTED_VALUE"""),"Enchantment Ultimate Chimera 3")</f>
        <v>Enchantment Ultimate Chimera 3</v>
      </c>
      <c r="B805" s="373">
        <f>IFERROR(__xludf.DUMMYFUNCTION("""COMPUTED_VALUE"""),5914.15)</f>
        <v>5914.15</v>
      </c>
      <c r="C805" s="320"/>
      <c r="D805" s="320"/>
      <c r="E805" s="320"/>
      <c r="F805" s="320"/>
      <c r="G805" s="320"/>
      <c r="H805" s="320"/>
      <c r="I805" s="320"/>
      <c r="J805" s="320"/>
      <c r="K805" s="320"/>
      <c r="L805" s="320"/>
      <c r="M805" s="320"/>
      <c r="N805" s="320"/>
      <c r="O805" s="320"/>
      <c r="P805" s="320"/>
      <c r="Q805" s="320"/>
      <c r="R805" s="320"/>
      <c r="S805" s="320"/>
      <c r="T805" s="320"/>
    </row>
    <row r="806">
      <c r="A806" s="362" t="str">
        <f>IFERROR(__xludf.DUMMYFUNCTION("""COMPUTED_VALUE"""),"Enchantment Ultimate Chimera 4")</f>
        <v>Enchantment Ultimate Chimera 4</v>
      </c>
      <c r="B806" s="373">
        <f>IFERROR(__xludf.DUMMYFUNCTION("""COMPUTED_VALUE"""),1575000.85)</f>
        <v>1575000.85</v>
      </c>
      <c r="C806" s="320"/>
      <c r="D806" s="320"/>
      <c r="E806" s="320"/>
      <c r="F806" s="320"/>
      <c r="G806" s="320"/>
      <c r="H806" s="320"/>
      <c r="I806" s="320"/>
      <c r="J806" s="320"/>
      <c r="K806" s="320"/>
      <c r="L806" s="320"/>
      <c r="M806" s="320"/>
      <c r="N806" s="320"/>
      <c r="O806" s="320"/>
      <c r="P806" s="320"/>
      <c r="Q806" s="320"/>
      <c r="R806" s="320"/>
      <c r="S806" s="320"/>
      <c r="T806" s="320"/>
    </row>
    <row r="807">
      <c r="A807" s="362" t="str">
        <f>IFERROR(__xludf.DUMMYFUNCTION("""COMPUTED_VALUE"""),"Enchantment Ultimate Chimera 5")</f>
        <v>Enchantment Ultimate Chimera 5</v>
      </c>
      <c r="B807" s="373">
        <f>IFERROR(__xludf.DUMMYFUNCTION("""COMPUTED_VALUE"""),2.5E8)</f>
        <v>250000000</v>
      </c>
      <c r="C807" s="320"/>
      <c r="D807" s="320"/>
      <c r="E807" s="320"/>
      <c r="F807" s="320"/>
      <c r="G807" s="320"/>
      <c r="H807" s="320"/>
      <c r="I807" s="320"/>
      <c r="J807" s="320"/>
      <c r="K807" s="320"/>
      <c r="L807" s="320"/>
      <c r="M807" s="320"/>
      <c r="N807" s="320"/>
      <c r="O807" s="320"/>
      <c r="P807" s="320"/>
      <c r="Q807" s="320"/>
      <c r="R807" s="320"/>
      <c r="S807" s="320"/>
      <c r="T807" s="320"/>
    </row>
    <row r="808">
      <c r="A808" s="362" t="str">
        <f>IFERROR(__xludf.DUMMYFUNCTION("""COMPUTED_VALUE"""),"Enchantment Ultimate Combo 1")</f>
        <v>Enchantment Ultimate Combo 1</v>
      </c>
      <c r="B808" s="373">
        <f>IFERROR(__xludf.DUMMYFUNCTION("""COMPUTED_VALUE"""),889.4)</f>
        <v>889.4</v>
      </c>
      <c r="C808" s="320"/>
      <c r="D808" s="320"/>
      <c r="E808" s="320"/>
      <c r="F808" s="320"/>
      <c r="G808" s="320"/>
      <c r="H808" s="320"/>
      <c r="I808" s="320"/>
      <c r="J808" s="320"/>
      <c r="K808" s="320"/>
      <c r="L808" s="320"/>
      <c r="M808" s="320"/>
      <c r="N808" s="320"/>
      <c r="O808" s="320"/>
      <c r="P808" s="320"/>
      <c r="Q808" s="320"/>
      <c r="R808" s="320"/>
      <c r="S808" s="320"/>
      <c r="T808" s="320"/>
    </row>
    <row r="809">
      <c r="A809" s="362" t="str">
        <f>IFERROR(__xludf.DUMMYFUNCTION("""COMPUTED_VALUE"""),"Enchantment Ultimate Combo 2")</f>
        <v>Enchantment Ultimate Combo 2</v>
      </c>
      <c r="B809" s="373">
        <f>IFERROR(__xludf.DUMMYFUNCTION("""COMPUTED_VALUE"""),2247.4)</f>
        <v>2247.4</v>
      </c>
      <c r="C809" s="320"/>
      <c r="D809" s="320"/>
      <c r="E809" s="320"/>
      <c r="F809" s="320"/>
      <c r="G809" s="320"/>
      <c r="H809" s="320"/>
      <c r="I809" s="320"/>
      <c r="J809" s="320"/>
      <c r="K809" s="320"/>
      <c r="L809" s="320"/>
      <c r="M809" s="320"/>
      <c r="N809" s="320"/>
      <c r="O809" s="320"/>
      <c r="P809" s="320"/>
      <c r="Q809" s="320"/>
      <c r="R809" s="320"/>
      <c r="S809" s="320"/>
      <c r="T809" s="320"/>
    </row>
    <row r="810">
      <c r="A810" s="362" t="str">
        <f>IFERROR(__xludf.DUMMYFUNCTION("""COMPUTED_VALUE"""),"Enchantment Ultimate Combo 3")</f>
        <v>Enchantment Ultimate Combo 3</v>
      </c>
      <c r="B810" s="373">
        <f>IFERROR(__xludf.DUMMYFUNCTION("""COMPUTED_VALUE"""),3.60000124E7)</f>
        <v>36000012.4</v>
      </c>
      <c r="C810" s="320"/>
      <c r="D810" s="320"/>
      <c r="E810" s="320"/>
      <c r="F810" s="320"/>
      <c r="G810" s="320"/>
      <c r="H810" s="320"/>
      <c r="I810" s="320"/>
      <c r="J810" s="320"/>
      <c r="K810" s="320"/>
      <c r="L810" s="320"/>
      <c r="M810" s="320"/>
      <c r="N810" s="320"/>
      <c r="O810" s="320"/>
      <c r="P810" s="320"/>
      <c r="Q810" s="320"/>
      <c r="R810" s="320"/>
      <c r="S810" s="320"/>
      <c r="T810" s="320"/>
    </row>
    <row r="811">
      <c r="A811" s="362" t="str">
        <f>IFERROR(__xludf.DUMMYFUNCTION("""COMPUTED_VALUE"""),"Enchantment Ultimate Combo 4")</f>
        <v>Enchantment Ultimate Combo 4</v>
      </c>
      <c r="B811" s="373">
        <f>IFERROR(__xludf.DUMMYFUNCTION("""COMPUTED_VALUE"""),2551512.75)</f>
        <v>2551512.75</v>
      </c>
      <c r="C811" s="320"/>
      <c r="D811" s="320"/>
      <c r="E811" s="320"/>
      <c r="F811" s="320"/>
      <c r="G811" s="320"/>
      <c r="H811" s="320"/>
      <c r="I811" s="320"/>
      <c r="J811" s="320"/>
      <c r="K811" s="320"/>
      <c r="L811" s="320"/>
      <c r="M811" s="320"/>
      <c r="N811" s="320"/>
      <c r="O811" s="320"/>
      <c r="P811" s="320"/>
      <c r="Q811" s="320"/>
      <c r="R811" s="320"/>
      <c r="S811" s="320"/>
      <c r="T811" s="320"/>
    </row>
    <row r="812">
      <c r="A812" s="362" t="str">
        <f>IFERROR(__xludf.DUMMYFUNCTION("""COMPUTED_VALUE"""),"Enchantment Ultimate Combo 5")</f>
        <v>Enchantment Ultimate Combo 5</v>
      </c>
      <c r="B812" s="373">
        <f>IFERROR(__xludf.DUMMYFUNCTION("""COMPUTED_VALUE"""),51838.56)</f>
        <v>51838.56</v>
      </c>
      <c r="C812" s="320"/>
      <c r="D812" s="320"/>
      <c r="E812" s="320"/>
      <c r="F812" s="320"/>
      <c r="G812" s="320"/>
      <c r="H812" s="320"/>
      <c r="I812" s="320"/>
      <c r="J812" s="320"/>
      <c r="K812" s="320"/>
      <c r="L812" s="320"/>
      <c r="M812" s="320"/>
      <c r="N812" s="320"/>
      <c r="O812" s="320"/>
      <c r="P812" s="320"/>
      <c r="Q812" s="320"/>
      <c r="R812" s="320"/>
      <c r="S812" s="320"/>
      <c r="T812" s="320"/>
    </row>
    <row r="813">
      <c r="A813" s="362" t="str">
        <f>IFERROR(__xludf.DUMMYFUNCTION("""COMPUTED_VALUE"""),"Enchantment Ultimate Fatal Tempo 1")</f>
        <v>Enchantment Ultimate Fatal Tempo 1</v>
      </c>
      <c r="B813" s="373">
        <f>IFERROR(__xludf.DUMMYFUNCTION("""COMPUTED_VALUE"""),6.3075143E7)</f>
        <v>63075143</v>
      </c>
      <c r="C813" s="320"/>
      <c r="D813" s="320"/>
      <c r="E813" s="320"/>
      <c r="F813" s="320"/>
      <c r="G813" s="320"/>
      <c r="H813" s="320"/>
      <c r="I813" s="320"/>
      <c r="J813" s="320"/>
      <c r="K813" s="320"/>
      <c r="L813" s="320"/>
      <c r="M813" s="320"/>
      <c r="N813" s="320"/>
      <c r="O813" s="320"/>
      <c r="P813" s="320"/>
      <c r="Q813" s="320"/>
      <c r="R813" s="320"/>
      <c r="S813" s="320"/>
      <c r="T813" s="320"/>
    </row>
    <row r="814">
      <c r="A814" s="362" t="str">
        <f>IFERROR(__xludf.DUMMYFUNCTION("""COMPUTED_VALUE"""),"Enchantment Ultimate Fatal Tempo 2")</f>
        <v>Enchantment Ultimate Fatal Tempo 2</v>
      </c>
      <c r="B814" s="373">
        <f>IFERROR(__xludf.DUMMYFUNCTION("""COMPUTED_VALUE"""),578815.4)</f>
        <v>578815.4</v>
      </c>
      <c r="C814" s="320"/>
      <c r="D814" s="320"/>
      <c r="E814" s="320"/>
      <c r="F814" s="320"/>
      <c r="G814" s="320"/>
      <c r="H814" s="320"/>
      <c r="I814" s="320"/>
      <c r="J814" s="320"/>
      <c r="K814" s="320"/>
      <c r="L814" s="320"/>
      <c r="M814" s="320"/>
      <c r="N814" s="320"/>
      <c r="O814" s="320"/>
      <c r="P814" s="320"/>
      <c r="Q814" s="320"/>
      <c r="R814" s="320"/>
      <c r="S814" s="320"/>
      <c r="T814" s="320"/>
    </row>
    <row r="815">
      <c r="A815" s="362" t="str">
        <f>IFERROR(__xludf.DUMMYFUNCTION("""COMPUTED_VALUE"""),"Enchantment Ultimate Fatal Tempo 3")</f>
        <v>Enchantment Ultimate Fatal Tempo 3</v>
      </c>
      <c r="B815" s="373">
        <f>IFERROR(__xludf.DUMMYFUNCTION("""COMPUTED_VALUE"""),868221.8)</f>
        <v>868221.8</v>
      </c>
      <c r="C815" s="320"/>
      <c r="D815" s="320"/>
      <c r="E815" s="320"/>
      <c r="F815" s="320"/>
      <c r="G815" s="320"/>
      <c r="H815" s="320"/>
      <c r="I815" s="320"/>
      <c r="J815" s="320"/>
      <c r="K815" s="320"/>
      <c r="L815" s="320"/>
      <c r="M815" s="320"/>
      <c r="N815" s="320"/>
      <c r="O815" s="320"/>
      <c r="P815" s="320"/>
      <c r="Q815" s="320"/>
      <c r="R815" s="320"/>
      <c r="S815" s="320"/>
      <c r="T815" s="320"/>
    </row>
    <row r="816">
      <c r="A816" s="362" t="str">
        <f>IFERROR(__xludf.DUMMYFUNCTION("""COMPUTED_VALUE"""),"Enchantment Ultimate Fatal Tempo 4")</f>
        <v>Enchantment Ultimate Fatal Tempo 4</v>
      </c>
      <c r="B816" s="373">
        <f>IFERROR(__xludf.DUMMYFUNCTION("""COMPUTED_VALUE"""),1477462.85)</f>
        <v>1477462.85</v>
      </c>
      <c r="C816" s="320"/>
      <c r="D816" s="320"/>
      <c r="E816" s="320"/>
      <c r="F816" s="320"/>
      <c r="G816" s="320"/>
      <c r="H816" s="320"/>
      <c r="I816" s="320"/>
      <c r="J816" s="320"/>
      <c r="K816" s="320"/>
      <c r="L816" s="320"/>
      <c r="M816" s="320"/>
      <c r="N816" s="320"/>
      <c r="O816" s="320"/>
      <c r="P816" s="320"/>
      <c r="Q816" s="320"/>
      <c r="R816" s="320"/>
      <c r="S816" s="320"/>
      <c r="T816" s="320"/>
    </row>
    <row r="817">
      <c r="A817" s="362" t="str">
        <f>IFERROR(__xludf.DUMMYFUNCTION("""COMPUTED_VALUE"""),"Enchantment Ultimate Fatal Tempo 5")</f>
        <v>Enchantment Ultimate Fatal Tempo 5</v>
      </c>
      <c r="B817" s="373">
        <f>IFERROR(__xludf.DUMMYFUNCTION("""COMPUTED_VALUE"""),5000000.0)</f>
        <v>5000000</v>
      </c>
      <c r="C817" s="320"/>
      <c r="D817" s="320"/>
      <c r="E817" s="320"/>
      <c r="F817" s="320"/>
      <c r="G817" s="320"/>
      <c r="H817" s="320"/>
      <c r="I817" s="320"/>
      <c r="J817" s="320"/>
      <c r="K817" s="320"/>
      <c r="L817" s="320"/>
      <c r="M817" s="320"/>
      <c r="N817" s="320"/>
      <c r="O817" s="320"/>
      <c r="P817" s="320"/>
      <c r="Q817" s="320"/>
      <c r="R817" s="320"/>
      <c r="S817" s="320"/>
      <c r="T817" s="320"/>
    </row>
    <row r="818">
      <c r="A818" s="362" t="str">
        <f>IFERROR(__xludf.DUMMYFUNCTION("""COMPUTED_VALUE"""),"Enchantment Ultimate Flash 1")</f>
        <v>Enchantment Ultimate Flash 1</v>
      </c>
      <c r="B818" s="373">
        <f>IFERROR(__xludf.DUMMYFUNCTION("""COMPUTED_VALUE"""),5338496.7)</f>
        <v>5338496.7</v>
      </c>
      <c r="C818" s="320"/>
      <c r="D818" s="320"/>
      <c r="E818" s="320"/>
      <c r="F818" s="320"/>
      <c r="G818" s="320"/>
      <c r="H818" s="320"/>
      <c r="I818" s="320"/>
      <c r="J818" s="320"/>
      <c r="K818" s="320"/>
      <c r="L818" s="320"/>
      <c r="M818" s="320"/>
      <c r="N818" s="320"/>
      <c r="O818" s="320"/>
      <c r="P818" s="320"/>
      <c r="Q818" s="320"/>
      <c r="R818" s="320"/>
      <c r="S818" s="320"/>
      <c r="T818" s="320"/>
    </row>
    <row r="819">
      <c r="A819" s="362" t="str">
        <f>IFERROR(__xludf.DUMMYFUNCTION("""COMPUTED_VALUE"""),"Enchantment Ultimate Flash 2")</f>
        <v>Enchantment Ultimate Flash 2</v>
      </c>
      <c r="B819" s="373">
        <f>IFERROR(__xludf.DUMMYFUNCTION("""COMPUTED_VALUE"""),7535001.15)</f>
        <v>7535001.15</v>
      </c>
      <c r="C819" s="320"/>
      <c r="D819" s="320"/>
      <c r="E819" s="320"/>
      <c r="F819" s="320"/>
      <c r="G819" s="320"/>
      <c r="H819" s="320"/>
      <c r="I819" s="320"/>
      <c r="J819" s="320"/>
      <c r="K819" s="320"/>
      <c r="L819" s="320"/>
      <c r="M819" s="320"/>
      <c r="N819" s="320"/>
      <c r="O819" s="320"/>
      <c r="P819" s="320"/>
      <c r="Q819" s="320"/>
      <c r="R819" s="320"/>
      <c r="S819" s="320"/>
      <c r="T819" s="320"/>
    </row>
    <row r="820">
      <c r="A820" s="362" t="str">
        <f>IFERROR(__xludf.DUMMYFUNCTION("""COMPUTED_VALUE"""),"Enchantment Ultimate Flash 3")</f>
        <v>Enchantment Ultimate Flash 3</v>
      </c>
      <c r="B820" s="373">
        <f>IFERROR(__xludf.DUMMYFUNCTION("""COMPUTED_VALUE"""),1.73020191E7)</f>
        <v>17302019.1</v>
      </c>
      <c r="C820" s="320"/>
      <c r="D820" s="320"/>
      <c r="E820" s="320"/>
      <c r="F820" s="320"/>
      <c r="G820" s="320"/>
      <c r="H820" s="320"/>
      <c r="I820" s="320"/>
      <c r="J820" s="320"/>
      <c r="K820" s="320"/>
      <c r="L820" s="320"/>
      <c r="M820" s="320"/>
      <c r="N820" s="320"/>
      <c r="O820" s="320"/>
      <c r="P820" s="320"/>
      <c r="Q820" s="320"/>
      <c r="R820" s="320"/>
      <c r="S820" s="320"/>
      <c r="T820" s="320"/>
    </row>
    <row r="821">
      <c r="A821" s="362" t="str">
        <f>IFERROR(__xludf.DUMMYFUNCTION("""COMPUTED_VALUE"""),"Enchantment Ultimate Flash 4")</f>
        <v>Enchantment Ultimate Flash 4</v>
      </c>
      <c r="B821" s="373">
        <f>IFERROR(__xludf.DUMMYFUNCTION("""COMPUTED_VALUE"""),3.14298948E7)</f>
        <v>31429894.8</v>
      </c>
      <c r="C821" s="320"/>
      <c r="D821" s="320"/>
      <c r="E821" s="320"/>
      <c r="F821" s="320"/>
      <c r="G821" s="320"/>
      <c r="H821" s="320"/>
      <c r="I821" s="320"/>
      <c r="J821" s="320"/>
      <c r="K821" s="320"/>
      <c r="L821" s="320"/>
      <c r="M821" s="320"/>
      <c r="N821" s="320"/>
      <c r="O821" s="320"/>
      <c r="P821" s="320"/>
      <c r="Q821" s="320"/>
      <c r="R821" s="320"/>
      <c r="S821" s="320"/>
      <c r="T821" s="320"/>
    </row>
    <row r="822">
      <c r="A822" s="362" t="str">
        <f>IFERROR(__xludf.DUMMYFUNCTION("""COMPUTED_VALUE"""),"Enchantment Ultimate Flash 5")</f>
        <v>Enchantment Ultimate Flash 5</v>
      </c>
      <c r="B822" s="373">
        <f>IFERROR(__xludf.DUMMYFUNCTION("""COMPUTED_VALUE"""),7.775020405E7)</f>
        <v>77750204.05</v>
      </c>
      <c r="C822" s="320"/>
      <c r="D822" s="320"/>
      <c r="E822" s="320"/>
      <c r="F822" s="320"/>
      <c r="G822" s="320"/>
      <c r="H822" s="320"/>
      <c r="I822" s="320"/>
      <c r="J822" s="320"/>
      <c r="K822" s="320"/>
      <c r="L822" s="320"/>
      <c r="M822" s="320"/>
      <c r="N822" s="320"/>
      <c r="O822" s="320"/>
      <c r="P822" s="320"/>
      <c r="Q822" s="320"/>
      <c r="R822" s="320"/>
      <c r="S822" s="320"/>
      <c r="T822" s="320"/>
    </row>
    <row r="823">
      <c r="A823" s="362" t="str">
        <f>IFERROR(__xludf.DUMMYFUNCTION("""COMPUTED_VALUE"""),"Enchantment Ultimate Habanero Tactics 4")</f>
        <v>Enchantment Ultimate Habanero Tactics 4</v>
      </c>
      <c r="B823" s="373">
        <f>IFERROR(__xludf.DUMMYFUNCTION("""COMPUTED_VALUE"""),5.49999997E7)</f>
        <v>54999999.7</v>
      </c>
      <c r="C823" s="320"/>
      <c r="D823" s="320"/>
      <c r="E823" s="320"/>
      <c r="F823" s="320"/>
      <c r="G823" s="320"/>
      <c r="H823" s="320"/>
      <c r="I823" s="320"/>
      <c r="J823" s="320"/>
      <c r="K823" s="320"/>
      <c r="L823" s="320"/>
      <c r="M823" s="320"/>
      <c r="N823" s="320"/>
      <c r="O823" s="320"/>
      <c r="P823" s="320"/>
      <c r="Q823" s="320"/>
      <c r="R823" s="320"/>
      <c r="S823" s="320"/>
      <c r="T823" s="320"/>
    </row>
    <row r="824">
      <c r="A824" s="362" t="str">
        <f>IFERROR(__xludf.DUMMYFUNCTION("""COMPUTED_VALUE"""),"Enchantment Ultimate Habanero Tactics 5")</f>
        <v>Enchantment Ultimate Habanero Tactics 5</v>
      </c>
      <c r="B824" s="373">
        <f>IFERROR(__xludf.DUMMYFUNCTION("""COMPUTED_VALUE"""),2325001.15)</f>
        <v>2325001.15</v>
      </c>
      <c r="C824" s="320"/>
      <c r="D824" s="320"/>
      <c r="E824" s="320"/>
      <c r="F824" s="320"/>
      <c r="G824" s="320"/>
      <c r="H824" s="320"/>
      <c r="I824" s="320"/>
      <c r="J824" s="320"/>
      <c r="K824" s="320"/>
      <c r="L824" s="320"/>
      <c r="M824" s="320"/>
      <c r="N824" s="320"/>
      <c r="O824" s="320"/>
      <c r="P824" s="320"/>
      <c r="Q824" s="320"/>
      <c r="R824" s="320"/>
      <c r="S824" s="320"/>
      <c r="T824" s="320"/>
    </row>
    <row r="825">
      <c r="A825" s="362" t="str">
        <f>IFERROR(__xludf.DUMMYFUNCTION("""COMPUTED_VALUE"""),"Enchantment Ultimate Inferno 1")</f>
        <v>Enchantment Ultimate Inferno 1</v>
      </c>
      <c r="B825" s="373">
        <f>IFERROR(__xludf.DUMMYFUNCTION("""COMPUTED_VALUE"""),6717339.8)</f>
        <v>6717339.8</v>
      </c>
      <c r="C825" s="320"/>
      <c r="D825" s="320"/>
      <c r="E825" s="320"/>
      <c r="F825" s="320"/>
      <c r="G825" s="320"/>
      <c r="H825" s="320"/>
      <c r="I825" s="320"/>
      <c r="J825" s="320"/>
      <c r="K825" s="320"/>
      <c r="L825" s="320"/>
      <c r="M825" s="320"/>
      <c r="N825" s="320"/>
      <c r="O825" s="320"/>
      <c r="P825" s="320"/>
      <c r="Q825" s="320"/>
      <c r="R825" s="320"/>
      <c r="S825" s="320"/>
      <c r="T825" s="320"/>
    </row>
    <row r="826">
      <c r="A826" s="362" t="str">
        <f>IFERROR(__xludf.DUMMYFUNCTION("""COMPUTED_VALUE"""),"Enchantment Ultimate Inferno 2")</f>
        <v>Enchantment Ultimate Inferno 2</v>
      </c>
      <c r="B826" s="373">
        <f>IFERROR(__xludf.DUMMYFUNCTION("""COMPUTED_VALUE"""),1.550000495E7)</f>
        <v>15500004.95</v>
      </c>
      <c r="C826" s="320"/>
      <c r="D826" s="320"/>
      <c r="E826" s="320"/>
      <c r="F826" s="320"/>
      <c r="G826" s="320"/>
      <c r="H826" s="320"/>
      <c r="I826" s="320"/>
      <c r="J826" s="320"/>
      <c r="K826" s="320"/>
      <c r="L826" s="320"/>
      <c r="M826" s="320"/>
      <c r="N826" s="320"/>
      <c r="O826" s="320"/>
      <c r="P826" s="320"/>
      <c r="Q826" s="320"/>
      <c r="R826" s="320"/>
      <c r="S826" s="320"/>
      <c r="T826" s="320"/>
    </row>
    <row r="827">
      <c r="A827" s="362" t="str">
        <f>IFERROR(__xludf.DUMMYFUNCTION("""COMPUTED_VALUE"""),"Enchantment Ultimate Inferno 3")</f>
        <v>Enchantment Ultimate Inferno 3</v>
      </c>
      <c r="B827" s="373">
        <f>IFERROR(__xludf.DUMMYFUNCTION("""COMPUTED_VALUE"""),1.86500002E7)</f>
        <v>18650000.2</v>
      </c>
      <c r="C827" s="320"/>
      <c r="D827" s="320"/>
      <c r="E827" s="320"/>
      <c r="F827" s="320"/>
      <c r="G827" s="320"/>
      <c r="H827" s="320"/>
      <c r="I827" s="320"/>
      <c r="J827" s="320"/>
      <c r="K827" s="320"/>
      <c r="L827" s="320"/>
      <c r="M827" s="320"/>
      <c r="N827" s="320"/>
      <c r="O827" s="320"/>
      <c r="P827" s="320"/>
      <c r="Q827" s="320"/>
      <c r="R827" s="320"/>
      <c r="S827" s="320"/>
      <c r="T827" s="320"/>
    </row>
    <row r="828">
      <c r="A828" s="362" t="str">
        <f>IFERROR(__xludf.DUMMYFUNCTION("""COMPUTED_VALUE"""),"Enchantment Ultimate Inferno 4")</f>
        <v>Enchantment Ultimate Inferno 4</v>
      </c>
      <c r="B828" s="373">
        <f>IFERROR(__xludf.DUMMYFUNCTION("""COMPUTED_VALUE"""),1102506.85)</f>
        <v>1102506.85</v>
      </c>
      <c r="C828" s="320"/>
      <c r="D828" s="320"/>
      <c r="E828" s="320"/>
      <c r="F828" s="320"/>
      <c r="G828" s="320"/>
      <c r="H828" s="320"/>
      <c r="I828" s="320"/>
      <c r="J828" s="320"/>
      <c r="K828" s="320"/>
      <c r="L828" s="320"/>
      <c r="M828" s="320"/>
      <c r="N828" s="320"/>
      <c r="O828" s="320"/>
      <c r="P828" s="320"/>
      <c r="Q828" s="320"/>
      <c r="R828" s="320"/>
      <c r="S828" s="320"/>
      <c r="T828" s="320"/>
    </row>
    <row r="829">
      <c r="A829" s="362" t="str">
        <f>IFERROR(__xludf.DUMMYFUNCTION("""COMPUTED_VALUE"""),"Enchantment Ultimate Inferno 5")</f>
        <v>Enchantment Ultimate Inferno 5</v>
      </c>
      <c r="B829" s="373">
        <f>IFERROR(__xludf.DUMMYFUNCTION("""COMPUTED_VALUE"""),1.1655000015E8)</f>
        <v>116550000.2</v>
      </c>
      <c r="C829" s="320"/>
      <c r="D829" s="320"/>
      <c r="E829" s="320"/>
      <c r="F829" s="320"/>
      <c r="G829" s="320"/>
      <c r="H829" s="320"/>
      <c r="I829" s="320"/>
      <c r="J829" s="320"/>
      <c r="K829" s="320"/>
      <c r="L829" s="320"/>
      <c r="M829" s="320"/>
      <c r="N829" s="320"/>
      <c r="O829" s="320"/>
      <c r="P829" s="320"/>
      <c r="Q829" s="320"/>
      <c r="R829" s="320"/>
      <c r="S829" s="320"/>
      <c r="T829" s="320"/>
    </row>
    <row r="830">
      <c r="A830" s="362" t="str">
        <f>IFERROR(__xludf.DUMMYFUNCTION("""COMPUTED_VALUE"""),"Enchantment Ultimate Jerry 1")</f>
        <v>Enchantment Ultimate Jerry 1</v>
      </c>
      <c r="B830" s="373">
        <f>IFERROR(__xludf.DUMMYFUNCTION("""COMPUTED_VALUE"""),950.3)</f>
        <v>950.3</v>
      </c>
      <c r="C830" s="320"/>
      <c r="D830" s="320"/>
      <c r="E830" s="320"/>
      <c r="F830" s="320"/>
      <c r="G830" s="320"/>
      <c r="H830" s="320"/>
      <c r="I830" s="320"/>
      <c r="J830" s="320"/>
      <c r="K830" s="320"/>
      <c r="L830" s="320"/>
      <c r="M830" s="320"/>
      <c r="N830" s="320"/>
      <c r="O830" s="320"/>
      <c r="P830" s="320"/>
      <c r="Q830" s="320"/>
      <c r="R830" s="320"/>
      <c r="S830" s="320"/>
      <c r="T830" s="320"/>
    </row>
    <row r="831">
      <c r="A831" s="362" t="str">
        <f>IFERROR(__xludf.DUMMYFUNCTION("""COMPUTED_VALUE"""),"Enchantment Ultimate Jerry 2")</f>
        <v>Enchantment Ultimate Jerry 2</v>
      </c>
      <c r="B831" s="373">
        <f>IFERROR(__xludf.DUMMYFUNCTION("""COMPUTED_VALUE"""),952.95)</f>
        <v>952.95</v>
      </c>
      <c r="C831" s="320"/>
      <c r="D831" s="320"/>
      <c r="E831" s="320"/>
      <c r="F831" s="320"/>
      <c r="G831" s="320"/>
      <c r="H831" s="320"/>
      <c r="I831" s="320"/>
      <c r="J831" s="320"/>
      <c r="K831" s="320"/>
      <c r="L831" s="320"/>
      <c r="M831" s="320"/>
      <c r="N831" s="320"/>
      <c r="O831" s="320"/>
      <c r="P831" s="320"/>
      <c r="Q831" s="320"/>
      <c r="R831" s="320"/>
      <c r="S831" s="320"/>
      <c r="T831" s="320"/>
    </row>
    <row r="832">
      <c r="A832" s="362" t="str">
        <f>IFERROR(__xludf.DUMMYFUNCTION("""COMPUTED_VALUE"""),"Enchantment Ultimate Jerry 3")</f>
        <v>Enchantment Ultimate Jerry 3</v>
      </c>
      <c r="B832" s="373">
        <f>IFERROR(__xludf.DUMMYFUNCTION("""COMPUTED_VALUE"""),910.775)</f>
        <v>910.775</v>
      </c>
      <c r="C832" s="320"/>
      <c r="D832" s="320"/>
      <c r="E832" s="320"/>
      <c r="F832" s="320"/>
      <c r="G832" s="320"/>
      <c r="H832" s="320"/>
      <c r="I832" s="320"/>
      <c r="J832" s="320"/>
      <c r="K832" s="320"/>
      <c r="L832" s="320"/>
      <c r="M832" s="320"/>
      <c r="N832" s="320"/>
      <c r="O832" s="320"/>
      <c r="P832" s="320"/>
      <c r="Q832" s="320"/>
      <c r="R832" s="320"/>
      <c r="S832" s="320"/>
      <c r="T832" s="320"/>
    </row>
    <row r="833">
      <c r="A833" s="362" t="str">
        <f>IFERROR(__xludf.DUMMYFUNCTION("""COMPUTED_VALUE"""),"Enchantment Ultimate Jerry 4")</f>
        <v>Enchantment Ultimate Jerry 4</v>
      </c>
      <c r="B833" s="373">
        <f>IFERROR(__xludf.DUMMYFUNCTION("""COMPUTED_VALUE"""),26327.35)</f>
        <v>26327.35</v>
      </c>
      <c r="C833" s="320"/>
      <c r="D833" s="320"/>
      <c r="E833" s="320"/>
      <c r="F833" s="320"/>
      <c r="G833" s="320"/>
      <c r="H833" s="320"/>
      <c r="I833" s="320"/>
      <c r="J833" s="320"/>
      <c r="K833" s="320"/>
      <c r="L833" s="320"/>
      <c r="M833" s="320"/>
      <c r="N833" s="320"/>
      <c r="O833" s="320"/>
      <c r="P833" s="320"/>
      <c r="Q833" s="320"/>
      <c r="R833" s="320"/>
      <c r="S833" s="320"/>
      <c r="T833" s="320"/>
    </row>
    <row r="834">
      <c r="A834" s="362" t="str">
        <f>IFERROR(__xludf.DUMMYFUNCTION("""COMPUTED_VALUE"""),"Enchantment Ultimate Jerry 5")</f>
        <v>Enchantment Ultimate Jerry 5</v>
      </c>
      <c r="B834" s="373">
        <f>IFERROR(__xludf.DUMMYFUNCTION("""COMPUTED_VALUE"""),39691.05)</f>
        <v>39691.05</v>
      </c>
      <c r="C834" s="320"/>
      <c r="D834" s="320"/>
      <c r="E834" s="320"/>
      <c r="F834" s="320"/>
      <c r="G834" s="320"/>
      <c r="H834" s="320"/>
      <c r="I834" s="320"/>
      <c r="J834" s="320"/>
      <c r="K834" s="320"/>
      <c r="L834" s="320"/>
      <c r="M834" s="320"/>
      <c r="N834" s="320"/>
      <c r="O834" s="320"/>
      <c r="P834" s="320"/>
      <c r="Q834" s="320"/>
      <c r="R834" s="320"/>
      <c r="S834" s="320"/>
      <c r="T834" s="320"/>
    </row>
    <row r="835">
      <c r="A835" s="362" t="str">
        <f>IFERROR(__xludf.DUMMYFUNCTION("""COMPUTED_VALUE"""),"Enchantment Ultimate Last Stand 1")</f>
        <v>Enchantment Ultimate Last Stand 1</v>
      </c>
      <c r="B835" s="373">
        <f>IFERROR(__xludf.DUMMYFUNCTION("""COMPUTED_VALUE"""),235499.25)</f>
        <v>235499.25</v>
      </c>
      <c r="C835" s="320"/>
      <c r="D835" s="320"/>
      <c r="E835" s="320"/>
      <c r="F835" s="320"/>
      <c r="G835" s="320"/>
      <c r="H835" s="320"/>
      <c r="I835" s="320"/>
      <c r="J835" s="320"/>
      <c r="K835" s="320"/>
      <c r="L835" s="320"/>
      <c r="M835" s="320"/>
      <c r="N835" s="320"/>
      <c r="O835" s="320"/>
      <c r="P835" s="320"/>
      <c r="Q835" s="320"/>
      <c r="R835" s="320"/>
      <c r="S835" s="320"/>
      <c r="T835" s="320"/>
    </row>
    <row r="836">
      <c r="A836" s="362" t="str">
        <f>IFERROR(__xludf.DUMMYFUNCTION("""COMPUTED_VALUE"""),"Enchantment Ultimate Last Stand 2")</f>
        <v>Enchantment Ultimate Last Stand 2</v>
      </c>
      <c r="B836" s="373">
        <f>IFERROR(__xludf.DUMMYFUNCTION("""COMPUTED_VALUE"""),414693.186)</f>
        <v>414693.186</v>
      </c>
      <c r="C836" s="320"/>
      <c r="D836" s="320"/>
      <c r="E836" s="320"/>
      <c r="F836" s="320"/>
      <c r="G836" s="320"/>
      <c r="H836" s="320"/>
      <c r="I836" s="320"/>
      <c r="J836" s="320"/>
      <c r="K836" s="320"/>
      <c r="L836" s="320"/>
      <c r="M836" s="320"/>
      <c r="N836" s="320"/>
      <c r="O836" s="320"/>
      <c r="P836" s="320"/>
      <c r="Q836" s="320"/>
      <c r="R836" s="320"/>
      <c r="S836" s="320"/>
      <c r="T836" s="320"/>
    </row>
    <row r="837">
      <c r="A837" s="362" t="str">
        <f>IFERROR(__xludf.DUMMYFUNCTION("""COMPUTED_VALUE"""),"Enchantment Ultimate Last Stand 3")</f>
        <v>Enchantment Ultimate Last Stand 3</v>
      </c>
      <c r="B837" s="373">
        <f>IFERROR(__xludf.DUMMYFUNCTION("""COMPUTED_VALUE"""),888541.35)</f>
        <v>888541.35</v>
      </c>
      <c r="C837" s="320"/>
      <c r="D837" s="320"/>
      <c r="E837" s="320"/>
      <c r="F837" s="320"/>
      <c r="G837" s="320"/>
      <c r="H837" s="320"/>
      <c r="I837" s="320"/>
      <c r="J837" s="320"/>
      <c r="K837" s="320"/>
      <c r="L837" s="320"/>
      <c r="M837" s="320"/>
      <c r="N837" s="320"/>
      <c r="O837" s="320"/>
      <c r="P837" s="320"/>
      <c r="Q837" s="320"/>
      <c r="R837" s="320"/>
      <c r="S837" s="320"/>
      <c r="T837" s="320"/>
    </row>
    <row r="838">
      <c r="A838" s="362" t="str">
        <f>IFERROR(__xludf.DUMMYFUNCTION("""COMPUTED_VALUE"""),"Enchantment Ultimate Last Stand 4")</f>
        <v>Enchantment Ultimate Last Stand 4</v>
      </c>
      <c r="B838" s="373">
        <f>IFERROR(__xludf.DUMMYFUNCTION("""COMPUTED_VALUE"""),1947853.275)</f>
        <v>1947853.275</v>
      </c>
      <c r="C838" s="320"/>
      <c r="D838" s="320"/>
      <c r="E838" s="320"/>
      <c r="F838" s="320"/>
      <c r="G838" s="320"/>
      <c r="H838" s="320"/>
      <c r="I838" s="320"/>
      <c r="J838" s="320"/>
      <c r="K838" s="320"/>
      <c r="L838" s="320"/>
      <c r="M838" s="320"/>
      <c r="N838" s="320"/>
      <c r="O838" s="320"/>
      <c r="P838" s="320"/>
      <c r="Q838" s="320"/>
      <c r="R838" s="320"/>
      <c r="S838" s="320"/>
      <c r="T838" s="320"/>
    </row>
    <row r="839">
      <c r="A839" s="362" t="str">
        <f>IFERROR(__xludf.DUMMYFUNCTION("""COMPUTED_VALUE"""),"Enchantment Ultimate Last Stand 5")</f>
        <v>Enchantment Ultimate Last Stand 5</v>
      </c>
      <c r="B839" s="373">
        <f>IFERROR(__xludf.DUMMYFUNCTION("""COMPUTED_VALUE"""),3941009.7)</f>
        <v>3941009.7</v>
      </c>
      <c r="C839" s="320"/>
      <c r="D839" s="320"/>
      <c r="E839" s="320"/>
      <c r="F839" s="320"/>
      <c r="G839" s="320"/>
      <c r="H839" s="320"/>
      <c r="I839" s="320"/>
      <c r="J839" s="320"/>
      <c r="K839" s="320"/>
      <c r="L839" s="320"/>
      <c r="M839" s="320"/>
      <c r="N839" s="320"/>
      <c r="O839" s="320"/>
      <c r="P839" s="320"/>
      <c r="Q839" s="320"/>
      <c r="R839" s="320"/>
      <c r="S839" s="320"/>
      <c r="T839" s="320"/>
    </row>
    <row r="840">
      <c r="A840" s="362" t="str">
        <f>IFERROR(__xludf.DUMMYFUNCTION("""COMPUTED_VALUE"""),"Enchantment Ultimate Legion 1")</f>
        <v>Enchantment Ultimate Legion 1</v>
      </c>
      <c r="B840" s="373">
        <f>IFERROR(__xludf.DUMMYFUNCTION("""COMPUTED_VALUE"""),1879807.35)</f>
        <v>1879807.35</v>
      </c>
      <c r="C840" s="320"/>
      <c r="D840" s="320"/>
      <c r="E840" s="320"/>
      <c r="F840" s="320"/>
      <c r="G840" s="320"/>
      <c r="H840" s="320"/>
      <c r="I840" s="320"/>
      <c r="J840" s="320"/>
      <c r="K840" s="320"/>
      <c r="L840" s="320"/>
      <c r="M840" s="320"/>
      <c r="N840" s="320"/>
      <c r="O840" s="320"/>
      <c r="P840" s="320"/>
      <c r="Q840" s="320"/>
      <c r="R840" s="320"/>
      <c r="S840" s="320"/>
      <c r="T840" s="320"/>
    </row>
    <row r="841">
      <c r="A841" s="362" t="str">
        <f>IFERROR(__xludf.DUMMYFUNCTION("""COMPUTED_VALUE"""),"Enchantment Ultimate Legion 2")</f>
        <v>Enchantment Ultimate Legion 2</v>
      </c>
      <c r="B841" s="373">
        <f>IFERROR(__xludf.DUMMYFUNCTION("""COMPUTED_VALUE"""),2215532.85)</f>
        <v>2215532.85</v>
      </c>
      <c r="C841" s="320"/>
      <c r="D841" s="320"/>
      <c r="E841" s="320"/>
      <c r="F841" s="320"/>
      <c r="G841" s="320"/>
      <c r="H841" s="320"/>
      <c r="I841" s="320"/>
      <c r="J841" s="320"/>
      <c r="K841" s="320"/>
      <c r="L841" s="320"/>
      <c r="M841" s="320"/>
      <c r="N841" s="320"/>
      <c r="O841" s="320"/>
      <c r="P841" s="320"/>
      <c r="Q841" s="320"/>
      <c r="R841" s="320"/>
      <c r="S841" s="320"/>
      <c r="T841" s="320"/>
    </row>
    <row r="842">
      <c r="A842" s="362" t="str">
        <f>IFERROR(__xludf.DUMMYFUNCTION("""COMPUTED_VALUE"""),"Enchantment Ultimate Legion 3")</f>
        <v>Enchantment Ultimate Legion 3</v>
      </c>
      <c r="B842" s="373">
        <f>IFERROR(__xludf.DUMMYFUNCTION("""COMPUTED_VALUE"""),4396111.25)</f>
        <v>4396111.25</v>
      </c>
      <c r="C842" s="320"/>
      <c r="D842" s="320"/>
      <c r="E842" s="320"/>
      <c r="F842" s="320"/>
      <c r="G842" s="320"/>
      <c r="H842" s="320"/>
      <c r="I842" s="320"/>
      <c r="J842" s="320"/>
      <c r="K842" s="320"/>
      <c r="L842" s="320"/>
      <c r="M842" s="320"/>
      <c r="N842" s="320"/>
      <c r="O842" s="320"/>
      <c r="P842" s="320"/>
      <c r="Q842" s="320"/>
      <c r="R842" s="320"/>
      <c r="S842" s="320"/>
      <c r="T842" s="320"/>
    </row>
    <row r="843">
      <c r="A843" s="362" t="str">
        <f>IFERROR(__xludf.DUMMYFUNCTION("""COMPUTED_VALUE"""),"Enchantment Ultimate Legion 4")</f>
        <v>Enchantment Ultimate Legion 4</v>
      </c>
      <c r="B843" s="373">
        <f>IFERROR(__xludf.DUMMYFUNCTION("""COMPUTED_VALUE"""),8765001.8)</f>
        <v>8765001.8</v>
      </c>
      <c r="C843" s="320"/>
      <c r="D843" s="320"/>
      <c r="E843" s="320"/>
      <c r="F843" s="320"/>
      <c r="G843" s="320"/>
      <c r="H843" s="320"/>
      <c r="I843" s="320"/>
      <c r="J843" s="320"/>
      <c r="K843" s="320"/>
      <c r="L843" s="320"/>
      <c r="M843" s="320"/>
      <c r="N843" s="320"/>
      <c r="O843" s="320"/>
      <c r="P843" s="320"/>
      <c r="Q843" s="320"/>
      <c r="R843" s="320"/>
      <c r="S843" s="320"/>
      <c r="T843" s="320"/>
    </row>
    <row r="844">
      <c r="A844" s="362" t="str">
        <f>IFERROR(__xludf.DUMMYFUNCTION("""COMPUTED_VALUE"""),"Enchantment Ultimate Legion 5")</f>
        <v>Enchantment Ultimate Legion 5</v>
      </c>
      <c r="B844" s="373">
        <f>IFERROR(__xludf.DUMMYFUNCTION("""COMPUTED_VALUE"""),2.92896174E7)</f>
        <v>29289617.4</v>
      </c>
      <c r="C844" s="320"/>
      <c r="D844" s="320"/>
      <c r="E844" s="320"/>
      <c r="F844" s="320"/>
      <c r="G844" s="320"/>
      <c r="H844" s="320"/>
      <c r="I844" s="320"/>
      <c r="J844" s="320"/>
      <c r="K844" s="320"/>
      <c r="L844" s="320"/>
      <c r="M844" s="320"/>
      <c r="N844" s="320"/>
      <c r="O844" s="320"/>
      <c r="P844" s="320"/>
      <c r="Q844" s="320"/>
      <c r="R844" s="320"/>
      <c r="S844" s="320"/>
      <c r="T844" s="320"/>
    </row>
    <row r="845">
      <c r="A845" s="362" t="str">
        <f>IFERROR(__xludf.DUMMYFUNCTION("""COMPUTED_VALUE"""),"Enchantment Ultimate No Pain No Gain 1")</f>
        <v>Enchantment Ultimate No Pain No Gain 1</v>
      </c>
      <c r="B845" s="373">
        <f>IFERROR(__xludf.DUMMYFUNCTION("""COMPUTED_VALUE"""),232.65)</f>
        <v>232.65</v>
      </c>
      <c r="C845" s="320"/>
      <c r="D845" s="320"/>
      <c r="E845" s="320"/>
      <c r="F845" s="320"/>
      <c r="G845" s="320"/>
      <c r="H845" s="320"/>
      <c r="I845" s="320"/>
      <c r="J845" s="320"/>
      <c r="K845" s="320"/>
      <c r="L845" s="320"/>
      <c r="M845" s="320"/>
      <c r="N845" s="320"/>
      <c r="O845" s="320"/>
      <c r="P845" s="320"/>
      <c r="Q845" s="320"/>
      <c r="R845" s="320"/>
      <c r="S845" s="320"/>
      <c r="T845" s="320"/>
    </row>
    <row r="846">
      <c r="A846" s="362" t="str">
        <f>IFERROR(__xludf.DUMMYFUNCTION("""COMPUTED_VALUE"""),"Enchantment Ultimate No Pain No Gain 2")</f>
        <v>Enchantment Ultimate No Pain No Gain 2</v>
      </c>
      <c r="B846" s="373">
        <f>IFERROR(__xludf.DUMMYFUNCTION("""COMPUTED_VALUE"""),1390.3)</f>
        <v>1390.3</v>
      </c>
      <c r="C846" s="320"/>
      <c r="D846" s="320"/>
      <c r="E846" s="320"/>
      <c r="F846" s="320"/>
      <c r="G846" s="320"/>
      <c r="H846" s="320"/>
      <c r="I846" s="320"/>
      <c r="J846" s="320"/>
      <c r="K846" s="320"/>
      <c r="L846" s="320"/>
      <c r="M846" s="320"/>
      <c r="N846" s="320"/>
      <c r="O846" s="320"/>
      <c r="P846" s="320"/>
      <c r="Q846" s="320"/>
      <c r="R846" s="320"/>
      <c r="S846" s="320"/>
      <c r="T846" s="320"/>
    </row>
    <row r="847">
      <c r="A847" s="362" t="str">
        <f>IFERROR(__xludf.DUMMYFUNCTION("""COMPUTED_VALUE"""),"Enchantment Ultimate No Pain No Gain 3")</f>
        <v>Enchantment Ultimate No Pain No Gain 3</v>
      </c>
      <c r="B847" s="373">
        <f>IFERROR(__xludf.DUMMYFUNCTION("""COMPUTED_VALUE"""),81000.4)</f>
        <v>81000.4</v>
      </c>
      <c r="C847" s="320"/>
      <c r="D847" s="320"/>
      <c r="E847" s="320"/>
      <c r="F847" s="320"/>
      <c r="G847" s="320"/>
      <c r="H847" s="320"/>
      <c r="I847" s="320"/>
      <c r="J847" s="320"/>
      <c r="K847" s="320"/>
      <c r="L847" s="320"/>
      <c r="M847" s="320"/>
      <c r="N847" s="320"/>
      <c r="O847" s="320"/>
      <c r="P847" s="320"/>
      <c r="Q847" s="320"/>
      <c r="R847" s="320"/>
      <c r="S847" s="320"/>
      <c r="T847" s="320"/>
    </row>
    <row r="848">
      <c r="A848" s="362" t="str">
        <f>IFERROR(__xludf.DUMMYFUNCTION("""COMPUTED_VALUE"""),"Enchantment Ultimate No Pain No Gain 4")</f>
        <v>Enchantment Ultimate No Pain No Gain 4</v>
      </c>
      <c r="B848" s="373">
        <f>IFERROR(__xludf.DUMMYFUNCTION("""COMPUTED_VALUE"""),4750000.05)</f>
        <v>4750000.05</v>
      </c>
      <c r="C848" s="320"/>
      <c r="D848" s="320"/>
      <c r="E848" s="320"/>
      <c r="F848" s="320"/>
      <c r="G848" s="320"/>
      <c r="H848" s="320"/>
      <c r="I848" s="320"/>
      <c r="J848" s="320"/>
      <c r="K848" s="320"/>
      <c r="L848" s="320"/>
      <c r="M848" s="320"/>
      <c r="N848" s="320"/>
      <c r="O848" s="320"/>
      <c r="P848" s="320"/>
      <c r="Q848" s="320"/>
      <c r="R848" s="320"/>
      <c r="S848" s="320"/>
      <c r="T848" s="320"/>
    </row>
    <row r="849">
      <c r="A849" s="362" t="str">
        <f>IFERROR(__xludf.DUMMYFUNCTION("""COMPUTED_VALUE"""),"Enchantment Ultimate No Pain No Gain 5")</f>
        <v>Enchantment Ultimate No Pain No Gain 5</v>
      </c>
      <c r="B849" s="373">
        <f>IFERROR(__xludf.DUMMYFUNCTION("""COMPUTED_VALUE"""),18200.425)</f>
        <v>18200.425</v>
      </c>
      <c r="C849" s="320"/>
      <c r="D849" s="320"/>
      <c r="E849" s="320"/>
      <c r="F849" s="320"/>
      <c r="G849" s="320"/>
      <c r="H849" s="320"/>
      <c r="I849" s="320"/>
      <c r="J849" s="320"/>
      <c r="K849" s="320"/>
      <c r="L849" s="320"/>
      <c r="M849" s="320"/>
      <c r="N849" s="320"/>
      <c r="O849" s="320"/>
      <c r="P849" s="320"/>
      <c r="Q849" s="320"/>
      <c r="R849" s="320"/>
      <c r="S849" s="320"/>
      <c r="T849" s="320"/>
    </row>
    <row r="850">
      <c r="A850" s="362" t="str">
        <f>IFERROR(__xludf.DUMMYFUNCTION("""COMPUTED_VALUE"""),"Enchantment Ultimate One For All 0")</f>
        <v>Enchantment Ultimate One For All 0</v>
      </c>
      <c r="B850" s="373"/>
      <c r="C850" s="320"/>
      <c r="D850" s="320"/>
      <c r="E850" s="320"/>
      <c r="F850" s="320"/>
      <c r="G850" s="320"/>
      <c r="H850" s="320"/>
      <c r="I850" s="320"/>
      <c r="J850" s="320"/>
      <c r="K850" s="320"/>
      <c r="L850" s="320"/>
      <c r="M850" s="320"/>
      <c r="N850" s="320"/>
      <c r="O850" s="320"/>
      <c r="P850" s="320"/>
      <c r="Q850" s="320"/>
      <c r="R850" s="320"/>
      <c r="S850" s="320"/>
      <c r="T850" s="320"/>
    </row>
    <row r="851">
      <c r="A851" s="362" t="str">
        <f>IFERROR(__xludf.DUMMYFUNCTION("""COMPUTED_VALUE"""),"Enchantment Ultimate One For All 1")</f>
        <v>Enchantment Ultimate One For All 1</v>
      </c>
      <c r="B851" s="373">
        <f>IFERROR(__xludf.DUMMYFUNCTION("""COMPUTED_VALUE"""),1994499.825)</f>
        <v>1994499.825</v>
      </c>
      <c r="C851" s="320"/>
      <c r="D851" s="320"/>
      <c r="E851" s="320"/>
      <c r="F851" s="320"/>
      <c r="G851" s="320"/>
      <c r="H851" s="320"/>
      <c r="I851" s="320"/>
      <c r="J851" s="320"/>
      <c r="K851" s="320"/>
      <c r="L851" s="320"/>
      <c r="M851" s="320"/>
      <c r="N851" s="320"/>
      <c r="O851" s="320"/>
      <c r="P851" s="320"/>
      <c r="Q851" s="320"/>
      <c r="R851" s="320"/>
      <c r="S851" s="320"/>
      <c r="T851" s="320"/>
    </row>
    <row r="852">
      <c r="A852" s="362" t="str">
        <f>IFERROR(__xludf.DUMMYFUNCTION("""COMPUTED_VALUE"""),"Enchantment Ultimate Refrigerate 1")</f>
        <v>Enchantment Ultimate Refrigerate 1</v>
      </c>
      <c r="B852" s="373">
        <f>IFERROR(__xludf.DUMMYFUNCTION("""COMPUTED_VALUE"""),2028775.9)</f>
        <v>2028775.9</v>
      </c>
      <c r="C852" s="320"/>
      <c r="D852" s="320"/>
      <c r="E852" s="320"/>
      <c r="F852" s="320"/>
      <c r="G852" s="320"/>
      <c r="H852" s="320"/>
      <c r="I852" s="320"/>
      <c r="J852" s="320"/>
      <c r="K852" s="320"/>
      <c r="L852" s="320"/>
      <c r="M852" s="320"/>
      <c r="N852" s="320"/>
      <c r="O852" s="320"/>
      <c r="P852" s="320"/>
      <c r="Q852" s="320"/>
      <c r="R852" s="320"/>
      <c r="S852" s="320"/>
      <c r="T852" s="320"/>
    </row>
    <row r="853">
      <c r="A853" s="362" t="str">
        <f>IFERROR(__xludf.DUMMYFUNCTION("""COMPUTED_VALUE"""),"Enchantment Ultimate Refrigerate 2")</f>
        <v>Enchantment Ultimate Refrigerate 2</v>
      </c>
      <c r="B853" s="373">
        <f>IFERROR(__xludf.DUMMYFUNCTION("""COMPUTED_VALUE"""),4201130.55)</f>
        <v>4201130.55</v>
      </c>
      <c r="C853" s="320"/>
      <c r="D853" s="320"/>
      <c r="E853" s="320"/>
      <c r="F853" s="320"/>
      <c r="G853" s="320"/>
      <c r="H853" s="320"/>
      <c r="I853" s="320"/>
      <c r="J853" s="320"/>
      <c r="K853" s="320"/>
      <c r="L853" s="320"/>
      <c r="M853" s="320"/>
      <c r="N853" s="320"/>
      <c r="O853" s="320"/>
      <c r="P853" s="320"/>
      <c r="Q853" s="320"/>
      <c r="R853" s="320"/>
      <c r="S853" s="320"/>
      <c r="T853" s="320"/>
    </row>
    <row r="854">
      <c r="A854" s="362" t="str">
        <f>IFERROR(__xludf.DUMMYFUNCTION("""COMPUTED_VALUE"""),"Enchantment Ultimate Refrigerate 3")</f>
        <v>Enchantment Ultimate Refrigerate 3</v>
      </c>
      <c r="B854" s="373">
        <f>IFERROR(__xludf.DUMMYFUNCTION("""COMPUTED_VALUE"""),1.884749985E7)</f>
        <v>18847499.85</v>
      </c>
      <c r="C854" s="320"/>
      <c r="D854" s="320"/>
      <c r="E854" s="320"/>
      <c r="F854" s="320"/>
      <c r="G854" s="320"/>
      <c r="H854" s="320"/>
      <c r="I854" s="320"/>
      <c r="J854" s="320"/>
      <c r="K854" s="320"/>
      <c r="L854" s="320"/>
      <c r="M854" s="320"/>
      <c r="N854" s="320"/>
      <c r="O854" s="320"/>
      <c r="P854" s="320"/>
      <c r="Q854" s="320"/>
      <c r="R854" s="320"/>
      <c r="S854" s="320"/>
      <c r="T854" s="320"/>
    </row>
    <row r="855">
      <c r="A855" s="362" t="str">
        <f>IFERROR(__xludf.DUMMYFUNCTION("""COMPUTED_VALUE"""),"Enchantment Ultimate Refrigerate 4")</f>
        <v>Enchantment Ultimate Refrigerate 4</v>
      </c>
      <c r="B855" s="373">
        <f>IFERROR(__xludf.DUMMYFUNCTION("""COMPUTED_VALUE"""),2.465000085E7)</f>
        <v>24650000.85</v>
      </c>
      <c r="C855" s="320"/>
      <c r="D855" s="320"/>
      <c r="E855" s="320"/>
      <c r="F855" s="320"/>
      <c r="G855" s="320"/>
      <c r="H855" s="320"/>
      <c r="I855" s="320"/>
      <c r="J855" s="320"/>
      <c r="K855" s="320"/>
      <c r="L855" s="320"/>
      <c r="M855" s="320"/>
      <c r="N855" s="320"/>
      <c r="O855" s="320"/>
      <c r="P855" s="320"/>
      <c r="Q855" s="320"/>
      <c r="R855" s="320"/>
      <c r="S855" s="320"/>
      <c r="T855" s="320"/>
    </row>
    <row r="856">
      <c r="A856" s="362" t="str">
        <f>IFERROR(__xludf.DUMMYFUNCTION("""COMPUTED_VALUE"""),"Enchantment Ultimate Refrigerate 5")</f>
        <v>Enchantment Ultimate Refrigerate 5</v>
      </c>
      <c r="B856" s="373">
        <f>IFERROR(__xludf.DUMMYFUNCTION("""COMPUTED_VALUE"""),3.51192777E7)</f>
        <v>35119277.7</v>
      </c>
      <c r="C856" s="320"/>
      <c r="D856" s="320"/>
      <c r="E856" s="320"/>
      <c r="F856" s="320"/>
      <c r="G856" s="320"/>
      <c r="H856" s="320"/>
      <c r="I856" s="320"/>
      <c r="J856" s="320"/>
      <c r="K856" s="320"/>
      <c r="L856" s="320"/>
      <c r="M856" s="320"/>
      <c r="N856" s="320"/>
      <c r="O856" s="320"/>
      <c r="P856" s="320"/>
      <c r="Q856" s="320"/>
      <c r="R856" s="320"/>
      <c r="S856" s="320"/>
      <c r="T856" s="320"/>
    </row>
    <row r="857">
      <c r="A857" s="362" t="str">
        <f>IFERROR(__xludf.DUMMYFUNCTION("""COMPUTED_VALUE"""),"Enchantment Ultimate Reiterate 1")</f>
        <v>Enchantment Ultimate Reiterate 1</v>
      </c>
      <c r="B857" s="373">
        <f>IFERROR(__xludf.DUMMYFUNCTION("""COMPUTED_VALUE"""),5305057.1)</f>
        <v>5305057.1</v>
      </c>
      <c r="C857" s="320"/>
      <c r="D857" s="320"/>
      <c r="E857" s="320"/>
      <c r="F857" s="320"/>
      <c r="G857" s="320"/>
      <c r="H857" s="320"/>
      <c r="I857" s="320"/>
      <c r="J857" s="320"/>
      <c r="K857" s="320"/>
      <c r="L857" s="320"/>
      <c r="M857" s="320"/>
      <c r="N857" s="320"/>
      <c r="O857" s="320"/>
      <c r="P857" s="320"/>
      <c r="Q857" s="320"/>
      <c r="R857" s="320"/>
      <c r="S857" s="320"/>
      <c r="T857" s="320"/>
    </row>
    <row r="858">
      <c r="A858" s="362" t="str">
        <f>IFERROR(__xludf.DUMMYFUNCTION("""COMPUTED_VALUE"""),"Enchantment Ultimate Reiterate 2")</f>
        <v>Enchantment Ultimate Reiterate 2</v>
      </c>
      <c r="B858" s="373">
        <f>IFERROR(__xludf.DUMMYFUNCTION("""COMPUTED_VALUE"""),9780502.5)</f>
        <v>9780502.5</v>
      </c>
      <c r="C858" s="320"/>
      <c r="D858" s="320"/>
      <c r="E858" s="320"/>
      <c r="F858" s="320"/>
      <c r="G858" s="320"/>
      <c r="H858" s="320"/>
      <c r="I858" s="320"/>
      <c r="J858" s="320"/>
      <c r="K858" s="320"/>
      <c r="L858" s="320"/>
      <c r="M858" s="320"/>
      <c r="N858" s="320"/>
      <c r="O858" s="320"/>
      <c r="P858" s="320"/>
      <c r="Q858" s="320"/>
      <c r="R858" s="320"/>
      <c r="S858" s="320"/>
      <c r="T858" s="320"/>
    </row>
    <row r="859">
      <c r="A859" s="362" t="str">
        <f>IFERROR(__xludf.DUMMYFUNCTION("""COMPUTED_VALUE"""),"Enchantment Ultimate Reiterate 3")</f>
        <v>Enchantment Ultimate Reiterate 3</v>
      </c>
      <c r="B859" s="373">
        <f>IFERROR(__xludf.DUMMYFUNCTION("""COMPUTED_VALUE"""),1.776448225E7)</f>
        <v>17764482.25</v>
      </c>
      <c r="C859" s="320"/>
      <c r="D859" s="320"/>
      <c r="E859" s="320"/>
      <c r="F859" s="320"/>
      <c r="G859" s="320"/>
      <c r="H859" s="320"/>
      <c r="I859" s="320"/>
      <c r="J859" s="320"/>
      <c r="K859" s="320"/>
      <c r="L859" s="320"/>
      <c r="M859" s="320"/>
      <c r="N859" s="320"/>
      <c r="O859" s="320"/>
      <c r="P859" s="320"/>
      <c r="Q859" s="320"/>
      <c r="R859" s="320"/>
      <c r="S859" s="320"/>
      <c r="T859" s="320"/>
    </row>
    <row r="860">
      <c r="A860" s="362" t="str">
        <f>IFERROR(__xludf.DUMMYFUNCTION("""COMPUTED_VALUE"""),"Enchantment Ultimate Reiterate 4")</f>
        <v>Enchantment Ultimate Reiterate 4</v>
      </c>
      <c r="B860" s="373">
        <f>IFERROR(__xludf.DUMMYFUNCTION("""COMPUTED_VALUE"""),4.50091871E7)</f>
        <v>45009187.1</v>
      </c>
      <c r="C860" s="320"/>
      <c r="D860" s="320"/>
      <c r="E860" s="320"/>
      <c r="F860" s="320"/>
      <c r="G860" s="320"/>
      <c r="H860" s="320"/>
      <c r="I860" s="320"/>
      <c r="J860" s="320"/>
      <c r="K860" s="320"/>
      <c r="L860" s="320"/>
      <c r="M860" s="320"/>
      <c r="N860" s="320"/>
      <c r="O860" s="320"/>
      <c r="P860" s="320"/>
      <c r="Q860" s="320"/>
      <c r="R860" s="320"/>
      <c r="S860" s="320"/>
      <c r="T860" s="320"/>
    </row>
    <row r="861">
      <c r="A861" s="362" t="str">
        <f>IFERROR(__xludf.DUMMYFUNCTION("""COMPUTED_VALUE"""),"Enchantment Ultimate Reiterate 5")</f>
        <v>Enchantment Ultimate Reiterate 5</v>
      </c>
      <c r="B861" s="373">
        <f>IFERROR(__xludf.DUMMYFUNCTION("""COMPUTED_VALUE"""),8.584999725E7)</f>
        <v>85849997.25</v>
      </c>
      <c r="C861" s="320"/>
      <c r="D861" s="320"/>
      <c r="E861" s="320"/>
      <c r="F861" s="320"/>
      <c r="G861" s="320"/>
      <c r="H861" s="320"/>
      <c r="I861" s="320"/>
      <c r="J861" s="320"/>
      <c r="K861" s="320"/>
      <c r="L861" s="320"/>
      <c r="M861" s="320"/>
      <c r="N861" s="320"/>
      <c r="O861" s="320"/>
      <c r="P861" s="320"/>
      <c r="Q861" s="320"/>
      <c r="R861" s="320"/>
      <c r="S861" s="320"/>
      <c r="T861" s="320"/>
    </row>
    <row r="862">
      <c r="A862" s="362" t="str">
        <f>IFERROR(__xludf.DUMMYFUNCTION("""COMPUTED_VALUE"""),"Enchantment Ultimate Rend 1")</f>
        <v>Enchantment Ultimate Rend 1</v>
      </c>
      <c r="B862" s="373">
        <f>IFERROR(__xludf.DUMMYFUNCTION("""COMPUTED_VALUE"""),556051.95)</f>
        <v>556051.95</v>
      </c>
      <c r="C862" s="320"/>
      <c r="D862" s="320"/>
      <c r="E862" s="320"/>
      <c r="F862" s="320"/>
      <c r="G862" s="320"/>
      <c r="H862" s="320"/>
      <c r="I862" s="320"/>
      <c r="J862" s="320"/>
      <c r="K862" s="320"/>
      <c r="L862" s="320"/>
      <c r="M862" s="320"/>
      <c r="N862" s="320"/>
      <c r="O862" s="320"/>
      <c r="P862" s="320"/>
      <c r="Q862" s="320"/>
      <c r="R862" s="320"/>
      <c r="S862" s="320"/>
      <c r="T862" s="320"/>
    </row>
    <row r="863">
      <c r="A863" s="362" t="str">
        <f>IFERROR(__xludf.DUMMYFUNCTION("""COMPUTED_VALUE"""),"Enchantment Ultimate Rend 2")</f>
        <v>Enchantment Ultimate Rend 2</v>
      </c>
      <c r="B863" s="373">
        <f>IFERROR(__xludf.DUMMYFUNCTION("""COMPUTED_VALUE"""),1016037.233)</f>
        <v>1016037.233</v>
      </c>
      <c r="C863" s="320"/>
      <c r="D863" s="320"/>
      <c r="E863" s="320"/>
      <c r="F863" s="320"/>
      <c r="G863" s="320"/>
      <c r="H863" s="320"/>
      <c r="I863" s="320"/>
      <c r="J863" s="320"/>
      <c r="K863" s="320"/>
      <c r="L863" s="320"/>
      <c r="M863" s="320"/>
      <c r="N863" s="320"/>
      <c r="O863" s="320"/>
      <c r="P863" s="320"/>
      <c r="Q863" s="320"/>
      <c r="R863" s="320"/>
      <c r="S863" s="320"/>
      <c r="T863" s="320"/>
    </row>
    <row r="864">
      <c r="A864" s="362" t="str">
        <f>IFERROR(__xludf.DUMMYFUNCTION("""COMPUTED_VALUE"""),"Enchantment Ultimate Rend 3")</f>
        <v>Enchantment Ultimate Rend 3</v>
      </c>
      <c r="B864" s="373">
        <f>IFERROR(__xludf.DUMMYFUNCTION("""COMPUTED_VALUE"""),2247501.6)</f>
        <v>2247501.6</v>
      </c>
      <c r="C864" s="320"/>
      <c r="D864" s="320"/>
      <c r="E864" s="320"/>
      <c r="F864" s="320"/>
      <c r="G864" s="320"/>
      <c r="H864" s="320"/>
      <c r="I864" s="320"/>
      <c r="J864" s="320"/>
      <c r="K864" s="320"/>
      <c r="L864" s="320"/>
      <c r="M864" s="320"/>
      <c r="N864" s="320"/>
      <c r="O864" s="320"/>
      <c r="P864" s="320"/>
      <c r="Q864" s="320"/>
      <c r="R864" s="320"/>
      <c r="S864" s="320"/>
      <c r="T864" s="320"/>
    </row>
    <row r="865">
      <c r="A865" s="362" t="str">
        <f>IFERROR(__xludf.DUMMYFUNCTION("""COMPUTED_VALUE"""),"Enchantment Ultimate Rend 4")</f>
        <v>Enchantment Ultimate Rend 4</v>
      </c>
      <c r="B865" s="373">
        <f>IFERROR(__xludf.DUMMYFUNCTION("""COMPUTED_VALUE"""),4527445.15)</f>
        <v>4527445.15</v>
      </c>
      <c r="C865" s="320"/>
      <c r="D865" s="320"/>
      <c r="E865" s="320"/>
      <c r="F865" s="320"/>
      <c r="G865" s="320"/>
      <c r="H865" s="320"/>
      <c r="I865" s="320"/>
      <c r="J865" s="320"/>
      <c r="K865" s="320"/>
      <c r="L865" s="320"/>
      <c r="M865" s="320"/>
      <c r="N865" s="320"/>
      <c r="O865" s="320"/>
      <c r="P865" s="320"/>
      <c r="Q865" s="320"/>
      <c r="R865" s="320"/>
      <c r="S865" s="320"/>
      <c r="T865" s="320"/>
    </row>
    <row r="866">
      <c r="A866" s="362" t="str">
        <f>IFERROR(__xludf.DUMMYFUNCTION("""COMPUTED_VALUE"""),"Enchantment Ultimate Rend 5")</f>
        <v>Enchantment Ultimate Rend 5</v>
      </c>
      <c r="B866" s="373">
        <f>IFERROR(__xludf.DUMMYFUNCTION("""COMPUTED_VALUE"""),7139999.55)</f>
        <v>7139999.55</v>
      </c>
      <c r="C866" s="320"/>
      <c r="D866" s="320"/>
      <c r="E866" s="320"/>
      <c r="F866" s="320"/>
      <c r="G866" s="320"/>
      <c r="H866" s="320"/>
      <c r="I866" s="320"/>
      <c r="J866" s="320"/>
      <c r="K866" s="320"/>
      <c r="L866" s="320"/>
      <c r="M866" s="320"/>
      <c r="N866" s="320"/>
      <c r="O866" s="320"/>
      <c r="P866" s="320"/>
      <c r="Q866" s="320"/>
      <c r="R866" s="320"/>
      <c r="S866" s="320"/>
      <c r="T866" s="320"/>
    </row>
    <row r="867">
      <c r="A867" s="362" t="str">
        <f>IFERROR(__xludf.DUMMYFUNCTION("""COMPUTED_VALUE"""),"Enchantment Ultimate Soul Eater 1")</f>
        <v>Enchantment Ultimate Soul Eater 1</v>
      </c>
      <c r="B867" s="373">
        <f>IFERROR(__xludf.DUMMYFUNCTION("""COMPUTED_VALUE"""),1119149.85)</f>
        <v>1119149.85</v>
      </c>
      <c r="C867" s="320"/>
      <c r="D867" s="320"/>
      <c r="E867" s="320"/>
      <c r="F867" s="320"/>
      <c r="G867" s="320"/>
      <c r="H867" s="320"/>
      <c r="I867" s="320"/>
      <c r="J867" s="320"/>
      <c r="K867" s="320"/>
      <c r="L867" s="320"/>
      <c r="M867" s="320"/>
      <c r="N867" s="320"/>
      <c r="O867" s="320"/>
      <c r="P867" s="320"/>
      <c r="Q867" s="320"/>
      <c r="R867" s="320"/>
      <c r="S867" s="320"/>
      <c r="T867" s="320"/>
    </row>
    <row r="868">
      <c r="A868" s="362" t="str">
        <f>IFERROR(__xludf.DUMMYFUNCTION("""COMPUTED_VALUE"""),"Enchantment Ultimate Soul Eater 2")</f>
        <v>Enchantment Ultimate Soul Eater 2</v>
      </c>
      <c r="B868" s="373">
        <f>IFERROR(__xludf.DUMMYFUNCTION("""COMPUTED_VALUE"""),2473956.0)</f>
        <v>2473956</v>
      </c>
      <c r="C868" s="320"/>
      <c r="D868" s="320"/>
      <c r="E868" s="320"/>
      <c r="F868" s="320"/>
      <c r="G868" s="320"/>
      <c r="H868" s="320"/>
      <c r="I868" s="320"/>
      <c r="J868" s="320"/>
      <c r="K868" s="320"/>
      <c r="L868" s="320"/>
      <c r="M868" s="320"/>
      <c r="N868" s="320"/>
      <c r="O868" s="320"/>
      <c r="P868" s="320"/>
      <c r="Q868" s="320"/>
      <c r="R868" s="320"/>
      <c r="S868" s="320"/>
      <c r="T868" s="320"/>
    </row>
    <row r="869">
      <c r="A869" s="362" t="str">
        <f>IFERROR(__xludf.DUMMYFUNCTION("""COMPUTED_VALUE"""),"Enchantment Ultimate Soul Eater 3")</f>
        <v>Enchantment Ultimate Soul Eater 3</v>
      </c>
      <c r="B869" s="373">
        <f>IFERROR(__xludf.DUMMYFUNCTION("""COMPUTED_VALUE"""),5123721.05)</f>
        <v>5123721.05</v>
      </c>
      <c r="C869" s="320"/>
      <c r="D869" s="320"/>
      <c r="E869" s="320"/>
      <c r="F869" s="320"/>
      <c r="G869" s="320"/>
      <c r="H869" s="320"/>
      <c r="I869" s="320"/>
      <c r="J869" s="320"/>
      <c r="K869" s="320"/>
      <c r="L869" s="320"/>
      <c r="M869" s="320"/>
      <c r="N869" s="320"/>
      <c r="O869" s="320"/>
      <c r="P869" s="320"/>
      <c r="Q869" s="320"/>
      <c r="R869" s="320"/>
      <c r="S869" s="320"/>
      <c r="T869" s="320"/>
    </row>
    <row r="870">
      <c r="A870" s="362" t="str">
        <f>IFERROR(__xludf.DUMMYFUNCTION("""COMPUTED_VALUE"""),"Enchantment Ultimate Soul Eater 4")</f>
        <v>Enchantment Ultimate Soul Eater 4</v>
      </c>
      <c r="B870" s="373">
        <f>IFERROR(__xludf.DUMMYFUNCTION("""COMPUTED_VALUE"""),9359998.6)</f>
        <v>9359998.6</v>
      </c>
      <c r="C870" s="320"/>
      <c r="D870" s="320"/>
      <c r="E870" s="320"/>
      <c r="F870" s="320"/>
      <c r="G870" s="320"/>
      <c r="H870" s="320"/>
      <c r="I870" s="320"/>
      <c r="J870" s="320"/>
      <c r="K870" s="320"/>
      <c r="L870" s="320"/>
      <c r="M870" s="320"/>
      <c r="N870" s="320"/>
      <c r="O870" s="320"/>
      <c r="P870" s="320"/>
      <c r="Q870" s="320"/>
      <c r="R870" s="320"/>
      <c r="S870" s="320"/>
      <c r="T870" s="320"/>
    </row>
    <row r="871">
      <c r="A871" s="362" t="str">
        <f>IFERROR(__xludf.DUMMYFUNCTION("""COMPUTED_VALUE"""),"Enchantment Ultimate Soul Eater 5")</f>
        <v>Enchantment Ultimate Soul Eater 5</v>
      </c>
      <c r="B871" s="373">
        <f>IFERROR(__xludf.DUMMYFUNCTION("""COMPUTED_VALUE"""),1.82213935E7)</f>
        <v>18221393.5</v>
      </c>
      <c r="C871" s="320"/>
      <c r="D871" s="320"/>
      <c r="E871" s="320"/>
      <c r="F871" s="320"/>
      <c r="G871" s="320"/>
      <c r="H871" s="320"/>
      <c r="I871" s="320"/>
      <c r="J871" s="320"/>
      <c r="K871" s="320"/>
      <c r="L871" s="320"/>
      <c r="M871" s="320"/>
      <c r="N871" s="320"/>
      <c r="O871" s="320"/>
      <c r="P871" s="320"/>
      <c r="Q871" s="320"/>
      <c r="R871" s="320"/>
      <c r="S871" s="320"/>
      <c r="T871" s="320"/>
    </row>
    <row r="872">
      <c r="A872" s="362" t="str">
        <f>IFERROR(__xludf.DUMMYFUNCTION("""COMPUTED_VALUE"""),"Enchantment Ultimate Swarm 1")</f>
        <v>Enchantment Ultimate Swarm 1</v>
      </c>
      <c r="B872" s="373">
        <f>IFERROR(__xludf.DUMMYFUNCTION("""COMPUTED_VALUE"""),529548.05)</f>
        <v>529548.05</v>
      </c>
      <c r="C872" s="320"/>
      <c r="D872" s="320"/>
      <c r="E872" s="320"/>
      <c r="F872" s="320"/>
      <c r="G872" s="320"/>
      <c r="H872" s="320"/>
      <c r="I872" s="320"/>
      <c r="J872" s="320"/>
      <c r="K872" s="320"/>
      <c r="L872" s="320"/>
      <c r="M872" s="320"/>
      <c r="N872" s="320"/>
      <c r="O872" s="320"/>
      <c r="P872" s="320"/>
      <c r="Q872" s="320"/>
      <c r="R872" s="320"/>
      <c r="S872" s="320"/>
      <c r="T872" s="320"/>
    </row>
    <row r="873">
      <c r="A873" s="362" t="str">
        <f>IFERROR(__xludf.DUMMYFUNCTION("""COMPUTED_VALUE"""),"Enchantment Ultimate Swarm 2")</f>
        <v>Enchantment Ultimate Swarm 2</v>
      </c>
      <c r="B873" s="373">
        <f>IFERROR(__xludf.DUMMYFUNCTION("""COMPUTED_VALUE"""),725999.75)</f>
        <v>725999.75</v>
      </c>
      <c r="C873" s="320"/>
      <c r="D873" s="320"/>
      <c r="E873" s="320"/>
      <c r="F873" s="320"/>
      <c r="G873" s="320"/>
      <c r="H873" s="320"/>
      <c r="I873" s="320"/>
      <c r="J873" s="320"/>
      <c r="K873" s="320"/>
      <c r="L873" s="320"/>
      <c r="M873" s="320"/>
      <c r="N873" s="320"/>
      <c r="O873" s="320"/>
      <c r="P873" s="320"/>
      <c r="Q873" s="320"/>
      <c r="R873" s="320"/>
      <c r="S873" s="320"/>
      <c r="T873" s="320"/>
    </row>
    <row r="874">
      <c r="A874" s="362" t="str">
        <f>IFERROR(__xludf.DUMMYFUNCTION("""COMPUTED_VALUE"""),"Enchantment Ultimate Swarm 3")</f>
        <v>Enchantment Ultimate Swarm 3</v>
      </c>
      <c r="B874" s="373">
        <f>IFERROR(__xludf.DUMMYFUNCTION("""COMPUTED_VALUE"""),1541931.2)</f>
        <v>1541931.2</v>
      </c>
      <c r="C874" s="320"/>
      <c r="D874" s="320"/>
      <c r="E874" s="320"/>
      <c r="F874" s="320"/>
      <c r="G874" s="320"/>
      <c r="H874" s="320"/>
      <c r="I874" s="320"/>
      <c r="J874" s="320"/>
      <c r="K874" s="320"/>
      <c r="L874" s="320"/>
      <c r="M874" s="320"/>
      <c r="N874" s="320"/>
      <c r="O874" s="320"/>
      <c r="P874" s="320"/>
      <c r="Q874" s="320"/>
      <c r="R874" s="320"/>
      <c r="S874" s="320"/>
      <c r="T874" s="320"/>
    </row>
    <row r="875">
      <c r="A875" s="362" t="str">
        <f>IFERROR(__xludf.DUMMYFUNCTION("""COMPUTED_VALUE"""),"Enchantment Ultimate Swarm 4")</f>
        <v>Enchantment Ultimate Swarm 4</v>
      </c>
      <c r="B875" s="373">
        <f>IFERROR(__xludf.DUMMYFUNCTION("""COMPUTED_VALUE"""),3772499.65)</f>
        <v>3772499.65</v>
      </c>
      <c r="C875" s="320"/>
      <c r="D875" s="320"/>
      <c r="E875" s="320"/>
      <c r="F875" s="320"/>
      <c r="G875" s="320"/>
      <c r="H875" s="320"/>
      <c r="I875" s="320"/>
      <c r="J875" s="320"/>
      <c r="K875" s="320"/>
      <c r="L875" s="320"/>
      <c r="M875" s="320"/>
      <c r="N875" s="320"/>
      <c r="O875" s="320"/>
      <c r="P875" s="320"/>
      <c r="Q875" s="320"/>
      <c r="R875" s="320"/>
      <c r="S875" s="320"/>
      <c r="T875" s="320"/>
    </row>
    <row r="876">
      <c r="A876" s="362" t="str">
        <f>IFERROR(__xludf.DUMMYFUNCTION("""COMPUTED_VALUE"""),"Enchantment Ultimate Swarm 5")</f>
        <v>Enchantment Ultimate Swarm 5</v>
      </c>
      <c r="B876" s="373">
        <f>IFERROR(__xludf.DUMMYFUNCTION("""COMPUTED_VALUE"""),9110278.3)</f>
        <v>9110278.3</v>
      </c>
      <c r="C876" s="320"/>
      <c r="D876" s="320"/>
      <c r="E876" s="320"/>
      <c r="F876" s="320"/>
      <c r="G876" s="320"/>
      <c r="H876" s="320"/>
      <c r="I876" s="320"/>
      <c r="J876" s="320"/>
      <c r="K876" s="320"/>
      <c r="L876" s="320"/>
      <c r="M876" s="320"/>
      <c r="N876" s="320"/>
      <c r="O876" s="320"/>
      <c r="P876" s="320"/>
      <c r="Q876" s="320"/>
      <c r="R876" s="320"/>
      <c r="S876" s="320"/>
      <c r="T876" s="320"/>
    </row>
    <row r="877">
      <c r="A877" s="362" t="str">
        <f>IFERROR(__xludf.DUMMYFUNCTION("""COMPUTED_VALUE"""),"Enchantment Ultimate The One 4")</f>
        <v>Enchantment Ultimate The One 4</v>
      </c>
      <c r="B877" s="373">
        <f>IFERROR(__xludf.DUMMYFUNCTION("""COMPUTED_VALUE"""),5.25000007E7)</f>
        <v>52500000.7</v>
      </c>
      <c r="C877" s="320"/>
      <c r="D877" s="320"/>
      <c r="E877" s="320"/>
      <c r="F877" s="320"/>
      <c r="G877" s="320"/>
      <c r="H877" s="320"/>
      <c r="I877" s="320"/>
      <c r="J877" s="320"/>
      <c r="K877" s="320"/>
      <c r="L877" s="320"/>
      <c r="M877" s="320"/>
      <c r="N877" s="320"/>
      <c r="O877" s="320"/>
      <c r="P877" s="320"/>
      <c r="Q877" s="320"/>
      <c r="R877" s="320"/>
      <c r="S877" s="320"/>
      <c r="T877" s="320"/>
    </row>
    <row r="878">
      <c r="A878" s="362" t="str">
        <f>IFERROR(__xludf.DUMMYFUNCTION("""COMPUTED_VALUE"""),"Enchantment Ultimate The One 5")</f>
        <v>Enchantment Ultimate The One 5</v>
      </c>
      <c r="B878" s="373">
        <f>IFERROR(__xludf.DUMMYFUNCTION("""COMPUTED_VALUE"""),7.06138879E7)</f>
        <v>70613887.9</v>
      </c>
      <c r="C878" s="320"/>
      <c r="D878" s="320"/>
      <c r="E878" s="320"/>
      <c r="F878" s="320"/>
      <c r="G878" s="320"/>
      <c r="H878" s="320"/>
      <c r="I878" s="320"/>
      <c r="J878" s="320"/>
      <c r="K878" s="320"/>
      <c r="L878" s="320"/>
      <c r="M878" s="320"/>
      <c r="N878" s="320"/>
      <c r="O878" s="320"/>
      <c r="P878" s="320"/>
      <c r="Q878" s="320"/>
      <c r="R878" s="320"/>
      <c r="S878" s="320"/>
      <c r="T878" s="320"/>
    </row>
    <row r="879">
      <c r="A879" s="362" t="str">
        <f>IFERROR(__xludf.DUMMYFUNCTION("""COMPUTED_VALUE"""),"Enchantment Ultimate Wisdom 1")</f>
        <v>Enchantment Ultimate Wisdom 1</v>
      </c>
      <c r="B879" s="373">
        <f>IFERROR(__xludf.DUMMYFUNCTION("""COMPUTED_VALUE"""),184952.3)</f>
        <v>184952.3</v>
      </c>
      <c r="C879" s="320"/>
      <c r="D879" s="320"/>
      <c r="E879" s="320"/>
      <c r="F879" s="320"/>
      <c r="G879" s="320"/>
      <c r="H879" s="320"/>
      <c r="I879" s="320"/>
      <c r="J879" s="320"/>
      <c r="K879" s="320"/>
      <c r="L879" s="320"/>
      <c r="M879" s="320"/>
      <c r="N879" s="320"/>
      <c r="O879" s="320"/>
      <c r="P879" s="320"/>
      <c r="Q879" s="320"/>
      <c r="R879" s="320"/>
      <c r="S879" s="320"/>
      <c r="T879" s="320"/>
    </row>
    <row r="880">
      <c r="A880" s="362" t="str">
        <f>IFERROR(__xludf.DUMMYFUNCTION("""COMPUTED_VALUE"""),"Enchantment Ultimate Wisdom 2")</f>
        <v>Enchantment Ultimate Wisdom 2</v>
      </c>
      <c r="B880" s="373">
        <f>IFERROR(__xludf.DUMMYFUNCTION("""COMPUTED_VALUE"""),377483.211)</f>
        <v>377483.211</v>
      </c>
      <c r="C880" s="320"/>
      <c r="D880" s="320"/>
      <c r="E880" s="320"/>
      <c r="F880" s="320"/>
      <c r="G880" s="320"/>
      <c r="H880" s="320"/>
      <c r="I880" s="320"/>
      <c r="J880" s="320"/>
      <c r="K880" s="320"/>
      <c r="L880" s="320"/>
      <c r="M880" s="320"/>
      <c r="N880" s="320"/>
      <c r="O880" s="320"/>
      <c r="P880" s="320"/>
      <c r="Q880" s="320"/>
      <c r="R880" s="320"/>
      <c r="S880" s="320"/>
      <c r="T880" s="320"/>
    </row>
    <row r="881">
      <c r="A881" s="362" t="str">
        <f>IFERROR(__xludf.DUMMYFUNCTION("""COMPUTED_VALUE"""),"Enchantment Ultimate Wisdom 3")</f>
        <v>Enchantment Ultimate Wisdom 3</v>
      </c>
      <c r="B881" s="373">
        <f>IFERROR(__xludf.DUMMYFUNCTION("""COMPUTED_VALUE"""),847602.8)</f>
        <v>847602.8</v>
      </c>
      <c r="C881" s="320"/>
      <c r="D881" s="320"/>
      <c r="E881" s="320"/>
      <c r="F881" s="320"/>
      <c r="G881" s="320"/>
      <c r="H881" s="320"/>
      <c r="I881" s="320"/>
      <c r="J881" s="320"/>
      <c r="K881" s="320"/>
      <c r="L881" s="320"/>
      <c r="M881" s="320"/>
      <c r="N881" s="320"/>
      <c r="O881" s="320"/>
      <c r="P881" s="320"/>
      <c r="Q881" s="320"/>
      <c r="R881" s="320"/>
      <c r="S881" s="320"/>
      <c r="T881" s="320"/>
    </row>
    <row r="882">
      <c r="A882" s="362" t="str">
        <f>IFERROR(__xludf.DUMMYFUNCTION("""COMPUTED_VALUE"""),"Enchantment Ultimate Wisdom 4")</f>
        <v>Enchantment Ultimate Wisdom 4</v>
      </c>
      <c r="B882" s="373">
        <f>IFERROR(__xludf.DUMMYFUNCTION("""COMPUTED_VALUE"""),1633663.5)</f>
        <v>1633663.5</v>
      </c>
      <c r="C882" s="320"/>
      <c r="D882" s="320"/>
      <c r="E882" s="320"/>
      <c r="F882" s="320"/>
      <c r="G882" s="320"/>
      <c r="H882" s="320"/>
      <c r="I882" s="320"/>
      <c r="J882" s="320"/>
      <c r="K882" s="320"/>
      <c r="L882" s="320"/>
      <c r="M882" s="320"/>
      <c r="N882" s="320"/>
      <c r="O882" s="320"/>
      <c r="P882" s="320"/>
      <c r="Q882" s="320"/>
      <c r="R882" s="320"/>
      <c r="S882" s="320"/>
      <c r="T882" s="320"/>
    </row>
    <row r="883">
      <c r="A883" s="362" t="str">
        <f>IFERROR(__xludf.DUMMYFUNCTION("""COMPUTED_VALUE"""),"Enchantment Ultimate Wisdom 5")</f>
        <v>Enchantment Ultimate Wisdom 5</v>
      </c>
      <c r="B883" s="373">
        <f>IFERROR(__xludf.DUMMYFUNCTION("""COMPUTED_VALUE"""),3164721.1)</f>
        <v>3164721.1</v>
      </c>
      <c r="C883" s="320"/>
      <c r="D883" s="320"/>
      <c r="E883" s="320"/>
      <c r="F883" s="320"/>
      <c r="G883" s="320"/>
      <c r="H883" s="320"/>
      <c r="I883" s="320"/>
      <c r="J883" s="320"/>
      <c r="K883" s="320"/>
      <c r="L883" s="320"/>
      <c r="M883" s="320"/>
      <c r="N883" s="320"/>
      <c r="O883" s="320"/>
      <c r="P883" s="320"/>
      <c r="Q883" s="320"/>
      <c r="R883" s="320"/>
      <c r="S883" s="320"/>
      <c r="T883" s="320"/>
    </row>
    <row r="884">
      <c r="A884" s="362" t="str">
        <f>IFERROR(__xludf.DUMMYFUNCTION("""COMPUTED_VALUE"""),"Enchantment Ultimate Wise 1")</f>
        <v>Enchantment Ultimate Wise 1</v>
      </c>
      <c r="B884" s="373">
        <f>IFERROR(__xludf.DUMMYFUNCTION("""COMPUTED_VALUE"""),136513.622)</f>
        <v>136513.622</v>
      </c>
      <c r="C884" s="320"/>
      <c r="D884" s="320"/>
      <c r="E884" s="320"/>
      <c r="F884" s="320"/>
      <c r="G884" s="320"/>
      <c r="H884" s="320"/>
      <c r="I884" s="320"/>
      <c r="J884" s="320"/>
      <c r="K884" s="320"/>
      <c r="L884" s="320"/>
      <c r="M884" s="320"/>
      <c r="N884" s="320"/>
      <c r="O884" s="320"/>
      <c r="P884" s="320"/>
      <c r="Q884" s="320"/>
      <c r="R884" s="320"/>
      <c r="S884" s="320"/>
      <c r="T884" s="320"/>
    </row>
    <row r="885">
      <c r="A885" s="362" t="str">
        <f>IFERROR(__xludf.DUMMYFUNCTION("""COMPUTED_VALUE"""),"Enchantment Ultimate Wise 2")</f>
        <v>Enchantment Ultimate Wise 2</v>
      </c>
      <c r="B885" s="373">
        <f>IFERROR(__xludf.DUMMYFUNCTION("""COMPUTED_VALUE"""),281491.3)</f>
        <v>281491.3</v>
      </c>
      <c r="C885" s="320"/>
      <c r="D885" s="320"/>
      <c r="E885" s="320"/>
      <c r="F885" s="320"/>
      <c r="G885" s="320"/>
      <c r="H885" s="320"/>
      <c r="I885" s="320"/>
      <c r="J885" s="320"/>
      <c r="K885" s="320"/>
      <c r="L885" s="320"/>
      <c r="M885" s="320"/>
      <c r="N885" s="320"/>
      <c r="O885" s="320"/>
      <c r="P885" s="320"/>
      <c r="Q885" s="320"/>
      <c r="R885" s="320"/>
      <c r="S885" s="320"/>
      <c r="T885" s="320"/>
    </row>
    <row r="886">
      <c r="A886" s="362" t="str">
        <f>IFERROR(__xludf.DUMMYFUNCTION("""COMPUTED_VALUE"""),"Enchantment Ultimate Wise 3")</f>
        <v>Enchantment Ultimate Wise 3</v>
      </c>
      <c r="B886" s="373">
        <f>IFERROR(__xludf.DUMMYFUNCTION("""COMPUTED_VALUE"""),626833.233)</f>
        <v>626833.233</v>
      </c>
      <c r="C886" s="320"/>
      <c r="D886" s="320"/>
      <c r="E886" s="320"/>
      <c r="F886" s="320"/>
      <c r="G886" s="320"/>
      <c r="H886" s="320"/>
      <c r="I886" s="320"/>
      <c r="J886" s="320"/>
      <c r="K886" s="320"/>
      <c r="L886" s="320"/>
      <c r="M886" s="320"/>
      <c r="N886" s="320"/>
      <c r="O886" s="320"/>
      <c r="P886" s="320"/>
      <c r="Q886" s="320"/>
      <c r="R886" s="320"/>
      <c r="S886" s="320"/>
      <c r="T886" s="320"/>
    </row>
    <row r="887">
      <c r="A887" s="362" t="str">
        <f>IFERROR(__xludf.DUMMYFUNCTION("""COMPUTED_VALUE"""),"Enchantment Ultimate Wise 4")</f>
        <v>Enchantment Ultimate Wise 4</v>
      </c>
      <c r="B887" s="373">
        <f>IFERROR(__xludf.DUMMYFUNCTION("""COMPUTED_VALUE"""),1260711.65)</f>
        <v>1260711.65</v>
      </c>
      <c r="C887" s="320"/>
      <c r="D887" s="320"/>
      <c r="E887" s="320"/>
      <c r="F887" s="320"/>
      <c r="G887" s="320"/>
      <c r="H887" s="320"/>
      <c r="I887" s="320"/>
      <c r="J887" s="320"/>
      <c r="K887" s="320"/>
      <c r="L887" s="320"/>
      <c r="M887" s="320"/>
      <c r="N887" s="320"/>
      <c r="O887" s="320"/>
      <c r="P887" s="320"/>
      <c r="Q887" s="320"/>
      <c r="R887" s="320"/>
      <c r="S887" s="320"/>
      <c r="T887" s="320"/>
    </row>
    <row r="888">
      <c r="A888" s="362" t="str">
        <f>IFERROR(__xludf.DUMMYFUNCTION("""COMPUTED_VALUE"""),"Enchantment Ultimate Wise 5")</f>
        <v>Enchantment Ultimate Wise 5</v>
      </c>
      <c r="B888" s="373">
        <f>IFERROR(__xludf.DUMMYFUNCTION("""COMPUTED_VALUE"""),2334722.6)</f>
        <v>2334722.6</v>
      </c>
      <c r="C888" s="320"/>
      <c r="D888" s="320"/>
      <c r="E888" s="320"/>
      <c r="F888" s="320"/>
      <c r="G888" s="320"/>
      <c r="H888" s="320"/>
      <c r="I888" s="320"/>
      <c r="J888" s="320"/>
      <c r="K888" s="320"/>
      <c r="L888" s="320"/>
      <c r="M888" s="320"/>
      <c r="N888" s="320"/>
      <c r="O888" s="320"/>
      <c r="P888" s="320"/>
      <c r="Q888" s="320"/>
      <c r="R888" s="320"/>
      <c r="S888" s="320"/>
      <c r="T888" s="320"/>
    </row>
    <row r="889">
      <c r="A889" s="362" t="str">
        <f>IFERROR(__xludf.DUMMYFUNCTION("""COMPUTED_VALUE"""),"Enchantment Vampirism 1")</f>
        <v>Enchantment Vampirism 1</v>
      </c>
      <c r="B889" s="373"/>
      <c r="C889" s="320"/>
      <c r="D889" s="320"/>
      <c r="E889" s="320"/>
      <c r="F889" s="320"/>
      <c r="G889" s="320"/>
      <c r="H889" s="320"/>
      <c r="I889" s="320"/>
      <c r="J889" s="320"/>
      <c r="K889" s="320"/>
      <c r="L889" s="320"/>
      <c r="M889" s="320"/>
      <c r="N889" s="320"/>
      <c r="O889" s="320"/>
      <c r="P889" s="320"/>
      <c r="Q889" s="320"/>
      <c r="R889" s="320"/>
      <c r="S889" s="320"/>
      <c r="T889" s="320"/>
    </row>
    <row r="890">
      <c r="A890" s="362" t="str">
        <f>IFERROR(__xludf.DUMMYFUNCTION("""COMPUTED_VALUE"""),"Enchantment Vampirism 2")</f>
        <v>Enchantment Vampirism 2</v>
      </c>
      <c r="B890" s="373"/>
      <c r="C890" s="320"/>
      <c r="D890" s="320"/>
      <c r="E890" s="320"/>
      <c r="F890" s="320"/>
      <c r="G890" s="320"/>
      <c r="H890" s="320"/>
      <c r="I890" s="320"/>
      <c r="J890" s="320"/>
      <c r="K890" s="320"/>
      <c r="L890" s="320"/>
      <c r="M890" s="320"/>
      <c r="N890" s="320"/>
      <c r="O890" s="320"/>
      <c r="P890" s="320"/>
      <c r="Q890" s="320"/>
      <c r="R890" s="320"/>
      <c r="S890" s="320"/>
      <c r="T890" s="320"/>
    </row>
    <row r="891">
      <c r="A891" s="362" t="str">
        <f>IFERROR(__xludf.DUMMYFUNCTION("""COMPUTED_VALUE"""),"Enchantment Vampirism 3")</f>
        <v>Enchantment Vampirism 3</v>
      </c>
      <c r="B891" s="373"/>
      <c r="C891" s="320"/>
      <c r="D891" s="320"/>
      <c r="E891" s="320"/>
      <c r="F891" s="320"/>
      <c r="G891" s="320"/>
      <c r="H891" s="320"/>
      <c r="I891" s="320"/>
      <c r="J891" s="320"/>
      <c r="K891" s="320"/>
      <c r="L891" s="320"/>
      <c r="M891" s="320"/>
      <c r="N891" s="320"/>
      <c r="O891" s="320"/>
      <c r="P891" s="320"/>
      <c r="Q891" s="320"/>
      <c r="R891" s="320"/>
      <c r="S891" s="320"/>
      <c r="T891" s="320"/>
    </row>
    <row r="892">
      <c r="A892" s="362" t="str">
        <f>IFERROR(__xludf.DUMMYFUNCTION("""COMPUTED_VALUE"""),"Enchantment Vampirism 4")</f>
        <v>Enchantment Vampirism 4</v>
      </c>
      <c r="B892" s="373"/>
      <c r="C892" s="320"/>
      <c r="D892" s="320"/>
      <c r="E892" s="320"/>
      <c r="F892" s="320"/>
      <c r="G892" s="320"/>
      <c r="H892" s="320"/>
      <c r="I892" s="320"/>
      <c r="J892" s="320"/>
      <c r="K892" s="320"/>
      <c r="L892" s="320"/>
      <c r="M892" s="320"/>
      <c r="N892" s="320"/>
      <c r="O892" s="320"/>
      <c r="P892" s="320"/>
      <c r="Q892" s="320"/>
      <c r="R892" s="320"/>
      <c r="S892" s="320"/>
      <c r="T892" s="320"/>
    </row>
    <row r="893">
      <c r="A893" s="362" t="str">
        <f>IFERROR(__xludf.DUMMYFUNCTION("""COMPUTED_VALUE"""),"Enchantment Vampirism 5")</f>
        <v>Enchantment Vampirism 5</v>
      </c>
      <c r="B893" s="373"/>
      <c r="C893" s="320"/>
      <c r="D893" s="320"/>
      <c r="E893" s="320"/>
      <c r="F893" s="320"/>
      <c r="G893" s="320"/>
      <c r="H893" s="320"/>
      <c r="I893" s="320"/>
      <c r="J893" s="320"/>
      <c r="K893" s="320"/>
      <c r="L893" s="320"/>
      <c r="M893" s="320"/>
      <c r="N893" s="320"/>
      <c r="O893" s="320"/>
      <c r="P893" s="320"/>
      <c r="Q893" s="320"/>
      <c r="R893" s="320"/>
      <c r="S893" s="320"/>
      <c r="T893" s="320"/>
    </row>
    <row r="894">
      <c r="A894" s="362" t="str">
        <f>IFERROR(__xludf.DUMMYFUNCTION("""COMPUTED_VALUE"""),"Enchantment Vampirism 6")</f>
        <v>Enchantment Vampirism 6</v>
      </c>
      <c r="B894" s="373">
        <f>IFERROR(__xludf.DUMMYFUNCTION("""COMPUTED_VALUE"""),990050.9)</f>
        <v>990050.9</v>
      </c>
      <c r="C894" s="320"/>
      <c r="D894" s="320"/>
      <c r="E894" s="320"/>
      <c r="F894" s="320"/>
      <c r="G894" s="320"/>
      <c r="H894" s="320"/>
      <c r="I894" s="320"/>
      <c r="J894" s="320"/>
      <c r="K894" s="320"/>
      <c r="L894" s="320"/>
      <c r="M894" s="320"/>
      <c r="N894" s="320"/>
      <c r="O894" s="320"/>
      <c r="P894" s="320"/>
      <c r="Q894" s="320"/>
      <c r="R894" s="320"/>
      <c r="S894" s="320"/>
      <c r="T894" s="320"/>
    </row>
    <row r="895">
      <c r="A895" s="362" t="str">
        <f>IFERROR(__xludf.DUMMYFUNCTION("""COMPUTED_VALUE"""),"Enchantment Venomous 1")</f>
        <v>Enchantment Venomous 1</v>
      </c>
      <c r="B895" s="373"/>
      <c r="C895" s="320"/>
      <c r="D895" s="320"/>
      <c r="E895" s="320"/>
      <c r="F895" s="320"/>
      <c r="G895" s="320"/>
      <c r="H895" s="320"/>
      <c r="I895" s="320"/>
      <c r="J895" s="320"/>
      <c r="K895" s="320"/>
      <c r="L895" s="320"/>
      <c r="M895" s="320"/>
      <c r="N895" s="320"/>
      <c r="O895" s="320"/>
      <c r="P895" s="320"/>
      <c r="Q895" s="320"/>
      <c r="R895" s="320"/>
      <c r="S895" s="320"/>
      <c r="T895" s="320"/>
    </row>
    <row r="896">
      <c r="A896" s="362" t="str">
        <f>IFERROR(__xludf.DUMMYFUNCTION("""COMPUTED_VALUE"""),"Enchantment Venomous 2")</f>
        <v>Enchantment Venomous 2</v>
      </c>
      <c r="B896" s="373"/>
      <c r="C896" s="320"/>
      <c r="D896" s="320"/>
      <c r="E896" s="320"/>
      <c r="F896" s="320"/>
      <c r="G896" s="320"/>
      <c r="H896" s="320"/>
      <c r="I896" s="320"/>
      <c r="J896" s="320"/>
      <c r="K896" s="320"/>
      <c r="L896" s="320"/>
      <c r="M896" s="320"/>
      <c r="N896" s="320"/>
      <c r="O896" s="320"/>
      <c r="P896" s="320"/>
      <c r="Q896" s="320"/>
      <c r="R896" s="320"/>
      <c r="S896" s="320"/>
      <c r="T896" s="320"/>
    </row>
    <row r="897">
      <c r="A897" s="362" t="str">
        <f>IFERROR(__xludf.DUMMYFUNCTION("""COMPUTED_VALUE"""),"Enchantment Venomous 3")</f>
        <v>Enchantment Venomous 3</v>
      </c>
      <c r="B897" s="373"/>
      <c r="C897" s="320"/>
      <c r="D897" s="320"/>
      <c r="E897" s="320"/>
      <c r="F897" s="320"/>
      <c r="G897" s="320"/>
      <c r="H897" s="320"/>
      <c r="I897" s="320"/>
      <c r="J897" s="320"/>
      <c r="K897" s="320"/>
      <c r="L897" s="320"/>
      <c r="M897" s="320"/>
      <c r="N897" s="320"/>
      <c r="O897" s="320"/>
      <c r="P897" s="320"/>
      <c r="Q897" s="320"/>
      <c r="R897" s="320"/>
      <c r="S897" s="320"/>
      <c r="T897" s="320"/>
    </row>
    <row r="898">
      <c r="A898" s="362" t="str">
        <f>IFERROR(__xludf.DUMMYFUNCTION("""COMPUTED_VALUE"""),"Enchantment Venomous 4")</f>
        <v>Enchantment Venomous 4</v>
      </c>
      <c r="B898" s="373"/>
      <c r="C898" s="320"/>
      <c r="D898" s="320"/>
      <c r="E898" s="320"/>
      <c r="F898" s="320"/>
      <c r="G898" s="320"/>
      <c r="H898" s="320"/>
      <c r="I898" s="320"/>
      <c r="J898" s="320"/>
      <c r="K898" s="320"/>
      <c r="L898" s="320"/>
      <c r="M898" s="320"/>
      <c r="N898" s="320"/>
      <c r="O898" s="320"/>
      <c r="P898" s="320"/>
      <c r="Q898" s="320"/>
      <c r="R898" s="320"/>
      <c r="S898" s="320"/>
      <c r="T898" s="320"/>
    </row>
    <row r="899">
      <c r="A899" s="362" t="str">
        <f>IFERROR(__xludf.DUMMYFUNCTION("""COMPUTED_VALUE"""),"Enchantment Venomous 5")</f>
        <v>Enchantment Venomous 5</v>
      </c>
      <c r="B899" s="373"/>
      <c r="C899" s="320"/>
      <c r="D899" s="320"/>
      <c r="E899" s="320"/>
      <c r="F899" s="320"/>
      <c r="G899" s="320"/>
      <c r="H899" s="320"/>
      <c r="I899" s="320"/>
      <c r="J899" s="320"/>
      <c r="K899" s="320"/>
      <c r="L899" s="320"/>
      <c r="M899" s="320"/>
      <c r="N899" s="320"/>
      <c r="O899" s="320"/>
      <c r="P899" s="320"/>
      <c r="Q899" s="320"/>
      <c r="R899" s="320"/>
      <c r="S899" s="320"/>
      <c r="T899" s="320"/>
    </row>
    <row r="900">
      <c r="A900" s="362" t="str">
        <f>IFERROR(__xludf.DUMMYFUNCTION("""COMPUTED_VALUE"""),"Enchantment Venomous 6")</f>
        <v>Enchantment Venomous 6</v>
      </c>
      <c r="B900" s="373">
        <f>IFERROR(__xludf.DUMMYFUNCTION("""COMPUTED_VALUE"""),3.77138749E7)</f>
        <v>37713874.9</v>
      </c>
      <c r="C900" s="320"/>
      <c r="D900" s="320"/>
      <c r="E900" s="320"/>
      <c r="F900" s="320"/>
      <c r="G900" s="320"/>
      <c r="H900" s="320"/>
      <c r="I900" s="320"/>
      <c r="J900" s="320"/>
      <c r="K900" s="320"/>
      <c r="L900" s="320"/>
      <c r="M900" s="320"/>
      <c r="N900" s="320"/>
      <c r="O900" s="320"/>
      <c r="P900" s="320"/>
      <c r="Q900" s="320"/>
      <c r="R900" s="320"/>
      <c r="S900" s="320"/>
      <c r="T900" s="320"/>
    </row>
    <row r="901">
      <c r="A901" s="362" t="str">
        <f>IFERROR(__xludf.DUMMYFUNCTION("""COMPUTED_VALUE"""),"Enchantment Vicious 3")</f>
        <v>Enchantment Vicious 3</v>
      </c>
      <c r="B901" s="373">
        <f>IFERROR(__xludf.DUMMYFUNCTION("""COMPUTED_VALUE"""),4.14500006E7)</f>
        <v>41450000.6</v>
      </c>
      <c r="C901" s="320"/>
      <c r="D901" s="320"/>
      <c r="E901" s="320"/>
      <c r="F901" s="320"/>
      <c r="G901" s="320"/>
      <c r="H901" s="320"/>
      <c r="I901" s="320"/>
      <c r="J901" s="320"/>
      <c r="K901" s="320"/>
      <c r="L901" s="320"/>
      <c r="M901" s="320"/>
      <c r="N901" s="320"/>
      <c r="O901" s="320"/>
      <c r="P901" s="320"/>
      <c r="Q901" s="320"/>
      <c r="R901" s="320"/>
      <c r="S901" s="320"/>
      <c r="T901" s="320"/>
    </row>
    <row r="902">
      <c r="A902" s="362" t="str">
        <f>IFERROR(__xludf.DUMMYFUNCTION("""COMPUTED_VALUE"""),"Enchantment Vicious 4")</f>
        <v>Enchantment Vicious 4</v>
      </c>
      <c r="B902" s="373">
        <f>IFERROR(__xludf.DUMMYFUNCTION("""COMPUTED_VALUE"""),7500001.8)</f>
        <v>7500001.8</v>
      </c>
      <c r="C902" s="320"/>
      <c r="D902" s="320"/>
      <c r="E902" s="320"/>
      <c r="F902" s="320"/>
      <c r="G902" s="320"/>
      <c r="H902" s="320"/>
      <c r="I902" s="320"/>
      <c r="J902" s="320"/>
      <c r="K902" s="320"/>
      <c r="L902" s="320"/>
      <c r="M902" s="320"/>
      <c r="N902" s="320"/>
      <c r="O902" s="320"/>
      <c r="P902" s="320"/>
      <c r="Q902" s="320"/>
      <c r="R902" s="320"/>
      <c r="S902" s="320"/>
      <c r="T902" s="320"/>
    </row>
    <row r="903">
      <c r="A903" s="362" t="str">
        <f>IFERROR(__xludf.DUMMYFUNCTION("""COMPUTED_VALUE"""),"Enchantment Vicious 5")</f>
        <v>Enchantment Vicious 5</v>
      </c>
      <c r="B903" s="373">
        <f>IFERROR(__xludf.DUMMYFUNCTION("""COMPUTED_VALUE"""),1.229999956E8)</f>
        <v>122999995.6</v>
      </c>
      <c r="C903" s="320"/>
      <c r="D903" s="320"/>
      <c r="E903" s="320"/>
      <c r="F903" s="320"/>
      <c r="G903" s="320"/>
      <c r="H903" s="320"/>
      <c r="I903" s="320"/>
      <c r="J903" s="320"/>
      <c r="K903" s="320"/>
      <c r="L903" s="320"/>
      <c r="M903" s="320"/>
      <c r="N903" s="320"/>
      <c r="O903" s="320"/>
      <c r="P903" s="320"/>
      <c r="Q903" s="320"/>
      <c r="R903" s="320"/>
      <c r="S903" s="320"/>
      <c r="T903" s="320"/>
    </row>
    <row r="904">
      <c r="A904" s="362" t="str">
        <f>IFERROR(__xludf.DUMMYFUNCTION("""COMPUTED_VALUE"""),"Enchantment Wither Hunter 0")</f>
        <v>Enchantment Wither Hunter 0</v>
      </c>
      <c r="B904" s="373"/>
      <c r="C904" s="320"/>
      <c r="D904" s="320"/>
      <c r="E904" s="320"/>
      <c r="F904" s="320"/>
      <c r="G904" s="320"/>
      <c r="H904" s="320"/>
      <c r="I904" s="320"/>
      <c r="J904" s="320"/>
      <c r="K904" s="320"/>
      <c r="L904" s="320"/>
      <c r="M904" s="320"/>
      <c r="N904" s="320"/>
      <c r="O904" s="320"/>
      <c r="P904" s="320"/>
      <c r="Q904" s="320"/>
      <c r="R904" s="320"/>
      <c r="S904" s="320"/>
      <c r="T904" s="320"/>
    </row>
    <row r="905">
      <c r="A905" s="362" t="str">
        <f>IFERROR(__xludf.DUMMYFUNCTION("""COMPUTED_VALUE"""),"End Stone")</f>
        <v>End Stone</v>
      </c>
      <c r="B905" s="373">
        <f>IFERROR(__xludf.DUMMYFUNCTION("""COMPUTED_VALUE"""),9.154)</f>
        <v>9.154</v>
      </c>
      <c r="C905" s="320"/>
      <c r="D905" s="320"/>
      <c r="E905" s="320"/>
      <c r="F905" s="320"/>
      <c r="G905" s="320"/>
      <c r="H905" s="320"/>
      <c r="I905" s="320"/>
      <c r="J905" s="320"/>
      <c r="K905" s="320"/>
      <c r="L905" s="320"/>
      <c r="M905" s="320"/>
      <c r="N905" s="320"/>
      <c r="O905" s="320"/>
      <c r="P905" s="320"/>
      <c r="Q905" s="320"/>
      <c r="R905" s="320"/>
      <c r="S905" s="320"/>
      <c r="T905" s="320"/>
    </row>
    <row r="906">
      <c r="A906" s="362" t="str">
        <f>IFERROR(__xludf.DUMMYFUNCTION("""COMPUTED_VALUE"""),"End Stone Geode")</f>
        <v>End Stone Geode</v>
      </c>
      <c r="B906" s="373">
        <f>IFERROR(__xludf.DUMMYFUNCTION("""COMPUTED_VALUE"""),1342.343)</f>
        <v>1342.343</v>
      </c>
      <c r="C906" s="320"/>
      <c r="D906" s="320"/>
      <c r="E906" s="320"/>
      <c r="F906" s="320"/>
      <c r="G906" s="320"/>
      <c r="H906" s="320"/>
      <c r="I906" s="320"/>
      <c r="J906" s="320"/>
      <c r="K906" s="320"/>
      <c r="L906" s="320"/>
      <c r="M906" s="320"/>
      <c r="N906" s="320"/>
      <c r="O906" s="320"/>
      <c r="P906" s="320"/>
      <c r="Q906" s="320"/>
      <c r="R906" s="320"/>
      <c r="S906" s="320"/>
      <c r="T906" s="320"/>
    </row>
    <row r="907">
      <c r="A907" s="362" t="str">
        <f>IFERROR(__xludf.DUMMYFUNCTION("""COMPUTED_VALUE"""),"End Stone Shulker")</f>
        <v>End Stone Shulker</v>
      </c>
      <c r="B907" s="373">
        <f>IFERROR(__xludf.DUMMYFUNCTION("""COMPUTED_VALUE"""),3052.321)</f>
        <v>3052.321</v>
      </c>
      <c r="C907" s="320"/>
      <c r="D907" s="320"/>
      <c r="E907" s="320"/>
      <c r="F907" s="320"/>
      <c r="G907" s="320"/>
      <c r="H907" s="320"/>
      <c r="I907" s="320"/>
      <c r="J907" s="320"/>
      <c r="K907" s="320"/>
      <c r="L907" s="320"/>
      <c r="M907" s="320"/>
      <c r="N907" s="320"/>
      <c r="O907" s="320"/>
      <c r="P907" s="320"/>
      <c r="Q907" s="320"/>
      <c r="R907" s="320"/>
      <c r="S907" s="320"/>
      <c r="T907" s="320"/>
    </row>
    <row r="908">
      <c r="A908" s="362" t="str">
        <f>IFERROR(__xludf.DUMMYFUNCTION("""COMPUTED_VALUE"""),"Ender Monocle")</f>
        <v>Ender Monocle</v>
      </c>
      <c r="B908" s="373">
        <f>IFERROR(__xludf.DUMMYFUNCTION("""COMPUTED_VALUE"""),862.382)</f>
        <v>862.382</v>
      </c>
      <c r="C908" s="320"/>
      <c r="D908" s="320"/>
      <c r="E908" s="320"/>
      <c r="F908" s="320"/>
      <c r="G908" s="320"/>
      <c r="H908" s="320"/>
      <c r="I908" s="320"/>
      <c r="J908" s="320"/>
      <c r="K908" s="320"/>
      <c r="L908" s="320"/>
      <c r="M908" s="320"/>
      <c r="N908" s="320"/>
      <c r="O908" s="320"/>
      <c r="P908" s="320"/>
      <c r="Q908" s="320"/>
      <c r="R908" s="320"/>
      <c r="S908" s="320"/>
      <c r="T908" s="320"/>
    </row>
    <row r="909">
      <c r="A909" s="362" t="str">
        <f>IFERROR(__xludf.DUMMYFUNCTION("""COMPUTED_VALUE"""),"Ender Pearl")</f>
        <v>Ender Pearl</v>
      </c>
      <c r="B909" s="373">
        <f>IFERROR(__xludf.DUMMYFUNCTION("""COMPUTED_VALUE"""),12.216)</f>
        <v>12.216</v>
      </c>
      <c r="C909" s="320"/>
      <c r="D909" s="320"/>
      <c r="E909" s="320"/>
      <c r="F909" s="320"/>
      <c r="G909" s="320"/>
      <c r="H909" s="320"/>
      <c r="I909" s="320"/>
      <c r="J909" s="320"/>
      <c r="K909" s="320"/>
      <c r="L909" s="320"/>
      <c r="M909" s="320"/>
      <c r="N909" s="320"/>
      <c r="O909" s="320"/>
      <c r="P909" s="320"/>
      <c r="Q909" s="320"/>
      <c r="R909" s="320"/>
      <c r="S909" s="320"/>
      <c r="T909" s="320"/>
    </row>
    <row r="910">
      <c r="A910" s="362" t="str">
        <f>IFERROR(__xludf.DUMMYFUNCTION("""COMPUTED_VALUE"""),"Enderman Cortex Rewriter")</f>
        <v>Enderman Cortex Rewriter</v>
      </c>
      <c r="B910" s="373">
        <f>IFERROR(__xludf.DUMMYFUNCTION("""COMPUTED_VALUE"""),77519.078)</f>
        <v>77519.078</v>
      </c>
      <c r="C910" s="320"/>
      <c r="D910" s="320"/>
      <c r="E910" s="320"/>
      <c r="F910" s="320"/>
      <c r="G910" s="320"/>
      <c r="H910" s="320"/>
      <c r="I910" s="320"/>
      <c r="J910" s="320"/>
      <c r="K910" s="320"/>
      <c r="L910" s="320"/>
      <c r="M910" s="320"/>
      <c r="N910" s="320"/>
      <c r="O910" s="320"/>
      <c r="P910" s="320"/>
      <c r="Q910" s="320"/>
      <c r="R910" s="320"/>
      <c r="S910" s="320"/>
      <c r="T910" s="320"/>
    </row>
    <row r="911">
      <c r="A911" s="362" t="str">
        <f>IFERROR(__xludf.DUMMYFUNCTION("""COMPUTED_VALUE"""),"Entropy Suppressor")</f>
        <v>Entropy Suppressor</v>
      </c>
      <c r="B911" s="373">
        <f>IFERROR(__xludf.DUMMYFUNCTION("""COMPUTED_VALUE"""),1.520499945E7)</f>
        <v>15204999.45</v>
      </c>
      <c r="C911" s="320"/>
      <c r="D911" s="320"/>
      <c r="E911" s="320"/>
      <c r="F911" s="320"/>
      <c r="G911" s="320"/>
      <c r="H911" s="320"/>
      <c r="I911" s="320"/>
      <c r="J911" s="320"/>
      <c r="K911" s="320"/>
      <c r="L911" s="320"/>
      <c r="M911" s="320"/>
      <c r="N911" s="320"/>
      <c r="O911" s="320"/>
      <c r="P911" s="320"/>
      <c r="Q911" s="320"/>
      <c r="R911" s="320"/>
      <c r="S911" s="320"/>
      <c r="T911" s="320"/>
    </row>
    <row r="912">
      <c r="A912" s="362" t="str">
        <f>IFERROR(__xludf.DUMMYFUNCTION("""COMPUTED_VALUE"""),"Essence Crimson")</f>
        <v>Essence Crimson</v>
      </c>
      <c r="B912" s="373">
        <f>IFERROR(__xludf.DUMMYFUNCTION("""COMPUTED_VALUE"""),1269.794)</f>
        <v>1269.794</v>
      </c>
      <c r="C912" s="320"/>
      <c r="D912" s="320"/>
      <c r="E912" s="320"/>
      <c r="F912" s="320"/>
      <c r="G912" s="320"/>
      <c r="H912" s="320"/>
      <c r="I912" s="320"/>
      <c r="J912" s="320"/>
      <c r="K912" s="320"/>
      <c r="L912" s="320"/>
      <c r="M912" s="320"/>
      <c r="N912" s="320"/>
      <c r="O912" s="320"/>
      <c r="P912" s="320"/>
      <c r="Q912" s="320"/>
      <c r="R912" s="320"/>
      <c r="S912" s="320"/>
      <c r="T912" s="320"/>
    </row>
    <row r="913">
      <c r="A913" s="362" t="str">
        <f>IFERROR(__xludf.DUMMYFUNCTION("""COMPUTED_VALUE"""),"Essence Diamond")</f>
        <v>Essence Diamond</v>
      </c>
      <c r="B913" s="373">
        <f>IFERROR(__xludf.DUMMYFUNCTION("""COMPUTED_VALUE"""),590.2)</f>
        <v>590.2</v>
      </c>
      <c r="C913" s="320"/>
      <c r="D913" s="320"/>
      <c r="E913" s="320"/>
      <c r="F913" s="320"/>
      <c r="G913" s="320"/>
      <c r="H913" s="320"/>
      <c r="I913" s="320"/>
      <c r="J913" s="320"/>
      <c r="K913" s="320"/>
      <c r="L913" s="320"/>
      <c r="M913" s="320"/>
      <c r="N913" s="320"/>
      <c r="O913" s="320"/>
      <c r="P913" s="320"/>
      <c r="Q913" s="320"/>
      <c r="R913" s="320"/>
      <c r="S913" s="320"/>
      <c r="T913" s="320"/>
    </row>
    <row r="914">
      <c r="A914" s="362" t="str">
        <f>IFERROR(__xludf.DUMMYFUNCTION("""COMPUTED_VALUE"""),"Essence Dragon")</f>
        <v>Essence Dragon</v>
      </c>
      <c r="B914" s="373">
        <f>IFERROR(__xludf.DUMMYFUNCTION("""COMPUTED_VALUE"""),4607.2)</f>
        <v>4607.2</v>
      </c>
      <c r="C914" s="320"/>
      <c r="D914" s="320"/>
      <c r="E914" s="320"/>
      <c r="F914" s="320"/>
      <c r="G914" s="320"/>
      <c r="H914" s="320"/>
      <c r="I914" s="320"/>
      <c r="J914" s="320"/>
      <c r="K914" s="320"/>
      <c r="L914" s="320"/>
      <c r="M914" s="320"/>
      <c r="N914" s="320"/>
      <c r="O914" s="320"/>
      <c r="P914" s="320"/>
      <c r="Q914" s="320"/>
      <c r="R914" s="320"/>
      <c r="S914" s="320"/>
      <c r="T914" s="320"/>
    </row>
    <row r="915">
      <c r="A915" s="362" t="str">
        <f>IFERROR(__xludf.DUMMYFUNCTION("""COMPUTED_VALUE"""),"Essence Gold")</f>
        <v>Essence Gold</v>
      </c>
      <c r="B915" s="373">
        <f>IFERROR(__xludf.DUMMYFUNCTION("""COMPUTED_VALUE"""),1395.092)</f>
        <v>1395.092</v>
      </c>
      <c r="C915" s="320"/>
      <c r="D915" s="320"/>
      <c r="E915" s="320"/>
      <c r="F915" s="320"/>
      <c r="G915" s="320"/>
      <c r="H915" s="320"/>
      <c r="I915" s="320"/>
      <c r="J915" s="320"/>
      <c r="K915" s="320"/>
      <c r="L915" s="320"/>
      <c r="M915" s="320"/>
      <c r="N915" s="320"/>
      <c r="O915" s="320"/>
      <c r="P915" s="320"/>
      <c r="Q915" s="320"/>
      <c r="R915" s="320"/>
      <c r="S915" s="320"/>
      <c r="T915" s="320"/>
    </row>
    <row r="916">
      <c r="A916" s="362" t="str">
        <f>IFERROR(__xludf.DUMMYFUNCTION("""COMPUTED_VALUE"""),"Essence Ice")</f>
        <v>Essence Ice</v>
      </c>
      <c r="B916" s="373">
        <f>IFERROR(__xludf.DUMMYFUNCTION("""COMPUTED_VALUE"""),997.8)</f>
        <v>997.8</v>
      </c>
      <c r="C916" s="320"/>
      <c r="D916" s="320"/>
      <c r="E916" s="320"/>
      <c r="F916" s="320"/>
      <c r="G916" s="320"/>
      <c r="H916" s="320"/>
      <c r="I916" s="320"/>
      <c r="J916" s="320"/>
      <c r="K916" s="320"/>
      <c r="L916" s="320"/>
      <c r="M916" s="320"/>
      <c r="N916" s="320"/>
      <c r="O916" s="320"/>
      <c r="P916" s="320"/>
      <c r="Q916" s="320"/>
      <c r="R916" s="320"/>
      <c r="S916" s="320"/>
      <c r="T916" s="320"/>
    </row>
    <row r="917">
      <c r="A917" s="362" t="str">
        <f>IFERROR(__xludf.DUMMYFUNCTION("""COMPUTED_VALUE"""),"Essence Spider")</f>
        <v>Essence Spider</v>
      </c>
      <c r="B917" s="373">
        <f>IFERROR(__xludf.DUMMYFUNCTION("""COMPUTED_VALUE"""),1385.634)</f>
        <v>1385.634</v>
      </c>
      <c r="C917" s="320"/>
      <c r="D917" s="320"/>
      <c r="E917" s="320"/>
      <c r="F917" s="320"/>
      <c r="G917" s="320"/>
      <c r="H917" s="320"/>
      <c r="I917" s="320"/>
      <c r="J917" s="320"/>
      <c r="K917" s="320"/>
      <c r="L917" s="320"/>
      <c r="M917" s="320"/>
      <c r="N917" s="320"/>
      <c r="O917" s="320"/>
      <c r="P917" s="320"/>
      <c r="Q917" s="320"/>
      <c r="R917" s="320"/>
      <c r="S917" s="320"/>
      <c r="T917" s="320"/>
    </row>
    <row r="918">
      <c r="A918" s="362" t="str">
        <f>IFERROR(__xludf.DUMMYFUNCTION("""COMPUTED_VALUE"""),"Essence Undead")</f>
        <v>Essence Undead</v>
      </c>
      <c r="B918" s="373">
        <f>IFERROR(__xludf.DUMMYFUNCTION("""COMPUTED_VALUE"""),551.85)</f>
        <v>551.85</v>
      </c>
      <c r="C918" s="320"/>
      <c r="D918" s="320"/>
      <c r="E918" s="320"/>
      <c r="F918" s="320"/>
      <c r="G918" s="320"/>
      <c r="H918" s="320"/>
      <c r="I918" s="320"/>
      <c r="J918" s="320"/>
      <c r="K918" s="320"/>
      <c r="L918" s="320"/>
      <c r="M918" s="320"/>
      <c r="N918" s="320"/>
      <c r="O918" s="320"/>
      <c r="P918" s="320"/>
      <c r="Q918" s="320"/>
      <c r="R918" s="320"/>
      <c r="S918" s="320"/>
      <c r="T918" s="320"/>
    </row>
    <row r="919">
      <c r="A919" s="362" t="str">
        <f>IFERROR(__xludf.DUMMYFUNCTION("""COMPUTED_VALUE"""),"Essence Wither")</f>
        <v>Essence Wither</v>
      </c>
      <c r="B919" s="373">
        <f>IFERROR(__xludf.DUMMYFUNCTION("""COMPUTED_VALUE"""),3015.35)</f>
        <v>3015.35</v>
      </c>
      <c r="C919" s="320"/>
      <c r="D919" s="320"/>
      <c r="E919" s="320"/>
      <c r="F919" s="320"/>
      <c r="G919" s="320"/>
      <c r="H919" s="320"/>
      <c r="I919" s="320"/>
      <c r="J919" s="320"/>
      <c r="K919" s="320"/>
      <c r="L919" s="320"/>
      <c r="M919" s="320"/>
      <c r="N919" s="320"/>
      <c r="O919" s="320"/>
      <c r="P919" s="320"/>
      <c r="Q919" s="320"/>
      <c r="R919" s="320"/>
      <c r="S919" s="320"/>
      <c r="T919" s="320"/>
    </row>
    <row r="920">
      <c r="A920" s="362" t="str">
        <f>IFERROR(__xludf.DUMMYFUNCTION("""COMPUTED_VALUE"""),"Exp Share Core")</f>
        <v>Exp Share Core</v>
      </c>
      <c r="B920" s="373">
        <f>IFERROR(__xludf.DUMMYFUNCTION("""COMPUTED_VALUE"""),4189502.65)</f>
        <v>4189502.65</v>
      </c>
      <c r="C920" s="320"/>
      <c r="D920" s="320"/>
      <c r="E920" s="320"/>
      <c r="F920" s="320"/>
      <c r="G920" s="320"/>
      <c r="H920" s="320"/>
      <c r="I920" s="320"/>
      <c r="J920" s="320"/>
      <c r="K920" s="320"/>
      <c r="L920" s="320"/>
      <c r="M920" s="320"/>
      <c r="N920" s="320"/>
      <c r="O920" s="320"/>
      <c r="P920" s="320"/>
      <c r="Q920" s="320"/>
      <c r="R920" s="320"/>
      <c r="S920" s="320"/>
      <c r="T920" s="320"/>
    </row>
    <row r="921">
      <c r="A921" s="362" t="str">
        <f>IFERROR(__xludf.DUMMYFUNCTION("""COMPUTED_VALUE"""),"Experience Bottle")</f>
        <v>Experience Bottle</v>
      </c>
      <c r="B921" s="373">
        <f>IFERROR(__xludf.DUMMYFUNCTION("""COMPUTED_VALUE"""),43.998)</f>
        <v>43.998</v>
      </c>
      <c r="C921" s="320"/>
      <c r="D921" s="320"/>
      <c r="E921" s="320"/>
      <c r="F921" s="320"/>
      <c r="G921" s="320"/>
      <c r="H921" s="320"/>
      <c r="I921" s="320"/>
      <c r="J921" s="320"/>
      <c r="K921" s="320"/>
      <c r="L921" s="320"/>
      <c r="M921" s="320"/>
      <c r="N921" s="320"/>
      <c r="O921" s="320"/>
      <c r="P921" s="320"/>
      <c r="Q921" s="320"/>
      <c r="R921" s="320"/>
      <c r="S921" s="320"/>
      <c r="T921" s="320"/>
    </row>
    <row r="922">
      <c r="A922" s="362" t="str">
        <f>IFERROR(__xludf.DUMMYFUNCTION("""COMPUTED_VALUE"""),"Expired Pumpkin")</f>
        <v>Expired Pumpkin</v>
      </c>
      <c r="B922" s="373">
        <f>IFERROR(__xludf.DUMMYFUNCTION("""COMPUTED_VALUE"""),12746.241)</f>
        <v>12746.241</v>
      </c>
      <c r="C922" s="320"/>
      <c r="D922" s="320"/>
      <c r="E922" s="320"/>
      <c r="F922" s="320"/>
      <c r="G922" s="320"/>
      <c r="H922" s="320"/>
      <c r="I922" s="320"/>
      <c r="J922" s="320"/>
      <c r="K922" s="320"/>
      <c r="L922" s="320"/>
      <c r="M922" s="320"/>
      <c r="N922" s="320"/>
      <c r="O922" s="320"/>
      <c r="P922" s="320"/>
      <c r="Q922" s="320"/>
      <c r="R922" s="320"/>
      <c r="S922" s="320"/>
      <c r="T922" s="320"/>
    </row>
    <row r="923">
      <c r="A923" s="362" t="str">
        <f>IFERROR(__xludf.DUMMYFUNCTION("""COMPUTED_VALUE"""),"Exportable Carrots")</f>
        <v>Exportable Carrots</v>
      </c>
      <c r="B923" s="373">
        <f>IFERROR(__xludf.DUMMYFUNCTION("""COMPUTED_VALUE"""),10012.3)</f>
        <v>10012.3</v>
      </c>
      <c r="C923" s="320"/>
      <c r="D923" s="320"/>
      <c r="E923" s="320"/>
      <c r="F923" s="320"/>
      <c r="G923" s="320"/>
      <c r="H923" s="320"/>
      <c r="I923" s="320"/>
      <c r="J923" s="320"/>
      <c r="K923" s="320"/>
      <c r="L923" s="320"/>
      <c r="M923" s="320"/>
      <c r="N923" s="320"/>
      <c r="O923" s="320"/>
      <c r="P923" s="320"/>
      <c r="Q923" s="320"/>
      <c r="R923" s="320"/>
      <c r="S923" s="320"/>
      <c r="T923" s="320"/>
    </row>
    <row r="924">
      <c r="A924" s="362" t="str">
        <f>IFERROR(__xludf.DUMMYFUNCTION("""COMPUTED_VALUE"""),"Fang-tastic Chocolate Chip")</f>
        <v>Fang-tastic Chocolate Chip</v>
      </c>
      <c r="B924" s="373">
        <f>IFERROR(__xludf.DUMMYFUNCTION("""COMPUTED_VALUE"""),586449.4)</f>
        <v>586449.4</v>
      </c>
      <c r="C924" s="320"/>
      <c r="D924" s="320"/>
      <c r="E924" s="320"/>
      <c r="F924" s="320"/>
      <c r="G924" s="320"/>
      <c r="H924" s="320"/>
      <c r="I924" s="320"/>
      <c r="J924" s="320"/>
      <c r="K924" s="320"/>
      <c r="L924" s="320"/>
      <c r="M924" s="320"/>
      <c r="N924" s="320"/>
      <c r="O924" s="320"/>
      <c r="P924" s="320"/>
      <c r="Q924" s="320"/>
      <c r="R924" s="320"/>
      <c r="S924" s="320"/>
      <c r="T924" s="320"/>
    </row>
    <row r="925">
      <c r="A925" s="362" t="str">
        <f>IFERROR(__xludf.DUMMYFUNCTION("""COMPUTED_VALUE"""),"Farming for Dummies")</f>
        <v>Farming for Dummies</v>
      </c>
      <c r="B925" s="373">
        <f>IFERROR(__xludf.DUMMYFUNCTION("""COMPUTED_VALUE"""),2145007.7)</f>
        <v>2145007.7</v>
      </c>
      <c r="C925" s="320"/>
      <c r="D925" s="320"/>
      <c r="E925" s="320"/>
      <c r="F925" s="320"/>
      <c r="G925" s="320"/>
      <c r="H925" s="320"/>
      <c r="I925" s="320"/>
      <c r="J925" s="320"/>
      <c r="K925" s="320"/>
      <c r="L925" s="320"/>
      <c r="M925" s="320"/>
      <c r="N925" s="320"/>
      <c r="O925" s="320"/>
      <c r="P925" s="320"/>
      <c r="Q925" s="320"/>
      <c r="R925" s="320"/>
      <c r="S925" s="320"/>
      <c r="T925" s="320"/>
    </row>
    <row r="926">
      <c r="A926" s="362" t="str">
        <f>IFERROR(__xludf.DUMMYFUNCTION("""COMPUTED_VALUE"""),"Feather")</f>
        <v>Feather</v>
      </c>
      <c r="B926" s="373">
        <f>IFERROR(__xludf.DUMMYFUNCTION("""COMPUTED_VALUE"""),4.766)</f>
        <v>4.766</v>
      </c>
      <c r="C926" s="320"/>
      <c r="D926" s="320"/>
      <c r="E926" s="320"/>
      <c r="F926" s="320"/>
      <c r="G926" s="320"/>
      <c r="H926" s="320"/>
      <c r="I926" s="320"/>
      <c r="J926" s="320"/>
      <c r="K926" s="320"/>
      <c r="L926" s="320"/>
      <c r="M926" s="320"/>
      <c r="N926" s="320"/>
      <c r="O926" s="320"/>
      <c r="P926" s="320"/>
      <c r="Q926" s="320"/>
      <c r="R926" s="320"/>
      <c r="S926" s="320"/>
      <c r="T926" s="320"/>
    </row>
    <row r="927">
      <c r="A927" s="362" t="str">
        <f>IFERROR(__xludf.DUMMYFUNCTION("""COMPUTED_VALUE"""),"Fel Pearl")</f>
        <v>Fel Pearl</v>
      </c>
      <c r="B927" s="373">
        <f>IFERROR(__xludf.DUMMYFUNCTION("""COMPUTED_VALUE"""),997.6)</f>
        <v>997.6</v>
      </c>
      <c r="C927" s="320"/>
      <c r="D927" s="320"/>
      <c r="E927" s="320"/>
      <c r="F927" s="320"/>
      <c r="G927" s="320"/>
      <c r="H927" s="320"/>
      <c r="I927" s="320"/>
      <c r="J927" s="320"/>
      <c r="K927" s="320"/>
      <c r="L927" s="320"/>
      <c r="M927" s="320"/>
      <c r="N927" s="320"/>
      <c r="O927" s="320"/>
      <c r="P927" s="320"/>
      <c r="Q927" s="320"/>
      <c r="R927" s="320"/>
      <c r="S927" s="320"/>
      <c r="T927" s="320"/>
    </row>
    <row r="928">
      <c r="A928" s="362" t="str">
        <f>IFERROR(__xludf.DUMMYFUNCTION("""COMPUTED_VALUE"""),"Fermento")</f>
        <v>Fermento</v>
      </c>
      <c r="B928" s="373">
        <f>IFERROR(__xludf.DUMMYFUNCTION("""COMPUTED_VALUE"""),258859.136)</f>
        <v>258859.136</v>
      </c>
      <c r="C928" s="320"/>
      <c r="D928" s="320"/>
      <c r="E928" s="320"/>
      <c r="F928" s="320"/>
      <c r="G928" s="320"/>
      <c r="H928" s="320"/>
      <c r="I928" s="320"/>
      <c r="J928" s="320"/>
      <c r="K928" s="320"/>
      <c r="L928" s="320"/>
      <c r="M928" s="320"/>
      <c r="N928" s="320"/>
      <c r="O928" s="320"/>
      <c r="P928" s="320"/>
      <c r="Q928" s="320"/>
      <c r="R928" s="320"/>
      <c r="S928" s="320"/>
      <c r="T928" s="320"/>
    </row>
    <row r="929">
      <c r="A929" s="362" t="str">
        <f>IFERROR(__xludf.DUMMYFUNCTION("""COMPUTED_VALUE"""),"Fifth Master Star")</f>
        <v>Fifth Master Star</v>
      </c>
      <c r="B929" s="373">
        <f>IFERROR(__xludf.DUMMYFUNCTION("""COMPUTED_VALUE"""),7.589981845E7)</f>
        <v>75899818.45</v>
      </c>
      <c r="C929" s="320"/>
      <c r="D929" s="320"/>
      <c r="E929" s="320"/>
      <c r="F929" s="320"/>
      <c r="G929" s="320"/>
      <c r="H929" s="320"/>
      <c r="I929" s="320"/>
      <c r="J929" s="320"/>
      <c r="K929" s="320"/>
      <c r="L929" s="320"/>
      <c r="M929" s="320"/>
      <c r="N929" s="320"/>
      <c r="O929" s="320"/>
      <c r="P929" s="320"/>
      <c r="Q929" s="320"/>
      <c r="R929" s="320"/>
      <c r="S929" s="320"/>
      <c r="T929" s="320"/>
    </row>
    <row r="930">
      <c r="A930" s="362" t="str">
        <f>IFERROR(__xludf.DUMMYFUNCTION("""COMPUTED_VALUE"""),"Fine Amber Gemstone")</f>
        <v>Fine Amber Gemstone</v>
      </c>
      <c r="B930" s="373">
        <f>IFERROR(__xludf.DUMMYFUNCTION("""COMPUTED_VALUE"""),25854.318)</f>
        <v>25854.318</v>
      </c>
      <c r="C930" s="320"/>
      <c r="D930" s="320"/>
      <c r="E930" s="320"/>
      <c r="F930" s="320"/>
      <c r="G930" s="320"/>
      <c r="H930" s="320"/>
      <c r="I930" s="320"/>
      <c r="J930" s="320"/>
      <c r="K930" s="320"/>
      <c r="L930" s="320"/>
      <c r="M930" s="320"/>
      <c r="N930" s="320"/>
      <c r="O930" s="320"/>
      <c r="P930" s="320"/>
      <c r="Q930" s="320"/>
      <c r="R930" s="320"/>
      <c r="S930" s="320"/>
      <c r="T930" s="320"/>
    </row>
    <row r="931">
      <c r="A931" s="362" t="str">
        <f>IFERROR(__xludf.DUMMYFUNCTION("""COMPUTED_VALUE"""),"Fine Amethyst Gemstone")</f>
        <v>Fine Amethyst Gemstone</v>
      </c>
      <c r="B931" s="373">
        <f>IFERROR(__xludf.DUMMYFUNCTION("""COMPUTED_VALUE"""),28614.25)</f>
        <v>28614.25</v>
      </c>
      <c r="C931" s="320"/>
      <c r="D931" s="320"/>
      <c r="E931" s="320"/>
      <c r="F931" s="320"/>
      <c r="G931" s="320"/>
      <c r="H931" s="320"/>
      <c r="I931" s="320"/>
      <c r="J931" s="320"/>
      <c r="K931" s="320"/>
      <c r="L931" s="320"/>
      <c r="M931" s="320"/>
      <c r="N931" s="320"/>
      <c r="O931" s="320"/>
      <c r="P931" s="320"/>
      <c r="Q931" s="320"/>
      <c r="R931" s="320"/>
      <c r="S931" s="320"/>
      <c r="T931" s="320"/>
    </row>
    <row r="932">
      <c r="A932" s="362" t="str">
        <f>IFERROR(__xludf.DUMMYFUNCTION("""COMPUTED_VALUE"""),"Fine Jade Gemstone")</f>
        <v>Fine Jade Gemstone</v>
      </c>
      <c r="B932" s="373">
        <f>IFERROR(__xludf.DUMMYFUNCTION("""COMPUTED_VALUE"""),24174.356)</f>
        <v>24174.356</v>
      </c>
      <c r="C932" s="320"/>
      <c r="D932" s="320"/>
      <c r="E932" s="320"/>
      <c r="F932" s="320"/>
      <c r="G932" s="320"/>
      <c r="H932" s="320"/>
      <c r="I932" s="320"/>
      <c r="J932" s="320"/>
      <c r="K932" s="320"/>
      <c r="L932" s="320"/>
      <c r="M932" s="320"/>
      <c r="N932" s="320"/>
      <c r="O932" s="320"/>
      <c r="P932" s="320"/>
      <c r="Q932" s="320"/>
      <c r="R932" s="320"/>
      <c r="S932" s="320"/>
      <c r="T932" s="320"/>
    </row>
    <row r="933">
      <c r="A933" s="362" t="str">
        <f>IFERROR(__xludf.DUMMYFUNCTION("""COMPUTED_VALUE"""),"Fine Jasper Gemstone")</f>
        <v>Fine Jasper Gemstone</v>
      </c>
      <c r="B933" s="373">
        <f>IFERROR(__xludf.DUMMYFUNCTION("""COMPUTED_VALUE"""),71143.35)</f>
        <v>71143.35</v>
      </c>
      <c r="C933" s="320"/>
      <c r="D933" s="320"/>
      <c r="E933" s="320"/>
      <c r="F933" s="320"/>
      <c r="G933" s="320"/>
      <c r="H933" s="320"/>
      <c r="I933" s="320"/>
      <c r="J933" s="320"/>
      <c r="K933" s="320"/>
      <c r="L933" s="320"/>
      <c r="M933" s="320"/>
      <c r="N933" s="320"/>
      <c r="O933" s="320"/>
      <c r="P933" s="320"/>
      <c r="Q933" s="320"/>
      <c r="R933" s="320"/>
      <c r="S933" s="320"/>
      <c r="T933" s="320"/>
    </row>
    <row r="934">
      <c r="A934" s="362" t="str">
        <f>IFERROR(__xludf.DUMMYFUNCTION("""COMPUTED_VALUE"""),"Fine Opal Gemstone")</f>
        <v>Fine Opal Gemstone</v>
      </c>
      <c r="B934" s="373">
        <f>IFERROR(__xludf.DUMMYFUNCTION("""COMPUTED_VALUE"""),35771.593)</f>
        <v>35771.593</v>
      </c>
      <c r="C934" s="320"/>
      <c r="D934" s="320"/>
      <c r="E934" s="320"/>
      <c r="F934" s="320"/>
      <c r="G934" s="320"/>
      <c r="H934" s="320"/>
      <c r="I934" s="320"/>
      <c r="J934" s="320"/>
      <c r="K934" s="320"/>
      <c r="L934" s="320"/>
      <c r="M934" s="320"/>
      <c r="N934" s="320"/>
      <c r="O934" s="320"/>
      <c r="P934" s="320"/>
      <c r="Q934" s="320"/>
      <c r="R934" s="320"/>
      <c r="S934" s="320"/>
      <c r="T934" s="320"/>
    </row>
    <row r="935">
      <c r="A935" s="362" t="str">
        <f>IFERROR(__xludf.DUMMYFUNCTION("""COMPUTED_VALUE"""),"Fine Ruby Gemstone")</f>
        <v>Fine Ruby Gemstone</v>
      </c>
      <c r="B935" s="373">
        <f>IFERROR(__xludf.DUMMYFUNCTION("""COMPUTED_VALUE"""),19229.65)</f>
        <v>19229.65</v>
      </c>
      <c r="C935" s="320"/>
      <c r="D935" s="320"/>
      <c r="E935" s="320"/>
      <c r="F935" s="320"/>
      <c r="G935" s="320"/>
      <c r="H935" s="320"/>
      <c r="I935" s="320"/>
      <c r="J935" s="320"/>
      <c r="K935" s="320"/>
      <c r="L935" s="320"/>
      <c r="M935" s="320"/>
      <c r="N935" s="320"/>
      <c r="O935" s="320"/>
      <c r="P935" s="320"/>
      <c r="Q935" s="320"/>
      <c r="R935" s="320"/>
      <c r="S935" s="320"/>
      <c r="T935" s="320"/>
    </row>
    <row r="936">
      <c r="A936" s="362" t="str">
        <f>IFERROR(__xludf.DUMMYFUNCTION("""COMPUTED_VALUE"""),"Fine Sapphire Gemstone")</f>
        <v>Fine Sapphire Gemstone</v>
      </c>
      <c r="B936" s="373">
        <f>IFERROR(__xludf.DUMMYFUNCTION("""COMPUTED_VALUE"""),26752.555)</f>
        <v>26752.555</v>
      </c>
      <c r="C936" s="320"/>
      <c r="D936" s="320"/>
      <c r="E936" s="320"/>
      <c r="F936" s="320"/>
      <c r="G936" s="320"/>
      <c r="H936" s="320"/>
      <c r="I936" s="320"/>
      <c r="J936" s="320"/>
      <c r="K936" s="320"/>
      <c r="L936" s="320"/>
      <c r="M936" s="320"/>
      <c r="N936" s="320"/>
      <c r="O936" s="320"/>
      <c r="P936" s="320"/>
      <c r="Q936" s="320"/>
      <c r="R936" s="320"/>
      <c r="S936" s="320"/>
      <c r="T936" s="320"/>
    </row>
    <row r="937">
      <c r="A937" s="362" t="str">
        <f>IFERROR(__xludf.DUMMYFUNCTION("""COMPUTED_VALUE"""),"Fine Topaz Gemstone")</f>
        <v>Fine Topaz Gemstone</v>
      </c>
      <c r="B937" s="373">
        <f>IFERROR(__xludf.DUMMYFUNCTION("""COMPUTED_VALUE"""),26451.05)</f>
        <v>26451.05</v>
      </c>
      <c r="C937" s="320"/>
      <c r="D937" s="320"/>
      <c r="E937" s="320"/>
      <c r="F937" s="320"/>
      <c r="G937" s="320"/>
      <c r="H937" s="320"/>
      <c r="I937" s="320"/>
      <c r="J937" s="320"/>
      <c r="K937" s="320"/>
      <c r="L937" s="320"/>
      <c r="M937" s="320"/>
      <c r="N937" s="320"/>
      <c r="O937" s="320"/>
      <c r="P937" s="320"/>
      <c r="Q937" s="320"/>
      <c r="R937" s="320"/>
      <c r="S937" s="320"/>
      <c r="T937" s="320"/>
    </row>
    <row r="938">
      <c r="A938" s="362" t="str">
        <f>IFERROR(__xludf.DUMMYFUNCTION("""COMPUTED_VALUE"""),"First Master Star")</f>
        <v>First Master Star</v>
      </c>
      <c r="B938" s="373">
        <f>IFERROR(__xludf.DUMMYFUNCTION("""COMPUTED_VALUE"""),1.2679044E7)</f>
        <v>12679044</v>
      </c>
      <c r="C938" s="320"/>
      <c r="D938" s="320"/>
      <c r="E938" s="320"/>
      <c r="F938" s="320"/>
      <c r="G938" s="320"/>
      <c r="H938" s="320"/>
      <c r="I938" s="320"/>
      <c r="J938" s="320"/>
      <c r="K938" s="320"/>
      <c r="L938" s="320"/>
      <c r="M938" s="320"/>
      <c r="N938" s="320"/>
      <c r="O938" s="320"/>
      <c r="P938" s="320"/>
      <c r="Q938" s="320"/>
      <c r="R938" s="320"/>
      <c r="S938" s="320"/>
      <c r="T938" s="320"/>
    </row>
    <row r="939">
      <c r="A939" s="362" t="str">
        <f>IFERROR(__xludf.DUMMYFUNCTION("""COMPUTED_VALUE"""),"Fish Bait")</f>
        <v>Fish Bait</v>
      </c>
      <c r="B939" s="373">
        <f>IFERROR(__xludf.DUMMYFUNCTION("""COMPUTED_VALUE"""),312.175)</f>
        <v>312.175</v>
      </c>
      <c r="C939" s="320"/>
      <c r="D939" s="320"/>
      <c r="E939" s="320"/>
      <c r="F939" s="320"/>
      <c r="G939" s="320"/>
      <c r="H939" s="320"/>
      <c r="I939" s="320"/>
      <c r="J939" s="320"/>
      <c r="K939" s="320"/>
      <c r="L939" s="320"/>
      <c r="M939" s="320"/>
      <c r="N939" s="320"/>
      <c r="O939" s="320"/>
      <c r="P939" s="320"/>
      <c r="Q939" s="320"/>
      <c r="R939" s="320"/>
      <c r="S939" s="320"/>
      <c r="T939" s="320"/>
    </row>
    <row r="940">
      <c r="A940" s="362" t="str">
        <f>IFERROR(__xludf.DUMMYFUNCTION("""COMPUTED_VALUE"""),"Flawed Amber Gemstone")</f>
        <v>Flawed Amber Gemstone</v>
      </c>
      <c r="B940" s="373">
        <f>IFERROR(__xludf.DUMMYFUNCTION("""COMPUTED_VALUE"""),401.8)</f>
        <v>401.8</v>
      </c>
      <c r="C940" s="320"/>
      <c r="D940" s="320"/>
      <c r="E940" s="320"/>
      <c r="F940" s="320"/>
      <c r="G940" s="320"/>
      <c r="H940" s="320"/>
      <c r="I940" s="320"/>
      <c r="J940" s="320"/>
      <c r="K940" s="320"/>
      <c r="L940" s="320"/>
      <c r="M940" s="320"/>
      <c r="N940" s="320"/>
      <c r="O940" s="320"/>
      <c r="P940" s="320"/>
      <c r="Q940" s="320"/>
      <c r="R940" s="320"/>
      <c r="S940" s="320"/>
      <c r="T940" s="320"/>
    </row>
    <row r="941">
      <c r="A941" s="362" t="str">
        <f>IFERROR(__xludf.DUMMYFUNCTION("""COMPUTED_VALUE"""),"Flawed Amethyst Gemstone")</f>
        <v>Flawed Amethyst Gemstone</v>
      </c>
      <c r="B941" s="373">
        <f>IFERROR(__xludf.DUMMYFUNCTION("""COMPUTED_VALUE"""),334.102)</f>
        <v>334.102</v>
      </c>
      <c r="C941" s="320"/>
      <c r="D941" s="320"/>
      <c r="E941" s="320"/>
      <c r="F941" s="320"/>
      <c r="G941" s="320"/>
      <c r="H941" s="320"/>
      <c r="I941" s="320"/>
      <c r="J941" s="320"/>
      <c r="K941" s="320"/>
      <c r="L941" s="320"/>
      <c r="M941" s="320"/>
      <c r="N941" s="320"/>
      <c r="O941" s="320"/>
      <c r="P941" s="320"/>
      <c r="Q941" s="320"/>
      <c r="R941" s="320"/>
      <c r="S941" s="320"/>
      <c r="T941" s="320"/>
    </row>
    <row r="942">
      <c r="A942" s="362" t="str">
        <f>IFERROR(__xludf.DUMMYFUNCTION("""COMPUTED_VALUE"""),"Flawed Jade Gemstone")</f>
        <v>Flawed Jade Gemstone</v>
      </c>
      <c r="B942" s="373">
        <f>IFERROR(__xludf.DUMMYFUNCTION("""COMPUTED_VALUE"""),355.036)</f>
        <v>355.036</v>
      </c>
      <c r="C942" s="320"/>
      <c r="D942" s="320"/>
      <c r="E942" s="320"/>
      <c r="F942" s="320"/>
      <c r="G942" s="320"/>
      <c r="H942" s="320"/>
      <c r="I942" s="320"/>
      <c r="J942" s="320"/>
      <c r="K942" s="320"/>
      <c r="L942" s="320"/>
      <c r="M942" s="320"/>
      <c r="N942" s="320"/>
      <c r="O942" s="320"/>
      <c r="P942" s="320"/>
      <c r="Q942" s="320"/>
      <c r="R942" s="320"/>
      <c r="S942" s="320"/>
      <c r="T942" s="320"/>
    </row>
    <row r="943">
      <c r="A943" s="362" t="str">
        <f>IFERROR(__xludf.DUMMYFUNCTION("""COMPUTED_VALUE"""),"Flawed Jasper Gemstone")</f>
        <v>Flawed Jasper Gemstone</v>
      </c>
      <c r="B943" s="373">
        <f>IFERROR(__xludf.DUMMYFUNCTION("""COMPUTED_VALUE"""),1428.8)</f>
        <v>1428.8</v>
      </c>
      <c r="C943" s="320"/>
      <c r="D943" s="320"/>
      <c r="E943" s="320"/>
      <c r="F943" s="320"/>
      <c r="G943" s="320"/>
      <c r="H943" s="320"/>
      <c r="I943" s="320"/>
      <c r="J943" s="320"/>
      <c r="K943" s="320"/>
      <c r="L943" s="320"/>
      <c r="M943" s="320"/>
      <c r="N943" s="320"/>
      <c r="O943" s="320"/>
      <c r="P943" s="320"/>
      <c r="Q943" s="320"/>
      <c r="R943" s="320"/>
      <c r="S943" s="320"/>
      <c r="T943" s="320"/>
    </row>
    <row r="944">
      <c r="A944" s="362" t="str">
        <f>IFERROR(__xludf.DUMMYFUNCTION("""COMPUTED_VALUE"""),"Flawed Opal Gemstone")</f>
        <v>Flawed Opal Gemstone</v>
      </c>
      <c r="B944" s="373">
        <f>IFERROR(__xludf.DUMMYFUNCTION("""COMPUTED_VALUE"""),3841.239)</f>
        <v>3841.239</v>
      </c>
      <c r="C944" s="320"/>
      <c r="D944" s="320"/>
      <c r="E944" s="320"/>
      <c r="F944" s="320"/>
      <c r="G944" s="320"/>
      <c r="H944" s="320"/>
      <c r="I944" s="320"/>
      <c r="J944" s="320"/>
      <c r="K944" s="320"/>
      <c r="L944" s="320"/>
      <c r="M944" s="320"/>
      <c r="N944" s="320"/>
      <c r="O944" s="320"/>
      <c r="P944" s="320"/>
      <c r="Q944" s="320"/>
      <c r="R944" s="320"/>
      <c r="S944" s="320"/>
      <c r="T944" s="320"/>
    </row>
    <row r="945">
      <c r="A945" s="362" t="str">
        <f>IFERROR(__xludf.DUMMYFUNCTION("""COMPUTED_VALUE"""),"Flawed Ruby Gemstone")</f>
        <v>Flawed Ruby Gemstone</v>
      </c>
      <c r="B945" s="373">
        <f>IFERROR(__xludf.DUMMYFUNCTION("""COMPUTED_VALUE"""),269.398)</f>
        <v>269.398</v>
      </c>
      <c r="C945" s="320"/>
      <c r="D945" s="320"/>
      <c r="E945" s="320"/>
      <c r="F945" s="320"/>
      <c r="G945" s="320"/>
      <c r="H945" s="320"/>
      <c r="I945" s="320"/>
      <c r="J945" s="320"/>
      <c r="K945" s="320"/>
      <c r="L945" s="320"/>
      <c r="M945" s="320"/>
      <c r="N945" s="320"/>
      <c r="O945" s="320"/>
      <c r="P945" s="320"/>
      <c r="Q945" s="320"/>
      <c r="R945" s="320"/>
      <c r="S945" s="320"/>
      <c r="T945" s="320"/>
    </row>
    <row r="946">
      <c r="A946" s="362" t="str">
        <f>IFERROR(__xludf.DUMMYFUNCTION("""COMPUTED_VALUE"""),"Flawed Sapphire Gemstone")</f>
        <v>Flawed Sapphire Gemstone</v>
      </c>
      <c r="B946" s="373">
        <f>IFERROR(__xludf.DUMMYFUNCTION("""COMPUTED_VALUE"""),330.201)</f>
        <v>330.201</v>
      </c>
      <c r="C946" s="320"/>
      <c r="D946" s="320"/>
      <c r="E946" s="320"/>
      <c r="F946" s="320"/>
      <c r="G946" s="320"/>
      <c r="H946" s="320"/>
      <c r="I946" s="320"/>
      <c r="J946" s="320"/>
      <c r="K946" s="320"/>
      <c r="L946" s="320"/>
      <c r="M946" s="320"/>
      <c r="N946" s="320"/>
      <c r="O946" s="320"/>
      <c r="P946" s="320"/>
      <c r="Q946" s="320"/>
      <c r="R946" s="320"/>
      <c r="S946" s="320"/>
      <c r="T946" s="320"/>
    </row>
    <row r="947">
      <c r="A947" s="362" t="str">
        <f>IFERROR(__xludf.DUMMYFUNCTION("""COMPUTED_VALUE"""),"Flawed Topaz Gemstone")</f>
        <v>Flawed Topaz Gemstone</v>
      </c>
      <c r="B947" s="373">
        <f>IFERROR(__xludf.DUMMYFUNCTION("""COMPUTED_VALUE"""),328.45)</f>
        <v>328.45</v>
      </c>
      <c r="C947" s="320"/>
      <c r="D947" s="320"/>
      <c r="E947" s="320"/>
      <c r="F947" s="320"/>
      <c r="G947" s="320"/>
      <c r="H947" s="320"/>
      <c r="I947" s="320"/>
      <c r="J947" s="320"/>
      <c r="K947" s="320"/>
      <c r="L947" s="320"/>
      <c r="M947" s="320"/>
      <c r="N947" s="320"/>
      <c r="O947" s="320"/>
      <c r="P947" s="320"/>
      <c r="Q947" s="320"/>
      <c r="R947" s="320"/>
      <c r="S947" s="320"/>
      <c r="T947" s="320"/>
    </row>
    <row r="948">
      <c r="A948" s="362" t="str">
        <f>IFERROR(__xludf.DUMMYFUNCTION("""COMPUTED_VALUE"""),"Flawless Amber Gemstone")</f>
        <v>Flawless Amber Gemstone</v>
      </c>
      <c r="B948" s="373">
        <f>IFERROR(__xludf.DUMMYFUNCTION("""COMPUTED_VALUE"""),2075782.519)</f>
        <v>2075782.519</v>
      </c>
      <c r="C948" s="320"/>
      <c r="D948" s="320"/>
      <c r="E948" s="320"/>
      <c r="F948" s="320"/>
      <c r="G948" s="320"/>
      <c r="H948" s="320"/>
      <c r="I948" s="320"/>
      <c r="J948" s="320"/>
      <c r="K948" s="320"/>
      <c r="L948" s="320"/>
      <c r="M948" s="320"/>
      <c r="N948" s="320"/>
      <c r="O948" s="320"/>
      <c r="P948" s="320"/>
      <c r="Q948" s="320"/>
      <c r="R948" s="320"/>
      <c r="S948" s="320"/>
      <c r="T948" s="320"/>
    </row>
    <row r="949">
      <c r="A949" s="362" t="str">
        <f>IFERROR(__xludf.DUMMYFUNCTION("""COMPUTED_VALUE"""),"Flawless Amethyst Gemstone")</f>
        <v>Flawless Amethyst Gemstone</v>
      </c>
      <c r="B949" s="373">
        <f>IFERROR(__xludf.DUMMYFUNCTION("""COMPUTED_VALUE"""),2229043.5)</f>
        <v>2229043.5</v>
      </c>
      <c r="C949" s="320"/>
      <c r="D949" s="320"/>
      <c r="E949" s="320"/>
      <c r="F949" s="320"/>
      <c r="G949" s="320"/>
      <c r="H949" s="320"/>
      <c r="I949" s="320"/>
      <c r="J949" s="320"/>
      <c r="K949" s="320"/>
      <c r="L949" s="320"/>
      <c r="M949" s="320"/>
      <c r="N949" s="320"/>
      <c r="O949" s="320"/>
      <c r="P949" s="320"/>
      <c r="Q949" s="320"/>
      <c r="R949" s="320"/>
      <c r="S949" s="320"/>
      <c r="T949" s="320"/>
    </row>
    <row r="950">
      <c r="A950" s="362" t="str">
        <f>IFERROR(__xludf.DUMMYFUNCTION("""COMPUTED_VALUE"""),"Flawless Jade Gemstone")</f>
        <v>Flawless Jade Gemstone</v>
      </c>
      <c r="B950" s="373">
        <f>IFERROR(__xludf.DUMMYFUNCTION("""COMPUTED_VALUE"""),2003145.15)</f>
        <v>2003145.15</v>
      </c>
      <c r="C950" s="320"/>
      <c r="D950" s="320"/>
      <c r="E950" s="320"/>
      <c r="F950" s="320"/>
      <c r="G950" s="320"/>
      <c r="H950" s="320"/>
      <c r="I950" s="320"/>
      <c r="J950" s="320"/>
      <c r="K950" s="320"/>
      <c r="L950" s="320"/>
      <c r="M950" s="320"/>
      <c r="N950" s="320"/>
      <c r="O950" s="320"/>
      <c r="P950" s="320"/>
      <c r="Q950" s="320"/>
      <c r="R950" s="320"/>
      <c r="S950" s="320"/>
      <c r="T950" s="320"/>
    </row>
    <row r="951">
      <c r="A951" s="362" t="str">
        <f>IFERROR(__xludf.DUMMYFUNCTION("""COMPUTED_VALUE"""),"Flawless Jasper Gemstone")</f>
        <v>Flawless Jasper Gemstone</v>
      </c>
      <c r="B951" s="373">
        <f>IFERROR(__xludf.DUMMYFUNCTION("""COMPUTED_VALUE"""),5741198.05)</f>
        <v>5741198.05</v>
      </c>
      <c r="C951" s="320"/>
      <c r="D951" s="320"/>
      <c r="E951" s="320"/>
      <c r="F951" s="320"/>
      <c r="G951" s="320"/>
      <c r="H951" s="320"/>
      <c r="I951" s="320"/>
      <c r="J951" s="320"/>
      <c r="K951" s="320"/>
      <c r="L951" s="320"/>
      <c r="M951" s="320"/>
      <c r="N951" s="320"/>
      <c r="O951" s="320"/>
      <c r="P951" s="320"/>
      <c r="Q951" s="320"/>
      <c r="R951" s="320"/>
      <c r="S951" s="320"/>
      <c r="T951" s="320"/>
    </row>
    <row r="952">
      <c r="A952" s="362" t="str">
        <f>IFERROR(__xludf.DUMMYFUNCTION("""COMPUTED_VALUE"""),"Flawless Opal Gemstone")</f>
        <v>Flawless Opal Gemstone</v>
      </c>
      <c r="B952" s="373">
        <f>IFERROR(__xludf.DUMMYFUNCTION("""COMPUTED_VALUE"""),3147708.35)</f>
        <v>3147708.35</v>
      </c>
      <c r="C952" s="320"/>
      <c r="D952" s="320"/>
      <c r="E952" s="320"/>
      <c r="F952" s="320"/>
      <c r="G952" s="320"/>
      <c r="H952" s="320"/>
      <c r="I952" s="320"/>
      <c r="J952" s="320"/>
      <c r="K952" s="320"/>
      <c r="L952" s="320"/>
      <c r="M952" s="320"/>
      <c r="N952" s="320"/>
      <c r="O952" s="320"/>
      <c r="P952" s="320"/>
      <c r="Q952" s="320"/>
      <c r="R952" s="320"/>
      <c r="S952" s="320"/>
      <c r="T952" s="320"/>
    </row>
    <row r="953">
      <c r="A953" s="362" t="str">
        <f>IFERROR(__xludf.DUMMYFUNCTION("""COMPUTED_VALUE"""),"Flawless Ruby Gemstone")</f>
        <v>Flawless Ruby Gemstone</v>
      </c>
      <c r="B953" s="373">
        <f>IFERROR(__xludf.DUMMYFUNCTION("""COMPUTED_VALUE"""),1567499.04)</f>
        <v>1567499.04</v>
      </c>
      <c r="C953" s="320"/>
      <c r="D953" s="320"/>
      <c r="E953" s="320"/>
      <c r="F953" s="320"/>
      <c r="G953" s="320"/>
      <c r="H953" s="320"/>
      <c r="I953" s="320"/>
      <c r="J953" s="320"/>
      <c r="K953" s="320"/>
      <c r="L953" s="320"/>
      <c r="M953" s="320"/>
      <c r="N953" s="320"/>
      <c r="O953" s="320"/>
      <c r="P953" s="320"/>
      <c r="Q953" s="320"/>
      <c r="R953" s="320"/>
      <c r="S953" s="320"/>
      <c r="T953" s="320"/>
    </row>
    <row r="954">
      <c r="A954" s="362" t="str">
        <f>IFERROR(__xludf.DUMMYFUNCTION("""COMPUTED_VALUE"""),"Flawless Sapphire Gemstone")</f>
        <v>Flawless Sapphire Gemstone</v>
      </c>
      <c r="B954" s="373">
        <f>IFERROR(__xludf.DUMMYFUNCTION("""COMPUTED_VALUE"""),2110714.55)</f>
        <v>2110714.55</v>
      </c>
      <c r="C954" s="320"/>
      <c r="D954" s="320"/>
      <c r="E954" s="320"/>
      <c r="F954" s="320"/>
      <c r="G954" s="320"/>
      <c r="H954" s="320"/>
      <c r="I954" s="320"/>
      <c r="J954" s="320"/>
      <c r="K954" s="320"/>
      <c r="L954" s="320"/>
      <c r="M954" s="320"/>
      <c r="N954" s="320"/>
      <c r="O954" s="320"/>
      <c r="P954" s="320"/>
      <c r="Q954" s="320"/>
      <c r="R954" s="320"/>
      <c r="S954" s="320"/>
      <c r="T954" s="320"/>
    </row>
    <row r="955">
      <c r="A955" s="362" t="str">
        <f>IFERROR(__xludf.DUMMYFUNCTION("""COMPUTED_VALUE"""),"Flawless Topaz Gemstone")</f>
        <v>Flawless Topaz Gemstone</v>
      </c>
      <c r="B955" s="373">
        <f>IFERROR(__xludf.DUMMYFUNCTION("""COMPUTED_VALUE"""),2162085.3)</f>
        <v>2162085.3</v>
      </c>
      <c r="C955" s="320"/>
      <c r="D955" s="320"/>
      <c r="E955" s="320"/>
      <c r="F955" s="320"/>
      <c r="G955" s="320"/>
      <c r="H955" s="320"/>
      <c r="I955" s="320"/>
      <c r="J955" s="320"/>
      <c r="K955" s="320"/>
      <c r="L955" s="320"/>
      <c r="M955" s="320"/>
      <c r="N955" s="320"/>
      <c r="O955" s="320"/>
      <c r="P955" s="320"/>
      <c r="Q955" s="320"/>
      <c r="R955" s="320"/>
      <c r="S955" s="320"/>
      <c r="T955" s="320"/>
    </row>
    <row r="956">
      <c r="A956" s="362" t="str">
        <f>IFERROR(__xludf.DUMMYFUNCTION("""COMPUTED_VALUE"""),"Flint")</f>
        <v>Flint</v>
      </c>
      <c r="B956" s="373">
        <f>IFERROR(__xludf.DUMMYFUNCTION("""COMPUTED_VALUE"""),39.436)</f>
        <v>39.436</v>
      </c>
      <c r="C956" s="320"/>
      <c r="D956" s="320"/>
      <c r="E956" s="320"/>
      <c r="F956" s="320"/>
      <c r="G956" s="320"/>
      <c r="H956" s="320"/>
      <c r="I956" s="320"/>
      <c r="J956" s="320"/>
      <c r="K956" s="320"/>
      <c r="L956" s="320"/>
      <c r="M956" s="320"/>
      <c r="N956" s="320"/>
      <c r="O956" s="320"/>
      <c r="P956" s="320"/>
      <c r="Q956" s="320"/>
      <c r="R956" s="320"/>
      <c r="S956" s="320"/>
      <c r="T956" s="320"/>
    </row>
    <row r="957">
      <c r="A957" s="362" t="str">
        <f>IFERROR(__xludf.DUMMYFUNCTION("""COMPUTED_VALUE"""),"Flowering Bouquet")</f>
        <v>Flowering Bouquet</v>
      </c>
      <c r="B957" s="373">
        <f>IFERROR(__xludf.DUMMYFUNCTION("""COMPUTED_VALUE"""),28663.1)</f>
        <v>28663.1</v>
      </c>
      <c r="C957" s="320"/>
      <c r="D957" s="320"/>
      <c r="E957" s="320"/>
      <c r="F957" s="320"/>
      <c r="G957" s="320"/>
      <c r="H957" s="320"/>
      <c r="I957" s="320"/>
      <c r="J957" s="320"/>
      <c r="K957" s="320"/>
      <c r="L957" s="320"/>
      <c r="M957" s="320"/>
      <c r="N957" s="320"/>
      <c r="O957" s="320"/>
      <c r="P957" s="320"/>
      <c r="Q957" s="320"/>
      <c r="R957" s="320"/>
      <c r="S957" s="320"/>
      <c r="T957" s="320"/>
    </row>
    <row r="958">
      <c r="A958" s="362" t="str">
        <f>IFERROR(__xludf.DUMMYFUNCTION("""COMPUTED_VALUE"""),"Fly Swatter")</f>
        <v>Fly Swatter</v>
      </c>
      <c r="B958" s="373">
        <f>IFERROR(__xludf.DUMMYFUNCTION("""COMPUTED_VALUE"""),519633.3)</f>
        <v>519633.3</v>
      </c>
      <c r="C958" s="320"/>
      <c r="D958" s="320"/>
      <c r="E958" s="320"/>
      <c r="F958" s="320"/>
      <c r="G958" s="320"/>
      <c r="H958" s="320"/>
      <c r="I958" s="320"/>
      <c r="J958" s="320"/>
      <c r="K958" s="320"/>
      <c r="L958" s="320"/>
      <c r="M958" s="320"/>
      <c r="N958" s="320"/>
      <c r="O958" s="320"/>
      <c r="P958" s="320"/>
      <c r="Q958" s="320"/>
      <c r="R958" s="320"/>
      <c r="S958" s="320"/>
      <c r="T958" s="320"/>
    </row>
    <row r="959">
      <c r="A959" s="362" t="str">
        <f>IFERROR(__xludf.DUMMYFUNCTION("""COMPUTED_VALUE"""),"Flycatcher")</f>
        <v>Flycatcher</v>
      </c>
      <c r="B959" s="373">
        <f>IFERROR(__xludf.DUMMYFUNCTION("""COMPUTED_VALUE"""),2.5627955175E7)</f>
        <v>25627955.18</v>
      </c>
      <c r="C959" s="320"/>
      <c r="D959" s="320"/>
      <c r="E959" s="320"/>
      <c r="F959" s="320"/>
      <c r="G959" s="320"/>
      <c r="H959" s="320"/>
      <c r="I959" s="320"/>
      <c r="J959" s="320"/>
      <c r="K959" s="320"/>
      <c r="L959" s="320"/>
      <c r="M959" s="320"/>
      <c r="N959" s="320"/>
      <c r="O959" s="320"/>
      <c r="P959" s="320"/>
      <c r="Q959" s="320"/>
      <c r="R959" s="320"/>
      <c r="S959" s="320"/>
      <c r="T959" s="320"/>
    </row>
    <row r="960">
      <c r="A960" s="362" t="str">
        <f>IFERROR(__xludf.DUMMYFUNCTION("""COMPUTED_VALUE"""),"Foul Flesh")</f>
        <v>Foul Flesh</v>
      </c>
      <c r="B960" s="373">
        <f>IFERROR(__xludf.DUMMYFUNCTION("""COMPUTED_VALUE"""),26134.416)</f>
        <v>26134.416</v>
      </c>
      <c r="C960" s="320"/>
      <c r="D960" s="320"/>
      <c r="E960" s="320"/>
      <c r="F960" s="320"/>
      <c r="G960" s="320"/>
      <c r="H960" s="320"/>
      <c r="I960" s="320"/>
      <c r="J960" s="320"/>
      <c r="K960" s="320"/>
      <c r="L960" s="320"/>
      <c r="M960" s="320"/>
      <c r="N960" s="320"/>
      <c r="O960" s="320"/>
      <c r="P960" s="320"/>
      <c r="Q960" s="320"/>
      <c r="R960" s="320"/>
      <c r="S960" s="320"/>
      <c r="T960" s="320"/>
    </row>
    <row r="961">
      <c r="A961" s="362" t="str">
        <f>IFERROR(__xludf.DUMMYFUNCTION("""COMPUTED_VALUE"""),"Fourth Master Star")</f>
        <v>Fourth Master Star</v>
      </c>
      <c r="B961" s="373">
        <f>IFERROR(__xludf.DUMMYFUNCTION("""COMPUTED_VALUE"""),5.829301075E7)</f>
        <v>58293010.75</v>
      </c>
      <c r="C961" s="320"/>
      <c r="D961" s="320"/>
      <c r="E961" s="320"/>
      <c r="F961" s="320"/>
      <c r="G961" s="320"/>
      <c r="H961" s="320"/>
      <c r="I961" s="320"/>
      <c r="J961" s="320"/>
      <c r="K961" s="320"/>
      <c r="L961" s="320"/>
      <c r="M961" s="320"/>
      <c r="N961" s="320"/>
      <c r="O961" s="320"/>
      <c r="P961" s="320"/>
      <c r="Q961" s="320"/>
      <c r="R961" s="320"/>
      <c r="S961" s="320"/>
      <c r="T961" s="320"/>
    </row>
    <row r="962">
      <c r="A962" s="362" t="str">
        <f>IFERROR(__xludf.DUMMYFUNCTION("""COMPUTED_VALUE"""),"Frozen Bait")</f>
        <v>Frozen Bait</v>
      </c>
      <c r="B962" s="373">
        <f>IFERROR(__xludf.DUMMYFUNCTION("""COMPUTED_VALUE"""),852.135)</f>
        <v>852.135</v>
      </c>
      <c r="C962" s="320"/>
      <c r="D962" s="320"/>
      <c r="E962" s="320"/>
      <c r="F962" s="320"/>
      <c r="G962" s="320"/>
      <c r="H962" s="320"/>
      <c r="I962" s="320"/>
      <c r="J962" s="320"/>
      <c r="K962" s="320"/>
      <c r="L962" s="320"/>
      <c r="M962" s="320"/>
      <c r="N962" s="320"/>
      <c r="O962" s="320"/>
      <c r="P962" s="320"/>
      <c r="Q962" s="320"/>
      <c r="R962" s="320"/>
      <c r="S962" s="320"/>
      <c r="T962" s="320"/>
    </row>
    <row r="963">
      <c r="A963" s="362" t="str">
        <f>IFERROR(__xludf.DUMMYFUNCTION("""COMPUTED_VALUE"""),"Frozen Bauble")</f>
        <v>Frozen Bauble</v>
      </c>
      <c r="B963" s="373">
        <f>IFERROR(__xludf.DUMMYFUNCTION("""COMPUTED_VALUE"""),7650148.55)</f>
        <v>7650148.55</v>
      </c>
      <c r="C963" s="320"/>
      <c r="D963" s="320"/>
      <c r="E963" s="320"/>
      <c r="F963" s="320"/>
      <c r="G963" s="320"/>
      <c r="H963" s="320"/>
      <c r="I963" s="320"/>
      <c r="J963" s="320"/>
      <c r="K963" s="320"/>
      <c r="L963" s="320"/>
      <c r="M963" s="320"/>
      <c r="N963" s="320"/>
      <c r="O963" s="320"/>
      <c r="P963" s="320"/>
      <c r="Q963" s="320"/>
      <c r="R963" s="320"/>
      <c r="S963" s="320"/>
      <c r="T963" s="320"/>
    </row>
    <row r="964">
      <c r="A964" s="362" t="str">
        <f>IFERROR(__xludf.DUMMYFUNCTION("""COMPUTED_VALUE"""),"FTX 3070")</f>
        <v>FTX 3070</v>
      </c>
      <c r="B964" s="373">
        <f>IFERROR(__xludf.DUMMYFUNCTION("""COMPUTED_VALUE"""),14376.459)</f>
        <v>14376.459</v>
      </c>
      <c r="C964" s="320"/>
      <c r="D964" s="320"/>
      <c r="E964" s="320"/>
      <c r="F964" s="320"/>
      <c r="G964" s="320"/>
      <c r="H964" s="320"/>
      <c r="I964" s="320"/>
      <c r="J964" s="320"/>
      <c r="K964" s="320"/>
      <c r="L964" s="320"/>
      <c r="M964" s="320"/>
      <c r="N964" s="320"/>
      <c r="O964" s="320"/>
      <c r="P964" s="320"/>
      <c r="Q964" s="320"/>
      <c r="R964" s="320"/>
      <c r="S964" s="320"/>
      <c r="T964" s="320"/>
    </row>
    <row r="965">
      <c r="A965" s="362" t="str">
        <f>IFERROR(__xludf.DUMMYFUNCTION("""COMPUTED_VALUE"""),"Fuel Gabagool")</f>
        <v>Fuel Gabagool</v>
      </c>
      <c r="B965" s="373">
        <f>IFERROR(__xludf.DUMMYFUNCTION("""COMPUTED_VALUE"""),33498.1)</f>
        <v>33498.1</v>
      </c>
      <c r="C965" s="320"/>
      <c r="D965" s="320"/>
      <c r="E965" s="320"/>
      <c r="F965" s="320"/>
      <c r="G965" s="320"/>
      <c r="H965" s="320"/>
      <c r="I965" s="320"/>
      <c r="J965" s="320"/>
      <c r="K965" s="320"/>
      <c r="L965" s="320"/>
      <c r="M965" s="320"/>
      <c r="N965" s="320"/>
      <c r="O965" s="320"/>
      <c r="P965" s="320"/>
      <c r="Q965" s="320"/>
      <c r="R965" s="320"/>
      <c r="S965" s="320"/>
      <c r="T965" s="320"/>
    </row>
    <row r="966">
      <c r="A966" s="362" t="str">
        <f>IFERROR(__xludf.DUMMYFUNCTION("""COMPUTED_VALUE"""),"Fuel Tank")</f>
        <v>Fuel Tank</v>
      </c>
      <c r="B966" s="373">
        <f>IFERROR(__xludf.DUMMYFUNCTION("""COMPUTED_VALUE"""),259499.804)</f>
        <v>259499.804</v>
      </c>
      <c r="C966" s="320"/>
      <c r="D966" s="320"/>
      <c r="E966" s="320"/>
      <c r="F966" s="320"/>
      <c r="G966" s="320"/>
      <c r="H966" s="320"/>
      <c r="I966" s="320"/>
      <c r="J966" s="320"/>
      <c r="K966" s="320"/>
      <c r="L966" s="320"/>
      <c r="M966" s="320"/>
      <c r="N966" s="320"/>
      <c r="O966" s="320"/>
      <c r="P966" s="320"/>
      <c r="Q966" s="320"/>
      <c r="R966" s="320"/>
      <c r="S966" s="320"/>
      <c r="T966" s="320"/>
    </row>
    <row r="967">
      <c r="A967" s="362" t="str">
        <f>IFERROR(__xludf.DUMMYFUNCTION("""COMPUTED_VALUE"""),"Full Chum Bucket")</f>
        <v>Full Chum Bucket</v>
      </c>
      <c r="B967" s="373">
        <f>IFERROR(__xludf.DUMMYFUNCTION("""COMPUTED_VALUE"""),13236.064)</f>
        <v>13236.064</v>
      </c>
      <c r="C967" s="320"/>
      <c r="D967" s="320"/>
      <c r="E967" s="320"/>
      <c r="F967" s="320"/>
      <c r="G967" s="320"/>
      <c r="H967" s="320"/>
      <c r="I967" s="320"/>
      <c r="J967" s="320"/>
      <c r="K967" s="320"/>
      <c r="L967" s="320"/>
      <c r="M967" s="320"/>
      <c r="N967" s="320"/>
      <c r="O967" s="320"/>
      <c r="P967" s="320"/>
      <c r="Q967" s="320"/>
      <c r="R967" s="320"/>
      <c r="S967" s="320"/>
      <c r="T967" s="320"/>
    </row>
    <row r="968">
      <c r="A968" s="362" t="str">
        <f>IFERROR(__xludf.DUMMYFUNCTION("""COMPUTED_VALUE"""),"Full-Jaw Fanging Kit")</f>
        <v>Full-Jaw Fanging Kit</v>
      </c>
      <c r="B968" s="373">
        <f>IFERROR(__xludf.DUMMYFUNCTION("""COMPUTED_VALUE"""),1.05999998E7)</f>
        <v>10599999.8</v>
      </c>
      <c r="C968" s="320"/>
      <c r="D968" s="320"/>
      <c r="E968" s="320"/>
      <c r="F968" s="320"/>
      <c r="G968" s="320"/>
      <c r="H968" s="320"/>
      <c r="I968" s="320"/>
      <c r="J968" s="320"/>
      <c r="K968" s="320"/>
      <c r="L968" s="320"/>
      <c r="M968" s="320"/>
      <c r="N968" s="320"/>
      <c r="O968" s="320"/>
      <c r="P968" s="320"/>
      <c r="Q968" s="320"/>
      <c r="R968" s="320"/>
      <c r="S968" s="320"/>
      <c r="T968" s="320"/>
    </row>
    <row r="969">
      <c r="A969" s="362" t="str">
        <f>IFERROR(__xludf.DUMMYFUNCTION("""COMPUTED_VALUE"""),"Fuming Potato Book")</f>
        <v>Fuming Potato Book</v>
      </c>
      <c r="B969" s="373">
        <f>IFERROR(__xludf.DUMMYFUNCTION("""COMPUTED_VALUE"""),1226120.557)</f>
        <v>1226120.557</v>
      </c>
      <c r="C969" s="320"/>
      <c r="D969" s="320"/>
      <c r="E969" s="320"/>
      <c r="F969" s="320"/>
      <c r="G969" s="320"/>
      <c r="H969" s="320"/>
      <c r="I969" s="320"/>
      <c r="J969" s="320"/>
      <c r="K969" s="320"/>
      <c r="L969" s="320"/>
      <c r="M969" s="320"/>
      <c r="N969" s="320"/>
      <c r="O969" s="320"/>
      <c r="P969" s="320"/>
      <c r="Q969" s="320"/>
      <c r="R969" s="320"/>
      <c r="S969" s="320"/>
      <c r="T969" s="320"/>
    </row>
    <row r="970">
      <c r="A970" s="362" t="str">
        <f>IFERROR(__xludf.DUMMYFUNCTION("""COMPUTED_VALUE"""),"Furball")</f>
        <v>Furball</v>
      </c>
      <c r="B970" s="373">
        <f>IFERROR(__xludf.DUMMYFUNCTION("""COMPUTED_VALUE"""),30940.356)</f>
        <v>30940.356</v>
      </c>
      <c r="C970" s="320"/>
      <c r="D970" s="320"/>
      <c r="E970" s="320"/>
      <c r="F970" s="320"/>
      <c r="G970" s="320"/>
      <c r="H970" s="320"/>
      <c r="I970" s="320"/>
      <c r="J970" s="320"/>
      <c r="K970" s="320"/>
      <c r="L970" s="320"/>
      <c r="M970" s="320"/>
      <c r="N970" s="320"/>
      <c r="O970" s="320"/>
      <c r="P970" s="320"/>
      <c r="Q970" s="320"/>
      <c r="R970" s="320"/>
      <c r="S970" s="320"/>
      <c r="T970" s="320"/>
    </row>
    <row r="971">
      <c r="A971" s="362" t="str">
        <f>IFERROR(__xludf.DUMMYFUNCTION("""COMPUTED_VALUE"""),"Gabagool Distillate")</f>
        <v>Gabagool Distillate</v>
      </c>
      <c r="B971" s="373">
        <f>IFERROR(__xludf.DUMMYFUNCTION("""COMPUTED_VALUE"""),101298.958)</f>
        <v>101298.958</v>
      </c>
      <c r="C971" s="320"/>
      <c r="D971" s="320"/>
      <c r="E971" s="320"/>
      <c r="F971" s="320"/>
      <c r="G971" s="320"/>
      <c r="H971" s="320"/>
      <c r="I971" s="320"/>
      <c r="J971" s="320"/>
      <c r="K971" s="320"/>
      <c r="L971" s="320"/>
      <c r="M971" s="320"/>
      <c r="N971" s="320"/>
      <c r="O971" s="320"/>
      <c r="P971" s="320"/>
      <c r="Q971" s="320"/>
      <c r="R971" s="320"/>
      <c r="S971" s="320"/>
      <c r="T971" s="320"/>
    </row>
    <row r="972">
      <c r="A972" s="362" t="str">
        <f>IFERROR(__xludf.DUMMYFUNCTION("""COMPUTED_VALUE"""),"Gemstone Mixture")</f>
        <v>Gemstone Mixture</v>
      </c>
      <c r="B972" s="373">
        <f>IFERROR(__xludf.DUMMYFUNCTION("""COMPUTED_VALUE"""),1377311.9)</f>
        <v>1377311.9</v>
      </c>
      <c r="C972" s="320"/>
      <c r="D972" s="320"/>
      <c r="E972" s="320"/>
      <c r="F972" s="320"/>
      <c r="G972" s="320"/>
      <c r="H972" s="320"/>
      <c r="I972" s="320"/>
      <c r="J972" s="320"/>
      <c r="K972" s="320"/>
      <c r="L972" s="320"/>
      <c r="M972" s="320"/>
      <c r="N972" s="320"/>
      <c r="O972" s="320"/>
      <c r="P972" s="320"/>
      <c r="Q972" s="320"/>
      <c r="R972" s="320"/>
      <c r="S972" s="320"/>
      <c r="T972" s="320"/>
    </row>
    <row r="973">
      <c r="A973" s="362" t="str">
        <f>IFERROR(__xludf.DUMMYFUNCTION("""COMPUTED_VALUE"""),"Ghast Tear")</f>
        <v>Ghast Tear</v>
      </c>
      <c r="B973" s="373">
        <f>IFERROR(__xludf.DUMMYFUNCTION("""COMPUTED_VALUE"""),82.897)</f>
        <v>82.897</v>
      </c>
      <c r="C973" s="320"/>
      <c r="D973" s="320"/>
      <c r="E973" s="320"/>
      <c r="F973" s="320"/>
      <c r="G973" s="320"/>
      <c r="H973" s="320"/>
      <c r="I973" s="320"/>
      <c r="J973" s="320"/>
      <c r="K973" s="320"/>
      <c r="L973" s="320"/>
      <c r="M973" s="320"/>
      <c r="N973" s="320"/>
      <c r="O973" s="320"/>
      <c r="P973" s="320"/>
      <c r="Q973" s="320"/>
      <c r="R973" s="320"/>
      <c r="S973" s="320"/>
      <c r="T973" s="320"/>
    </row>
    <row r="974">
      <c r="A974" s="362" t="str">
        <f>IFERROR(__xludf.DUMMYFUNCTION("""COMPUTED_VALUE"""),"Giant Tooth")</f>
        <v>Giant Tooth</v>
      </c>
      <c r="B974" s="373">
        <f>IFERROR(__xludf.DUMMYFUNCTION("""COMPUTED_VALUE"""),337427.2)</f>
        <v>337427.2</v>
      </c>
      <c r="C974" s="320"/>
      <c r="D974" s="320"/>
      <c r="E974" s="320"/>
      <c r="F974" s="320"/>
      <c r="G974" s="320"/>
      <c r="H974" s="320"/>
      <c r="I974" s="320"/>
      <c r="J974" s="320"/>
      <c r="K974" s="320"/>
      <c r="L974" s="320"/>
      <c r="M974" s="320"/>
      <c r="N974" s="320"/>
      <c r="O974" s="320"/>
      <c r="P974" s="320"/>
      <c r="Q974" s="320"/>
      <c r="R974" s="320"/>
      <c r="S974" s="320"/>
      <c r="T974" s="320"/>
    </row>
    <row r="975">
      <c r="A975" s="362" t="str">
        <f>IFERROR(__xludf.DUMMYFUNCTION("""COMPUTED_VALUE"""),"Glacial Fragment")</f>
        <v>Glacial Fragment</v>
      </c>
      <c r="B975" s="373">
        <f>IFERROR(__xludf.DUMMYFUNCTION("""COMPUTED_VALUE"""),23438.15)</f>
        <v>23438.15</v>
      </c>
      <c r="C975" s="320"/>
      <c r="D975" s="320"/>
      <c r="E975" s="320"/>
      <c r="F975" s="320"/>
      <c r="G975" s="320"/>
      <c r="H975" s="320"/>
      <c r="I975" s="320"/>
      <c r="J975" s="320"/>
      <c r="K975" s="320"/>
      <c r="L975" s="320"/>
      <c r="M975" s="320"/>
      <c r="N975" s="320"/>
      <c r="O975" s="320"/>
      <c r="P975" s="320"/>
      <c r="Q975" s="320"/>
      <c r="R975" s="320"/>
      <c r="S975" s="320"/>
      <c r="T975" s="320"/>
    </row>
    <row r="976">
      <c r="A976" s="362" t="str">
        <f>IFERROR(__xludf.DUMMYFUNCTION("""COMPUTED_VALUE"""),"Glacite Jewel")</f>
        <v>Glacite Jewel</v>
      </c>
      <c r="B976" s="373">
        <f>IFERROR(__xludf.DUMMYFUNCTION("""COMPUTED_VALUE"""),124886.396)</f>
        <v>124886.396</v>
      </c>
      <c r="C976" s="320"/>
      <c r="D976" s="320"/>
      <c r="E976" s="320"/>
      <c r="F976" s="320"/>
      <c r="G976" s="320"/>
      <c r="H976" s="320"/>
      <c r="I976" s="320"/>
      <c r="J976" s="320"/>
      <c r="K976" s="320"/>
      <c r="L976" s="320"/>
      <c r="M976" s="320"/>
      <c r="N976" s="320"/>
      <c r="O976" s="320"/>
      <c r="P976" s="320"/>
      <c r="Q976" s="320"/>
      <c r="R976" s="320"/>
      <c r="S976" s="320"/>
      <c r="T976" s="320"/>
    </row>
    <row r="977">
      <c r="A977" s="362" t="str">
        <f>IFERROR(__xludf.DUMMYFUNCTION("""COMPUTED_VALUE"""),"Glowing Mushroom")</f>
        <v>Glowing Mushroom</v>
      </c>
      <c r="B977" s="373">
        <f>IFERROR(__xludf.DUMMYFUNCTION("""COMPUTED_VALUE"""),1008.891)</f>
        <v>1008.891</v>
      </c>
      <c r="C977" s="320"/>
      <c r="D977" s="320"/>
      <c r="E977" s="320"/>
      <c r="F977" s="320"/>
      <c r="G977" s="320"/>
      <c r="H977" s="320"/>
      <c r="I977" s="320"/>
      <c r="J977" s="320"/>
      <c r="K977" s="320"/>
      <c r="L977" s="320"/>
      <c r="M977" s="320"/>
      <c r="N977" s="320"/>
      <c r="O977" s="320"/>
      <c r="P977" s="320"/>
      <c r="Q977" s="320"/>
      <c r="R977" s="320"/>
      <c r="S977" s="320"/>
      <c r="T977" s="320"/>
    </row>
    <row r="978">
      <c r="A978" s="362" t="str">
        <f>IFERROR(__xludf.DUMMYFUNCTION("""COMPUTED_VALUE"""),"Glowstone Distillate")</f>
        <v>Glowstone Distillate</v>
      </c>
      <c r="B978" s="373">
        <f>IFERROR(__xludf.DUMMYFUNCTION("""COMPUTED_VALUE"""),4954.3)</f>
        <v>4954.3</v>
      </c>
      <c r="C978" s="320"/>
      <c r="D978" s="320"/>
      <c r="E978" s="320"/>
      <c r="F978" s="320"/>
      <c r="G978" s="320"/>
      <c r="H978" s="320"/>
      <c r="I978" s="320"/>
      <c r="J978" s="320"/>
      <c r="K978" s="320"/>
      <c r="L978" s="320"/>
      <c r="M978" s="320"/>
      <c r="N978" s="320"/>
      <c r="O978" s="320"/>
      <c r="P978" s="320"/>
      <c r="Q978" s="320"/>
      <c r="R978" s="320"/>
      <c r="S978" s="320"/>
      <c r="T978" s="320"/>
    </row>
    <row r="979">
      <c r="A979" s="362" t="str">
        <f>IFERROR(__xludf.DUMMYFUNCTION("""COMPUTED_VALUE"""),"Glowstone Dust")</f>
        <v>Glowstone Dust</v>
      </c>
      <c r="B979" s="373">
        <f>IFERROR(__xludf.DUMMYFUNCTION("""COMPUTED_VALUE"""),18.6)</f>
        <v>18.6</v>
      </c>
      <c r="C979" s="320"/>
      <c r="D979" s="320"/>
      <c r="E979" s="320"/>
      <c r="F979" s="320"/>
      <c r="G979" s="320"/>
      <c r="H979" s="320"/>
      <c r="I979" s="320"/>
      <c r="J979" s="320"/>
      <c r="K979" s="320"/>
      <c r="L979" s="320"/>
      <c r="M979" s="320"/>
      <c r="N979" s="320"/>
      <c r="O979" s="320"/>
      <c r="P979" s="320"/>
      <c r="Q979" s="320"/>
      <c r="R979" s="320"/>
      <c r="S979" s="320"/>
      <c r="T979" s="320"/>
    </row>
    <row r="980">
      <c r="A980" s="362" t="str">
        <f>IFERROR(__xludf.DUMMYFUNCTION("""COMPUTED_VALUE"""),"Glowy Chum Bait")</f>
        <v>Glowy Chum Bait</v>
      </c>
      <c r="B980" s="373">
        <f>IFERROR(__xludf.DUMMYFUNCTION("""COMPUTED_VALUE"""),98.792)</f>
        <v>98.792</v>
      </c>
      <c r="C980" s="320"/>
      <c r="D980" s="320"/>
      <c r="E980" s="320"/>
      <c r="F980" s="320"/>
      <c r="G980" s="320"/>
      <c r="H980" s="320"/>
      <c r="I980" s="320"/>
      <c r="J980" s="320"/>
      <c r="K980" s="320"/>
      <c r="L980" s="320"/>
      <c r="M980" s="320"/>
      <c r="N980" s="320"/>
      <c r="O980" s="320"/>
      <c r="P980" s="320"/>
      <c r="Q980" s="320"/>
      <c r="R980" s="320"/>
      <c r="S980" s="320"/>
      <c r="T980" s="320"/>
    </row>
    <row r="981">
      <c r="A981" s="362" t="str">
        <f>IFERROR(__xludf.DUMMYFUNCTION("""COMPUTED_VALUE"""),"Goblin Egg")</f>
        <v>Goblin Egg</v>
      </c>
      <c r="B981" s="373">
        <f>IFERROR(__xludf.DUMMYFUNCTION("""COMPUTED_VALUE"""),8207.74)</f>
        <v>8207.74</v>
      </c>
      <c r="C981" s="320"/>
      <c r="D981" s="320"/>
      <c r="E981" s="320"/>
      <c r="F981" s="320"/>
      <c r="G981" s="320"/>
      <c r="H981" s="320"/>
      <c r="I981" s="320"/>
      <c r="J981" s="320"/>
      <c r="K981" s="320"/>
      <c r="L981" s="320"/>
      <c r="M981" s="320"/>
      <c r="N981" s="320"/>
      <c r="O981" s="320"/>
      <c r="P981" s="320"/>
      <c r="Q981" s="320"/>
      <c r="R981" s="320"/>
      <c r="S981" s="320"/>
      <c r="T981" s="320"/>
    </row>
    <row r="982">
      <c r="A982" s="362" t="str">
        <f>IFERROR(__xludf.DUMMYFUNCTION("""COMPUTED_VALUE"""),"Gold Ingot")</f>
        <v>Gold Ingot</v>
      </c>
      <c r="B982" s="373">
        <f>IFERROR(__xludf.DUMMYFUNCTION("""COMPUTED_VALUE"""),4.704)</f>
        <v>4.704</v>
      </c>
      <c r="C982" s="320"/>
      <c r="D982" s="320"/>
      <c r="E982" s="320"/>
      <c r="F982" s="320"/>
      <c r="G982" s="320"/>
      <c r="H982" s="320"/>
      <c r="I982" s="320"/>
      <c r="J982" s="320"/>
      <c r="K982" s="320"/>
      <c r="L982" s="320"/>
      <c r="M982" s="320"/>
      <c r="N982" s="320"/>
      <c r="O982" s="320"/>
      <c r="P982" s="320"/>
      <c r="Q982" s="320"/>
      <c r="R982" s="320"/>
      <c r="S982" s="320"/>
      <c r="T982" s="320"/>
    </row>
    <row r="983">
      <c r="A983" s="362" t="str">
        <f>IFERROR(__xludf.DUMMYFUNCTION("""COMPUTED_VALUE"""),"Gold Magmafish")</f>
        <v>Gold Magmafish</v>
      </c>
      <c r="B983" s="373">
        <f>IFERROR(__xludf.DUMMYFUNCTION("""COMPUTED_VALUE"""),2742164.35)</f>
        <v>2742164.35</v>
      </c>
      <c r="C983" s="320"/>
      <c r="D983" s="320"/>
      <c r="E983" s="320"/>
      <c r="F983" s="320"/>
      <c r="G983" s="320"/>
      <c r="H983" s="320"/>
      <c r="I983" s="320"/>
      <c r="J983" s="320"/>
      <c r="K983" s="320"/>
      <c r="L983" s="320"/>
      <c r="M983" s="320"/>
      <c r="N983" s="320"/>
      <c r="O983" s="320"/>
      <c r="P983" s="320"/>
      <c r="Q983" s="320"/>
      <c r="R983" s="320"/>
      <c r="S983" s="320"/>
      <c r="T983" s="320"/>
    </row>
    <row r="984">
      <c r="A984" s="362" t="str">
        <f>IFERROR(__xludf.DUMMYFUNCTION("""COMPUTED_VALUE"""),"Golden Ball")</f>
        <v>Golden Ball</v>
      </c>
      <c r="B984" s="373">
        <f>IFERROR(__xludf.DUMMYFUNCTION("""COMPUTED_VALUE"""),1057785.4)</f>
        <v>1057785.4</v>
      </c>
      <c r="C984" s="320"/>
      <c r="D984" s="320"/>
      <c r="E984" s="320"/>
      <c r="F984" s="320"/>
      <c r="G984" s="320"/>
      <c r="H984" s="320"/>
      <c r="I984" s="320"/>
      <c r="J984" s="320"/>
      <c r="K984" s="320"/>
      <c r="L984" s="320"/>
      <c r="M984" s="320"/>
      <c r="N984" s="320"/>
      <c r="O984" s="320"/>
      <c r="P984" s="320"/>
      <c r="Q984" s="320"/>
      <c r="R984" s="320"/>
      <c r="S984" s="320"/>
      <c r="T984" s="320"/>
    </row>
    <row r="985">
      <c r="A985" s="362" t="str">
        <f>IFERROR(__xludf.DUMMYFUNCTION("""COMPUTED_VALUE"""),"Golden Jerry Box")</f>
        <v>Golden Jerry Box</v>
      </c>
      <c r="B985" s="373">
        <f>IFERROR(__xludf.DUMMYFUNCTION("""COMPUTED_VALUE"""),1181243.652)</f>
        <v>1181243.652</v>
      </c>
      <c r="C985" s="320"/>
      <c r="D985" s="320"/>
      <c r="E985" s="320"/>
      <c r="F985" s="320"/>
      <c r="G985" s="320"/>
      <c r="H985" s="320"/>
      <c r="I985" s="320"/>
      <c r="J985" s="320"/>
      <c r="K985" s="320"/>
      <c r="L985" s="320"/>
      <c r="M985" s="320"/>
      <c r="N985" s="320"/>
      <c r="O985" s="320"/>
      <c r="P985" s="320"/>
      <c r="Q985" s="320"/>
      <c r="R985" s="320"/>
      <c r="S985" s="320"/>
      <c r="T985" s="320"/>
    </row>
    <row r="986">
      <c r="A986" s="362" t="str">
        <f>IFERROR(__xludf.DUMMYFUNCTION("""COMPUTED_VALUE"""),"Golden Plate")</f>
        <v>Golden Plate</v>
      </c>
      <c r="B986" s="373">
        <f>IFERROR(__xludf.DUMMYFUNCTION("""COMPUTED_VALUE"""),1860915.7)</f>
        <v>1860915.7</v>
      </c>
      <c r="C986" s="320"/>
      <c r="D986" s="320"/>
      <c r="E986" s="320"/>
      <c r="F986" s="320"/>
      <c r="G986" s="320"/>
      <c r="H986" s="320"/>
      <c r="I986" s="320"/>
      <c r="J986" s="320"/>
      <c r="K986" s="320"/>
      <c r="L986" s="320"/>
      <c r="M986" s="320"/>
      <c r="N986" s="320"/>
      <c r="O986" s="320"/>
      <c r="P986" s="320"/>
      <c r="Q986" s="320"/>
      <c r="R986" s="320"/>
      <c r="S986" s="320"/>
      <c r="T986" s="320"/>
    </row>
    <row r="987">
      <c r="A987" s="362" t="str">
        <f>IFERROR(__xludf.DUMMYFUNCTION("""COMPUTED_VALUE"""),"Golden Powder")</f>
        <v>Golden Powder</v>
      </c>
      <c r="B987" s="373">
        <f>IFERROR(__xludf.DUMMYFUNCTION("""COMPUTED_VALUE"""),23085.499)</f>
        <v>23085.499</v>
      </c>
      <c r="C987" s="320"/>
      <c r="D987" s="320"/>
      <c r="E987" s="320"/>
      <c r="F987" s="320"/>
      <c r="G987" s="320"/>
      <c r="H987" s="320"/>
      <c r="I987" s="320"/>
      <c r="J987" s="320"/>
      <c r="K987" s="320"/>
      <c r="L987" s="320"/>
      <c r="M987" s="320"/>
      <c r="N987" s="320"/>
      <c r="O987" s="320"/>
      <c r="P987" s="320"/>
      <c r="Q987" s="320"/>
      <c r="R987" s="320"/>
      <c r="S987" s="320"/>
      <c r="T987" s="320"/>
    </row>
    <row r="988">
      <c r="A988" s="362" t="str">
        <f>IFERROR(__xludf.DUMMYFUNCTION("""COMPUTED_VALUE"""),"Golden Tooth")</f>
        <v>Golden Tooth</v>
      </c>
      <c r="B988" s="373">
        <f>IFERROR(__xludf.DUMMYFUNCTION("""COMPUTED_VALUE"""),90474.1)</f>
        <v>90474.1</v>
      </c>
      <c r="C988" s="320"/>
      <c r="D988" s="320"/>
      <c r="E988" s="320"/>
      <c r="F988" s="320"/>
      <c r="G988" s="320"/>
      <c r="H988" s="320"/>
      <c r="I988" s="320"/>
      <c r="J988" s="320"/>
      <c r="K988" s="320"/>
      <c r="L988" s="320"/>
      <c r="M988" s="320"/>
      <c r="N988" s="320"/>
      <c r="O988" s="320"/>
      <c r="P988" s="320"/>
      <c r="Q988" s="320"/>
      <c r="R988" s="320"/>
      <c r="S988" s="320"/>
      <c r="T988" s="320"/>
    </row>
    <row r="989">
      <c r="A989" s="362" t="str">
        <f>IFERROR(__xludf.DUMMYFUNCTION("""COMPUTED_VALUE"""),"Grand Experience Bottle")</f>
        <v>Grand Experience Bottle</v>
      </c>
      <c r="B989" s="373">
        <f>IFERROR(__xludf.DUMMYFUNCTION("""COMPUTED_VALUE"""),5737.7)</f>
        <v>5737.7</v>
      </c>
      <c r="C989" s="320"/>
      <c r="D989" s="320"/>
      <c r="E989" s="320"/>
      <c r="F989" s="320"/>
      <c r="G989" s="320"/>
      <c r="H989" s="320"/>
      <c r="I989" s="320"/>
      <c r="J989" s="320"/>
      <c r="K989" s="320"/>
      <c r="L989" s="320"/>
      <c r="M989" s="320"/>
      <c r="N989" s="320"/>
      <c r="O989" s="320"/>
      <c r="P989" s="320"/>
      <c r="Q989" s="320"/>
      <c r="R989" s="320"/>
      <c r="S989" s="320"/>
      <c r="T989" s="320"/>
    </row>
    <row r="990">
      <c r="A990" s="362" t="str">
        <f>IFERROR(__xludf.DUMMYFUNCTION("""COMPUTED_VALUE"""),"Gravel")</f>
        <v>Gravel</v>
      </c>
      <c r="B990" s="373">
        <f>IFERROR(__xludf.DUMMYFUNCTION("""COMPUTED_VALUE"""),2.55)</f>
        <v>2.55</v>
      </c>
      <c r="C990" s="320"/>
      <c r="D990" s="320"/>
      <c r="E990" s="320"/>
      <c r="F990" s="320"/>
      <c r="G990" s="320"/>
      <c r="H990" s="320"/>
      <c r="I990" s="320"/>
      <c r="J990" s="320"/>
      <c r="K990" s="320"/>
      <c r="L990" s="320"/>
      <c r="M990" s="320"/>
      <c r="N990" s="320"/>
      <c r="O990" s="320"/>
      <c r="P990" s="320"/>
      <c r="Q990" s="320"/>
      <c r="R990" s="320"/>
      <c r="S990" s="320"/>
      <c r="T990" s="320"/>
    </row>
    <row r="991">
      <c r="A991" s="362" t="str">
        <f>IFERROR(__xludf.DUMMYFUNCTION("""COMPUTED_VALUE"""),"Great Carrot Candy")</f>
        <v>Great Carrot Candy</v>
      </c>
      <c r="B991" s="373">
        <f>IFERROR(__xludf.DUMMYFUNCTION("""COMPUTED_VALUE"""),210291.566)</f>
        <v>210291.566</v>
      </c>
      <c r="C991" s="320"/>
      <c r="D991" s="320"/>
      <c r="E991" s="320"/>
      <c r="F991" s="320"/>
      <c r="G991" s="320"/>
      <c r="H991" s="320"/>
      <c r="I991" s="320"/>
      <c r="J991" s="320"/>
      <c r="K991" s="320"/>
      <c r="L991" s="320"/>
      <c r="M991" s="320"/>
      <c r="N991" s="320"/>
      <c r="O991" s="320"/>
      <c r="P991" s="320"/>
      <c r="Q991" s="320"/>
      <c r="R991" s="320"/>
      <c r="S991" s="320"/>
      <c r="T991" s="320"/>
    </row>
    <row r="992">
      <c r="A992" s="362" t="str">
        <f>IFERROR(__xludf.DUMMYFUNCTION("""COMPUTED_VALUE"""),"Great White Shark Tooth")</f>
        <v>Great White Shark Tooth</v>
      </c>
      <c r="B992" s="373">
        <f>IFERROR(__xludf.DUMMYFUNCTION("""COMPUTED_VALUE"""),3542713.7)</f>
        <v>3542713.7</v>
      </c>
      <c r="C992" s="320"/>
      <c r="D992" s="320"/>
      <c r="E992" s="320"/>
      <c r="F992" s="320"/>
      <c r="G992" s="320"/>
      <c r="H992" s="320"/>
      <c r="I992" s="320"/>
      <c r="J992" s="320"/>
      <c r="K992" s="320"/>
      <c r="L992" s="320"/>
      <c r="M992" s="320"/>
      <c r="N992" s="320"/>
      <c r="O992" s="320"/>
      <c r="P992" s="320"/>
      <c r="Q992" s="320"/>
      <c r="R992" s="320"/>
      <c r="S992" s="320"/>
      <c r="T992" s="320"/>
    </row>
    <row r="993">
      <c r="A993" s="362" t="str">
        <f>IFERROR(__xludf.DUMMYFUNCTION("""COMPUTED_VALUE"""),"Great White Tooth Meal")</f>
        <v>Great White Tooth Meal</v>
      </c>
      <c r="B993" s="373">
        <f>IFERROR(__xludf.DUMMYFUNCTION("""COMPUTED_VALUE"""),1.43806996E7)</f>
        <v>14380699.6</v>
      </c>
      <c r="C993" s="320"/>
      <c r="D993" s="320"/>
      <c r="E993" s="320"/>
      <c r="F993" s="320"/>
      <c r="G993" s="320"/>
      <c r="H993" s="320"/>
      <c r="I993" s="320"/>
      <c r="J993" s="320"/>
      <c r="K993" s="320"/>
      <c r="L993" s="320"/>
      <c r="M993" s="320"/>
      <c r="N993" s="320"/>
      <c r="O993" s="320"/>
      <c r="P993" s="320"/>
      <c r="Q993" s="320"/>
      <c r="R993" s="320"/>
      <c r="S993" s="320"/>
      <c r="T993" s="320"/>
    </row>
    <row r="994">
      <c r="A994" s="362" t="str">
        <f>IFERROR(__xludf.DUMMYFUNCTION("""COMPUTED_VALUE"""),"Green Candy")</f>
        <v>Green Candy</v>
      </c>
      <c r="B994" s="373">
        <f>IFERROR(__xludf.DUMMYFUNCTION("""COMPUTED_VALUE"""),2401.75)</f>
        <v>2401.75</v>
      </c>
      <c r="C994" s="320"/>
      <c r="D994" s="320"/>
      <c r="E994" s="320"/>
      <c r="F994" s="320"/>
      <c r="G994" s="320"/>
      <c r="H994" s="320"/>
      <c r="I994" s="320"/>
      <c r="J994" s="320"/>
      <c r="K994" s="320"/>
      <c r="L994" s="320"/>
      <c r="M994" s="320"/>
      <c r="N994" s="320"/>
      <c r="O994" s="320"/>
      <c r="P994" s="320"/>
      <c r="Q994" s="320"/>
      <c r="R994" s="320"/>
      <c r="S994" s="320"/>
      <c r="T994" s="320"/>
    </row>
    <row r="995">
      <c r="A995" s="362" t="str">
        <f>IFERROR(__xludf.DUMMYFUNCTION("""COMPUTED_VALUE"""),"Green Gift")</f>
        <v>Green Gift</v>
      </c>
      <c r="B995" s="373">
        <f>IFERROR(__xludf.DUMMYFUNCTION("""COMPUTED_VALUE"""),13325.353)</f>
        <v>13325.353</v>
      </c>
      <c r="C995" s="320"/>
      <c r="D995" s="320"/>
      <c r="E995" s="320"/>
      <c r="F995" s="320"/>
      <c r="G995" s="320"/>
      <c r="H995" s="320"/>
      <c r="I995" s="320"/>
      <c r="J995" s="320"/>
      <c r="K995" s="320"/>
      <c r="L995" s="320"/>
      <c r="M995" s="320"/>
      <c r="N995" s="320"/>
      <c r="O995" s="320"/>
      <c r="P995" s="320"/>
      <c r="Q995" s="320"/>
      <c r="R995" s="320"/>
      <c r="S995" s="320"/>
      <c r="T995" s="320"/>
    </row>
    <row r="996">
      <c r="A996" s="362" t="str">
        <f>IFERROR(__xludf.DUMMYFUNCTION("""COMPUTED_VALUE"""),"Green Jerry Box")</f>
        <v>Green Jerry Box</v>
      </c>
      <c r="B996" s="373">
        <f>IFERROR(__xludf.DUMMYFUNCTION("""COMPUTED_VALUE"""),124963.698)</f>
        <v>124963.698</v>
      </c>
      <c r="C996" s="320"/>
      <c r="D996" s="320"/>
      <c r="E996" s="320"/>
      <c r="F996" s="320"/>
      <c r="G996" s="320"/>
      <c r="H996" s="320"/>
      <c r="I996" s="320"/>
      <c r="J996" s="320"/>
      <c r="K996" s="320"/>
      <c r="L996" s="320"/>
      <c r="M996" s="320"/>
      <c r="N996" s="320"/>
      <c r="O996" s="320"/>
      <c r="P996" s="320"/>
      <c r="Q996" s="320"/>
      <c r="R996" s="320"/>
      <c r="S996" s="320"/>
      <c r="T996" s="320"/>
    </row>
    <row r="997">
      <c r="A997" s="362" t="str">
        <f>IFERROR(__xludf.DUMMYFUNCTION("""COMPUTED_VALUE"""),"Griffin Feather")</f>
        <v>Griffin Feather</v>
      </c>
      <c r="B997" s="373">
        <f>IFERROR(__xludf.DUMMYFUNCTION("""COMPUTED_VALUE"""),131405.997)</f>
        <v>131405.997</v>
      </c>
      <c r="C997" s="320"/>
      <c r="D997" s="320"/>
      <c r="E997" s="320"/>
      <c r="F997" s="320"/>
      <c r="G997" s="320"/>
      <c r="H997" s="320"/>
      <c r="I997" s="320"/>
      <c r="J997" s="320"/>
      <c r="K997" s="320"/>
      <c r="L997" s="320"/>
      <c r="M997" s="320"/>
      <c r="N997" s="320"/>
      <c r="O997" s="320"/>
      <c r="P997" s="320"/>
      <c r="Q997" s="320"/>
      <c r="R997" s="320"/>
      <c r="S997" s="320"/>
      <c r="T997" s="320"/>
    </row>
    <row r="998">
      <c r="A998" s="362" t="str">
        <f>IFERROR(__xludf.DUMMYFUNCTION("""COMPUTED_VALUE"""),"Guardian Lucky Block")</f>
        <v>Guardian Lucky Block</v>
      </c>
      <c r="B998" s="373">
        <f>IFERROR(__xludf.DUMMYFUNCTION("""COMPUTED_VALUE"""),372330.8)</f>
        <v>372330.8</v>
      </c>
      <c r="C998" s="320"/>
      <c r="D998" s="320"/>
      <c r="E998" s="320"/>
      <c r="F998" s="320"/>
      <c r="G998" s="320"/>
      <c r="H998" s="320"/>
      <c r="I998" s="320"/>
      <c r="J998" s="320"/>
      <c r="K998" s="320"/>
      <c r="L998" s="320"/>
      <c r="M998" s="320"/>
      <c r="N998" s="320"/>
      <c r="O998" s="320"/>
      <c r="P998" s="320"/>
      <c r="Q998" s="320"/>
      <c r="R998" s="320"/>
      <c r="S998" s="320"/>
      <c r="T998" s="320"/>
    </row>
    <row r="999">
      <c r="A999" s="362" t="str">
        <f>IFERROR(__xludf.DUMMYFUNCTION("""COMPUTED_VALUE"""),"Gunpowder")</f>
        <v>Gunpowder</v>
      </c>
      <c r="B999" s="373">
        <f>IFERROR(__xludf.DUMMYFUNCTION("""COMPUTED_VALUE"""),32.99)</f>
        <v>32.99</v>
      </c>
      <c r="C999" s="320"/>
      <c r="D999" s="320"/>
      <c r="E999" s="320"/>
      <c r="F999" s="320"/>
      <c r="G999" s="320"/>
      <c r="H999" s="320"/>
      <c r="I999" s="320"/>
      <c r="J999" s="320"/>
      <c r="K999" s="320"/>
      <c r="L999" s="320"/>
      <c r="M999" s="320"/>
      <c r="N999" s="320"/>
      <c r="O999" s="320"/>
      <c r="P999" s="320"/>
      <c r="Q999" s="320"/>
      <c r="R999" s="320"/>
      <c r="S999" s="320"/>
      <c r="T999" s="320"/>
    </row>
    <row r="1000">
      <c r="A1000" s="362" t="str">
        <f>IFERROR(__xludf.DUMMYFUNCTION("""COMPUTED_VALUE"""),"Hamster Wheel")</f>
        <v>Hamster Wheel</v>
      </c>
      <c r="B1000" s="373">
        <f>IFERROR(__xludf.DUMMYFUNCTION("""COMPUTED_VALUE"""),43585.636)</f>
        <v>43585.636</v>
      </c>
      <c r="C1000" s="320"/>
      <c r="D1000" s="320"/>
      <c r="E1000" s="320"/>
      <c r="F1000" s="320"/>
      <c r="G1000" s="320"/>
      <c r="H1000" s="320"/>
      <c r="I1000" s="320"/>
      <c r="J1000" s="320"/>
      <c r="K1000" s="320"/>
      <c r="L1000" s="320"/>
      <c r="M1000" s="320"/>
      <c r="N1000" s="320"/>
      <c r="O1000" s="320"/>
      <c r="P1000" s="320"/>
      <c r="Q1000" s="320"/>
      <c r="R1000" s="320"/>
      <c r="S1000" s="320"/>
      <c r="T1000" s="320"/>
    </row>
    <row r="1001">
      <c r="A1001" s="362" t="str">
        <f>IFERROR(__xludf.DUMMYFUNCTION("""COMPUTED_VALUE"""),"Hard Stone")</f>
        <v>Hard Stone</v>
      </c>
      <c r="B1001" s="373">
        <f>IFERROR(__xludf.DUMMYFUNCTION("""COMPUTED_VALUE"""),6.464)</f>
        <v>6.464</v>
      </c>
      <c r="C1001" s="320"/>
      <c r="D1001" s="320"/>
      <c r="E1001" s="320"/>
      <c r="F1001" s="320"/>
      <c r="G1001" s="320"/>
      <c r="H1001" s="320"/>
      <c r="I1001" s="320"/>
      <c r="J1001" s="320"/>
      <c r="K1001" s="320"/>
      <c r="L1001" s="320"/>
      <c r="M1001" s="320"/>
      <c r="N1001" s="320"/>
      <c r="O1001" s="320"/>
      <c r="P1001" s="320"/>
      <c r="Q1001" s="320"/>
      <c r="R1001" s="320"/>
      <c r="S1001" s="320"/>
      <c r="T1001" s="320"/>
    </row>
    <row r="1002">
      <c r="A1002" s="362" t="str">
        <f>IFERROR(__xludf.DUMMYFUNCTION("""COMPUTED_VALUE"""),"Hardened Wood")</f>
        <v>Hardened Wood</v>
      </c>
      <c r="B1002" s="373">
        <f>IFERROR(__xludf.DUMMYFUNCTION("""COMPUTED_VALUE"""),27580.85)</f>
        <v>27580.85</v>
      </c>
      <c r="C1002" s="320"/>
      <c r="D1002" s="320"/>
      <c r="E1002" s="320"/>
      <c r="F1002" s="320"/>
      <c r="G1002" s="320"/>
      <c r="H1002" s="320"/>
      <c r="I1002" s="320"/>
      <c r="J1002" s="320"/>
      <c r="K1002" s="320"/>
      <c r="L1002" s="320"/>
      <c r="M1002" s="320"/>
      <c r="N1002" s="320"/>
      <c r="O1002" s="320"/>
      <c r="P1002" s="320"/>
      <c r="Q1002" s="320"/>
      <c r="R1002" s="320"/>
      <c r="S1002" s="320"/>
      <c r="T1002" s="320"/>
    </row>
    <row r="1003">
      <c r="A1003" s="362" t="str">
        <f>IFERROR(__xludf.DUMMYFUNCTION("""COMPUTED_VALUE"""),"Hay Bale")</f>
        <v>Hay Bale</v>
      </c>
      <c r="B1003" s="373">
        <f>IFERROR(__xludf.DUMMYFUNCTION("""COMPUTED_VALUE"""),53.8)</f>
        <v>53.8</v>
      </c>
      <c r="C1003" s="320"/>
      <c r="D1003" s="320"/>
      <c r="E1003" s="320"/>
      <c r="F1003" s="320"/>
      <c r="G1003" s="320"/>
      <c r="H1003" s="320"/>
      <c r="I1003" s="320"/>
      <c r="J1003" s="320"/>
      <c r="K1003" s="320"/>
      <c r="L1003" s="320"/>
      <c r="M1003" s="320"/>
      <c r="N1003" s="320"/>
      <c r="O1003" s="320"/>
      <c r="P1003" s="320"/>
      <c r="Q1003" s="320"/>
      <c r="R1003" s="320"/>
      <c r="S1003" s="320"/>
      <c r="T1003" s="320"/>
    </row>
    <row r="1004">
      <c r="A1004" s="362" t="str">
        <f>IFERROR(__xludf.DUMMYFUNCTION("""COMPUTED_VALUE"""),"Hazmat Enderman")</f>
        <v>Hazmat Enderman</v>
      </c>
      <c r="B1004" s="373">
        <f>IFERROR(__xludf.DUMMYFUNCTION("""COMPUTED_VALUE"""),19467.967)</f>
        <v>19467.967</v>
      </c>
      <c r="C1004" s="320"/>
      <c r="D1004" s="320"/>
      <c r="E1004" s="320"/>
      <c r="F1004" s="320"/>
      <c r="G1004" s="320"/>
      <c r="H1004" s="320"/>
      <c r="I1004" s="320"/>
      <c r="J1004" s="320"/>
      <c r="K1004" s="320"/>
      <c r="L1004" s="320"/>
      <c r="M1004" s="320"/>
      <c r="N1004" s="320"/>
      <c r="O1004" s="320"/>
      <c r="P1004" s="320"/>
      <c r="Q1004" s="320"/>
      <c r="R1004" s="320"/>
      <c r="S1004" s="320"/>
      <c r="T1004" s="320"/>
    </row>
    <row r="1005">
      <c r="A1005" s="362" t="str">
        <f>IFERROR(__xludf.DUMMYFUNCTION("""COMPUTED_VALUE"""),"Healing Tissue")</f>
        <v>Healing Tissue</v>
      </c>
      <c r="B1005" s="373">
        <f>IFERROR(__xludf.DUMMYFUNCTION("""COMPUTED_VALUE"""),5516.448)</f>
        <v>5516.448</v>
      </c>
      <c r="C1005" s="320"/>
      <c r="D1005" s="320"/>
      <c r="E1005" s="320"/>
      <c r="F1005" s="320"/>
      <c r="G1005" s="320"/>
      <c r="H1005" s="320"/>
      <c r="I1005" s="320"/>
      <c r="J1005" s="320"/>
      <c r="K1005" s="320"/>
      <c r="L1005" s="320"/>
      <c r="M1005" s="320"/>
      <c r="N1005" s="320"/>
      <c r="O1005" s="320"/>
      <c r="P1005" s="320"/>
      <c r="Q1005" s="320"/>
      <c r="R1005" s="320"/>
      <c r="S1005" s="320"/>
      <c r="T1005" s="320"/>
    </row>
    <row r="1006">
      <c r="A1006" s="362" t="str">
        <f>IFERROR(__xludf.DUMMYFUNCTION("""COMPUTED_VALUE"""),"Heavy Gabagool")</f>
        <v>Heavy Gabagool</v>
      </c>
      <c r="B1006" s="373">
        <f>IFERROR(__xludf.DUMMYFUNCTION("""COMPUTED_VALUE"""),724560.26)</f>
        <v>724560.26</v>
      </c>
      <c r="C1006" s="320"/>
      <c r="D1006" s="320"/>
      <c r="E1006" s="320"/>
      <c r="F1006" s="320"/>
      <c r="G1006" s="320"/>
      <c r="H1006" s="320"/>
      <c r="I1006" s="320"/>
      <c r="J1006" s="320"/>
      <c r="K1006" s="320"/>
      <c r="L1006" s="320"/>
      <c r="M1006" s="320"/>
      <c r="N1006" s="320"/>
      <c r="O1006" s="320"/>
      <c r="P1006" s="320"/>
      <c r="Q1006" s="320"/>
      <c r="R1006" s="320"/>
      <c r="S1006" s="320"/>
      <c r="T1006" s="320"/>
    </row>
    <row r="1007">
      <c r="A1007" s="362" t="str">
        <f>IFERROR(__xludf.DUMMYFUNCTION("""COMPUTED_VALUE"""),"Hemobomb")</f>
        <v>Hemobomb</v>
      </c>
      <c r="B1007" s="373">
        <f>IFERROR(__xludf.DUMMYFUNCTION("""COMPUTED_VALUE"""),614145.15)</f>
        <v>614145.15</v>
      </c>
      <c r="C1007" s="320"/>
      <c r="D1007" s="320"/>
      <c r="E1007" s="320"/>
      <c r="F1007" s="320"/>
      <c r="G1007" s="320"/>
      <c r="H1007" s="320"/>
      <c r="I1007" s="320"/>
      <c r="J1007" s="320"/>
      <c r="K1007" s="320"/>
      <c r="L1007" s="320"/>
      <c r="M1007" s="320"/>
      <c r="N1007" s="320"/>
      <c r="O1007" s="320"/>
      <c r="P1007" s="320"/>
      <c r="Q1007" s="320"/>
      <c r="R1007" s="320"/>
      <c r="S1007" s="320"/>
      <c r="T1007" s="320"/>
    </row>
    <row r="1008">
      <c r="A1008" s="362" t="str">
        <f>IFERROR(__xludf.DUMMYFUNCTION("""COMPUTED_VALUE"""),"Hemoglass")</f>
        <v>Hemoglass</v>
      </c>
      <c r="B1008" s="373">
        <f>IFERROR(__xludf.DUMMYFUNCTION("""COMPUTED_VALUE"""),44140.796)</f>
        <v>44140.796</v>
      </c>
      <c r="C1008" s="320"/>
      <c r="D1008" s="320"/>
      <c r="E1008" s="320"/>
      <c r="F1008" s="320"/>
      <c r="G1008" s="320"/>
      <c r="H1008" s="320"/>
      <c r="I1008" s="320"/>
      <c r="J1008" s="320"/>
      <c r="K1008" s="320"/>
      <c r="L1008" s="320"/>
      <c r="M1008" s="320"/>
      <c r="N1008" s="320"/>
      <c r="O1008" s="320"/>
      <c r="P1008" s="320"/>
      <c r="Q1008" s="320"/>
      <c r="R1008" s="320"/>
      <c r="S1008" s="320"/>
      <c r="T1008" s="320"/>
    </row>
    <row r="1009">
      <c r="A1009" s="362" t="str">
        <f>IFERROR(__xludf.DUMMYFUNCTION("""COMPUTED_VALUE"""),"Hemovibe")</f>
        <v>Hemovibe</v>
      </c>
      <c r="B1009" s="373">
        <f>IFERROR(__xludf.DUMMYFUNCTION("""COMPUTED_VALUE"""),303.86)</f>
        <v>303.86</v>
      </c>
      <c r="C1009" s="320"/>
      <c r="D1009" s="320"/>
      <c r="E1009" s="320"/>
      <c r="F1009" s="320"/>
      <c r="G1009" s="320"/>
      <c r="H1009" s="320"/>
      <c r="I1009" s="320"/>
      <c r="J1009" s="320"/>
      <c r="K1009" s="320"/>
      <c r="L1009" s="320"/>
      <c r="M1009" s="320"/>
      <c r="N1009" s="320"/>
      <c r="O1009" s="320"/>
      <c r="P1009" s="320"/>
      <c r="Q1009" s="320"/>
      <c r="R1009" s="320"/>
      <c r="S1009" s="320"/>
      <c r="T1009" s="320"/>
    </row>
    <row r="1010">
      <c r="A1010" s="362" t="str">
        <f>IFERROR(__xludf.DUMMYFUNCTION("""COMPUTED_VALUE"""),"Holy Dragon Fragment")</f>
        <v>Holy Dragon Fragment</v>
      </c>
      <c r="B1010" s="373">
        <f>IFERROR(__xludf.DUMMYFUNCTION("""COMPUTED_VALUE"""),11562.865)</f>
        <v>11562.865</v>
      </c>
      <c r="C1010" s="320"/>
      <c r="D1010" s="320"/>
      <c r="E1010" s="320"/>
      <c r="F1010" s="320"/>
      <c r="G1010" s="320"/>
      <c r="H1010" s="320"/>
      <c r="I1010" s="320"/>
      <c r="J1010" s="320"/>
      <c r="K1010" s="320"/>
      <c r="L1010" s="320"/>
      <c r="M1010" s="320"/>
      <c r="N1010" s="320"/>
      <c r="O1010" s="320"/>
      <c r="P1010" s="320"/>
      <c r="Q1010" s="320"/>
      <c r="R1010" s="320"/>
      <c r="S1010" s="320"/>
      <c r="T1010" s="320"/>
    </row>
    <row r="1011">
      <c r="A1011" s="362" t="str">
        <f>IFERROR(__xludf.DUMMYFUNCTION("""COMPUTED_VALUE"""),"Honey Jar")</f>
        <v>Honey Jar</v>
      </c>
      <c r="B1011" s="373">
        <f>IFERROR(__xludf.DUMMYFUNCTION("""COMPUTED_VALUE"""),7556.335)</f>
        <v>7556.335</v>
      </c>
      <c r="C1011" s="320"/>
      <c r="D1011" s="320"/>
      <c r="E1011" s="320"/>
      <c r="F1011" s="320"/>
      <c r="G1011" s="320"/>
      <c r="H1011" s="320"/>
      <c r="I1011" s="320"/>
      <c r="J1011" s="320"/>
      <c r="K1011" s="320"/>
      <c r="L1011" s="320"/>
      <c r="M1011" s="320"/>
      <c r="N1011" s="320"/>
      <c r="O1011" s="320"/>
      <c r="P1011" s="320"/>
      <c r="Q1011" s="320"/>
      <c r="R1011" s="320"/>
      <c r="S1011" s="320"/>
      <c r="T1011" s="320"/>
    </row>
    <row r="1012">
      <c r="A1012" s="362" t="str">
        <f>IFERROR(__xludf.DUMMYFUNCTION("""COMPUTED_VALUE"""),"Horns of Torment")</f>
        <v>Horns of Torment</v>
      </c>
      <c r="B1012" s="373">
        <f>IFERROR(__xludf.DUMMYFUNCTION("""COMPUTED_VALUE"""),989406.1)</f>
        <v>989406.1</v>
      </c>
      <c r="C1012" s="320"/>
      <c r="D1012" s="320"/>
      <c r="E1012" s="320"/>
      <c r="F1012" s="320"/>
      <c r="G1012" s="320"/>
      <c r="H1012" s="320"/>
      <c r="I1012" s="320"/>
      <c r="J1012" s="320"/>
      <c r="K1012" s="320"/>
      <c r="L1012" s="320"/>
      <c r="M1012" s="320"/>
      <c r="N1012" s="320"/>
      <c r="O1012" s="320"/>
      <c r="P1012" s="320"/>
      <c r="Q1012" s="320"/>
      <c r="R1012" s="320"/>
      <c r="S1012" s="320"/>
      <c r="T1012" s="320"/>
    </row>
    <row r="1013">
      <c r="A1013" s="362" t="str">
        <f>IFERROR(__xludf.DUMMYFUNCTION("""COMPUTED_VALUE"""),"Horseman's Candle")</f>
        <v>Horseman's Candle</v>
      </c>
      <c r="B1013" s="373">
        <f>IFERROR(__xludf.DUMMYFUNCTION("""COMPUTED_VALUE"""),703617.85)</f>
        <v>703617.85</v>
      </c>
      <c r="C1013" s="320"/>
      <c r="D1013" s="320"/>
      <c r="E1013" s="320"/>
      <c r="F1013" s="320"/>
      <c r="G1013" s="320"/>
      <c r="H1013" s="320"/>
      <c r="I1013" s="320"/>
      <c r="J1013" s="320"/>
      <c r="K1013" s="320"/>
      <c r="L1013" s="320"/>
      <c r="M1013" s="320"/>
      <c r="N1013" s="320"/>
      <c r="O1013" s="320"/>
      <c r="P1013" s="320"/>
      <c r="Q1013" s="320"/>
      <c r="R1013" s="320"/>
      <c r="S1013" s="320"/>
      <c r="T1013" s="320"/>
    </row>
    <row r="1014">
      <c r="A1014" s="362" t="str">
        <f>IFERROR(__xludf.DUMMYFUNCTION("""COMPUTED_VALUE"""),"Hot Bait")</f>
        <v>Hot Bait</v>
      </c>
      <c r="B1014" s="373">
        <f>IFERROR(__xludf.DUMMYFUNCTION("""COMPUTED_VALUE"""),580.255)</f>
        <v>580.255</v>
      </c>
      <c r="C1014" s="320"/>
      <c r="D1014" s="320"/>
      <c r="E1014" s="320"/>
      <c r="F1014" s="320"/>
      <c r="G1014" s="320"/>
      <c r="H1014" s="320"/>
      <c r="I1014" s="320"/>
      <c r="J1014" s="320"/>
      <c r="K1014" s="320"/>
      <c r="L1014" s="320"/>
      <c r="M1014" s="320"/>
      <c r="N1014" s="320"/>
      <c r="O1014" s="320"/>
      <c r="P1014" s="320"/>
      <c r="Q1014" s="320"/>
      <c r="R1014" s="320"/>
      <c r="S1014" s="320"/>
      <c r="T1014" s="320"/>
    </row>
    <row r="1015">
      <c r="A1015" s="362" t="str">
        <f>IFERROR(__xludf.DUMMYFUNCTION("""COMPUTED_VALUE"""),"Hot Potato Book")</f>
        <v>Hot Potato Book</v>
      </c>
      <c r="B1015" s="373">
        <f>IFERROR(__xludf.DUMMYFUNCTION("""COMPUTED_VALUE"""),82014.088)</f>
        <v>82014.088</v>
      </c>
      <c r="C1015" s="320"/>
      <c r="D1015" s="320"/>
      <c r="E1015" s="320"/>
      <c r="F1015" s="320"/>
      <c r="G1015" s="320"/>
      <c r="H1015" s="320"/>
      <c r="I1015" s="320"/>
      <c r="J1015" s="320"/>
      <c r="K1015" s="320"/>
      <c r="L1015" s="320"/>
      <c r="M1015" s="320"/>
      <c r="N1015" s="320"/>
      <c r="O1015" s="320"/>
      <c r="P1015" s="320"/>
      <c r="Q1015" s="320"/>
      <c r="R1015" s="320"/>
      <c r="S1015" s="320"/>
      <c r="T1015" s="320"/>
    </row>
    <row r="1016">
      <c r="A1016" s="362" t="str">
        <f>IFERROR(__xludf.DUMMYFUNCTION("""COMPUTED_VALUE"""),"Hot Stuff")</f>
        <v>Hot Stuff</v>
      </c>
      <c r="B1016" s="373">
        <f>IFERROR(__xludf.DUMMYFUNCTION("""COMPUTED_VALUE"""),167058.7)</f>
        <v>167058.7</v>
      </c>
      <c r="C1016" s="320"/>
      <c r="D1016" s="320"/>
      <c r="E1016" s="320"/>
      <c r="F1016" s="320"/>
      <c r="G1016" s="320"/>
      <c r="H1016" s="320"/>
      <c r="I1016" s="320"/>
      <c r="J1016" s="320"/>
      <c r="K1016" s="320"/>
      <c r="L1016" s="320"/>
      <c r="M1016" s="320"/>
      <c r="N1016" s="320"/>
      <c r="O1016" s="320"/>
      <c r="P1016" s="320"/>
      <c r="Q1016" s="320"/>
      <c r="R1016" s="320"/>
      <c r="S1016" s="320"/>
      <c r="T1016" s="320"/>
    </row>
    <row r="1017">
      <c r="A1017" s="362" t="str">
        <f>IFERROR(__xludf.DUMMYFUNCTION("""COMPUTED_VALUE"""),"Hunk of Blue Ice")</f>
        <v>Hunk of Blue Ice</v>
      </c>
      <c r="B1017" s="373">
        <f>IFERROR(__xludf.DUMMYFUNCTION("""COMPUTED_VALUE"""),201956.895)</f>
        <v>201956.895</v>
      </c>
      <c r="C1017" s="320"/>
      <c r="D1017" s="320"/>
      <c r="E1017" s="320"/>
      <c r="F1017" s="320"/>
      <c r="G1017" s="320"/>
      <c r="H1017" s="320"/>
      <c r="I1017" s="320"/>
      <c r="J1017" s="320"/>
      <c r="K1017" s="320"/>
      <c r="L1017" s="320"/>
      <c r="M1017" s="320"/>
      <c r="N1017" s="320"/>
      <c r="O1017" s="320"/>
      <c r="P1017" s="320"/>
      <c r="Q1017" s="320"/>
      <c r="R1017" s="320"/>
      <c r="S1017" s="320"/>
      <c r="T1017" s="320"/>
    </row>
    <row r="1018">
      <c r="A1018" s="362" t="str">
        <f>IFERROR(__xludf.DUMMYFUNCTION("""COMPUTED_VALUE"""),"Hunk of Ice")</f>
        <v>Hunk of Ice</v>
      </c>
      <c r="B1018" s="373">
        <f>IFERROR(__xludf.DUMMYFUNCTION("""COMPUTED_VALUE"""),0.45)</f>
        <v>0.45</v>
      </c>
      <c r="C1018" s="320"/>
      <c r="D1018" s="320"/>
      <c r="E1018" s="320"/>
      <c r="F1018" s="320"/>
      <c r="G1018" s="320"/>
      <c r="H1018" s="320"/>
      <c r="I1018" s="320"/>
      <c r="J1018" s="320"/>
      <c r="K1018" s="320"/>
      <c r="L1018" s="320"/>
      <c r="M1018" s="320"/>
      <c r="N1018" s="320"/>
      <c r="O1018" s="320"/>
      <c r="P1018" s="320"/>
      <c r="Q1018" s="320"/>
      <c r="R1018" s="320"/>
      <c r="S1018" s="320"/>
      <c r="T1018" s="320"/>
    </row>
    <row r="1019">
      <c r="A1019" s="362" t="str">
        <f>IFERROR(__xludf.DUMMYFUNCTION("""COMPUTED_VALUE"""),"Hyper Catalyst")</f>
        <v>Hyper Catalyst</v>
      </c>
      <c r="B1019" s="373">
        <f>IFERROR(__xludf.DUMMYFUNCTION("""COMPUTED_VALUE"""),216230.041)</f>
        <v>216230.041</v>
      </c>
      <c r="C1019" s="320"/>
      <c r="D1019" s="320"/>
      <c r="E1019" s="320"/>
      <c r="F1019" s="320"/>
      <c r="G1019" s="320"/>
      <c r="H1019" s="320"/>
      <c r="I1019" s="320"/>
      <c r="J1019" s="320"/>
      <c r="K1019" s="320"/>
      <c r="L1019" s="320"/>
      <c r="M1019" s="320"/>
      <c r="N1019" s="320"/>
      <c r="O1019" s="320"/>
      <c r="P1019" s="320"/>
      <c r="Q1019" s="320"/>
      <c r="R1019" s="320"/>
      <c r="S1019" s="320"/>
      <c r="T1019" s="320"/>
    </row>
    <row r="1020">
      <c r="A1020" s="362" t="str">
        <f>IFERROR(__xludf.DUMMYFUNCTION("""COMPUTED_VALUE"""),"Hypergolic Gabagool")</f>
        <v>Hypergolic Gabagool</v>
      </c>
      <c r="B1020" s="373">
        <f>IFERROR(__xludf.DUMMYFUNCTION("""COMPUTED_VALUE"""),8482504.037)</f>
        <v>8482504.037</v>
      </c>
      <c r="C1020" s="320"/>
      <c r="D1020" s="320"/>
      <c r="E1020" s="320"/>
      <c r="F1020" s="320"/>
      <c r="G1020" s="320"/>
      <c r="H1020" s="320"/>
      <c r="I1020" s="320"/>
      <c r="J1020" s="320"/>
      <c r="K1020" s="320"/>
      <c r="L1020" s="320"/>
      <c r="M1020" s="320"/>
      <c r="N1020" s="320"/>
      <c r="O1020" s="320"/>
      <c r="P1020" s="320"/>
      <c r="Q1020" s="320"/>
      <c r="R1020" s="320"/>
      <c r="S1020" s="320"/>
      <c r="T1020" s="320"/>
    </row>
    <row r="1021">
      <c r="A1021" s="362" t="str">
        <f>IFERROR(__xludf.DUMMYFUNCTION("""COMPUTED_VALUE"""),"Hypergolic Ionized Ceramics")</f>
        <v>Hypergolic Ionized Ceramics</v>
      </c>
      <c r="B1021" s="373">
        <f>IFERROR(__xludf.DUMMYFUNCTION("""COMPUTED_VALUE"""),4926.6)</f>
        <v>4926.6</v>
      </c>
      <c r="C1021" s="320"/>
      <c r="D1021" s="320"/>
      <c r="E1021" s="320"/>
      <c r="F1021" s="320"/>
      <c r="G1021" s="320"/>
      <c r="H1021" s="320"/>
      <c r="I1021" s="320"/>
      <c r="J1021" s="320"/>
      <c r="K1021" s="320"/>
      <c r="L1021" s="320"/>
      <c r="M1021" s="320"/>
      <c r="N1021" s="320"/>
      <c r="O1021" s="320"/>
      <c r="P1021" s="320"/>
      <c r="Q1021" s="320"/>
      <c r="R1021" s="320"/>
      <c r="S1021" s="320"/>
      <c r="T1021" s="320"/>
    </row>
    <row r="1022">
      <c r="A1022" s="362" t="str">
        <f>IFERROR(__xludf.DUMMYFUNCTION("""COMPUTED_VALUE"""),"Ice")</f>
        <v>Ice</v>
      </c>
      <c r="B1022" s="373">
        <f>IFERROR(__xludf.DUMMYFUNCTION("""COMPUTED_VALUE"""),4.265)</f>
        <v>4.265</v>
      </c>
      <c r="C1022" s="320"/>
      <c r="D1022" s="320"/>
      <c r="E1022" s="320"/>
      <c r="F1022" s="320"/>
      <c r="G1022" s="320"/>
      <c r="H1022" s="320"/>
      <c r="I1022" s="320"/>
      <c r="J1022" s="320"/>
      <c r="K1022" s="320"/>
      <c r="L1022" s="320"/>
      <c r="M1022" s="320"/>
      <c r="N1022" s="320"/>
      <c r="O1022" s="320"/>
      <c r="P1022" s="320"/>
      <c r="Q1022" s="320"/>
      <c r="R1022" s="320"/>
      <c r="S1022" s="320"/>
      <c r="T1022" s="320"/>
    </row>
    <row r="1023">
      <c r="A1023" s="362" t="str">
        <f>IFERROR(__xludf.DUMMYFUNCTION("""COMPUTED_VALUE"""),"Ice Bait")</f>
        <v>Ice Bait</v>
      </c>
      <c r="B1023" s="373">
        <f>IFERROR(__xludf.DUMMYFUNCTION("""COMPUTED_VALUE"""),0.521)</f>
        <v>0.521</v>
      </c>
      <c r="C1023" s="320"/>
      <c r="D1023" s="320"/>
      <c r="E1023" s="320"/>
      <c r="F1023" s="320"/>
      <c r="G1023" s="320"/>
      <c r="H1023" s="320"/>
      <c r="I1023" s="320"/>
      <c r="J1023" s="320"/>
      <c r="K1023" s="320"/>
      <c r="L1023" s="320"/>
      <c r="M1023" s="320"/>
      <c r="N1023" s="320"/>
      <c r="O1023" s="320"/>
      <c r="P1023" s="320"/>
      <c r="Q1023" s="320"/>
      <c r="R1023" s="320"/>
      <c r="S1023" s="320"/>
      <c r="T1023" s="320"/>
    </row>
    <row r="1024">
      <c r="A1024" s="362" t="str">
        <f>IFERROR(__xludf.DUMMYFUNCTION("""COMPUTED_VALUE"""),"Implosion")</f>
        <v>Implosion</v>
      </c>
      <c r="B1024" s="373">
        <f>IFERROR(__xludf.DUMMYFUNCTION("""COMPUTED_VALUE"""),2.7974358325E8)</f>
        <v>279743583.3</v>
      </c>
      <c r="C1024" s="320"/>
      <c r="D1024" s="320"/>
      <c r="E1024" s="320"/>
      <c r="F1024" s="320"/>
      <c r="G1024" s="320"/>
      <c r="H1024" s="320"/>
      <c r="I1024" s="320"/>
      <c r="J1024" s="320"/>
      <c r="K1024" s="320"/>
      <c r="L1024" s="320"/>
      <c r="M1024" s="320"/>
      <c r="N1024" s="320"/>
      <c r="O1024" s="320"/>
      <c r="P1024" s="320"/>
      <c r="Q1024" s="320"/>
      <c r="R1024" s="320"/>
      <c r="S1024" s="320"/>
      <c r="T1024" s="320"/>
    </row>
    <row r="1025">
      <c r="A1025" s="362" t="str">
        <f>IFERROR(__xludf.DUMMYFUNCTION("""COMPUTED_VALUE"""),"Inferno Apex")</f>
        <v>Inferno Apex</v>
      </c>
      <c r="B1025" s="373">
        <f>IFERROR(__xludf.DUMMYFUNCTION("""COMPUTED_VALUE"""),3.6250000075E8)</f>
        <v>362500000.8</v>
      </c>
      <c r="C1025" s="320"/>
      <c r="D1025" s="320"/>
      <c r="E1025" s="320"/>
      <c r="F1025" s="320"/>
      <c r="G1025" s="320"/>
      <c r="H1025" s="320"/>
      <c r="I1025" s="320"/>
      <c r="J1025" s="320"/>
      <c r="K1025" s="320"/>
      <c r="L1025" s="320"/>
      <c r="M1025" s="320"/>
      <c r="N1025" s="320"/>
      <c r="O1025" s="320"/>
      <c r="P1025" s="320"/>
      <c r="Q1025" s="320"/>
      <c r="R1025" s="320"/>
      <c r="S1025" s="320"/>
      <c r="T1025" s="320"/>
    </row>
    <row r="1026">
      <c r="A1026" s="362" t="str">
        <f>IFERROR(__xludf.DUMMYFUNCTION("""COMPUTED_VALUE"""),"Inferno Fuel Block")</f>
        <v>Inferno Fuel Block</v>
      </c>
      <c r="B1026" s="373">
        <f>IFERROR(__xludf.DUMMYFUNCTION("""COMPUTED_VALUE"""),58466.284)</f>
        <v>58466.284</v>
      </c>
      <c r="C1026" s="320"/>
      <c r="D1026" s="320"/>
      <c r="E1026" s="320"/>
      <c r="F1026" s="320"/>
      <c r="G1026" s="320"/>
      <c r="H1026" s="320"/>
      <c r="I1026" s="320"/>
      <c r="J1026" s="320"/>
      <c r="K1026" s="320"/>
      <c r="L1026" s="320"/>
      <c r="M1026" s="320"/>
      <c r="N1026" s="320"/>
      <c r="O1026" s="320"/>
      <c r="P1026" s="320"/>
      <c r="Q1026" s="320"/>
      <c r="R1026" s="320"/>
      <c r="S1026" s="320"/>
      <c r="T1026" s="320"/>
    </row>
    <row r="1027">
      <c r="A1027" s="362" t="str">
        <f>IFERROR(__xludf.DUMMYFUNCTION("""COMPUTED_VALUE"""),"Inferno Vertex")</f>
        <v>Inferno Vertex</v>
      </c>
      <c r="B1027" s="373">
        <f>IFERROR(__xludf.DUMMYFUNCTION("""COMPUTED_VALUE"""),6581671.4)</f>
        <v>6581671.4</v>
      </c>
      <c r="C1027" s="320"/>
      <c r="D1027" s="320"/>
      <c r="E1027" s="320"/>
      <c r="F1027" s="320"/>
      <c r="G1027" s="320"/>
      <c r="H1027" s="320"/>
      <c r="I1027" s="320"/>
      <c r="J1027" s="320"/>
      <c r="K1027" s="320"/>
      <c r="L1027" s="320"/>
      <c r="M1027" s="320"/>
      <c r="N1027" s="320"/>
      <c r="O1027" s="320"/>
      <c r="P1027" s="320"/>
      <c r="Q1027" s="320"/>
      <c r="R1027" s="320"/>
      <c r="S1027" s="320"/>
      <c r="T1027" s="320"/>
    </row>
    <row r="1028">
      <c r="A1028" s="362" t="str">
        <f>IFERROR(__xludf.DUMMYFUNCTION("""COMPUTED_VALUE"""),"Inflatable Jerry")</f>
        <v>Inflatable Jerry</v>
      </c>
      <c r="B1028" s="373">
        <f>IFERROR(__xludf.DUMMYFUNCTION("""COMPUTED_VALUE"""),0.896)</f>
        <v>0.896</v>
      </c>
      <c r="C1028" s="320"/>
      <c r="D1028" s="320"/>
      <c r="E1028" s="320"/>
      <c r="F1028" s="320"/>
      <c r="G1028" s="320"/>
      <c r="H1028" s="320"/>
      <c r="I1028" s="320"/>
      <c r="J1028" s="320"/>
      <c r="K1028" s="320"/>
      <c r="L1028" s="320"/>
      <c r="M1028" s="320"/>
      <c r="N1028" s="320"/>
      <c r="O1028" s="320"/>
      <c r="P1028" s="320"/>
      <c r="Q1028" s="320"/>
      <c r="R1028" s="320"/>
      <c r="S1028" s="320"/>
      <c r="T1028" s="320"/>
    </row>
    <row r="1029">
      <c r="A1029" s="362" t="str">
        <f>IFERROR(__xludf.DUMMYFUNCTION("""COMPUTED_VALUE"""),"Ink Sac")</f>
        <v>Ink Sac</v>
      </c>
      <c r="B1029" s="373">
        <f>IFERROR(__xludf.DUMMYFUNCTION("""COMPUTED_VALUE"""),1380.784)</f>
        <v>1380.784</v>
      </c>
      <c r="C1029" s="320"/>
      <c r="D1029" s="320"/>
      <c r="E1029" s="320"/>
      <c r="F1029" s="320"/>
      <c r="G1029" s="320"/>
      <c r="H1029" s="320"/>
      <c r="I1029" s="320"/>
      <c r="J1029" s="320"/>
      <c r="K1029" s="320"/>
      <c r="L1029" s="320"/>
      <c r="M1029" s="320"/>
      <c r="N1029" s="320"/>
      <c r="O1029" s="320"/>
      <c r="P1029" s="320"/>
      <c r="Q1029" s="320"/>
      <c r="R1029" s="320"/>
      <c r="S1029" s="320"/>
      <c r="T1029" s="320"/>
    </row>
    <row r="1030">
      <c r="A1030" s="362" t="str">
        <f>IFERROR(__xludf.DUMMYFUNCTION("""COMPUTED_VALUE"""),"Iron Ingot")</f>
        <v>Iron Ingot</v>
      </c>
      <c r="B1030" s="373">
        <f>IFERROR(__xludf.DUMMYFUNCTION("""COMPUTED_VALUE"""),10.049)</f>
        <v>10.049</v>
      </c>
      <c r="C1030" s="320"/>
      <c r="D1030" s="320"/>
      <c r="E1030" s="320"/>
      <c r="F1030" s="320"/>
      <c r="G1030" s="320"/>
      <c r="H1030" s="320"/>
      <c r="I1030" s="320"/>
      <c r="J1030" s="320"/>
      <c r="K1030" s="320"/>
      <c r="L1030" s="320"/>
      <c r="M1030" s="320"/>
      <c r="N1030" s="320"/>
      <c r="O1030" s="320"/>
      <c r="P1030" s="320"/>
      <c r="Q1030" s="320"/>
      <c r="R1030" s="320"/>
      <c r="S1030" s="320"/>
      <c r="T1030" s="320"/>
    </row>
    <row r="1031">
      <c r="A1031" s="362" t="str">
        <f>IFERROR(__xludf.DUMMYFUNCTION("""COMPUTED_VALUE"""),"Jacob's Ticket")</f>
        <v>Jacob's Ticket</v>
      </c>
      <c r="B1031" s="373">
        <f>IFERROR(__xludf.DUMMYFUNCTION("""COMPUTED_VALUE"""),36417.678)</f>
        <v>36417.678</v>
      </c>
      <c r="C1031" s="320"/>
      <c r="D1031" s="320"/>
      <c r="E1031" s="320"/>
      <c r="F1031" s="320"/>
      <c r="G1031" s="320"/>
      <c r="H1031" s="320"/>
      <c r="I1031" s="320"/>
      <c r="J1031" s="320"/>
      <c r="K1031" s="320"/>
      <c r="L1031" s="320"/>
      <c r="M1031" s="320"/>
      <c r="N1031" s="320"/>
      <c r="O1031" s="320"/>
      <c r="P1031" s="320"/>
      <c r="Q1031" s="320"/>
      <c r="R1031" s="320"/>
      <c r="S1031" s="320"/>
      <c r="T1031" s="320"/>
    </row>
    <row r="1032">
      <c r="A1032" s="362" t="str">
        <f>IFERROR(__xludf.DUMMYFUNCTION("""COMPUTED_VALUE"""),"Jaderald")</f>
        <v>Jaderald</v>
      </c>
      <c r="B1032" s="373">
        <f>IFERROR(__xludf.DUMMYFUNCTION("""COMPUTED_VALUE"""),6346811.0)</f>
        <v>6346811</v>
      </c>
      <c r="C1032" s="320"/>
      <c r="D1032" s="320"/>
      <c r="E1032" s="320"/>
      <c r="F1032" s="320"/>
      <c r="G1032" s="320"/>
      <c r="H1032" s="320"/>
      <c r="I1032" s="320"/>
      <c r="J1032" s="320"/>
      <c r="K1032" s="320"/>
      <c r="L1032" s="320"/>
      <c r="M1032" s="320"/>
      <c r="N1032" s="320"/>
      <c r="O1032" s="320"/>
      <c r="P1032" s="320"/>
      <c r="Q1032" s="320"/>
      <c r="R1032" s="320"/>
      <c r="S1032" s="320"/>
      <c r="T1032" s="320"/>
    </row>
    <row r="1033">
      <c r="A1033" s="362" t="str">
        <f>IFERROR(__xludf.DUMMYFUNCTION("""COMPUTED_VALUE"""),"Jalapeno Book")</f>
        <v>Jalapeno Book</v>
      </c>
      <c r="B1033" s="373">
        <f>IFERROR(__xludf.DUMMYFUNCTION("""COMPUTED_VALUE"""),1801399.85)</f>
        <v>1801399.85</v>
      </c>
      <c r="C1033" s="320"/>
      <c r="D1033" s="320"/>
      <c r="E1033" s="320"/>
      <c r="F1033" s="320"/>
      <c r="G1033" s="320"/>
      <c r="H1033" s="320"/>
      <c r="I1033" s="320"/>
      <c r="J1033" s="320"/>
      <c r="K1033" s="320"/>
      <c r="L1033" s="320"/>
      <c r="M1033" s="320"/>
      <c r="N1033" s="320"/>
      <c r="O1033" s="320"/>
      <c r="P1033" s="320"/>
      <c r="Q1033" s="320"/>
      <c r="R1033" s="320"/>
      <c r="S1033" s="320"/>
      <c r="T1033" s="320"/>
    </row>
    <row r="1034">
      <c r="A1034" s="362" t="str">
        <f>IFERROR(__xludf.DUMMYFUNCTION("""COMPUTED_VALUE"""),"Jerry 3D Glasses")</f>
        <v>Jerry 3D Glasses</v>
      </c>
      <c r="B1034" s="373">
        <f>IFERROR(__xludf.DUMMYFUNCTION("""COMPUTED_VALUE"""),100502.35)</f>
        <v>100502.35</v>
      </c>
      <c r="C1034" s="320"/>
      <c r="D1034" s="320"/>
      <c r="E1034" s="320"/>
      <c r="F1034" s="320"/>
      <c r="G1034" s="320"/>
      <c r="H1034" s="320"/>
      <c r="I1034" s="320"/>
      <c r="J1034" s="320"/>
      <c r="K1034" s="320"/>
      <c r="L1034" s="320"/>
      <c r="M1034" s="320"/>
      <c r="N1034" s="320"/>
      <c r="O1034" s="320"/>
      <c r="P1034" s="320"/>
      <c r="Q1034" s="320"/>
      <c r="R1034" s="320"/>
      <c r="S1034" s="320"/>
      <c r="T1034" s="320"/>
    </row>
    <row r="1035">
      <c r="A1035" s="362" t="str">
        <f>IFERROR(__xludf.DUMMYFUNCTION("""COMPUTED_VALUE"""),"Jerry Stone")</f>
        <v>Jerry Stone</v>
      </c>
      <c r="B1035" s="373">
        <f>IFERROR(__xludf.DUMMYFUNCTION("""COMPUTED_VALUE"""),20005.0)</f>
        <v>20005</v>
      </c>
      <c r="C1035" s="320"/>
      <c r="D1035" s="320"/>
      <c r="E1035" s="320"/>
      <c r="F1035" s="320"/>
      <c r="G1035" s="320"/>
      <c r="H1035" s="320"/>
      <c r="I1035" s="320"/>
      <c r="J1035" s="320"/>
      <c r="K1035" s="320"/>
      <c r="L1035" s="320"/>
      <c r="M1035" s="320"/>
      <c r="N1035" s="320"/>
      <c r="O1035" s="320"/>
      <c r="P1035" s="320"/>
      <c r="Q1035" s="320"/>
      <c r="R1035" s="320"/>
      <c r="S1035" s="320"/>
      <c r="T1035" s="320"/>
    </row>
    <row r="1036">
      <c r="A1036" s="362" t="str">
        <f>IFERROR(__xludf.DUMMYFUNCTION("""COMPUTED_VALUE"""),"Jolly Pink Rock")</f>
        <v>Jolly Pink Rock</v>
      </c>
      <c r="B1036" s="373">
        <f>IFERROR(__xludf.DUMMYFUNCTION("""COMPUTED_VALUE"""),1331.405)</f>
        <v>1331.405</v>
      </c>
      <c r="C1036" s="320"/>
      <c r="D1036" s="320"/>
      <c r="E1036" s="320"/>
      <c r="F1036" s="320"/>
      <c r="G1036" s="320"/>
      <c r="H1036" s="320"/>
      <c r="I1036" s="320"/>
      <c r="J1036" s="320"/>
      <c r="K1036" s="320"/>
      <c r="L1036" s="320"/>
      <c r="M1036" s="320"/>
      <c r="N1036" s="320"/>
      <c r="O1036" s="320"/>
      <c r="P1036" s="320"/>
      <c r="Q1036" s="320"/>
      <c r="R1036" s="320"/>
      <c r="S1036" s="320"/>
      <c r="T1036" s="320"/>
    </row>
    <row r="1037">
      <c r="A1037" s="362" t="str">
        <f>IFERROR(__xludf.DUMMYFUNCTION("""COMPUTED_VALUE"""),"Jungle Heart")</f>
        <v>Jungle Heart</v>
      </c>
      <c r="B1037" s="373">
        <f>IFERROR(__xludf.DUMMYFUNCTION("""COMPUTED_VALUE"""),4942.483)</f>
        <v>4942.483</v>
      </c>
      <c r="C1037" s="320"/>
      <c r="D1037" s="320"/>
      <c r="E1037" s="320"/>
      <c r="F1037" s="320"/>
      <c r="G1037" s="320"/>
      <c r="H1037" s="320"/>
      <c r="I1037" s="320"/>
      <c r="J1037" s="320"/>
      <c r="K1037" s="320"/>
      <c r="L1037" s="320"/>
      <c r="M1037" s="320"/>
      <c r="N1037" s="320"/>
      <c r="O1037" s="320"/>
      <c r="P1037" s="320"/>
      <c r="Q1037" s="320"/>
      <c r="R1037" s="320"/>
      <c r="S1037" s="320"/>
      <c r="T1037" s="320"/>
    </row>
    <row r="1038">
      <c r="A1038" s="362" t="str">
        <f>IFERROR(__xludf.DUMMYFUNCTION("""COMPUTED_VALUE"""),"Jungle Key")</f>
        <v>Jungle Key</v>
      </c>
      <c r="B1038" s="373">
        <f>IFERROR(__xludf.DUMMYFUNCTION("""COMPUTED_VALUE"""),171751.197)</f>
        <v>171751.197</v>
      </c>
      <c r="C1038" s="320"/>
      <c r="D1038" s="320"/>
      <c r="E1038" s="320"/>
      <c r="F1038" s="320"/>
      <c r="G1038" s="320"/>
      <c r="H1038" s="320"/>
      <c r="I1038" s="320"/>
      <c r="J1038" s="320"/>
      <c r="K1038" s="320"/>
      <c r="L1038" s="320"/>
      <c r="M1038" s="320"/>
      <c r="N1038" s="320"/>
      <c r="O1038" s="320"/>
      <c r="P1038" s="320"/>
      <c r="Q1038" s="320"/>
      <c r="R1038" s="320"/>
      <c r="S1038" s="320"/>
      <c r="T1038" s="320"/>
    </row>
    <row r="1039">
      <c r="A1039" s="362" t="str">
        <f>IFERROR(__xludf.DUMMYFUNCTION("""COMPUTED_VALUE"""),"Jungle Wood")</f>
        <v>Jungle Wood</v>
      </c>
      <c r="B1039" s="373">
        <f>IFERROR(__xludf.DUMMYFUNCTION("""COMPUTED_VALUE"""),15.4)</f>
        <v>15.4</v>
      </c>
      <c r="C1039" s="320"/>
      <c r="D1039" s="320"/>
      <c r="E1039" s="320"/>
      <c r="F1039" s="320"/>
      <c r="G1039" s="320"/>
      <c r="H1039" s="320"/>
      <c r="I1039" s="320"/>
      <c r="J1039" s="320"/>
      <c r="K1039" s="320"/>
      <c r="L1039" s="320"/>
      <c r="M1039" s="320"/>
      <c r="N1039" s="320"/>
      <c r="O1039" s="320"/>
      <c r="P1039" s="320"/>
      <c r="Q1039" s="320"/>
      <c r="R1039" s="320"/>
      <c r="S1039" s="320"/>
      <c r="T1039" s="320"/>
    </row>
    <row r="1040">
      <c r="A1040" s="362" t="str">
        <f>IFERROR(__xludf.DUMMYFUNCTION("""COMPUTED_VALUE"""),"Kelvin Inverter")</f>
        <v>Kelvin Inverter</v>
      </c>
      <c r="B1040" s="373">
        <f>IFERROR(__xludf.DUMMYFUNCTION("""COMPUTED_VALUE"""),95670.3)</f>
        <v>95670.3</v>
      </c>
      <c r="C1040" s="320"/>
      <c r="D1040" s="320"/>
      <c r="E1040" s="320"/>
      <c r="F1040" s="320"/>
      <c r="G1040" s="320"/>
      <c r="H1040" s="320"/>
      <c r="I1040" s="320"/>
      <c r="J1040" s="320"/>
      <c r="K1040" s="320"/>
      <c r="L1040" s="320"/>
      <c r="M1040" s="320"/>
      <c r="N1040" s="320"/>
      <c r="O1040" s="320"/>
      <c r="P1040" s="320"/>
      <c r="Q1040" s="320"/>
      <c r="R1040" s="320"/>
      <c r="S1040" s="320"/>
      <c r="T1040" s="320"/>
    </row>
    <row r="1041">
      <c r="A1041" s="362" t="str">
        <f>IFERROR(__xludf.DUMMYFUNCTION("""COMPUTED_VALUE"""),"Kismet Feather")</f>
        <v>Kismet Feather</v>
      </c>
      <c r="B1041" s="373">
        <f>IFERROR(__xludf.DUMMYFUNCTION("""COMPUTED_VALUE"""),1574975.95)</f>
        <v>1574975.95</v>
      </c>
      <c r="C1041" s="320"/>
      <c r="D1041" s="320"/>
      <c r="E1041" s="320"/>
      <c r="F1041" s="320"/>
      <c r="G1041" s="320"/>
      <c r="H1041" s="320"/>
      <c r="I1041" s="320"/>
      <c r="J1041" s="320"/>
      <c r="K1041" s="320"/>
      <c r="L1041" s="320"/>
      <c r="M1041" s="320"/>
      <c r="N1041" s="320"/>
      <c r="O1041" s="320"/>
      <c r="P1041" s="320"/>
      <c r="Q1041" s="320"/>
      <c r="R1041" s="320"/>
      <c r="S1041" s="320"/>
      <c r="T1041" s="320"/>
    </row>
    <row r="1042">
      <c r="A1042" s="362" t="str">
        <f>IFERROR(__xludf.DUMMYFUNCTION("""COMPUTED_VALUE"""),"Kuudra Mandible")</f>
        <v>Kuudra Mandible</v>
      </c>
      <c r="B1042" s="373">
        <f>IFERROR(__xludf.DUMMYFUNCTION("""COMPUTED_VALUE"""),1243836.133)</f>
        <v>1243836.133</v>
      </c>
      <c r="C1042" s="320"/>
      <c r="D1042" s="320"/>
      <c r="E1042" s="320"/>
      <c r="F1042" s="320"/>
      <c r="G1042" s="320"/>
      <c r="H1042" s="320"/>
      <c r="I1042" s="320"/>
      <c r="J1042" s="320"/>
      <c r="K1042" s="320"/>
      <c r="L1042" s="320"/>
      <c r="M1042" s="320"/>
      <c r="N1042" s="320"/>
      <c r="O1042" s="320"/>
      <c r="P1042" s="320"/>
      <c r="Q1042" s="320"/>
      <c r="R1042" s="320"/>
      <c r="S1042" s="320"/>
      <c r="T1042" s="320"/>
    </row>
    <row r="1043">
      <c r="A1043" s="362" t="str">
        <f>IFERROR(__xludf.DUMMYFUNCTION("""COMPUTED_VALUE"""),"L.A.S.R.'s Eye")</f>
        <v>L.A.S.R.'s Eye</v>
      </c>
      <c r="B1043" s="373">
        <f>IFERROR(__xludf.DUMMYFUNCTION("""COMPUTED_VALUE"""),491386.75)</f>
        <v>491386.75</v>
      </c>
      <c r="C1043" s="320"/>
      <c r="D1043" s="320"/>
      <c r="E1043" s="320"/>
      <c r="F1043" s="320"/>
      <c r="G1043" s="320"/>
      <c r="H1043" s="320"/>
      <c r="I1043" s="320"/>
      <c r="J1043" s="320"/>
      <c r="K1043" s="320"/>
      <c r="L1043" s="320"/>
      <c r="M1043" s="320"/>
      <c r="N1043" s="320"/>
      <c r="O1043" s="320"/>
      <c r="P1043" s="320"/>
      <c r="Q1043" s="320"/>
      <c r="R1043" s="320"/>
      <c r="S1043" s="320"/>
      <c r="T1043" s="320"/>
    </row>
    <row r="1044">
      <c r="A1044" s="362" t="str">
        <f>IFERROR(__xludf.DUMMYFUNCTION("""COMPUTED_VALUE"""),"Lapis Crystal")</f>
        <v>Lapis Crystal</v>
      </c>
      <c r="B1044" s="373">
        <f>IFERROR(__xludf.DUMMYFUNCTION("""COMPUTED_VALUE"""),29.85)</f>
        <v>29.85</v>
      </c>
      <c r="C1044" s="320"/>
      <c r="D1044" s="320"/>
      <c r="E1044" s="320"/>
      <c r="F1044" s="320"/>
      <c r="G1044" s="320"/>
      <c r="H1044" s="320"/>
      <c r="I1044" s="320"/>
      <c r="J1044" s="320"/>
      <c r="K1044" s="320"/>
      <c r="L1044" s="320"/>
      <c r="M1044" s="320"/>
      <c r="N1044" s="320"/>
      <c r="O1044" s="320"/>
      <c r="P1044" s="320"/>
      <c r="Q1044" s="320"/>
      <c r="R1044" s="320"/>
      <c r="S1044" s="320"/>
      <c r="T1044" s="320"/>
    </row>
    <row r="1045">
      <c r="A1045" s="362" t="str">
        <f>IFERROR(__xludf.DUMMYFUNCTION("""COMPUTED_VALUE"""),"Lapis Lazuli")</f>
        <v>Lapis Lazuli</v>
      </c>
      <c r="B1045" s="373">
        <f>IFERROR(__xludf.DUMMYFUNCTION("""COMPUTED_VALUE"""),4.3)</f>
        <v>4.3</v>
      </c>
      <c r="C1045" s="320"/>
      <c r="D1045" s="320"/>
      <c r="E1045" s="320"/>
      <c r="F1045" s="320"/>
      <c r="G1045" s="320"/>
      <c r="H1045" s="320"/>
      <c r="I1045" s="320"/>
      <c r="J1045" s="320"/>
      <c r="K1045" s="320"/>
      <c r="L1045" s="320"/>
      <c r="M1045" s="320"/>
      <c r="N1045" s="320"/>
      <c r="O1045" s="320"/>
      <c r="P1045" s="320"/>
      <c r="Q1045" s="320"/>
      <c r="R1045" s="320"/>
      <c r="S1045" s="320"/>
      <c r="T1045" s="320"/>
    </row>
    <row r="1046">
      <c r="A1046" s="362" t="str">
        <f>IFERROR(__xludf.DUMMYFUNCTION("""COMPUTED_VALUE"""),"Large Storage")</f>
        <v>Large Storage</v>
      </c>
      <c r="B1046" s="373">
        <f>IFERROR(__xludf.DUMMYFUNCTION("""COMPUTED_VALUE"""),387116.85)</f>
        <v>387116.85</v>
      </c>
      <c r="C1046" s="320"/>
      <c r="D1046" s="320"/>
      <c r="E1046" s="320"/>
      <c r="F1046" s="320"/>
      <c r="G1046" s="320"/>
      <c r="H1046" s="320"/>
      <c r="I1046" s="320"/>
      <c r="J1046" s="320"/>
      <c r="K1046" s="320"/>
      <c r="L1046" s="320"/>
      <c r="M1046" s="320"/>
      <c r="N1046" s="320"/>
      <c r="O1046" s="320"/>
      <c r="P1046" s="320"/>
      <c r="Q1046" s="320"/>
      <c r="R1046" s="320"/>
      <c r="S1046" s="320"/>
      <c r="T1046" s="320"/>
    </row>
    <row r="1047">
      <c r="A1047" s="362" t="str">
        <f>IFERROR(__xludf.DUMMYFUNCTION("""COMPUTED_VALUE"""),"Large Walnut")</f>
        <v>Large Walnut</v>
      </c>
      <c r="B1047" s="373">
        <f>IFERROR(__xludf.DUMMYFUNCTION("""COMPUTED_VALUE"""),258606.35)</f>
        <v>258606.35</v>
      </c>
      <c r="C1047" s="320"/>
      <c r="D1047" s="320"/>
      <c r="E1047" s="320"/>
      <c r="F1047" s="320"/>
      <c r="G1047" s="320"/>
      <c r="H1047" s="320"/>
      <c r="I1047" s="320"/>
      <c r="J1047" s="320"/>
      <c r="K1047" s="320"/>
      <c r="L1047" s="320"/>
      <c r="M1047" s="320"/>
      <c r="N1047" s="320"/>
      <c r="O1047" s="320"/>
      <c r="P1047" s="320"/>
      <c r="Q1047" s="320"/>
      <c r="R1047" s="320"/>
      <c r="S1047" s="320"/>
      <c r="T1047" s="320"/>
    </row>
    <row r="1048">
      <c r="A1048" s="362" t="str">
        <f>IFERROR(__xludf.DUMMYFUNCTION("""COMPUTED_VALUE"""),"Lava Water Orb")</f>
        <v>Lava Water Orb</v>
      </c>
      <c r="B1048" s="373">
        <f>IFERROR(__xludf.DUMMYFUNCTION("""COMPUTED_VALUE"""),2184457.9)</f>
        <v>2184457.9</v>
      </c>
      <c r="C1048" s="320"/>
      <c r="D1048" s="320"/>
      <c r="E1048" s="320"/>
      <c r="F1048" s="320"/>
      <c r="G1048" s="320"/>
      <c r="H1048" s="320"/>
      <c r="I1048" s="320"/>
      <c r="J1048" s="320"/>
      <c r="K1048" s="320"/>
      <c r="L1048" s="320"/>
      <c r="M1048" s="320"/>
      <c r="N1048" s="320"/>
      <c r="O1048" s="320"/>
      <c r="P1048" s="320"/>
      <c r="Q1048" s="320"/>
      <c r="R1048" s="320"/>
      <c r="S1048" s="320"/>
      <c r="T1048" s="320"/>
    </row>
    <row r="1049">
      <c r="A1049" s="362" t="str">
        <f>IFERROR(__xludf.DUMMYFUNCTION("""COMPUTED_VALUE"""),"Leather")</f>
        <v>Leather</v>
      </c>
      <c r="B1049" s="373">
        <f>IFERROR(__xludf.DUMMYFUNCTION("""COMPUTED_VALUE"""),63.909)</f>
        <v>63.909</v>
      </c>
      <c r="C1049" s="320"/>
      <c r="D1049" s="320"/>
      <c r="E1049" s="320"/>
      <c r="F1049" s="320"/>
      <c r="G1049" s="320"/>
      <c r="H1049" s="320"/>
      <c r="I1049" s="320"/>
      <c r="J1049" s="320"/>
      <c r="K1049" s="320"/>
      <c r="L1049" s="320"/>
      <c r="M1049" s="320"/>
      <c r="N1049" s="320"/>
      <c r="O1049" s="320"/>
      <c r="P1049" s="320"/>
      <c r="Q1049" s="320"/>
      <c r="R1049" s="320"/>
      <c r="S1049" s="320"/>
      <c r="T1049" s="320"/>
    </row>
    <row r="1050">
      <c r="A1050" s="362" t="str">
        <f>IFERROR(__xludf.DUMMYFUNCTION("""COMPUTED_VALUE"""),"Lesser Soulflow Engine")</f>
        <v>Lesser Soulflow Engine</v>
      </c>
      <c r="B1050" s="373">
        <f>IFERROR(__xludf.DUMMYFUNCTION("""COMPUTED_VALUE"""),3240130.05)</f>
        <v>3240130.05</v>
      </c>
      <c r="C1050" s="320"/>
      <c r="D1050" s="320"/>
      <c r="E1050" s="320"/>
      <c r="F1050" s="320"/>
      <c r="G1050" s="320"/>
      <c r="H1050" s="320"/>
      <c r="I1050" s="320"/>
      <c r="J1050" s="320"/>
      <c r="K1050" s="320"/>
      <c r="L1050" s="320"/>
      <c r="M1050" s="320"/>
      <c r="N1050" s="320"/>
      <c r="O1050" s="320"/>
      <c r="P1050" s="320"/>
      <c r="Q1050" s="320"/>
      <c r="R1050" s="320"/>
      <c r="S1050" s="320"/>
      <c r="T1050" s="320"/>
    </row>
    <row r="1051">
      <c r="A1051" s="362" t="str">
        <f>IFERROR(__xludf.DUMMYFUNCTION("""COMPUTED_VALUE"""),"Light Bait")</f>
        <v>Light Bait</v>
      </c>
      <c r="B1051" s="373">
        <f>IFERROR(__xludf.DUMMYFUNCTION("""COMPUTED_VALUE"""),347.95)</f>
        <v>347.95</v>
      </c>
      <c r="C1051" s="320"/>
      <c r="D1051" s="320"/>
      <c r="E1051" s="320"/>
      <c r="F1051" s="320"/>
      <c r="G1051" s="320"/>
      <c r="H1051" s="320"/>
      <c r="I1051" s="320"/>
      <c r="J1051" s="320"/>
      <c r="K1051" s="320"/>
      <c r="L1051" s="320"/>
      <c r="M1051" s="320"/>
      <c r="N1051" s="320"/>
      <c r="O1051" s="320"/>
      <c r="P1051" s="320"/>
      <c r="Q1051" s="320"/>
      <c r="R1051" s="320"/>
      <c r="S1051" s="320"/>
      <c r="T1051" s="320"/>
    </row>
    <row r="1052">
      <c r="A1052" s="362" t="str">
        <f>IFERROR(__xludf.DUMMYFUNCTION("""COMPUTED_VALUE"""),"Lily Pad")</f>
        <v>Lily Pad</v>
      </c>
      <c r="B1052" s="373">
        <f>IFERROR(__xludf.DUMMYFUNCTION("""COMPUTED_VALUE"""),7.4)</f>
        <v>7.4</v>
      </c>
      <c r="C1052" s="320"/>
      <c r="D1052" s="320"/>
      <c r="E1052" s="320"/>
      <c r="F1052" s="320"/>
      <c r="G1052" s="320"/>
      <c r="H1052" s="320"/>
      <c r="I1052" s="320"/>
      <c r="J1052" s="320"/>
      <c r="K1052" s="320"/>
      <c r="L1052" s="320"/>
      <c r="M1052" s="320"/>
      <c r="N1052" s="320"/>
      <c r="O1052" s="320"/>
      <c r="P1052" s="320"/>
      <c r="Q1052" s="320"/>
      <c r="R1052" s="320"/>
      <c r="S1052" s="320"/>
      <c r="T1052" s="320"/>
    </row>
    <row r="1053">
      <c r="A1053" s="362" t="str">
        <f>IFERROR(__xludf.DUMMYFUNCTION("""COMPUTED_VALUE"""),"Livid Fragment")</f>
        <v>Livid Fragment</v>
      </c>
      <c r="B1053" s="373">
        <f>IFERROR(__xludf.DUMMYFUNCTION("""COMPUTED_VALUE"""),101862.3)</f>
        <v>101862.3</v>
      </c>
      <c r="C1053" s="320"/>
      <c r="D1053" s="320"/>
      <c r="E1053" s="320"/>
      <c r="F1053" s="320"/>
      <c r="G1053" s="320"/>
      <c r="H1053" s="320"/>
      <c r="I1053" s="320"/>
      <c r="J1053" s="320"/>
      <c r="K1053" s="320"/>
      <c r="L1053" s="320"/>
      <c r="M1053" s="320"/>
      <c r="N1053" s="320"/>
      <c r="O1053" s="320"/>
      <c r="P1053" s="320"/>
      <c r="Q1053" s="320"/>
      <c r="R1053" s="320"/>
      <c r="S1053" s="320"/>
      <c r="T1053" s="320"/>
    </row>
    <row r="1054">
      <c r="A1054" s="362" t="str">
        <f>IFERROR(__xludf.DUMMYFUNCTION("""COMPUTED_VALUE"""),"Lucky Clover Core")</f>
        <v>Lucky Clover Core</v>
      </c>
      <c r="B1054" s="373">
        <f>IFERROR(__xludf.DUMMYFUNCTION("""COMPUTED_VALUE"""),3429979.75)</f>
        <v>3429979.75</v>
      </c>
      <c r="C1054" s="320"/>
      <c r="D1054" s="320"/>
      <c r="E1054" s="320"/>
      <c r="F1054" s="320"/>
      <c r="G1054" s="320"/>
      <c r="H1054" s="320"/>
      <c r="I1054" s="320"/>
      <c r="J1054" s="320"/>
      <c r="K1054" s="320"/>
      <c r="L1054" s="320"/>
      <c r="M1054" s="320"/>
      <c r="N1054" s="320"/>
      <c r="O1054" s="320"/>
      <c r="P1054" s="320"/>
      <c r="Q1054" s="320"/>
      <c r="R1054" s="320"/>
      <c r="S1054" s="320"/>
      <c r="T1054" s="320"/>
    </row>
    <row r="1055">
      <c r="A1055" s="362" t="str">
        <f>IFERROR(__xludf.DUMMYFUNCTION("""COMPUTED_VALUE"""),"Lucky Dice")</f>
        <v>Lucky Dice</v>
      </c>
      <c r="B1055" s="373">
        <f>IFERROR(__xludf.DUMMYFUNCTION("""COMPUTED_VALUE"""),1110000.45)</f>
        <v>1110000.45</v>
      </c>
      <c r="C1055" s="320"/>
      <c r="D1055" s="320"/>
      <c r="E1055" s="320"/>
      <c r="F1055" s="320"/>
      <c r="G1055" s="320"/>
      <c r="H1055" s="320"/>
      <c r="I1055" s="320"/>
      <c r="J1055" s="320"/>
      <c r="K1055" s="320"/>
      <c r="L1055" s="320"/>
      <c r="M1055" s="320"/>
      <c r="N1055" s="320"/>
      <c r="O1055" s="320"/>
      <c r="P1055" s="320"/>
      <c r="Q1055" s="320"/>
      <c r="R1055" s="320"/>
      <c r="S1055" s="320"/>
      <c r="T1055" s="320"/>
    </row>
    <row r="1056">
      <c r="A1056" s="362" t="str">
        <f>IFERROR(__xludf.DUMMYFUNCTION("""COMPUTED_VALUE"""),"Lush Berberis")</f>
        <v>Lush Berberis</v>
      </c>
      <c r="B1056" s="373">
        <f>IFERROR(__xludf.DUMMYFUNCTION("""COMPUTED_VALUE"""),410.481)</f>
        <v>410.481</v>
      </c>
      <c r="C1056" s="320"/>
      <c r="D1056" s="320"/>
      <c r="E1056" s="320"/>
      <c r="F1056" s="320"/>
      <c r="G1056" s="320"/>
      <c r="H1056" s="320"/>
      <c r="I1056" s="320"/>
      <c r="J1056" s="320"/>
      <c r="K1056" s="320"/>
      <c r="L1056" s="320"/>
      <c r="M1056" s="320"/>
      <c r="N1056" s="320"/>
      <c r="O1056" s="320"/>
      <c r="P1056" s="320"/>
      <c r="Q1056" s="320"/>
      <c r="R1056" s="320"/>
      <c r="S1056" s="320"/>
      <c r="T1056" s="320"/>
    </row>
    <row r="1057">
      <c r="A1057" s="362" t="str">
        <f>IFERROR(__xludf.DUMMYFUNCTION("""COMPUTED_VALUE"""),"Luxurious Spool")</f>
        <v>Luxurious Spool</v>
      </c>
      <c r="B1057" s="373">
        <f>IFERROR(__xludf.DUMMYFUNCTION("""COMPUTED_VALUE"""),3507.594)</f>
        <v>3507.594</v>
      </c>
      <c r="C1057" s="320"/>
      <c r="D1057" s="320"/>
      <c r="E1057" s="320"/>
      <c r="F1057" s="320"/>
      <c r="G1057" s="320"/>
      <c r="H1057" s="320"/>
      <c r="I1057" s="320"/>
      <c r="J1057" s="320"/>
      <c r="K1057" s="320"/>
      <c r="L1057" s="320"/>
      <c r="M1057" s="320"/>
      <c r="N1057" s="320"/>
      <c r="O1057" s="320"/>
      <c r="P1057" s="320"/>
      <c r="Q1057" s="320"/>
      <c r="R1057" s="320"/>
      <c r="S1057" s="320"/>
      <c r="T1057" s="320"/>
    </row>
    <row r="1058">
      <c r="A1058" s="362" t="str">
        <f>IFERROR(__xludf.DUMMYFUNCTION("""COMPUTED_VALUE"""),"Magic Top Hat")</f>
        <v>Magic Top Hat</v>
      </c>
      <c r="B1058" s="373">
        <f>IFERROR(__xludf.DUMMYFUNCTION("""COMPUTED_VALUE"""),1.22571657E7)</f>
        <v>12257165.7</v>
      </c>
      <c r="C1058" s="320"/>
      <c r="D1058" s="320"/>
      <c r="E1058" s="320"/>
      <c r="F1058" s="320"/>
      <c r="G1058" s="320"/>
      <c r="H1058" s="320"/>
      <c r="I1058" s="320"/>
      <c r="J1058" s="320"/>
      <c r="K1058" s="320"/>
      <c r="L1058" s="320"/>
      <c r="M1058" s="320"/>
      <c r="N1058" s="320"/>
      <c r="O1058" s="320"/>
      <c r="P1058" s="320"/>
      <c r="Q1058" s="320"/>
      <c r="R1058" s="320"/>
      <c r="S1058" s="320"/>
      <c r="T1058" s="320"/>
    </row>
    <row r="1059">
      <c r="A1059" s="362" t="str">
        <f>IFERROR(__xludf.DUMMYFUNCTION("""COMPUTED_VALUE"""),"Magical Mushroom Soup")</f>
        <v>Magical Mushroom Soup</v>
      </c>
      <c r="B1059" s="373">
        <f>IFERROR(__xludf.DUMMYFUNCTION("""COMPUTED_VALUE"""),155.069)</f>
        <v>155.069</v>
      </c>
      <c r="C1059" s="320"/>
      <c r="D1059" s="320"/>
      <c r="E1059" s="320"/>
      <c r="F1059" s="320"/>
      <c r="G1059" s="320"/>
      <c r="H1059" s="320"/>
      <c r="I1059" s="320"/>
      <c r="J1059" s="320"/>
      <c r="K1059" s="320"/>
      <c r="L1059" s="320"/>
      <c r="M1059" s="320"/>
      <c r="N1059" s="320"/>
      <c r="O1059" s="320"/>
      <c r="P1059" s="320"/>
      <c r="Q1059" s="320"/>
      <c r="R1059" s="320"/>
      <c r="S1059" s="320"/>
      <c r="T1059" s="320"/>
    </row>
    <row r="1060">
      <c r="A1060" s="362" t="str">
        <f>IFERROR(__xludf.DUMMYFUNCTION("""COMPUTED_VALUE"""),"Magma Bucket")</f>
        <v>Magma Bucket</v>
      </c>
      <c r="B1060" s="373">
        <f>IFERROR(__xludf.DUMMYFUNCTION("""COMPUTED_VALUE"""),4225007.6)</f>
        <v>4225007.6</v>
      </c>
      <c r="C1060" s="320"/>
      <c r="D1060" s="320"/>
      <c r="E1060" s="320"/>
      <c r="F1060" s="320"/>
      <c r="G1060" s="320"/>
      <c r="H1060" s="320"/>
      <c r="I1060" s="320"/>
      <c r="J1060" s="320"/>
      <c r="K1060" s="320"/>
      <c r="L1060" s="320"/>
      <c r="M1060" s="320"/>
      <c r="N1060" s="320"/>
      <c r="O1060" s="320"/>
      <c r="P1060" s="320"/>
      <c r="Q1060" s="320"/>
      <c r="R1060" s="320"/>
      <c r="S1060" s="320"/>
      <c r="T1060" s="320"/>
    </row>
    <row r="1061">
      <c r="A1061" s="362" t="str">
        <f>IFERROR(__xludf.DUMMYFUNCTION("""COMPUTED_VALUE"""),"Magma Core")</f>
        <v>Magma Core</v>
      </c>
      <c r="B1061" s="373">
        <f>IFERROR(__xludf.DUMMYFUNCTION("""COMPUTED_VALUE"""),1996502.467)</f>
        <v>1996502.467</v>
      </c>
      <c r="C1061" s="320"/>
      <c r="D1061" s="320"/>
      <c r="E1061" s="320"/>
      <c r="F1061" s="320"/>
      <c r="G1061" s="320"/>
      <c r="H1061" s="320"/>
      <c r="I1061" s="320"/>
      <c r="J1061" s="320"/>
      <c r="K1061" s="320"/>
      <c r="L1061" s="320"/>
      <c r="M1061" s="320"/>
      <c r="N1061" s="320"/>
      <c r="O1061" s="320"/>
      <c r="P1061" s="320"/>
      <c r="Q1061" s="320"/>
      <c r="R1061" s="320"/>
      <c r="S1061" s="320"/>
      <c r="T1061" s="320"/>
    </row>
    <row r="1062">
      <c r="A1062" s="362" t="str">
        <f>IFERROR(__xludf.DUMMYFUNCTION("""COMPUTED_VALUE"""),"Magma Cream")</f>
        <v>Magma Cream</v>
      </c>
      <c r="B1062" s="373">
        <f>IFERROR(__xludf.DUMMYFUNCTION("""COMPUTED_VALUE"""),24.646)</f>
        <v>24.646</v>
      </c>
      <c r="C1062" s="320"/>
      <c r="D1062" s="320"/>
      <c r="E1062" s="320"/>
      <c r="F1062" s="320"/>
      <c r="G1062" s="320"/>
      <c r="H1062" s="320"/>
      <c r="I1062" s="320"/>
      <c r="J1062" s="320"/>
      <c r="K1062" s="320"/>
      <c r="L1062" s="320"/>
      <c r="M1062" s="320"/>
      <c r="N1062" s="320"/>
      <c r="O1062" s="320"/>
      <c r="P1062" s="320"/>
      <c r="Q1062" s="320"/>
      <c r="R1062" s="320"/>
      <c r="S1062" s="320"/>
      <c r="T1062" s="320"/>
    </row>
    <row r="1063">
      <c r="A1063" s="362" t="str">
        <f>IFERROR(__xludf.DUMMYFUNCTION("""COMPUTED_VALUE"""),"Magma Cream Distillate")</f>
        <v>Magma Cream Distillate</v>
      </c>
      <c r="B1063" s="373">
        <f>IFERROR(__xludf.DUMMYFUNCTION("""COMPUTED_VALUE"""),4536.856)</f>
        <v>4536.856</v>
      </c>
      <c r="C1063" s="320"/>
      <c r="D1063" s="320"/>
      <c r="E1063" s="320"/>
      <c r="F1063" s="320"/>
      <c r="G1063" s="320"/>
      <c r="H1063" s="320"/>
      <c r="I1063" s="320"/>
      <c r="J1063" s="320"/>
      <c r="K1063" s="320"/>
      <c r="L1063" s="320"/>
      <c r="M1063" s="320"/>
      <c r="N1063" s="320"/>
      <c r="O1063" s="320"/>
      <c r="P1063" s="320"/>
      <c r="Q1063" s="320"/>
      <c r="R1063" s="320"/>
      <c r="S1063" s="320"/>
      <c r="T1063" s="320"/>
    </row>
    <row r="1064">
      <c r="A1064" s="362" t="str">
        <f>IFERROR(__xludf.DUMMYFUNCTION("""COMPUTED_VALUE"""),"Magma Urchin")</f>
        <v>Magma Urchin</v>
      </c>
      <c r="B1064" s="373">
        <f>IFERROR(__xludf.DUMMYFUNCTION("""COMPUTED_VALUE"""),5373255.2)</f>
        <v>5373255.2</v>
      </c>
      <c r="C1064" s="320"/>
      <c r="D1064" s="320"/>
      <c r="E1064" s="320"/>
      <c r="F1064" s="320"/>
      <c r="G1064" s="320"/>
      <c r="H1064" s="320"/>
      <c r="I1064" s="320"/>
      <c r="J1064" s="320"/>
      <c r="K1064" s="320"/>
      <c r="L1064" s="320"/>
      <c r="M1064" s="320"/>
      <c r="N1064" s="320"/>
      <c r="O1064" s="320"/>
      <c r="P1064" s="320"/>
      <c r="Q1064" s="320"/>
      <c r="R1064" s="320"/>
      <c r="S1064" s="320"/>
      <c r="T1064" s="320"/>
    </row>
    <row r="1065">
      <c r="A1065" s="362" t="str">
        <f>IFERROR(__xludf.DUMMYFUNCTION("""COMPUTED_VALUE"""),"Magmafish")</f>
        <v>Magmafish</v>
      </c>
      <c r="B1065" s="373">
        <f>IFERROR(__xludf.DUMMYFUNCTION("""COMPUTED_VALUE"""),395.044)</f>
        <v>395.044</v>
      </c>
      <c r="C1065" s="320"/>
      <c r="D1065" s="320"/>
      <c r="E1065" s="320"/>
      <c r="F1065" s="320"/>
      <c r="G1065" s="320"/>
      <c r="H1065" s="320"/>
      <c r="I1065" s="320"/>
      <c r="J1065" s="320"/>
      <c r="K1065" s="320"/>
      <c r="L1065" s="320"/>
      <c r="M1065" s="320"/>
      <c r="N1065" s="320"/>
      <c r="O1065" s="320"/>
      <c r="P1065" s="320"/>
      <c r="Q1065" s="320"/>
      <c r="R1065" s="320"/>
      <c r="S1065" s="320"/>
      <c r="T1065" s="320"/>
    </row>
    <row r="1066">
      <c r="A1066" s="362" t="str">
        <f>IFERROR(__xludf.DUMMYFUNCTION("""COMPUTED_VALUE"""),"Mandraa")</f>
        <v>Mandraa</v>
      </c>
      <c r="B1066" s="373">
        <f>IFERROR(__xludf.DUMMYFUNCTION("""COMPUTED_VALUE"""),2242999.179)</f>
        <v>2242999.179</v>
      </c>
      <c r="C1066" s="320"/>
      <c r="D1066" s="320"/>
      <c r="E1066" s="320"/>
      <c r="F1066" s="320"/>
      <c r="G1066" s="320"/>
      <c r="H1066" s="320"/>
      <c r="I1066" s="320"/>
      <c r="J1066" s="320"/>
      <c r="K1066" s="320"/>
      <c r="L1066" s="320"/>
      <c r="M1066" s="320"/>
      <c r="N1066" s="320"/>
      <c r="O1066" s="320"/>
      <c r="P1066" s="320"/>
      <c r="Q1066" s="320"/>
      <c r="R1066" s="320"/>
      <c r="S1066" s="320"/>
      <c r="T1066" s="320"/>
    </row>
    <row r="1067">
      <c r="A1067" s="362" t="str">
        <f>IFERROR(__xludf.DUMMYFUNCTION("""COMPUTED_VALUE"""),"Medium Storage")</f>
        <v>Medium Storage</v>
      </c>
      <c r="B1067" s="373">
        <f>IFERROR(__xludf.DUMMYFUNCTION("""COMPUTED_VALUE"""),15943.893)</f>
        <v>15943.893</v>
      </c>
      <c r="C1067" s="320"/>
      <c r="D1067" s="320"/>
      <c r="E1067" s="320"/>
      <c r="F1067" s="320"/>
      <c r="G1067" s="320"/>
      <c r="H1067" s="320"/>
      <c r="I1067" s="320"/>
      <c r="J1067" s="320"/>
      <c r="K1067" s="320"/>
      <c r="L1067" s="320"/>
      <c r="M1067" s="320"/>
      <c r="N1067" s="320"/>
      <c r="O1067" s="320"/>
      <c r="P1067" s="320"/>
      <c r="Q1067" s="320"/>
      <c r="R1067" s="320"/>
      <c r="S1067" s="320"/>
      <c r="T1067" s="320"/>
    </row>
    <row r="1068">
      <c r="A1068" s="362" t="str">
        <f>IFERROR(__xludf.DUMMYFUNCTION("""COMPUTED_VALUE"""),"Melon")</f>
        <v>Melon</v>
      </c>
      <c r="B1068" s="373">
        <f>IFERROR(__xludf.DUMMYFUNCTION("""COMPUTED_VALUE"""),1.55)</f>
        <v>1.55</v>
      </c>
      <c r="C1068" s="320"/>
      <c r="D1068" s="320"/>
      <c r="E1068" s="320"/>
      <c r="F1068" s="320"/>
      <c r="G1068" s="320"/>
      <c r="H1068" s="320"/>
      <c r="I1068" s="320"/>
      <c r="J1068" s="320"/>
      <c r="K1068" s="320"/>
      <c r="L1068" s="320"/>
      <c r="M1068" s="320"/>
      <c r="N1068" s="320"/>
      <c r="O1068" s="320"/>
      <c r="P1068" s="320"/>
      <c r="Q1068" s="320"/>
      <c r="R1068" s="320"/>
      <c r="S1068" s="320"/>
      <c r="T1068" s="320"/>
    </row>
    <row r="1069">
      <c r="A1069" s="362" t="str">
        <f>IFERROR(__xludf.DUMMYFUNCTION("""COMPUTED_VALUE"""),"Melon Block")</f>
        <v>Melon Block</v>
      </c>
      <c r="B1069" s="373">
        <f>IFERROR(__xludf.DUMMYFUNCTION("""COMPUTED_VALUE"""),38.967)</f>
        <v>38.967</v>
      </c>
      <c r="C1069" s="320"/>
      <c r="D1069" s="320"/>
      <c r="E1069" s="320"/>
      <c r="F1069" s="320"/>
      <c r="G1069" s="320"/>
      <c r="H1069" s="320"/>
      <c r="I1069" s="320"/>
      <c r="J1069" s="320"/>
      <c r="K1069" s="320"/>
      <c r="L1069" s="320"/>
      <c r="M1069" s="320"/>
      <c r="N1069" s="320"/>
      <c r="O1069" s="320"/>
      <c r="P1069" s="320"/>
      <c r="Q1069" s="320"/>
      <c r="R1069" s="320"/>
      <c r="S1069" s="320"/>
      <c r="T1069" s="320"/>
    </row>
    <row r="1070">
      <c r="A1070" s="362" t="str">
        <f>IFERROR(__xludf.DUMMYFUNCTION("""COMPUTED_VALUE"""),"Metaphysical Serum")</f>
        <v>Metaphysical Serum</v>
      </c>
      <c r="B1070" s="373">
        <f>IFERROR(__xludf.DUMMYFUNCTION("""COMPUTED_VALUE"""),353353.925)</f>
        <v>353353.925</v>
      </c>
      <c r="C1070" s="320"/>
      <c r="D1070" s="320"/>
      <c r="E1070" s="320"/>
      <c r="F1070" s="320"/>
      <c r="G1070" s="320"/>
      <c r="H1070" s="320"/>
      <c r="I1070" s="320"/>
      <c r="J1070" s="320"/>
      <c r="K1070" s="320"/>
      <c r="L1070" s="320"/>
      <c r="M1070" s="320"/>
      <c r="N1070" s="320"/>
      <c r="O1070" s="320"/>
      <c r="P1070" s="320"/>
      <c r="Q1070" s="320"/>
      <c r="R1070" s="320"/>
      <c r="S1070" s="320"/>
      <c r="T1070" s="320"/>
    </row>
    <row r="1071">
      <c r="A1071" s="362" t="str">
        <f>IFERROR(__xludf.DUMMYFUNCTION("""COMPUTED_VALUE"""),"Meteor Shard")</f>
        <v>Meteor Shard</v>
      </c>
      <c r="B1071" s="373">
        <f>IFERROR(__xludf.DUMMYFUNCTION("""COMPUTED_VALUE"""),1775076.3)</f>
        <v>1775076.3</v>
      </c>
      <c r="C1071" s="320"/>
      <c r="D1071" s="320"/>
      <c r="E1071" s="320"/>
      <c r="F1071" s="320"/>
      <c r="G1071" s="320"/>
      <c r="H1071" s="320"/>
      <c r="I1071" s="320"/>
      <c r="J1071" s="320"/>
      <c r="K1071" s="320"/>
      <c r="L1071" s="320"/>
      <c r="M1071" s="320"/>
      <c r="N1071" s="320"/>
      <c r="O1071" s="320"/>
      <c r="P1071" s="320"/>
      <c r="Q1071" s="320"/>
      <c r="R1071" s="320"/>
      <c r="S1071" s="320"/>
      <c r="T1071" s="320"/>
    </row>
    <row r="1072">
      <c r="A1072" s="362" t="str">
        <f>IFERROR(__xludf.DUMMYFUNCTION("""COMPUTED_VALUE"""),"Midas Jewel")</f>
        <v>Midas Jewel</v>
      </c>
      <c r="B1072" s="373">
        <f>IFERROR(__xludf.DUMMYFUNCTION("""COMPUTED_VALUE"""),29665.95)</f>
        <v>29665.95</v>
      </c>
      <c r="C1072" s="320"/>
      <c r="D1072" s="320"/>
      <c r="E1072" s="320"/>
      <c r="F1072" s="320"/>
      <c r="G1072" s="320"/>
      <c r="H1072" s="320"/>
      <c r="I1072" s="320"/>
      <c r="J1072" s="320"/>
      <c r="K1072" s="320"/>
      <c r="L1072" s="320"/>
      <c r="M1072" s="320"/>
      <c r="N1072" s="320"/>
      <c r="O1072" s="320"/>
      <c r="P1072" s="320"/>
      <c r="Q1072" s="320"/>
      <c r="R1072" s="320"/>
      <c r="S1072" s="320"/>
      <c r="T1072" s="320"/>
    </row>
    <row r="1073">
      <c r="A1073" s="362" t="str">
        <f>IFERROR(__xludf.DUMMYFUNCTION("""COMPUTED_VALUE"""),"Mimic Fragment")</f>
        <v>Mimic Fragment</v>
      </c>
      <c r="B1073" s="373">
        <f>IFERROR(__xludf.DUMMYFUNCTION("""COMPUTED_VALUE"""),1127.014)</f>
        <v>1127.014</v>
      </c>
      <c r="C1073" s="320"/>
      <c r="D1073" s="320"/>
      <c r="E1073" s="320"/>
      <c r="F1073" s="320"/>
      <c r="G1073" s="320"/>
      <c r="H1073" s="320"/>
      <c r="I1073" s="320"/>
      <c r="J1073" s="320"/>
      <c r="K1073" s="320"/>
      <c r="L1073" s="320"/>
      <c r="M1073" s="320"/>
      <c r="N1073" s="320"/>
      <c r="O1073" s="320"/>
      <c r="P1073" s="320"/>
      <c r="Q1073" s="320"/>
      <c r="R1073" s="320"/>
      <c r="S1073" s="320"/>
      <c r="T1073" s="320"/>
    </row>
    <row r="1074">
      <c r="A1074" s="362" t="str">
        <f>IFERROR(__xludf.DUMMYFUNCTION("""COMPUTED_VALUE"""),"Minion Expander")</f>
        <v>Minion Expander</v>
      </c>
      <c r="B1074" s="373">
        <f>IFERROR(__xludf.DUMMYFUNCTION("""COMPUTED_VALUE"""),83161.5)</f>
        <v>83161.5</v>
      </c>
      <c r="C1074" s="320"/>
      <c r="D1074" s="320"/>
      <c r="E1074" s="320"/>
      <c r="F1074" s="320"/>
      <c r="G1074" s="320"/>
      <c r="H1074" s="320"/>
      <c r="I1074" s="320"/>
      <c r="J1074" s="320"/>
      <c r="K1074" s="320"/>
      <c r="L1074" s="320"/>
      <c r="M1074" s="320"/>
      <c r="N1074" s="320"/>
      <c r="O1074" s="320"/>
      <c r="P1074" s="320"/>
      <c r="Q1074" s="320"/>
      <c r="R1074" s="320"/>
      <c r="S1074" s="320"/>
      <c r="T1074" s="320"/>
    </row>
    <row r="1075">
      <c r="A1075" s="362" t="str">
        <f>IFERROR(__xludf.DUMMYFUNCTION("""COMPUTED_VALUE"""),"Minnow Bait")</f>
        <v>Minnow Bait</v>
      </c>
      <c r="B1075" s="373">
        <f>IFERROR(__xludf.DUMMYFUNCTION("""COMPUTED_VALUE"""),28.55)</f>
        <v>28.55</v>
      </c>
      <c r="C1075" s="320"/>
      <c r="D1075" s="320"/>
      <c r="E1075" s="320"/>
      <c r="F1075" s="320"/>
      <c r="G1075" s="320"/>
      <c r="H1075" s="320"/>
      <c r="I1075" s="320"/>
      <c r="J1075" s="320"/>
      <c r="K1075" s="320"/>
      <c r="L1075" s="320"/>
      <c r="M1075" s="320"/>
      <c r="N1075" s="320"/>
      <c r="O1075" s="320"/>
      <c r="P1075" s="320"/>
      <c r="Q1075" s="320"/>
      <c r="R1075" s="320"/>
      <c r="S1075" s="320"/>
      <c r="T1075" s="320"/>
    </row>
    <row r="1076">
      <c r="A1076" s="362" t="str">
        <f>IFERROR(__xludf.DUMMYFUNCTION("""COMPUTED_VALUE"""),"Mite Gel")</f>
        <v>Mite Gel</v>
      </c>
      <c r="B1076" s="373">
        <f>IFERROR(__xludf.DUMMYFUNCTION("""COMPUTED_VALUE"""),1979.7)</f>
        <v>1979.7</v>
      </c>
      <c r="C1076" s="320"/>
      <c r="D1076" s="320"/>
      <c r="E1076" s="320"/>
      <c r="F1076" s="320"/>
      <c r="G1076" s="320"/>
      <c r="H1076" s="320"/>
      <c r="I1076" s="320"/>
      <c r="J1076" s="320"/>
      <c r="K1076" s="320"/>
      <c r="L1076" s="320"/>
      <c r="M1076" s="320"/>
      <c r="N1076" s="320"/>
      <c r="O1076" s="320"/>
      <c r="P1076" s="320"/>
      <c r="Q1076" s="320"/>
      <c r="R1076" s="320"/>
      <c r="S1076" s="320"/>
      <c r="T1076" s="320"/>
    </row>
    <row r="1077">
      <c r="A1077" s="362" t="str">
        <f>IFERROR(__xludf.DUMMYFUNCTION("""COMPUTED_VALUE"""),"Mithril")</f>
        <v>Mithril</v>
      </c>
      <c r="B1077" s="373">
        <f>IFERROR(__xludf.DUMMYFUNCTION("""COMPUTED_VALUE"""),7.784)</f>
        <v>7.784</v>
      </c>
      <c r="C1077" s="320"/>
      <c r="D1077" s="320"/>
      <c r="E1077" s="320"/>
      <c r="F1077" s="320"/>
      <c r="G1077" s="320"/>
      <c r="H1077" s="320"/>
      <c r="I1077" s="320"/>
      <c r="J1077" s="320"/>
      <c r="K1077" s="320"/>
      <c r="L1077" s="320"/>
      <c r="M1077" s="320"/>
      <c r="N1077" s="320"/>
      <c r="O1077" s="320"/>
      <c r="P1077" s="320"/>
      <c r="Q1077" s="320"/>
      <c r="R1077" s="320"/>
      <c r="S1077" s="320"/>
      <c r="T1077" s="320"/>
    </row>
    <row r="1078">
      <c r="A1078" s="362" t="str">
        <f>IFERROR(__xludf.DUMMYFUNCTION("""COMPUTED_VALUE"""),"Mithril Infusion")</f>
        <v>Mithril Infusion</v>
      </c>
      <c r="B1078" s="373">
        <f>IFERROR(__xludf.DUMMYFUNCTION("""COMPUTED_VALUE"""),5279295.067)</f>
        <v>5279295.067</v>
      </c>
      <c r="C1078" s="320"/>
      <c r="D1078" s="320"/>
      <c r="E1078" s="320"/>
      <c r="F1078" s="320"/>
      <c r="G1078" s="320"/>
      <c r="H1078" s="320"/>
      <c r="I1078" s="320"/>
      <c r="J1078" s="320"/>
      <c r="K1078" s="320"/>
      <c r="L1078" s="320"/>
      <c r="M1078" s="320"/>
      <c r="N1078" s="320"/>
      <c r="O1078" s="320"/>
      <c r="P1078" s="320"/>
      <c r="Q1078" s="320"/>
      <c r="R1078" s="320"/>
      <c r="S1078" s="320"/>
      <c r="T1078" s="320"/>
    </row>
    <row r="1079">
      <c r="A1079" s="362" t="str">
        <f>IFERROR(__xludf.DUMMYFUNCTION("""COMPUTED_VALUE"""),"Mithril Plate")</f>
        <v>Mithril Plate</v>
      </c>
      <c r="B1079" s="373">
        <f>IFERROR(__xludf.DUMMYFUNCTION("""COMPUTED_VALUE"""),5704882.37)</f>
        <v>5704882.37</v>
      </c>
      <c r="C1079" s="320"/>
      <c r="D1079" s="320"/>
      <c r="E1079" s="320"/>
      <c r="F1079" s="320"/>
      <c r="G1079" s="320"/>
      <c r="H1079" s="320"/>
      <c r="I1079" s="320"/>
      <c r="J1079" s="320"/>
      <c r="K1079" s="320"/>
      <c r="L1079" s="320"/>
      <c r="M1079" s="320"/>
      <c r="N1079" s="320"/>
      <c r="O1079" s="320"/>
      <c r="P1079" s="320"/>
      <c r="Q1079" s="320"/>
      <c r="R1079" s="320"/>
      <c r="S1079" s="320"/>
      <c r="T1079" s="320"/>
    </row>
    <row r="1080">
      <c r="A1080" s="362" t="str">
        <f>IFERROR(__xludf.DUMMYFUNCTION("""COMPUTED_VALUE"""),"Mixed Mite Gel")</f>
        <v>Mixed Mite Gel</v>
      </c>
      <c r="B1080" s="373">
        <f>IFERROR(__xludf.DUMMYFUNCTION("""COMPUTED_VALUE"""),138000.0)</f>
        <v>138000</v>
      </c>
      <c r="C1080" s="320"/>
      <c r="D1080" s="320"/>
      <c r="E1080" s="320"/>
      <c r="F1080" s="320"/>
      <c r="G1080" s="320"/>
      <c r="H1080" s="320"/>
      <c r="I1080" s="320"/>
      <c r="J1080" s="320"/>
      <c r="K1080" s="320"/>
      <c r="L1080" s="320"/>
      <c r="M1080" s="320"/>
      <c r="N1080" s="320"/>
      <c r="O1080" s="320"/>
      <c r="P1080" s="320"/>
      <c r="Q1080" s="320"/>
      <c r="R1080" s="320"/>
      <c r="S1080" s="320"/>
      <c r="T1080" s="320"/>
    </row>
    <row r="1081">
      <c r="A1081" s="362" t="str">
        <f>IFERROR(__xludf.DUMMYFUNCTION("""COMPUTED_VALUE"""),"Moil Log")</f>
        <v>Moil Log</v>
      </c>
      <c r="B1081" s="373"/>
      <c r="C1081" s="320"/>
      <c r="D1081" s="320"/>
      <c r="E1081" s="320"/>
      <c r="F1081" s="320"/>
      <c r="G1081" s="320"/>
      <c r="H1081" s="320"/>
      <c r="I1081" s="320"/>
      <c r="J1081" s="320"/>
      <c r="K1081" s="320"/>
      <c r="L1081" s="320"/>
      <c r="M1081" s="320"/>
      <c r="N1081" s="320"/>
      <c r="O1081" s="320"/>
      <c r="P1081" s="320"/>
      <c r="Q1081" s="320"/>
      <c r="R1081" s="320"/>
      <c r="S1081" s="320"/>
      <c r="T1081" s="320"/>
    </row>
    <row r="1082">
      <c r="A1082" s="362" t="str">
        <f>IFERROR(__xludf.DUMMYFUNCTION("""COMPUTED_VALUE"""),"Molten Cube")</f>
        <v>Molten Cube</v>
      </c>
      <c r="B1082" s="373">
        <f>IFERROR(__xludf.DUMMYFUNCTION("""COMPUTED_VALUE"""),2508.65)</f>
        <v>2508.65</v>
      </c>
      <c r="C1082" s="320"/>
      <c r="D1082" s="320"/>
      <c r="E1082" s="320"/>
      <c r="F1082" s="320"/>
      <c r="G1082" s="320"/>
      <c r="H1082" s="320"/>
      <c r="I1082" s="320"/>
      <c r="J1082" s="320"/>
      <c r="K1082" s="320"/>
      <c r="L1082" s="320"/>
      <c r="M1082" s="320"/>
      <c r="N1082" s="320"/>
      <c r="O1082" s="320"/>
      <c r="P1082" s="320"/>
      <c r="Q1082" s="320"/>
      <c r="R1082" s="320"/>
      <c r="S1082" s="320"/>
      <c r="T1082" s="320"/>
    </row>
    <row r="1083">
      <c r="A1083" s="362" t="str">
        <f>IFERROR(__xludf.DUMMYFUNCTION("""COMPUTED_VALUE"""),"Molten Powder")</f>
        <v>Molten Powder</v>
      </c>
      <c r="B1083" s="373">
        <f>IFERROR(__xludf.DUMMYFUNCTION("""COMPUTED_VALUE"""),405438.75)</f>
        <v>405438.75</v>
      </c>
      <c r="C1083" s="320"/>
      <c r="D1083" s="320"/>
      <c r="E1083" s="320"/>
      <c r="F1083" s="320"/>
      <c r="G1083" s="320"/>
      <c r="H1083" s="320"/>
      <c r="I1083" s="320"/>
      <c r="J1083" s="320"/>
      <c r="K1083" s="320"/>
      <c r="L1083" s="320"/>
      <c r="M1083" s="320"/>
      <c r="N1083" s="320"/>
      <c r="O1083" s="320"/>
      <c r="P1083" s="320"/>
      <c r="Q1083" s="320"/>
      <c r="R1083" s="320"/>
      <c r="S1083" s="320"/>
      <c r="T1083" s="320"/>
    </row>
    <row r="1084">
      <c r="A1084" s="362" t="str">
        <f>IFERROR(__xludf.DUMMYFUNCTION("""COMPUTED_VALUE"""),"Mutant Nether Wart")</f>
        <v>Mutant Nether Wart</v>
      </c>
      <c r="B1084" s="373">
        <f>IFERROR(__xludf.DUMMYFUNCTION("""COMPUTED_VALUE"""),101562.755)</f>
        <v>101562.755</v>
      </c>
      <c r="C1084" s="320"/>
      <c r="D1084" s="320"/>
      <c r="E1084" s="320"/>
      <c r="F1084" s="320"/>
      <c r="G1084" s="320"/>
      <c r="H1084" s="320"/>
      <c r="I1084" s="320"/>
      <c r="J1084" s="320"/>
      <c r="K1084" s="320"/>
      <c r="L1084" s="320"/>
      <c r="M1084" s="320"/>
      <c r="N1084" s="320"/>
      <c r="O1084" s="320"/>
      <c r="P1084" s="320"/>
      <c r="Q1084" s="320"/>
      <c r="R1084" s="320"/>
      <c r="S1084" s="320"/>
      <c r="T1084" s="320"/>
    </row>
    <row r="1085">
      <c r="A1085" s="362" t="str">
        <f>IFERROR(__xludf.DUMMYFUNCTION("""COMPUTED_VALUE"""),"Mutton")</f>
        <v>Mutton</v>
      </c>
      <c r="B1085" s="373">
        <f>IFERROR(__xludf.DUMMYFUNCTION("""COMPUTED_VALUE"""),25.05)</f>
        <v>25.05</v>
      </c>
      <c r="C1085" s="320"/>
      <c r="D1085" s="320"/>
      <c r="E1085" s="320"/>
      <c r="F1085" s="320"/>
      <c r="G1085" s="320"/>
      <c r="H1085" s="320"/>
      <c r="I1085" s="320"/>
      <c r="J1085" s="320"/>
      <c r="K1085" s="320"/>
      <c r="L1085" s="320"/>
      <c r="M1085" s="320"/>
      <c r="N1085" s="320"/>
      <c r="O1085" s="320"/>
      <c r="P1085" s="320"/>
      <c r="Q1085" s="320"/>
      <c r="R1085" s="320"/>
      <c r="S1085" s="320"/>
      <c r="T1085" s="320"/>
    </row>
    <row r="1086">
      <c r="A1086" s="362" t="str">
        <f>IFERROR(__xludf.DUMMYFUNCTION("""COMPUTED_VALUE"""),"Mycelium")</f>
        <v>Mycelium</v>
      </c>
      <c r="B1086" s="373">
        <f>IFERROR(__xludf.DUMMYFUNCTION("""COMPUTED_VALUE"""),57.517)</f>
        <v>57.517</v>
      </c>
      <c r="C1086" s="320"/>
      <c r="D1086" s="320"/>
      <c r="E1086" s="320"/>
      <c r="F1086" s="320"/>
      <c r="G1086" s="320"/>
      <c r="H1086" s="320"/>
      <c r="I1086" s="320"/>
      <c r="J1086" s="320"/>
      <c r="K1086" s="320"/>
      <c r="L1086" s="320"/>
      <c r="M1086" s="320"/>
      <c r="N1086" s="320"/>
      <c r="O1086" s="320"/>
      <c r="P1086" s="320"/>
      <c r="Q1086" s="320"/>
      <c r="R1086" s="320"/>
      <c r="S1086" s="320"/>
      <c r="T1086" s="320"/>
    </row>
    <row r="1087">
      <c r="A1087" s="362" t="str">
        <f>IFERROR(__xludf.DUMMYFUNCTION("""COMPUTED_VALUE"""),"Mystical Mushroom Soup")</f>
        <v>Mystical Mushroom Soup</v>
      </c>
      <c r="B1087" s="373">
        <f>IFERROR(__xludf.DUMMYFUNCTION("""COMPUTED_VALUE"""),6312.262)</f>
        <v>6312.262</v>
      </c>
      <c r="C1087" s="320"/>
      <c r="D1087" s="320"/>
      <c r="E1087" s="320"/>
      <c r="F1087" s="320"/>
      <c r="G1087" s="320"/>
      <c r="H1087" s="320"/>
      <c r="I1087" s="320"/>
      <c r="J1087" s="320"/>
      <c r="K1087" s="320"/>
      <c r="L1087" s="320"/>
      <c r="M1087" s="320"/>
      <c r="N1087" s="320"/>
      <c r="O1087" s="320"/>
      <c r="P1087" s="320"/>
      <c r="Q1087" s="320"/>
      <c r="R1087" s="320"/>
      <c r="S1087" s="320"/>
      <c r="T1087" s="320"/>
    </row>
    <row r="1088">
      <c r="A1088" s="362" t="str">
        <f>IFERROR(__xludf.DUMMYFUNCTION("""COMPUTED_VALUE"""),"Necromancer's Brooch")</f>
        <v>Necromancer's Brooch</v>
      </c>
      <c r="B1088" s="373">
        <f>IFERROR(__xludf.DUMMYFUNCTION("""COMPUTED_VALUE"""),52013.65)</f>
        <v>52013.65</v>
      </c>
      <c r="C1088" s="320"/>
      <c r="D1088" s="320"/>
      <c r="E1088" s="320"/>
      <c r="F1088" s="320"/>
      <c r="G1088" s="320"/>
      <c r="H1088" s="320"/>
      <c r="I1088" s="320"/>
      <c r="J1088" s="320"/>
      <c r="K1088" s="320"/>
      <c r="L1088" s="320"/>
      <c r="M1088" s="320"/>
      <c r="N1088" s="320"/>
      <c r="O1088" s="320"/>
      <c r="P1088" s="320"/>
      <c r="Q1088" s="320"/>
      <c r="R1088" s="320"/>
      <c r="S1088" s="320"/>
      <c r="T1088" s="320"/>
    </row>
    <row r="1089">
      <c r="A1089" s="362" t="str">
        <f>IFERROR(__xludf.DUMMYFUNCTION("""COMPUTED_VALUE"""),"Nether Quartz")</f>
        <v>Nether Quartz</v>
      </c>
      <c r="B1089" s="373">
        <f>IFERROR(__xludf.DUMMYFUNCTION("""COMPUTED_VALUE"""),29.501)</f>
        <v>29.501</v>
      </c>
      <c r="C1089" s="320"/>
      <c r="D1089" s="320"/>
      <c r="E1089" s="320"/>
      <c r="F1089" s="320"/>
      <c r="G1089" s="320"/>
      <c r="H1089" s="320"/>
      <c r="I1089" s="320"/>
      <c r="J1089" s="320"/>
      <c r="K1089" s="320"/>
      <c r="L1089" s="320"/>
      <c r="M1089" s="320"/>
      <c r="N1089" s="320"/>
      <c r="O1089" s="320"/>
      <c r="P1089" s="320"/>
      <c r="Q1089" s="320"/>
      <c r="R1089" s="320"/>
      <c r="S1089" s="320"/>
      <c r="T1089" s="320"/>
    </row>
    <row r="1090">
      <c r="A1090" s="362" t="str">
        <f>IFERROR(__xludf.DUMMYFUNCTION("""COMPUTED_VALUE"""),"Nether Wart")</f>
        <v>Nether Wart</v>
      </c>
      <c r="B1090" s="373">
        <f>IFERROR(__xludf.DUMMYFUNCTION("""COMPUTED_VALUE"""),6.018)</f>
        <v>6.018</v>
      </c>
      <c r="C1090" s="320"/>
      <c r="D1090" s="320"/>
      <c r="E1090" s="320"/>
      <c r="F1090" s="320"/>
      <c r="G1090" s="320"/>
      <c r="H1090" s="320"/>
      <c r="I1090" s="320"/>
      <c r="J1090" s="320"/>
      <c r="K1090" s="320"/>
      <c r="L1090" s="320"/>
      <c r="M1090" s="320"/>
      <c r="N1090" s="320"/>
      <c r="O1090" s="320"/>
      <c r="P1090" s="320"/>
      <c r="Q1090" s="320"/>
      <c r="R1090" s="320"/>
      <c r="S1090" s="320"/>
      <c r="T1090" s="320"/>
    </row>
    <row r="1091">
      <c r="A1091" s="362" t="str">
        <f>IFERROR(__xludf.DUMMYFUNCTION("""COMPUTED_VALUE"""),"Nether Wart Distillate")</f>
        <v>Nether Wart Distillate</v>
      </c>
      <c r="B1091" s="373">
        <f>IFERROR(__xludf.DUMMYFUNCTION("""COMPUTED_VALUE"""),5327.819)</f>
        <v>5327.819</v>
      </c>
      <c r="C1091" s="320"/>
      <c r="D1091" s="320"/>
      <c r="E1091" s="320"/>
      <c r="F1091" s="320"/>
      <c r="G1091" s="320"/>
      <c r="H1091" s="320"/>
      <c r="I1091" s="320"/>
      <c r="J1091" s="320"/>
      <c r="K1091" s="320"/>
      <c r="L1091" s="320"/>
      <c r="M1091" s="320"/>
      <c r="N1091" s="320"/>
      <c r="O1091" s="320"/>
      <c r="P1091" s="320"/>
      <c r="Q1091" s="320"/>
      <c r="R1091" s="320"/>
      <c r="S1091" s="320"/>
      <c r="T1091" s="320"/>
    </row>
    <row r="1092">
      <c r="A1092" s="362" t="str">
        <f>IFERROR(__xludf.DUMMYFUNCTION("""COMPUTED_VALUE"""),"Netherrack")</f>
        <v>Netherrack</v>
      </c>
      <c r="B1092" s="373">
        <f>IFERROR(__xludf.DUMMYFUNCTION("""COMPUTED_VALUE"""),0.45)</f>
        <v>0.45</v>
      </c>
      <c r="C1092" s="320"/>
      <c r="D1092" s="320"/>
      <c r="E1092" s="320"/>
      <c r="F1092" s="320"/>
      <c r="G1092" s="320"/>
      <c r="H1092" s="320"/>
      <c r="I1092" s="320"/>
      <c r="J1092" s="320"/>
      <c r="K1092" s="320"/>
      <c r="L1092" s="320"/>
      <c r="M1092" s="320"/>
      <c r="N1092" s="320"/>
      <c r="O1092" s="320"/>
      <c r="P1092" s="320"/>
      <c r="Q1092" s="320"/>
      <c r="R1092" s="320"/>
      <c r="S1092" s="320"/>
      <c r="T1092" s="320"/>
    </row>
    <row r="1093">
      <c r="A1093" s="362" t="str">
        <f>IFERROR(__xludf.DUMMYFUNCTION("""COMPUTED_VALUE"""),"Null Atom")</f>
        <v>Null Atom</v>
      </c>
      <c r="B1093" s="373">
        <f>IFERROR(__xludf.DUMMYFUNCTION("""COMPUTED_VALUE"""),33013.25)</f>
        <v>33013.25</v>
      </c>
      <c r="C1093" s="320"/>
      <c r="D1093" s="320"/>
      <c r="E1093" s="320"/>
      <c r="F1093" s="320"/>
      <c r="G1093" s="320"/>
      <c r="H1093" s="320"/>
      <c r="I1093" s="320"/>
      <c r="J1093" s="320"/>
      <c r="K1093" s="320"/>
      <c r="L1093" s="320"/>
      <c r="M1093" s="320"/>
      <c r="N1093" s="320"/>
      <c r="O1093" s="320"/>
      <c r="P1093" s="320"/>
      <c r="Q1093" s="320"/>
      <c r="R1093" s="320"/>
      <c r="S1093" s="320"/>
      <c r="T1093" s="320"/>
    </row>
    <row r="1094">
      <c r="A1094" s="362" t="str">
        <f>IFERROR(__xludf.DUMMYFUNCTION("""COMPUTED_VALUE"""),"Null Blade")</f>
        <v>Null Blade</v>
      </c>
      <c r="B1094" s="373">
        <f>IFERROR(__xludf.DUMMYFUNCTION("""COMPUTED_VALUE"""),5.525439905E7)</f>
        <v>55254399.05</v>
      </c>
      <c r="C1094" s="320"/>
      <c r="D1094" s="320"/>
      <c r="E1094" s="320"/>
      <c r="F1094" s="320"/>
      <c r="G1094" s="320"/>
      <c r="H1094" s="320"/>
      <c r="I1094" s="320"/>
      <c r="J1094" s="320"/>
      <c r="K1094" s="320"/>
      <c r="L1094" s="320"/>
      <c r="M1094" s="320"/>
      <c r="N1094" s="320"/>
      <c r="O1094" s="320"/>
      <c r="P1094" s="320"/>
      <c r="Q1094" s="320"/>
      <c r="R1094" s="320"/>
      <c r="S1094" s="320"/>
      <c r="T1094" s="320"/>
    </row>
    <row r="1095">
      <c r="A1095" s="362" t="str">
        <f>IFERROR(__xludf.DUMMYFUNCTION("""COMPUTED_VALUE"""),"Null Edge")</f>
        <v>Null Edge</v>
      </c>
      <c r="B1095" s="373">
        <f>IFERROR(__xludf.DUMMYFUNCTION("""COMPUTED_VALUE"""),326063.699)</f>
        <v>326063.699</v>
      </c>
      <c r="C1095" s="320"/>
      <c r="D1095" s="320"/>
      <c r="E1095" s="320"/>
      <c r="F1095" s="320"/>
      <c r="G1095" s="320"/>
      <c r="H1095" s="320"/>
      <c r="I1095" s="320"/>
      <c r="J1095" s="320"/>
      <c r="K1095" s="320"/>
      <c r="L1095" s="320"/>
      <c r="M1095" s="320"/>
      <c r="N1095" s="320"/>
      <c r="O1095" s="320"/>
      <c r="P1095" s="320"/>
      <c r="Q1095" s="320"/>
      <c r="R1095" s="320"/>
      <c r="S1095" s="320"/>
      <c r="T1095" s="320"/>
    </row>
    <row r="1096">
      <c r="A1096" s="362" t="str">
        <f>IFERROR(__xludf.DUMMYFUNCTION("""COMPUTED_VALUE"""),"Null Ovoid")</f>
        <v>Null Ovoid</v>
      </c>
      <c r="B1096" s="373">
        <f>IFERROR(__xludf.DUMMYFUNCTION("""COMPUTED_VALUE"""),152318.356)</f>
        <v>152318.356</v>
      </c>
      <c r="C1096" s="320"/>
      <c r="D1096" s="320"/>
      <c r="E1096" s="320"/>
      <c r="F1096" s="320"/>
      <c r="G1096" s="320"/>
      <c r="H1096" s="320"/>
      <c r="I1096" s="320"/>
      <c r="J1096" s="320"/>
      <c r="K1096" s="320"/>
      <c r="L1096" s="320"/>
      <c r="M1096" s="320"/>
      <c r="N1096" s="320"/>
      <c r="O1096" s="320"/>
      <c r="P1096" s="320"/>
      <c r="Q1096" s="320"/>
      <c r="R1096" s="320"/>
      <c r="S1096" s="320"/>
      <c r="T1096" s="320"/>
    </row>
    <row r="1097">
      <c r="A1097" s="362" t="str">
        <f>IFERROR(__xludf.DUMMYFUNCTION("""COMPUTED_VALUE"""),"Null Sphere")</f>
        <v>Null Sphere</v>
      </c>
      <c r="B1097" s="373">
        <f>IFERROR(__xludf.DUMMYFUNCTION("""COMPUTED_VALUE"""),40.315)</f>
        <v>40.315</v>
      </c>
      <c r="C1097" s="320"/>
      <c r="D1097" s="320"/>
      <c r="E1097" s="320"/>
      <c r="F1097" s="320"/>
      <c r="G1097" s="320"/>
      <c r="H1097" s="320"/>
      <c r="I1097" s="320"/>
      <c r="J1097" s="320"/>
      <c r="K1097" s="320"/>
      <c r="L1097" s="320"/>
      <c r="M1097" s="320"/>
      <c r="N1097" s="320"/>
      <c r="O1097" s="320"/>
      <c r="P1097" s="320"/>
      <c r="Q1097" s="320"/>
      <c r="R1097" s="320"/>
      <c r="S1097" s="320"/>
      <c r="T1097" s="320"/>
    </row>
    <row r="1098">
      <c r="A1098" s="362" t="str">
        <f>IFERROR(__xludf.DUMMYFUNCTION("""COMPUTED_VALUE"""),"Nurse Shark Tooth")</f>
        <v>Nurse Shark Tooth</v>
      </c>
      <c r="B1098" s="373">
        <f>IFERROR(__xludf.DUMMYFUNCTION("""COMPUTED_VALUE"""),131126.95)</f>
        <v>131126.95</v>
      </c>
      <c r="C1098" s="320"/>
      <c r="D1098" s="320"/>
      <c r="E1098" s="320"/>
      <c r="F1098" s="320"/>
      <c r="G1098" s="320"/>
      <c r="H1098" s="320"/>
      <c r="I1098" s="320"/>
      <c r="J1098" s="320"/>
      <c r="K1098" s="320"/>
      <c r="L1098" s="320"/>
      <c r="M1098" s="320"/>
      <c r="N1098" s="320"/>
      <c r="O1098" s="320"/>
      <c r="P1098" s="320"/>
      <c r="Q1098" s="320"/>
      <c r="R1098" s="320"/>
      <c r="S1098" s="320"/>
      <c r="T1098" s="320"/>
    </row>
    <row r="1099">
      <c r="A1099" s="362" t="str">
        <f>IFERROR(__xludf.DUMMYFUNCTION("""COMPUTED_VALUE"""),"Oak Wood")</f>
        <v>Oak Wood</v>
      </c>
      <c r="B1099" s="373">
        <f>IFERROR(__xludf.DUMMYFUNCTION("""COMPUTED_VALUE"""),12.95)</f>
        <v>12.95</v>
      </c>
      <c r="C1099" s="320"/>
      <c r="D1099" s="320"/>
      <c r="E1099" s="320"/>
      <c r="F1099" s="320"/>
      <c r="G1099" s="320"/>
      <c r="H1099" s="320"/>
      <c r="I1099" s="320"/>
      <c r="J1099" s="320"/>
      <c r="K1099" s="320"/>
      <c r="L1099" s="320"/>
      <c r="M1099" s="320"/>
      <c r="N1099" s="320"/>
      <c r="O1099" s="320"/>
      <c r="P1099" s="320"/>
      <c r="Q1099" s="320"/>
      <c r="R1099" s="320"/>
      <c r="S1099" s="320"/>
      <c r="T1099" s="320"/>
    </row>
    <row r="1100">
      <c r="A1100" s="362" t="str">
        <f>IFERROR(__xludf.DUMMYFUNCTION("""COMPUTED_VALUE"""),"Obsidian")</f>
        <v>Obsidian</v>
      </c>
      <c r="B1100" s="373">
        <f>IFERROR(__xludf.DUMMYFUNCTION("""COMPUTED_VALUE"""),25.963)</f>
        <v>25.963</v>
      </c>
      <c r="C1100" s="320"/>
      <c r="D1100" s="320"/>
      <c r="E1100" s="320"/>
      <c r="F1100" s="320"/>
      <c r="G1100" s="320"/>
      <c r="H1100" s="320"/>
      <c r="I1100" s="320"/>
      <c r="J1100" s="320"/>
      <c r="K1100" s="320"/>
      <c r="L1100" s="320"/>
      <c r="M1100" s="320"/>
      <c r="N1100" s="320"/>
      <c r="O1100" s="320"/>
      <c r="P1100" s="320"/>
      <c r="Q1100" s="320"/>
      <c r="R1100" s="320"/>
      <c r="S1100" s="320"/>
      <c r="T1100" s="320"/>
    </row>
    <row r="1101">
      <c r="A1101" s="362" t="str">
        <f>IFERROR(__xludf.DUMMYFUNCTION("""COMPUTED_VALUE"""),"Obsidian Tablet")</f>
        <v>Obsidian Tablet</v>
      </c>
      <c r="B1101" s="373">
        <f>IFERROR(__xludf.DUMMYFUNCTION("""COMPUTED_VALUE"""),3031348.75)</f>
        <v>3031348.75</v>
      </c>
      <c r="C1101" s="320"/>
      <c r="D1101" s="320"/>
      <c r="E1101" s="320"/>
      <c r="F1101" s="320"/>
      <c r="G1101" s="320"/>
      <c r="H1101" s="320"/>
      <c r="I1101" s="320"/>
      <c r="J1101" s="320"/>
      <c r="K1101" s="320"/>
      <c r="L1101" s="320"/>
      <c r="M1101" s="320"/>
      <c r="N1101" s="320"/>
      <c r="O1101" s="320"/>
      <c r="P1101" s="320"/>
      <c r="Q1101" s="320"/>
      <c r="R1101" s="320"/>
      <c r="S1101" s="320"/>
      <c r="T1101" s="320"/>
    </row>
    <row r="1102">
      <c r="A1102" s="362" t="str">
        <f>IFERROR(__xludf.DUMMYFUNCTION("""COMPUTED_VALUE"""),"Oil Barrel")</f>
        <v>Oil Barrel</v>
      </c>
      <c r="B1102" s="373">
        <f>IFERROR(__xludf.DUMMYFUNCTION("""COMPUTED_VALUE"""),6558.85)</f>
        <v>6558.85</v>
      </c>
      <c r="C1102" s="320"/>
      <c r="D1102" s="320"/>
      <c r="E1102" s="320"/>
      <c r="F1102" s="320"/>
      <c r="G1102" s="320"/>
      <c r="H1102" s="320"/>
      <c r="I1102" s="320"/>
      <c r="J1102" s="320"/>
      <c r="K1102" s="320"/>
      <c r="L1102" s="320"/>
      <c r="M1102" s="320"/>
      <c r="N1102" s="320"/>
      <c r="O1102" s="320"/>
      <c r="P1102" s="320"/>
      <c r="Q1102" s="320"/>
      <c r="R1102" s="320"/>
      <c r="S1102" s="320"/>
      <c r="T1102" s="320"/>
    </row>
    <row r="1103">
      <c r="A1103" s="362" t="str">
        <f>IFERROR(__xludf.DUMMYFUNCTION("""COMPUTED_VALUE"""),"Old Dragon Fragment")</f>
        <v>Old Dragon Fragment</v>
      </c>
      <c r="B1103" s="373">
        <f>IFERROR(__xludf.DUMMYFUNCTION("""COMPUTED_VALUE"""),10691.171)</f>
        <v>10691.171</v>
      </c>
      <c r="C1103" s="320"/>
      <c r="D1103" s="320"/>
      <c r="E1103" s="320"/>
      <c r="F1103" s="320"/>
      <c r="G1103" s="320"/>
      <c r="H1103" s="320"/>
      <c r="I1103" s="320"/>
      <c r="J1103" s="320"/>
      <c r="K1103" s="320"/>
      <c r="L1103" s="320"/>
      <c r="M1103" s="320"/>
      <c r="N1103" s="320"/>
      <c r="O1103" s="320"/>
      <c r="P1103" s="320"/>
      <c r="Q1103" s="320"/>
      <c r="R1103" s="320"/>
      <c r="S1103" s="320"/>
      <c r="T1103" s="320"/>
    </row>
    <row r="1104">
      <c r="A1104" s="362" t="str">
        <f>IFERROR(__xludf.DUMMYFUNCTION("""COMPUTED_VALUE"""),"Omega Enchanted Egg")</f>
        <v>Omega Enchanted Egg</v>
      </c>
      <c r="B1104" s="373">
        <f>IFERROR(__xludf.DUMMYFUNCTION("""COMPUTED_VALUE"""),544284.55)</f>
        <v>544284.55</v>
      </c>
      <c r="C1104" s="320"/>
      <c r="D1104" s="320"/>
      <c r="E1104" s="320"/>
      <c r="F1104" s="320"/>
      <c r="G1104" s="320"/>
      <c r="H1104" s="320"/>
      <c r="I1104" s="320"/>
      <c r="J1104" s="320"/>
      <c r="K1104" s="320"/>
      <c r="L1104" s="320"/>
      <c r="M1104" s="320"/>
      <c r="N1104" s="320"/>
      <c r="O1104" s="320"/>
      <c r="P1104" s="320"/>
      <c r="Q1104" s="320"/>
      <c r="R1104" s="320"/>
      <c r="S1104" s="320"/>
      <c r="T1104" s="320"/>
    </row>
    <row r="1105">
      <c r="A1105" s="362" t="str">
        <f>IFERROR(__xludf.DUMMYFUNCTION("""COMPUTED_VALUE"""),"Onyx")</f>
        <v>Onyx</v>
      </c>
      <c r="B1105" s="373">
        <f>IFERROR(__xludf.DUMMYFUNCTION("""COMPUTED_VALUE"""),1552.327)</f>
        <v>1552.327</v>
      </c>
      <c r="C1105" s="320"/>
      <c r="D1105" s="320"/>
      <c r="E1105" s="320"/>
      <c r="F1105" s="320"/>
      <c r="G1105" s="320"/>
      <c r="H1105" s="320"/>
      <c r="I1105" s="320"/>
      <c r="J1105" s="320"/>
      <c r="K1105" s="320"/>
      <c r="L1105" s="320"/>
      <c r="M1105" s="320"/>
      <c r="N1105" s="320"/>
      <c r="O1105" s="320"/>
      <c r="P1105" s="320"/>
      <c r="Q1105" s="320"/>
      <c r="R1105" s="320"/>
      <c r="S1105" s="320"/>
      <c r="T1105" s="320"/>
    </row>
    <row r="1106">
      <c r="A1106" s="362" t="str">
        <f>IFERROR(__xludf.DUMMYFUNCTION("""COMPUTED_VALUE"""),"Optical Lens")</f>
        <v>Optical Lens</v>
      </c>
      <c r="B1106" s="373">
        <f>IFERROR(__xludf.DUMMYFUNCTION("""COMPUTED_VALUE"""),2264.3)</f>
        <v>2264.3</v>
      </c>
      <c r="C1106" s="320"/>
      <c r="D1106" s="320"/>
      <c r="E1106" s="320"/>
      <c r="F1106" s="320"/>
      <c r="G1106" s="320"/>
      <c r="H1106" s="320"/>
      <c r="I1106" s="320"/>
      <c r="J1106" s="320"/>
      <c r="K1106" s="320"/>
      <c r="L1106" s="320"/>
      <c r="M1106" s="320"/>
      <c r="N1106" s="320"/>
      <c r="O1106" s="320"/>
      <c r="P1106" s="320"/>
      <c r="Q1106" s="320"/>
      <c r="R1106" s="320"/>
      <c r="S1106" s="320"/>
      <c r="T1106" s="320"/>
    </row>
    <row r="1107">
      <c r="A1107" s="362" t="str">
        <f>IFERROR(__xludf.DUMMYFUNCTION("""COMPUTED_VALUE"""),"Overgrown Grass")</f>
        <v>Overgrown Grass</v>
      </c>
      <c r="B1107" s="373">
        <f>IFERROR(__xludf.DUMMYFUNCTION("""COMPUTED_VALUE"""),5.60901757E7)</f>
        <v>56090175.7</v>
      </c>
      <c r="C1107" s="320"/>
      <c r="D1107" s="320"/>
      <c r="E1107" s="320"/>
      <c r="F1107" s="320"/>
      <c r="G1107" s="320"/>
      <c r="H1107" s="320"/>
      <c r="I1107" s="320"/>
      <c r="J1107" s="320"/>
      <c r="K1107" s="320"/>
      <c r="L1107" s="320"/>
      <c r="M1107" s="320"/>
      <c r="N1107" s="320"/>
      <c r="O1107" s="320"/>
      <c r="P1107" s="320"/>
      <c r="Q1107" s="320"/>
      <c r="R1107" s="320"/>
      <c r="S1107" s="320"/>
      <c r="T1107" s="320"/>
    </row>
    <row r="1108">
      <c r="A1108" s="362" t="str">
        <f>IFERROR(__xludf.DUMMYFUNCTION("""COMPUTED_VALUE"""),"Packed Ice")</f>
        <v>Packed Ice</v>
      </c>
      <c r="B1108" s="373">
        <f>IFERROR(__xludf.DUMMYFUNCTION("""COMPUTED_VALUE"""),44.878)</f>
        <v>44.878</v>
      </c>
      <c r="C1108" s="320"/>
      <c r="D1108" s="320"/>
      <c r="E1108" s="320"/>
      <c r="F1108" s="320"/>
      <c r="G1108" s="320"/>
      <c r="H1108" s="320"/>
      <c r="I1108" s="320"/>
      <c r="J1108" s="320"/>
      <c r="K1108" s="320"/>
      <c r="L1108" s="320"/>
      <c r="M1108" s="320"/>
      <c r="N1108" s="320"/>
      <c r="O1108" s="320"/>
      <c r="P1108" s="320"/>
      <c r="Q1108" s="320"/>
      <c r="R1108" s="320"/>
      <c r="S1108" s="320"/>
      <c r="T1108" s="320"/>
    </row>
    <row r="1109">
      <c r="A1109" s="362" t="str">
        <f>IFERROR(__xludf.DUMMYFUNCTION("""COMPUTED_VALUE"""),"Perfect Amber Gemstone")</f>
        <v>Perfect Amber Gemstone</v>
      </c>
      <c r="B1109" s="373">
        <f>IFERROR(__xludf.DUMMYFUNCTION("""COMPUTED_VALUE"""),1.20414984E7)</f>
        <v>12041498.4</v>
      </c>
      <c r="C1109" s="320"/>
      <c r="D1109" s="320"/>
      <c r="E1109" s="320"/>
      <c r="F1109" s="320"/>
      <c r="G1109" s="320"/>
      <c r="H1109" s="320"/>
      <c r="I1109" s="320"/>
      <c r="J1109" s="320"/>
      <c r="K1109" s="320"/>
      <c r="L1109" s="320"/>
      <c r="M1109" s="320"/>
      <c r="N1109" s="320"/>
      <c r="O1109" s="320"/>
      <c r="P1109" s="320"/>
      <c r="Q1109" s="320"/>
      <c r="R1109" s="320"/>
      <c r="S1109" s="320"/>
      <c r="T1109" s="320"/>
    </row>
    <row r="1110">
      <c r="A1110" s="362" t="str">
        <f>IFERROR(__xludf.DUMMYFUNCTION("""COMPUTED_VALUE"""),"Perfect Amethyst Gemstone")</f>
        <v>Perfect Amethyst Gemstone</v>
      </c>
      <c r="B1110" s="373">
        <f>IFERROR(__xludf.DUMMYFUNCTION("""COMPUTED_VALUE"""),1.362278055E7)</f>
        <v>13622780.55</v>
      </c>
      <c r="C1110" s="320"/>
      <c r="D1110" s="320"/>
      <c r="E1110" s="320"/>
      <c r="F1110" s="320"/>
      <c r="G1110" s="320"/>
      <c r="H1110" s="320"/>
      <c r="I1110" s="320"/>
      <c r="J1110" s="320"/>
      <c r="K1110" s="320"/>
      <c r="L1110" s="320"/>
      <c r="M1110" s="320"/>
      <c r="N1110" s="320"/>
      <c r="O1110" s="320"/>
      <c r="P1110" s="320"/>
      <c r="Q1110" s="320"/>
      <c r="R1110" s="320"/>
      <c r="S1110" s="320"/>
      <c r="T1110" s="320"/>
    </row>
    <row r="1111">
      <c r="A1111" s="362" t="str">
        <f>IFERROR(__xludf.DUMMYFUNCTION("""COMPUTED_VALUE"""),"Perfect Jade Gemstone")</f>
        <v>Perfect Jade Gemstone</v>
      </c>
      <c r="B1111" s="373">
        <f>IFERROR(__xludf.DUMMYFUNCTION("""COMPUTED_VALUE"""),1.256069705E7)</f>
        <v>12560697.05</v>
      </c>
      <c r="C1111" s="320"/>
      <c r="D1111" s="320"/>
      <c r="E1111" s="320"/>
      <c r="F1111" s="320"/>
      <c r="G1111" s="320"/>
      <c r="H1111" s="320"/>
      <c r="I1111" s="320"/>
      <c r="J1111" s="320"/>
      <c r="K1111" s="320"/>
      <c r="L1111" s="320"/>
      <c r="M1111" s="320"/>
      <c r="N1111" s="320"/>
      <c r="O1111" s="320"/>
      <c r="P1111" s="320"/>
      <c r="Q1111" s="320"/>
      <c r="R1111" s="320"/>
      <c r="S1111" s="320"/>
      <c r="T1111" s="320"/>
    </row>
    <row r="1112">
      <c r="A1112" s="362" t="str">
        <f>IFERROR(__xludf.DUMMYFUNCTION("""COMPUTED_VALUE"""),"Perfect Jasper Gemstone")</f>
        <v>Perfect Jasper Gemstone</v>
      </c>
      <c r="B1112" s="373">
        <f>IFERROR(__xludf.DUMMYFUNCTION("""COMPUTED_VALUE"""),3.84244711E7)</f>
        <v>38424471.1</v>
      </c>
      <c r="C1112" s="320"/>
      <c r="D1112" s="320"/>
      <c r="E1112" s="320"/>
      <c r="F1112" s="320"/>
      <c r="G1112" s="320"/>
      <c r="H1112" s="320"/>
      <c r="I1112" s="320"/>
      <c r="J1112" s="320"/>
      <c r="K1112" s="320"/>
      <c r="L1112" s="320"/>
      <c r="M1112" s="320"/>
      <c r="N1112" s="320"/>
      <c r="O1112" s="320"/>
      <c r="P1112" s="320"/>
      <c r="Q1112" s="320"/>
      <c r="R1112" s="320"/>
      <c r="S1112" s="320"/>
      <c r="T1112" s="320"/>
    </row>
    <row r="1113">
      <c r="A1113" s="362" t="str">
        <f>IFERROR(__xludf.DUMMYFUNCTION("""COMPUTED_VALUE"""),"Perfect Opal Gemstone")</f>
        <v>Perfect Opal Gemstone</v>
      </c>
      <c r="B1113" s="373">
        <f>IFERROR(__xludf.DUMMYFUNCTION("""COMPUTED_VALUE"""),1.45187522E7)</f>
        <v>14518752.2</v>
      </c>
      <c r="C1113" s="320"/>
      <c r="D1113" s="320"/>
      <c r="E1113" s="320"/>
      <c r="F1113" s="320"/>
      <c r="G1113" s="320"/>
      <c r="H1113" s="320"/>
      <c r="I1113" s="320"/>
      <c r="J1113" s="320"/>
      <c r="K1113" s="320"/>
      <c r="L1113" s="320"/>
      <c r="M1113" s="320"/>
      <c r="N1113" s="320"/>
      <c r="O1113" s="320"/>
      <c r="P1113" s="320"/>
      <c r="Q1113" s="320"/>
      <c r="R1113" s="320"/>
      <c r="S1113" s="320"/>
      <c r="T1113" s="320"/>
    </row>
    <row r="1114">
      <c r="A1114" s="362" t="str">
        <f>IFERROR(__xludf.DUMMYFUNCTION("""COMPUTED_VALUE"""),"Perfect Ruby Gemstone")</f>
        <v>Perfect Ruby Gemstone</v>
      </c>
      <c r="B1114" s="373">
        <f>IFERROR(__xludf.DUMMYFUNCTION("""COMPUTED_VALUE"""),9698999.75)</f>
        <v>9698999.75</v>
      </c>
      <c r="C1114" s="320"/>
      <c r="D1114" s="320"/>
      <c r="E1114" s="320"/>
      <c r="F1114" s="320"/>
      <c r="G1114" s="320"/>
      <c r="H1114" s="320"/>
      <c r="I1114" s="320"/>
      <c r="J1114" s="320"/>
      <c r="K1114" s="320"/>
      <c r="L1114" s="320"/>
      <c r="M1114" s="320"/>
      <c r="N1114" s="320"/>
      <c r="O1114" s="320"/>
      <c r="P1114" s="320"/>
      <c r="Q1114" s="320"/>
      <c r="R1114" s="320"/>
      <c r="S1114" s="320"/>
      <c r="T1114" s="320"/>
    </row>
    <row r="1115">
      <c r="A1115" s="362" t="str">
        <f>IFERROR(__xludf.DUMMYFUNCTION("""COMPUTED_VALUE"""),"Perfect Sapphire Gemstone")</f>
        <v>Perfect Sapphire Gemstone</v>
      </c>
      <c r="B1115" s="373">
        <f>IFERROR(__xludf.DUMMYFUNCTION("""COMPUTED_VALUE"""),1.3460552075E7)</f>
        <v>13460552.08</v>
      </c>
      <c r="C1115" s="320"/>
      <c r="D1115" s="320"/>
      <c r="E1115" s="320"/>
      <c r="F1115" s="320"/>
      <c r="G1115" s="320"/>
      <c r="H1115" s="320"/>
      <c r="I1115" s="320"/>
      <c r="J1115" s="320"/>
      <c r="K1115" s="320"/>
      <c r="L1115" s="320"/>
      <c r="M1115" s="320"/>
      <c r="N1115" s="320"/>
      <c r="O1115" s="320"/>
      <c r="P1115" s="320"/>
      <c r="Q1115" s="320"/>
      <c r="R1115" s="320"/>
      <c r="S1115" s="320"/>
      <c r="T1115" s="320"/>
    </row>
    <row r="1116">
      <c r="A1116" s="362" t="str">
        <f>IFERROR(__xludf.DUMMYFUNCTION("""COMPUTED_VALUE"""),"Perfect Topaz Gemstone")</f>
        <v>Perfect Topaz Gemstone</v>
      </c>
      <c r="B1116" s="373">
        <f>IFERROR(__xludf.DUMMYFUNCTION("""COMPUTED_VALUE"""),1.2952154167E7)</f>
        <v>12952154.17</v>
      </c>
      <c r="C1116" s="320"/>
      <c r="D1116" s="320"/>
      <c r="E1116" s="320"/>
      <c r="F1116" s="320"/>
      <c r="G1116" s="320"/>
      <c r="H1116" s="320"/>
      <c r="I1116" s="320"/>
      <c r="J1116" s="320"/>
      <c r="K1116" s="320"/>
      <c r="L1116" s="320"/>
      <c r="M1116" s="320"/>
      <c r="N1116" s="320"/>
      <c r="O1116" s="320"/>
      <c r="P1116" s="320"/>
      <c r="Q1116" s="320"/>
      <c r="R1116" s="320"/>
      <c r="S1116" s="320"/>
      <c r="T1116" s="320"/>
    </row>
    <row r="1117">
      <c r="A1117" s="362" t="str">
        <f>IFERROR(__xludf.DUMMYFUNCTION("""COMPUTED_VALUE"""),"Petrified Starfall")</f>
        <v>Petrified Starfall</v>
      </c>
      <c r="B1117" s="373">
        <f>IFERROR(__xludf.DUMMYFUNCTION("""COMPUTED_VALUE"""),549872.95)</f>
        <v>549872.95</v>
      </c>
      <c r="C1117" s="320"/>
      <c r="D1117" s="320"/>
      <c r="E1117" s="320"/>
      <c r="F1117" s="320"/>
      <c r="G1117" s="320"/>
      <c r="H1117" s="320"/>
      <c r="I1117" s="320"/>
      <c r="J1117" s="320"/>
      <c r="K1117" s="320"/>
      <c r="L1117" s="320"/>
      <c r="M1117" s="320"/>
      <c r="N1117" s="320"/>
      <c r="O1117" s="320"/>
      <c r="P1117" s="320"/>
      <c r="Q1117" s="320"/>
      <c r="R1117" s="320"/>
      <c r="S1117" s="320"/>
      <c r="T1117" s="320"/>
    </row>
    <row r="1118">
      <c r="A1118" s="362" t="str">
        <f>IFERROR(__xludf.DUMMYFUNCTION("""COMPUTED_VALUE"""),"Pitchin' Koi")</f>
        <v>Pitchin' Koi</v>
      </c>
      <c r="B1118" s="373">
        <f>IFERROR(__xludf.DUMMYFUNCTION("""COMPUTED_VALUE"""),21596.6)</f>
        <v>21596.6</v>
      </c>
      <c r="C1118" s="320"/>
      <c r="D1118" s="320"/>
      <c r="E1118" s="320"/>
      <c r="F1118" s="320"/>
      <c r="G1118" s="320"/>
      <c r="H1118" s="320"/>
      <c r="I1118" s="320"/>
      <c r="J1118" s="320"/>
      <c r="K1118" s="320"/>
      <c r="L1118" s="320"/>
      <c r="M1118" s="320"/>
      <c r="N1118" s="320"/>
      <c r="O1118" s="320"/>
      <c r="P1118" s="320"/>
      <c r="Q1118" s="320"/>
      <c r="R1118" s="320"/>
      <c r="S1118" s="320"/>
      <c r="T1118" s="320"/>
    </row>
    <row r="1119">
      <c r="A1119" s="362" t="str">
        <f>IFERROR(__xludf.DUMMYFUNCTION("""COMPUTED_VALUE"""),"Plant Matter")</f>
        <v>Plant Matter</v>
      </c>
      <c r="B1119" s="373">
        <f>IFERROR(__xludf.DUMMYFUNCTION("""COMPUTED_VALUE"""),29087.7)</f>
        <v>29087.7</v>
      </c>
      <c r="C1119" s="320"/>
      <c r="D1119" s="320"/>
      <c r="E1119" s="320"/>
      <c r="F1119" s="320"/>
      <c r="G1119" s="320"/>
      <c r="H1119" s="320"/>
      <c r="I1119" s="320"/>
      <c r="J1119" s="320"/>
      <c r="K1119" s="320"/>
      <c r="L1119" s="320"/>
      <c r="M1119" s="320"/>
      <c r="N1119" s="320"/>
      <c r="O1119" s="320"/>
      <c r="P1119" s="320"/>
      <c r="Q1119" s="320"/>
      <c r="R1119" s="320"/>
      <c r="S1119" s="320"/>
      <c r="T1119" s="320"/>
    </row>
    <row r="1120">
      <c r="A1120" s="362" t="str">
        <f>IFERROR(__xludf.DUMMYFUNCTION("""COMPUTED_VALUE"""),"Plasma")</f>
        <v>Plasma</v>
      </c>
      <c r="B1120" s="373">
        <f>IFERROR(__xludf.DUMMYFUNCTION("""COMPUTED_VALUE"""),20127.985)</f>
        <v>20127.985</v>
      </c>
      <c r="C1120" s="320"/>
      <c r="D1120" s="320"/>
      <c r="E1120" s="320"/>
      <c r="F1120" s="320"/>
      <c r="G1120" s="320"/>
      <c r="H1120" s="320"/>
      <c r="I1120" s="320"/>
      <c r="J1120" s="320"/>
      <c r="K1120" s="320"/>
      <c r="L1120" s="320"/>
      <c r="M1120" s="320"/>
      <c r="N1120" s="320"/>
      <c r="O1120" s="320"/>
      <c r="P1120" s="320"/>
      <c r="Q1120" s="320"/>
      <c r="R1120" s="320"/>
      <c r="S1120" s="320"/>
      <c r="T1120" s="320"/>
    </row>
    <row r="1121">
      <c r="A1121" s="362" t="str">
        <f>IFERROR(__xludf.DUMMYFUNCTION("""COMPUTED_VALUE"""),"Plasma Bucket")</f>
        <v>Plasma Bucket</v>
      </c>
      <c r="B1121" s="373">
        <f>IFERROR(__xludf.DUMMYFUNCTION("""COMPUTED_VALUE"""),1.2835605E7)</f>
        <v>12835605</v>
      </c>
      <c r="C1121" s="320"/>
      <c r="D1121" s="320"/>
      <c r="E1121" s="320"/>
      <c r="F1121" s="320"/>
      <c r="G1121" s="320"/>
      <c r="H1121" s="320"/>
      <c r="I1121" s="320"/>
      <c r="J1121" s="320"/>
      <c r="K1121" s="320"/>
      <c r="L1121" s="320"/>
      <c r="M1121" s="320"/>
      <c r="N1121" s="320"/>
      <c r="O1121" s="320"/>
      <c r="P1121" s="320"/>
      <c r="Q1121" s="320"/>
      <c r="R1121" s="320"/>
      <c r="S1121" s="320"/>
      <c r="T1121" s="320"/>
    </row>
    <row r="1122">
      <c r="A1122" s="362" t="str">
        <f>IFERROR(__xludf.DUMMYFUNCTION("""COMPUTED_VALUE"""),"Poison Sample")</f>
        <v>Poison Sample</v>
      </c>
      <c r="B1122" s="373">
        <f>IFERROR(__xludf.DUMMYFUNCTION("""COMPUTED_VALUE"""),1181402.15)</f>
        <v>1181402.15</v>
      </c>
      <c r="C1122" s="320"/>
      <c r="D1122" s="320"/>
      <c r="E1122" s="320"/>
      <c r="F1122" s="320"/>
      <c r="G1122" s="320"/>
      <c r="H1122" s="320"/>
      <c r="I1122" s="320"/>
      <c r="J1122" s="320"/>
      <c r="K1122" s="320"/>
      <c r="L1122" s="320"/>
      <c r="M1122" s="320"/>
      <c r="N1122" s="320"/>
      <c r="O1122" s="320"/>
      <c r="P1122" s="320"/>
      <c r="Q1122" s="320"/>
      <c r="R1122" s="320"/>
      <c r="S1122" s="320"/>
      <c r="T1122" s="320"/>
    </row>
    <row r="1123">
      <c r="A1123" s="362" t="str">
        <f>IFERROR(__xludf.DUMMYFUNCTION("""COMPUTED_VALUE"""),"Poisonous Potato")</f>
        <v>Poisonous Potato</v>
      </c>
      <c r="B1123" s="373">
        <f>IFERROR(__xludf.DUMMYFUNCTION("""COMPUTED_VALUE"""),10.6)</f>
        <v>10.6</v>
      </c>
      <c r="C1123" s="320"/>
      <c r="D1123" s="320"/>
      <c r="E1123" s="320"/>
      <c r="F1123" s="320"/>
      <c r="G1123" s="320"/>
      <c r="H1123" s="320"/>
      <c r="I1123" s="320"/>
      <c r="J1123" s="320"/>
      <c r="K1123" s="320"/>
      <c r="L1123" s="320"/>
      <c r="M1123" s="320"/>
      <c r="N1123" s="320"/>
      <c r="O1123" s="320"/>
      <c r="P1123" s="320"/>
      <c r="Q1123" s="320"/>
      <c r="R1123" s="320"/>
      <c r="S1123" s="320"/>
      <c r="T1123" s="320"/>
    </row>
    <row r="1124">
      <c r="A1124" s="362" t="str">
        <f>IFERROR(__xludf.DUMMYFUNCTION("""COMPUTED_VALUE"""),"Polarvoid Book")</f>
        <v>Polarvoid Book</v>
      </c>
      <c r="B1124" s="373">
        <f>IFERROR(__xludf.DUMMYFUNCTION("""COMPUTED_VALUE"""),1991955.583)</f>
        <v>1991955.583</v>
      </c>
      <c r="C1124" s="320"/>
      <c r="D1124" s="320"/>
      <c r="E1124" s="320"/>
      <c r="F1124" s="320"/>
      <c r="G1124" s="320"/>
      <c r="H1124" s="320"/>
      <c r="I1124" s="320"/>
      <c r="J1124" s="320"/>
      <c r="K1124" s="320"/>
      <c r="L1124" s="320"/>
      <c r="M1124" s="320"/>
      <c r="N1124" s="320"/>
      <c r="O1124" s="320"/>
      <c r="P1124" s="320"/>
      <c r="Q1124" s="320"/>
      <c r="R1124" s="320"/>
      <c r="S1124" s="320"/>
      <c r="T1124" s="320"/>
    </row>
    <row r="1125">
      <c r="A1125" s="362" t="str">
        <f>IFERROR(__xludf.DUMMYFUNCTION("""COMPUTED_VALUE"""),"Polished Pumpkin")</f>
        <v>Polished Pumpkin</v>
      </c>
      <c r="B1125" s="373">
        <f>IFERROR(__xludf.DUMMYFUNCTION("""COMPUTED_VALUE"""),254873.042)</f>
        <v>254873.042</v>
      </c>
      <c r="C1125" s="320"/>
      <c r="D1125" s="320"/>
      <c r="E1125" s="320"/>
      <c r="F1125" s="320"/>
      <c r="G1125" s="320"/>
      <c r="H1125" s="320"/>
      <c r="I1125" s="320"/>
      <c r="J1125" s="320"/>
      <c r="K1125" s="320"/>
      <c r="L1125" s="320"/>
      <c r="M1125" s="320"/>
      <c r="N1125" s="320"/>
      <c r="O1125" s="320"/>
      <c r="P1125" s="320"/>
      <c r="Q1125" s="320"/>
      <c r="R1125" s="320"/>
      <c r="S1125" s="320"/>
      <c r="T1125" s="320"/>
    </row>
    <row r="1126">
      <c r="A1126" s="362" t="str">
        <f>IFERROR(__xludf.DUMMYFUNCTION("""COMPUTED_VALUE"""),"Poppy")</f>
        <v>Poppy</v>
      </c>
      <c r="B1126" s="373">
        <f>IFERROR(__xludf.DUMMYFUNCTION("""COMPUTED_VALUE"""),52.704)</f>
        <v>52.704</v>
      </c>
      <c r="C1126" s="320"/>
      <c r="D1126" s="320"/>
      <c r="E1126" s="320"/>
      <c r="F1126" s="320"/>
      <c r="G1126" s="320"/>
      <c r="H1126" s="320"/>
      <c r="I1126" s="320"/>
      <c r="J1126" s="320"/>
      <c r="K1126" s="320"/>
      <c r="L1126" s="320"/>
      <c r="M1126" s="320"/>
      <c r="N1126" s="320"/>
      <c r="O1126" s="320"/>
      <c r="P1126" s="320"/>
      <c r="Q1126" s="320"/>
      <c r="R1126" s="320"/>
      <c r="S1126" s="320"/>
      <c r="T1126" s="320"/>
    </row>
    <row r="1127">
      <c r="A1127" s="362" t="str">
        <f>IFERROR(__xludf.DUMMYFUNCTION("""COMPUTED_VALUE"""),"Potato")</f>
        <v>Potato</v>
      </c>
      <c r="B1127" s="373">
        <f>IFERROR(__xludf.DUMMYFUNCTION("""COMPUTED_VALUE"""),555.661)</f>
        <v>555.661</v>
      </c>
      <c r="C1127" s="320"/>
      <c r="D1127" s="320"/>
      <c r="E1127" s="320"/>
      <c r="F1127" s="320"/>
      <c r="G1127" s="320"/>
      <c r="H1127" s="320"/>
      <c r="I1127" s="320"/>
      <c r="J1127" s="320"/>
      <c r="K1127" s="320"/>
      <c r="L1127" s="320"/>
      <c r="M1127" s="320"/>
      <c r="N1127" s="320"/>
      <c r="O1127" s="320"/>
      <c r="P1127" s="320"/>
      <c r="Q1127" s="320"/>
      <c r="R1127" s="320"/>
      <c r="S1127" s="320"/>
      <c r="T1127" s="320"/>
    </row>
    <row r="1128">
      <c r="A1128" s="362" t="str">
        <f>IFERROR(__xludf.DUMMYFUNCTION("""COMPUTED_VALUE"""),"Potato Spreading")</f>
        <v>Potato Spreading</v>
      </c>
      <c r="B1128" s="373">
        <f>IFERROR(__xludf.DUMMYFUNCTION("""COMPUTED_VALUE"""),4029.4)</f>
        <v>4029.4</v>
      </c>
      <c r="C1128" s="320"/>
      <c r="D1128" s="320"/>
      <c r="E1128" s="320"/>
      <c r="F1128" s="320"/>
      <c r="G1128" s="320"/>
      <c r="H1128" s="320"/>
      <c r="I1128" s="320"/>
      <c r="J1128" s="320"/>
      <c r="K1128" s="320"/>
      <c r="L1128" s="320"/>
      <c r="M1128" s="320"/>
      <c r="N1128" s="320"/>
      <c r="O1128" s="320"/>
      <c r="P1128" s="320"/>
      <c r="Q1128" s="320"/>
      <c r="R1128" s="320"/>
      <c r="S1128" s="320"/>
      <c r="T1128" s="320"/>
    </row>
    <row r="1129">
      <c r="A1129" s="362" t="str">
        <f>IFERROR(__xludf.DUMMYFUNCTION("""COMPUTED_VALUE"""),"Power Crystal")</f>
        <v>Power Crystal</v>
      </c>
      <c r="B1129" s="373">
        <f>IFERROR(__xludf.DUMMYFUNCTION("""COMPUTED_VALUE"""),749877.0)</f>
        <v>749877</v>
      </c>
      <c r="C1129" s="320"/>
      <c r="D1129" s="320"/>
      <c r="E1129" s="320"/>
      <c r="F1129" s="320"/>
      <c r="G1129" s="320"/>
      <c r="H1129" s="320"/>
      <c r="I1129" s="320"/>
      <c r="J1129" s="320"/>
      <c r="K1129" s="320"/>
      <c r="L1129" s="320"/>
      <c r="M1129" s="320"/>
      <c r="N1129" s="320"/>
      <c r="O1129" s="320"/>
      <c r="P1129" s="320"/>
      <c r="Q1129" s="320"/>
      <c r="R1129" s="320"/>
      <c r="S1129" s="320"/>
      <c r="T1129" s="320"/>
    </row>
    <row r="1130">
      <c r="A1130" s="362" t="str">
        <f>IFERROR(__xludf.DUMMYFUNCTION("""COMPUTED_VALUE"""),"Precious Pearl")</f>
        <v>Precious Pearl</v>
      </c>
      <c r="B1130" s="373">
        <f>IFERROR(__xludf.DUMMYFUNCTION("""COMPUTED_VALUE"""),802145.35)</f>
        <v>802145.35</v>
      </c>
      <c r="C1130" s="320"/>
      <c r="D1130" s="320"/>
      <c r="E1130" s="320"/>
      <c r="F1130" s="320"/>
      <c r="G1130" s="320"/>
      <c r="H1130" s="320"/>
      <c r="I1130" s="320"/>
      <c r="J1130" s="320"/>
      <c r="K1130" s="320"/>
      <c r="L1130" s="320"/>
      <c r="M1130" s="320"/>
      <c r="N1130" s="320"/>
      <c r="O1130" s="320"/>
      <c r="P1130" s="320"/>
      <c r="Q1130" s="320"/>
      <c r="R1130" s="320"/>
      <c r="S1130" s="320"/>
      <c r="T1130" s="320"/>
    </row>
    <row r="1131">
      <c r="A1131" s="362" t="str">
        <f>IFERROR(__xludf.DUMMYFUNCTION("""COMPUTED_VALUE"""),"Precursor Gear")</f>
        <v>Precursor Gear</v>
      </c>
      <c r="B1131" s="373">
        <f>IFERROR(__xludf.DUMMYFUNCTION("""COMPUTED_VALUE"""),524976.471)</f>
        <v>524976.471</v>
      </c>
      <c r="C1131" s="320"/>
      <c r="D1131" s="320"/>
      <c r="E1131" s="320"/>
      <c r="F1131" s="320"/>
      <c r="G1131" s="320"/>
      <c r="H1131" s="320"/>
      <c r="I1131" s="320"/>
      <c r="J1131" s="320"/>
      <c r="K1131" s="320"/>
      <c r="L1131" s="320"/>
      <c r="M1131" s="320"/>
      <c r="N1131" s="320"/>
      <c r="O1131" s="320"/>
      <c r="P1131" s="320"/>
      <c r="Q1131" s="320"/>
      <c r="R1131" s="320"/>
      <c r="S1131" s="320"/>
      <c r="T1131" s="320"/>
    </row>
    <row r="1132">
      <c r="A1132" s="362" t="str">
        <f>IFERROR(__xludf.DUMMYFUNCTION("""COMPUTED_VALUE"""),"Premium Flesh")</f>
        <v>Premium Flesh</v>
      </c>
      <c r="B1132" s="373">
        <f>IFERROR(__xludf.DUMMYFUNCTION("""COMPUTED_VALUE"""),14.0)</f>
        <v>14</v>
      </c>
      <c r="C1132" s="320"/>
      <c r="D1132" s="320"/>
      <c r="E1132" s="320"/>
      <c r="F1132" s="320"/>
      <c r="G1132" s="320"/>
      <c r="H1132" s="320"/>
      <c r="I1132" s="320"/>
      <c r="J1132" s="320"/>
      <c r="K1132" s="320"/>
      <c r="L1132" s="320"/>
      <c r="M1132" s="320"/>
      <c r="N1132" s="320"/>
      <c r="O1132" s="320"/>
      <c r="P1132" s="320"/>
      <c r="Q1132" s="320"/>
      <c r="R1132" s="320"/>
      <c r="S1132" s="320"/>
      <c r="T1132" s="320"/>
    </row>
    <row r="1133">
      <c r="A1133" s="362" t="str">
        <f>IFERROR(__xludf.DUMMYFUNCTION("""COMPUTED_VALUE"""),"Presumed Gallon of Red Paint")</f>
        <v>Presumed Gallon of Red Paint</v>
      </c>
      <c r="B1133" s="373">
        <f>IFERROR(__xludf.DUMMYFUNCTION("""COMPUTED_VALUE"""),1815242.825)</f>
        <v>1815242.825</v>
      </c>
      <c r="C1133" s="320"/>
      <c r="D1133" s="320"/>
      <c r="E1133" s="320"/>
      <c r="F1133" s="320"/>
      <c r="G1133" s="320"/>
      <c r="H1133" s="320"/>
      <c r="I1133" s="320"/>
      <c r="J1133" s="320"/>
      <c r="K1133" s="320"/>
      <c r="L1133" s="320"/>
      <c r="M1133" s="320"/>
      <c r="N1133" s="320"/>
      <c r="O1133" s="320"/>
      <c r="P1133" s="320"/>
      <c r="Q1133" s="320"/>
      <c r="R1133" s="320"/>
      <c r="S1133" s="320"/>
      <c r="T1133" s="320"/>
    </row>
    <row r="1134">
      <c r="A1134" s="362" t="str">
        <f>IFERROR(__xludf.DUMMYFUNCTION("""COMPUTED_VALUE"""),"Prismarine Crystals")</f>
        <v>Prismarine Crystals</v>
      </c>
      <c r="B1134" s="373">
        <f>IFERROR(__xludf.DUMMYFUNCTION("""COMPUTED_VALUE"""),40.371)</f>
        <v>40.371</v>
      </c>
      <c r="C1134" s="320"/>
      <c r="D1134" s="320"/>
      <c r="E1134" s="320"/>
      <c r="F1134" s="320"/>
      <c r="G1134" s="320"/>
      <c r="H1134" s="320"/>
      <c r="I1134" s="320"/>
      <c r="J1134" s="320"/>
      <c r="K1134" s="320"/>
      <c r="L1134" s="320"/>
      <c r="M1134" s="320"/>
      <c r="N1134" s="320"/>
      <c r="O1134" s="320"/>
      <c r="P1134" s="320"/>
      <c r="Q1134" s="320"/>
      <c r="R1134" s="320"/>
      <c r="S1134" s="320"/>
      <c r="T1134" s="320"/>
    </row>
    <row r="1135">
      <c r="A1135" s="362" t="str">
        <f>IFERROR(__xludf.DUMMYFUNCTION("""COMPUTED_VALUE"""),"Prismarine Shard")</f>
        <v>Prismarine Shard</v>
      </c>
      <c r="B1135" s="373">
        <f>IFERROR(__xludf.DUMMYFUNCTION("""COMPUTED_VALUE"""),2.55)</f>
        <v>2.55</v>
      </c>
      <c r="C1135" s="320"/>
      <c r="D1135" s="320"/>
      <c r="E1135" s="320"/>
      <c r="F1135" s="320"/>
      <c r="G1135" s="320"/>
      <c r="H1135" s="320"/>
      <c r="I1135" s="320"/>
      <c r="J1135" s="320"/>
      <c r="K1135" s="320"/>
      <c r="L1135" s="320"/>
      <c r="M1135" s="320"/>
      <c r="N1135" s="320"/>
      <c r="O1135" s="320"/>
      <c r="P1135" s="320"/>
      <c r="Q1135" s="320"/>
      <c r="R1135" s="320"/>
      <c r="S1135" s="320"/>
      <c r="T1135" s="320"/>
    </row>
    <row r="1136">
      <c r="A1136" s="362" t="str">
        <f>IFERROR(__xludf.DUMMYFUNCTION("""COMPUTED_VALUE"""),"Protector Dragon Fragment")</f>
        <v>Protector Dragon Fragment</v>
      </c>
      <c r="B1136" s="373">
        <f>IFERROR(__xludf.DUMMYFUNCTION("""COMPUTED_VALUE"""),7663.55)</f>
        <v>7663.55</v>
      </c>
      <c r="C1136" s="320"/>
      <c r="D1136" s="320"/>
      <c r="E1136" s="320"/>
      <c r="F1136" s="320"/>
      <c r="G1136" s="320"/>
      <c r="H1136" s="320"/>
      <c r="I1136" s="320"/>
      <c r="J1136" s="320"/>
      <c r="K1136" s="320"/>
      <c r="L1136" s="320"/>
      <c r="M1136" s="320"/>
      <c r="N1136" s="320"/>
      <c r="O1136" s="320"/>
      <c r="P1136" s="320"/>
      <c r="Q1136" s="320"/>
      <c r="R1136" s="320"/>
      <c r="S1136" s="320"/>
      <c r="T1136" s="320"/>
    </row>
    <row r="1137">
      <c r="A1137" s="362" t="str">
        <f>IFERROR(__xludf.DUMMYFUNCTION("""COMPUTED_VALUE"""),"Pufferfish")</f>
        <v>Pufferfish</v>
      </c>
      <c r="B1137" s="373">
        <f>IFERROR(__xludf.DUMMYFUNCTION("""COMPUTED_VALUE"""),11.0)</f>
        <v>11</v>
      </c>
      <c r="C1137" s="320"/>
      <c r="D1137" s="320"/>
      <c r="E1137" s="320"/>
      <c r="F1137" s="320"/>
      <c r="G1137" s="320"/>
      <c r="H1137" s="320"/>
      <c r="I1137" s="320"/>
      <c r="J1137" s="320"/>
      <c r="K1137" s="320"/>
      <c r="L1137" s="320"/>
      <c r="M1137" s="320"/>
      <c r="N1137" s="320"/>
      <c r="O1137" s="320"/>
      <c r="P1137" s="320"/>
      <c r="Q1137" s="320"/>
      <c r="R1137" s="320"/>
      <c r="S1137" s="320"/>
      <c r="T1137" s="320"/>
    </row>
    <row r="1138">
      <c r="A1138" s="362" t="str">
        <f>IFERROR(__xludf.DUMMYFUNCTION("""COMPUTED_VALUE"""),"Pumpkin")</f>
        <v>Pumpkin</v>
      </c>
      <c r="B1138" s="373">
        <f>IFERROR(__xludf.DUMMYFUNCTION("""COMPUTED_VALUE"""),9.0)</f>
        <v>9</v>
      </c>
      <c r="C1138" s="320"/>
      <c r="D1138" s="320"/>
      <c r="E1138" s="320"/>
      <c r="F1138" s="320"/>
      <c r="G1138" s="320"/>
      <c r="H1138" s="320"/>
      <c r="I1138" s="320"/>
      <c r="J1138" s="320"/>
      <c r="K1138" s="320"/>
      <c r="L1138" s="320"/>
      <c r="M1138" s="320"/>
      <c r="N1138" s="320"/>
      <c r="O1138" s="320"/>
      <c r="P1138" s="320"/>
      <c r="Q1138" s="320"/>
      <c r="R1138" s="320"/>
      <c r="S1138" s="320"/>
      <c r="T1138" s="320"/>
    </row>
    <row r="1139">
      <c r="A1139" s="362" t="str">
        <f>IFERROR(__xludf.DUMMYFUNCTION("""COMPUTED_VALUE"""),"Pumpkin Guts")</f>
        <v>Pumpkin Guts</v>
      </c>
      <c r="B1139" s="373">
        <f>IFERROR(__xludf.DUMMYFUNCTION("""COMPUTED_VALUE"""),154771.286)</f>
        <v>154771.286</v>
      </c>
      <c r="C1139" s="320"/>
      <c r="D1139" s="320"/>
      <c r="E1139" s="320"/>
      <c r="F1139" s="320"/>
      <c r="G1139" s="320"/>
      <c r="H1139" s="320"/>
      <c r="I1139" s="320"/>
      <c r="J1139" s="320"/>
      <c r="K1139" s="320"/>
      <c r="L1139" s="320"/>
      <c r="M1139" s="320"/>
      <c r="N1139" s="320"/>
      <c r="O1139" s="320"/>
      <c r="P1139" s="320"/>
      <c r="Q1139" s="320"/>
      <c r="R1139" s="320"/>
      <c r="S1139" s="320"/>
      <c r="T1139" s="320"/>
    </row>
    <row r="1140">
      <c r="A1140" s="362" t="str">
        <f>IFERROR(__xludf.DUMMYFUNCTION("""COMPUTED_VALUE"""),"Pure Mithril")</f>
        <v>Pure Mithril</v>
      </c>
      <c r="B1140" s="373">
        <f>IFERROR(__xludf.DUMMYFUNCTION("""COMPUTED_VALUE"""),775750.55)</f>
        <v>775750.55</v>
      </c>
      <c r="C1140" s="320"/>
      <c r="D1140" s="320"/>
      <c r="E1140" s="320"/>
      <c r="F1140" s="320"/>
      <c r="G1140" s="320"/>
      <c r="H1140" s="320"/>
      <c r="I1140" s="320"/>
      <c r="J1140" s="320"/>
      <c r="K1140" s="320"/>
      <c r="L1140" s="320"/>
      <c r="M1140" s="320"/>
      <c r="N1140" s="320"/>
      <c r="O1140" s="320"/>
      <c r="P1140" s="320"/>
      <c r="Q1140" s="320"/>
      <c r="R1140" s="320"/>
      <c r="S1140" s="320"/>
      <c r="T1140" s="320"/>
    </row>
    <row r="1141">
      <c r="A1141" s="362" t="str">
        <f>IFERROR(__xludf.DUMMYFUNCTION("""COMPUTED_VALUE"""),"Pure Mithril Gem")</f>
        <v>Pure Mithril Gem</v>
      </c>
      <c r="B1141" s="373">
        <f>IFERROR(__xludf.DUMMYFUNCTION("""COMPUTED_VALUE"""),3198989.55)</f>
        <v>3198989.55</v>
      </c>
      <c r="C1141" s="320"/>
      <c r="D1141" s="320"/>
      <c r="E1141" s="320"/>
      <c r="F1141" s="320"/>
      <c r="G1141" s="320"/>
      <c r="H1141" s="320"/>
      <c r="I1141" s="320"/>
      <c r="J1141" s="320"/>
      <c r="K1141" s="320"/>
      <c r="L1141" s="320"/>
      <c r="M1141" s="320"/>
      <c r="N1141" s="320"/>
      <c r="O1141" s="320"/>
      <c r="P1141" s="320"/>
      <c r="Q1141" s="320"/>
      <c r="R1141" s="320"/>
      <c r="S1141" s="320"/>
      <c r="T1141" s="320"/>
    </row>
    <row r="1142">
      <c r="A1142" s="362" t="str">
        <f>IFERROR(__xludf.DUMMYFUNCTION("""COMPUTED_VALUE"""),"Purple Candy")</f>
        <v>Purple Candy</v>
      </c>
      <c r="B1142" s="373">
        <f>IFERROR(__xludf.DUMMYFUNCTION("""COMPUTED_VALUE"""),23327.2)</f>
        <v>23327.2</v>
      </c>
      <c r="C1142" s="320"/>
      <c r="D1142" s="320"/>
      <c r="E1142" s="320"/>
      <c r="F1142" s="320"/>
      <c r="G1142" s="320"/>
      <c r="H1142" s="320"/>
      <c r="I1142" s="320"/>
      <c r="J1142" s="320"/>
      <c r="K1142" s="320"/>
      <c r="L1142" s="320"/>
      <c r="M1142" s="320"/>
      <c r="N1142" s="320"/>
      <c r="O1142" s="320"/>
      <c r="P1142" s="320"/>
      <c r="Q1142" s="320"/>
      <c r="R1142" s="320"/>
      <c r="S1142" s="320"/>
      <c r="T1142" s="320"/>
    </row>
    <row r="1143">
      <c r="A1143" s="362" t="str">
        <f>IFERROR(__xludf.DUMMYFUNCTION("""COMPUTED_VALUE"""),"Purple Jerry Box")</f>
        <v>Purple Jerry Box</v>
      </c>
      <c r="B1143" s="373">
        <f>IFERROR(__xludf.DUMMYFUNCTION("""COMPUTED_VALUE"""),580136.2)</f>
        <v>580136.2</v>
      </c>
      <c r="C1143" s="320"/>
      <c r="D1143" s="320"/>
      <c r="E1143" s="320"/>
      <c r="F1143" s="320"/>
      <c r="G1143" s="320"/>
      <c r="H1143" s="320"/>
      <c r="I1143" s="320"/>
      <c r="J1143" s="320"/>
      <c r="K1143" s="320"/>
      <c r="L1143" s="320"/>
      <c r="M1143" s="320"/>
      <c r="N1143" s="320"/>
      <c r="O1143" s="320"/>
      <c r="P1143" s="320"/>
      <c r="Q1143" s="320"/>
      <c r="R1143" s="320"/>
      <c r="S1143" s="320"/>
      <c r="T1143" s="320"/>
    </row>
    <row r="1144">
      <c r="A1144" s="362" t="str">
        <f>IFERROR(__xludf.DUMMYFUNCTION("""COMPUTED_VALUE"""),"Rabbit Hide")</f>
        <v>Rabbit Hide</v>
      </c>
      <c r="B1144" s="373">
        <f>IFERROR(__xludf.DUMMYFUNCTION("""COMPUTED_VALUE"""),26.402)</f>
        <v>26.402</v>
      </c>
      <c r="C1144" s="320"/>
      <c r="D1144" s="320"/>
      <c r="E1144" s="320"/>
      <c r="F1144" s="320"/>
      <c r="G1144" s="320"/>
      <c r="H1144" s="320"/>
      <c r="I1144" s="320"/>
      <c r="J1144" s="320"/>
      <c r="K1144" s="320"/>
      <c r="L1144" s="320"/>
      <c r="M1144" s="320"/>
      <c r="N1144" s="320"/>
      <c r="O1144" s="320"/>
      <c r="P1144" s="320"/>
      <c r="Q1144" s="320"/>
      <c r="R1144" s="320"/>
      <c r="S1144" s="320"/>
      <c r="T1144" s="320"/>
    </row>
    <row r="1145">
      <c r="A1145" s="362" t="str">
        <f>IFERROR(__xludf.DUMMYFUNCTION("""COMPUTED_VALUE"""),"Rabbit's Foot")</f>
        <v>Rabbit's Foot</v>
      </c>
      <c r="B1145" s="373">
        <f>IFERROR(__xludf.DUMMYFUNCTION("""COMPUTED_VALUE"""),3.767)</f>
        <v>3.767</v>
      </c>
      <c r="C1145" s="320"/>
      <c r="D1145" s="320"/>
      <c r="E1145" s="320"/>
      <c r="F1145" s="320"/>
      <c r="G1145" s="320"/>
      <c r="H1145" s="320"/>
      <c r="I1145" s="320"/>
      <c r="J1145" s="320"/>
      <c r="K1145" s="320"/>
      <c r="L1145" s="320"/>
      <c r="M1145" s="320"/>
      <c r="N1145" s="320"/>
      <c r="O1145" s="320"/>
      <c r="P1145" s="320"/>
      <c r="Q1145" s="320"/>
      <c r="R1145" s="320"/>
      <c r="S1145" s="320"/>
      <c r="T1145" s="320"/>
    </row>
    <row r="1146">
      <c r="A1146" s="362" t="str">
        <f>IFERROR(__xludf.DUMMYFUNCTION("""COMPUTED_VALUE"""),"Radioactive Vial")</f>
        <v>Radioactive Vial</v>
      </c>
      <c r="B1146" s="373">
        <f>IFERROR(__xludf.DUMMYFUNCTION("""COMPUTED_VALUE"""),2.1530024065E8)</f>
        <v>215300240.7</v>
      </c>
      <c r="C1146" s="320"/>
      <c r="D1146" s="320"/>
      <c r="E1146" s="320"/>
      <c r="F1146" s="320"/>
      <c r="G1146" s="320"/>
      <c r="H1146" s="320"/>
      <c r="I1146" s="320"/>
      <c r="J1146" s="320"/>
      <c r="K1146" s="320"/>
      <c r="L1146" s="320"/>
      <c r="M1146" s="320"/>
      <c r="N1146" s="320"/>
      <c r="O1146" s="320"/>
      <c r="P1146" s="320"/>
      <c r="Q1146" s="320"/>
      <c r="R1146" s="320"/>
      <c r="S1146" s="320"/>
      <c r="T1146" s="320"/>
    </row>
    <row r="1147">
      <c r="A1147" s="362" t="str">
        <f>IFERROR(__xludf.DUMMYFUNCTION("""COMPUTED_VALUE"""),"Rare Diamond")</f>
        <v>Rare Diamond</v>
      </c>
      <c r="B1147" s="373">
        <f>IFERROR(__xludf.DUMMYFUNCTION("""COMPUTED_VALUE"""),12502.0)</f>
        <v>12502</v>
      </c>
      <c r="C1147" s="320"/>
      <c r="D1147" s="320"/>
      <c r="E1147" s="320"/>
      <c r="F1147" s="320"/>
      <c r="G1147" s="320"/>
      <c r="H1147" s="320"/>
      <c r="I1147" s="320"/>
      <c r="J1147" s="320"/>
      <c r="K1147" s="320"/>
      <c r="L1147" s="320"/>
      <c r="M1147" s="320"/>
      <c r="N1147" s="320"/>
      <c r="O1147" s="320"/>
      <c r="P1147" s="320"/>
      <c r="Q1147" s="320"/>
      <c r="R1147" s="320"/>
      <c r="S1147" s="320"/>
      <c r="T1147" s="320"/>
    </row>
    <row r="1148">
      <c r="A1148" s="362" t="str">
        <f>IFERROR(__xludf.DUMMYFUNCTION("""COMPUTED_VALUE"""),"Raw Beef")</f>
        <v>Raw Beef</v>
      </c>
      <c r="B1148" s="373">
        <f>IFERROR(__xludf.DUMMYFUNCTION("""COMPUTED_VALUE"""),4.55)</f>
        <v>4.55</v>
      </c>
      <c r="C1148" s="320"/>
      <c r="D1148" s="320"/>
      <c r="E1148" s="320"/>
      <c r="F1148" s="320"/>
      <c r="G1148" s="320"/>
      <c r="H1148" s="320"/>
      <c r="I1148" s="320"/>
      <c r="J1148" s="320"/>
      <c r="K1148" s="320"/>
      <c r="L1148" s="320"/>
      <c r="M1148" s="320"/>
      <c r="N1148" s="320"/>
      <c r="O1148" s="320"/>
      <c r="P1148" s="320"/>
      <c r="Q1148" s="320"/>
      <c r="R1148" s="320"/>
      <c r="S1148" s="320"/>
      <c r="T1148" s="320"/>
    </row>
    <row r="1149">
      <c r="A1149" s="362" t="str">
        <f>IFERROR(__xludf.DUMMYFUNCTION("""COMPUTED_VALUE"""),"Raw Chicken")</f>
        <v>Raw Chicken</v>
      </c>
      <c r="B1149" s="373">
        <f>IFERROR(__xludf.DUMMYFUNCTION("""COMPUTED_VALUE"""),57.297)</f>
        <v>57.297</v>
      </c>
      <c r="C1149" s="320"/>
      <c r="D1149" s="320"/>
      <c r="E1149" s="320"/>
      <c r="F1149" s="320"/>
      <c r="G1149" s="320"/>
      <c r="H1149" s="320"/>
      <c r="I1149" s="320"/>
      <c r="J1149" s="320"/>
      <c r="K1149" s="320"/>
      <c r="L1149" s="320"/>
      <c r="M1149" s="320"/>
      <c r="N1149" s="320"/>
      <c r="O1149" s="320"/>
      <c r="P1149" s="320"/>
      <c r="Q1149" s="320"/>
      <c r="R1149" s="320"/>
      <c r="S1149" s="320"/>
      <c r="T1149" s="320"/>
    </row>
    <row r="1150">
      <c r="A1150" s="362" t="str">
        <f>IFERROR(__xludf.DUMMYFUNCTION("""COMPUTED_VALUE"""),"Raw Fish")</f>
        <v>Raw Fish</v>
      </c>
      <c r="B1150" s="373">
        <f>IFERROR(__xludf.DUMMYFUNCTION("""COMPUTED_VALUE"""),87.433)</f>
        <v>87.433</v>
      </c>
      <c r="C1150" s="320"/>
      <c r="D1150" s="320"/>
      <c r="E1150" s="320"/>
      <c r="F1150" s="320"/>
      <c r="G1150" s="320"/>
      <c r="H1150" s="320"/>
      <c r="I1150" s="320"/>
      <c r="J1150" s="320"/>
      <c r="K1150" s="320"/>
      <c r="L1150" s="320"/>
      <c r="M1150" s="320"/>
      <c r="N1150" s="320"/>
      <c r="O1150" s="320"/>
      <c r="P1150" s="320"/>
      <c r="Q1150" s="320"/>
      <c r="R1150" s="320"/>
      <c r="S1150" s="320"/>
      <c r="T1150" s="320"/>
    </row>
    <row r="1151">
      <c r="A1151" s="362" t="str">
        <f>IFERROR(__xludf.DUMMYFUNCTION("""COMPUTED_VALUE"""),"Raw Porkchop")</f>
        <v>Raw Porkchop</v>
      </c>
      <c r="B1151" s="373">
        <f>IFERROR(__xludf.DUMMYFUNCTION("""COMPUTED_VALUE"""),58.0)</f>
        <v>58</v>
      </c>
      <c r="C1151" s="320"/>
      <c r="D1151" s="320"/>
      <c r="E1151" s="320"/>
      <c r="F1151" s="320"/>
      <c r="G1151" s="320"/>
      <c r="H1151" s="320"/>
      <c r="I1151" s="320"/>
      <c r="J1151" s="320"/>
      <c r="K1151" s="320"/>
      <c r="L1151" s="320"/>
      <c r="M1151" s="320"/>
      <c r="N1151" s="320"/>
      <c r="O1151" s="320"/>
      <c r="P1151" s="320"/>
      <c r="Q1151" s="320"/>
      <c r="R1151" s="320"/>
      <c r="S1151" s="320"/>
      <c r="T1151" s="320"/>
    </row>
    <row r="1152">
      <c r="A1152" s="362" t="str">
        <f>IFERROR(__xludf.DUMMYFUNCTION("""COMPUTED_VALUE"""),"Raw Rabbit")</f>
        <v>Raw Rabbit</v>
      </c>
      <c r="B1152" s="373">
        <f>IFERROR(__xludf.DUMMYFUNCTION("""COMPUTED_VALUE"""),95.17)</f>
        <v>95.17</v>
      </c>
      <c r="C1152" s="320"/>
      <c r="D1152" s="320"/>
      <c r="E1152" s="320"/>
      <c r="F1152" s="320"/>
      <c r="G1152" s="320"/>
      <c r="H1152" s="320"/>
      <c r="I1152" s="320"/>
      <c r="J1152" s="320"/>
      <c r="K1152" s="320"/>
      <c r="L1152" s="320"/>
      <c r="M1152" s="320"/>
      <c r="N1152" s="320"/>
      <c r="O1152" s="320"/>
      <c r="P1152" s="320"/>
      <c r="Q1152" s="320"/>
      <c r="R1152" s="320"/>
      <c r="S1152" s="320"/>
      <c r="T1152" s="320"/>
    </row>
    <row r="1153">
      <c r="A1153" s="362" t="str">
        <f>IFERROR(__xludf.DUMMYFUNCTION("""COMPUTED_VALUE"""),"Raw Salmon")</f>
        <v>Raw Salmon</v>
      </c>
      <c r="B1153" s="373">
        <f>IFERROR(__xludf.DUMMYFUNCTION("""COMPUTED_VALUE"""),8.284)</f>
        <v>8.284</v>
      </c>
      <c r="C1153" s="320"/>
      <c r="D1153" s="320"/>
      <c r="E1153" s="320"/>
      <c r="F1153" s="320"/>
      <c r="G1153" s="320"/>
      <c r="H1153" s="320"/>
      <c r="I1153" s="320"/>
      <c r="J1153" s="320"/>
      <c r="K1153" s="320"/>
      <c r="L1153" s="320"/>
      <c r="M1153" s="320"/>
      <c r="N1153" s="320"/>
      <c r="O1153" s="320"/>
      <c r="P1153" s="320"/>
      <c r="Q1153" s="320"/>
      <c r="R1153" s="320"/>
      <c r="S1153" s="320"/>
      <c r="T1153" s="320"/>
    </row>
    <row r="1154">
      <c r="A1154" s="362" t="str">
        <f>IFERROR(__xludf.DUMMYFUNCTION("""COMPUTED_VALUE"""),"Raw Soulflow")</f>
        <v>Raw Soulflow</v>
      </c>
      <c r="B1154" s="373">
        <f>IFERROR(__xludf.DUMMYFUNCTION("""COMPUTED_VALUE"""),299.745)</f>
        <v>299.745</v>
      </c>
      <c r="C1154" s="320"/>
      <c r="D1154" s="320"/>
      <c r="E1154" s="320"/>
      <c r="F1154" s="320"/>
      <c r="G1154" s="320"/>
      <c r="H1154" s="320"/>
      <c r="I1154" s="320"/>
      <c r="J1154" s="320"/>
      <c r="K1154" s="320"/>
      <c r="L1154" s="320"/>
      <c r="M1154" s="320"/>
      <c r="N1154" s="320"/>
      <c r="O1154" s="320"/>
      <c r="P1154" s="320"/>
      <c r="Q1154" s="320"/>
      <c r="R1154" s="320"/>
      <c r="S1154" s="320"/>
      <c r="T1154" s="320"/>
    </row>
    <row r="1155">
      <c r="A1155" s="362" t="str">
        <f>IFERROR(__xludf.DUMMYFUNCTION("""COMPUTED_VALUE"""),"Re-heated Gummy Polar Bear")</f>
        <v>Re-heated Gummy Polar Bear</v>
      </c>
      <c r="B1155" s="373">
        <f>IFERROR(__xludf.DUMMYFUNCTION("""COMPUTED_VALUE"""),52328.889)</f>
        <v>52328.889</v>
      </c>
      <c r="C1155" s="320"/>
      <c r="D1155" s="320"/>
      <c r="E1155" s="320"/>
      <c r="F1155" s="320"/>
      <c r="G1155" s="320"/>
      <c r="H1155" s="320"/>
      <c r="I1155" s="320"/>
      <c r="J1155" s="320"/>
      <c r="K1155" s="320"/>
      <c r="L1155" s="320"/>
      <c r="M1155" s="320"/>
      <c r="N1155" s="320"/>
      <c r="O1155" s="320"/>
      <c r="P1155" s="320"/>
      <c r="Q1155" s="320"/>
      <c r="R1155" s="320"/>
      <c r="S1155" s="320"/>
      <c r="T1155" s="320"/>
    </row>
    <row r="1156">
      <c r="A1156" s="362" t="str">
        <f>IFERROR(__xludf.DUMMYFUNCTION("""COMPUTED_VALUE"""),"Reaper Pepper")</f>
        <v>Reaper Pepper</v>
      </c>
      <c r="B1156" s="373">
        <f>IFERROR(__xludf.DUMMYFUNCTION("""COMPUTED_VALUE"""),3.925002545E7)</f>
        <v>39250025.45</v>
      </c>
      <c r="C1156" s="320"/>
      <c r="D1156" s="320"/>
      <c r="E1156" s="320"/>
      <c r="F1156" s="320"/>
      <c r="G1156" s="320"/>
      <c r="H1156" s="320"/>
      <c r="I1156" s="320"/>
      <c r="J1156" s="320"/>
      <c r="K1156" s="320"/>
      <c r="L1156" s="320"/>
      <c r="M1156" s="320"/>
      <c r="N1156" s="320"/>
      <c r="O1156" s="320"/>
      <c r="P1156" s="320"/>
      <c r="Q1156" s="320"/>
      <c r="R1156" s="320"/>
      <c r="S1156" s="320"/>
      <c r="T1156" s="320"/>
    </row>
    <row r="1157">
      <c r="A1157" s="362" t="str">
        <f>IFERROR(__xludf.DUMMYFUNCTION("""COMPUTED_VALUE"""),"Recombobulator 3000")</f>
        <v>Recombobulator 3000</v>
      </c>
      <c r="B1157" s="373">
        <f>IFERROR(__xludf.DUMMYFUNCTION("""COMPUTED_VALUE"""),8121206.483)</f>
        <v>8121206.483</v>
      </c>
      <c r="C1157" s="320"/>
      <c r="D1157" s="320"/>
      <c r="E1157" s="320"/>
      <c r="F1157" s="320"/>
      <c r="G1157" s="320"/>
      <c r="H1157" s="320"/>
      <c r="I1157" s="320"/>
      <c r="J1157" s="320"/>
      <c r="K1157" s="320"/>
      <c r="L1157" s="320"/>
      <c r="M1157" s="320"/>
      <c r="N1157" s="320"/>
      <c r="O1157" s="320"/>
      <c r="P1157" s="320"/>
      <c r="Q1157" s="320"/>
      <c r="R1157" s="320"/>
      <c r="S1157" s="320"/>
      <c r="T1157" s="320"/>
    </row>
    <row r="1158">
      <c r="A1158" s="362" t="str">
        <f>IFERROR(__xludf.DUMMYFUNCTION("""COMPUTED_VALUE"""),"Red Mushroom")</f>
        <v>Red Mushroom</v>
      </c>
      <c r="B1158" s="373">
        <f>IFERROR(__xludf.DUMMYFUNCTION("""COMPUTED_VALUE"""),8.624)</f>
        <v>8.624</v>
      </c>
      <c r="C1158" s="320"/>
      <c r="D1158" s="320"/>
      <c r="E1158" s="320"/>
      <c r="F1158" s="320"/>
      <c r="G1158" s="320"/>
      <c r="H1158" s="320"/>
      <c r="I1158" s="320"/>
      <c r="J1158" s="320"/>
      <c r="K1158" s="320"/>
      <c r="L1158" s="320"/>
      <c r="M1158" s="320"/>
      <c r="N1158" s="320"/>
      <c r="O1158" s="320"/>
      <c r="P1158" s="320"/>
      <c r="Q1158" s="320"/>
      <c r="R1158" s="320"/>
      <c r="S1158" s="320"/>
      <c r="T1158" s="320"/>
    </row>
    <row r="1159">
      <c r="A1159" s="362" t="str">
        <f>IFERROR(__xludf.DUMMYFUNCTION("""COMPUTED_VALUE"""),"Red Mushroom Block")</f>
        <v>Red Mushroom Block</v>
      </c>
      <c r="B1159" s="373">
        <f>IFERROR(__xludf.DUMMYFUNCTION("""COMPUTED_VALUE"""),75.65)</f>
        <v>75.65</v>
      </c>
      <c r="C1159" s="320"/>
      <c r="D1159" s="320"/>
      <c r="E1159" s="320"/>
      <c r="F1159" s="320"/>
      <c r="G1159" s="320"/>
      <c r="H1159" s="320"/>
      <c r="I1159" s="320"/>
      <c r="J1159" s="320"/>
      <c r="K1159" s="320"/>
      <c r="L1159" s="320"/>
      <c r="M1159" s="320"/>
      <c r="N1159" s="320"/>
      <c r="O1159" s="320"/>
      <c r="P1159" s="320"/>
      <c r="Q1159" s="320"/>
      <c r="R1159" s="320"/>
      <c r="S1159" s="320"/>
      <c r="T1159" s="320"/>
    </row>
    <row r="1160">
      <c r="A1160" s="362" t="str">
        <f>IFERROR(__xludf.DUMMYFUNCTION("""COMPUTED_VALUE"""),"Red Nose")</f>
        <v>Red Nose</v>
      </c>
      <c r="B1160" s="373">
        <f>IFERROR(__xludf.DUMMYFUNCTION("""COMPUTED_VALUE"""),36450.65)</f>
        <v>36450.65</v>
      </c>
      <c r="C1160" s="320"/>
      <c r="D1160" s="320"/>
      <c r="E1160" s="320"/>
      <c r="F1160" s="320"/>
      <c r="G1160" s="320"/>
      <c r="H1160" s="320"/>
      <c r="I1160" s="320"/>
      <c r="J1160" s="320"/>
      <c r="K1160" s="320"/>
      <c r="L1160" s="320"/>
      <c r="M1160" s="320"/>
      <c r="N1160" s="320"/>
      <c r="O1160" s="320"/>
      <c r="P1160" s="320"/>
      <c r="Q1160" s="320"/>
      <c r="R1160" s="320"/>
      <c r="S1160" s="320"/>
      <c r="T1160" s="320"/>
    </row>
    <row r="1161">
      <c r="A1161" s="362" t="str">
        <f>IFERROR(__xludf.DUMMYFUNCTION("""COMPUTED_VALUE"""),"Red Sand")</f>
        <v>Red Sand</v>
      </c>
      <c r="B1161" s="373">
        <f>IFERROR(__xludf.DUMMYFUNCTION("""COMPUTED_VALUE"""),61.949)</f>
        <v>61.949</v>
      </c>
      <c r="C1161" s="320"/>
      <c r="D1161" s="320"/>
      <c r="E1161" s="320"/>
      <c r="F1161" s="320"/>
      <c r="G1161" s="320"/>
      <c r="H1161" s="320"/>
      <c r="I1161" s="320"/>
      <c r="J1161" s="320"/>
      <c r="K1161" s="320"/>
      <c r="L1161" s="320"/>
      <c r="M1161" s="320"/>
      <c r="N1161" s="320"/>
      <c r="O1161" s="320"/>
      <c r="P1161" s="320"/>
      <c r="Q1161" s="320"/>
      <c r="R1161" s="320"/>
      <c r="S1161" s="320"/>
      <c r="T1161" s="320"/>
    </row>
    <row r="1162">
      <c r="A1162" s="362" t="str">
        <f>IFERROR(__xludf.DUMMYFUNCTION("""COMPUTED_VALUE"""),"Red Scarf")</f>
        <v>Red Scarf</v>
      </c>
      <c r="B1162" s="373">
        <f>IFERROR(__xludf.DUMMYFUNCTION("""COMPUTED_VALUE"""),567436.65)</f>
        <v>567436.65</v>
      </c>
      <c r="C1162" s="320"/>
      <c r="D1162" s="320"/>
      <c r="E1162" s="320"/>
      <c r="F1162" s="320"/>
      <c r="G1162" s="320"/>
      <c r="H1162" s="320"/>
      <c r="I1162" s="320"/>
      <c r="J1162" s="320"/>
      <c r="K1162" s="320"/>
      <c r="L1162" s="320"/>
      <c r="M1162" s="320"/>
      <c r="N1162" s="320"/>
      <c r="O1162" s="320"/>
      <c r="P1162" s="320"/>
      <c r="Q1162" s="320"/>
      <c r="R1162" s="320"/>
      <c r="S1162" s="320"/>
      <c r="T1162" s="320"/>
    </row>
    <row r="1163">
      <c r="A1163" s="362" t="str">
        <f>IFERROR(__xludf.DUMMYFUNCTION("""COMPUTED_VALUE"""),"Redstone")</f>
        <v>Redstone</v>
      </c>
      <c r="B1163" s="373">
        <f>IFERROR(__xludf.DUMMYFUNCTION("""COMPUTED_VALUE"""),0.879)</f>
        <v>0.879</v>
      </c>
      <c r="C1163" s="320"/>
      <c r="D1163" s="320"/>
      <c r="E1163" s="320"/>
      <c r="F1163" s="320"/>
      <c r="G1163" s="320"/>
      <c r="H1163" s="320"/>
      <c r="I1163" s="320"/>
      <c r="J1163" s="320"/>
      <c r="K1163" s="320"/>
      <c r="L1163" s="320"/>
      <c r="M1163" s="320"/>
      <c r="N1163" s="320"/>
      <c r="O1163" s="320"/>
      <c r="P1163" s="320"/>
      <c r="Q1163" s="320"/>
      <c r="R1163" s="320"/>
      <c r="S1163" s="320"/>
      <c r="T1163" s="320"/>
    </row>
    <row r="1164">
      <c r="A1164" s="362" t="str">
        <f>IFERROR(__xludf.DUMMYFUNCTION("""COMPUTED_VALUE"""),"Refined Amber")</f>
        <v>Refined Amber</v>
      </c>
      <c r="B1164" s="373">
        <f>IFERROR(__xludf.DUMMYFUNCTION("""COMPUTED_VALUE"""),858333.0)</f>
        <v>858333</v>
      </c>
      <c r="C1164" s="320"/>
      <c r="D1164" s="320"/>
      <c r="E1164" s="320"/>
      <c r="F1164" s="320"/>
      <c r="G1164" s="320"/>
      <c r="H1164" s="320"/>
      <c r="I1164" s="320"/>
      <c r="J1164" s="320"/>
      <c r="K1164" s="320"/>
      <c r="L1164" s="320"/>
      <c r="M1164" s="320"/>
      <c r="N1164" s="320"/>
      <c r="O1164" s="320"/>
      <c r="P1164" s="320"/>
      <c r="Q1164" s="320"/>
      <c r="R1164" s="320"/>
      <c r="S1164" s="320"/>
      <c r="T1164" s="320"/>
    </row>
    <row r="1165">
      <c r="A1165" s="362" t="str">
        <f>IFERROR(__xludf.DUMMYFUNCTION("""COMPUTED_VALUE"""),"Refined Bottle of Jyrre")</f>
        <v>Refined Bottle of Jyrre</v>
      </c>
      <c r="B1165" s="373">
        <f>IFERROR(__xludf.DUMMYFUNCTION("""COMPUTED_VALUE"""),2729964.217)</f>
        <v>2729964.217</v>
      </c>
      <c r="C1165" s="320"/>
      <c r="D1165" s="320"/>
      <c r="E1165" s="320"/>
      <c r="F1165" s="320"/>
      <c r="G1165" s="320"/>
      <c r="H1165" s="320"/>
      <c r="I1165" s="320"/>
      <c r="J1165" s="320"/>
      <c r="K1165" s="320"/>
      <c r="L1165" s="320"/>
      <c r="M1165" s="320"/>
      <c r="N1165" s="320"/>
      <c r="O1165" s="320"/>
      <c r="P1165" s="320"/>
      <c r="Q1165" s="320"/>
      <c r="R1165" s="320"/>
      <c r="S1165" s="320"/>
      <c r="T1165" s="320"/>
    </row>
    <row r="1166">
      <c r="A1166" s="362" t="str">
        <f>IFERROR(__xludf.DUMMYFUNCTION("""COMPUTED_VALUE"""),"Refined Diamond")</f>
        <v>Refined Diamond</v>
      </c>
      <c r="B1166" s="373">
        <f>IFERROR(__xludf.DUMMYFUNCTION("""COMPUTED_VALUE"""),576005.55)</f>
        <v>576005.55</v>
      </c>
      <c r="C1166" s="320"/>
      <c r="D1166" s="320"/>
      <c r="E1166" s="320"/>
      <c r="F1166" s="320"/>
      <c r="G1166" s="320"/>
      <c r="H1166" s="320"/>
      <c r="I1166" s="320"/>
      <c r="J1166" s="320"/>
      <c r="K1166" s="320"/>
      <c r="L1166" s="320"/>
      <c r="M1166" s="320"/>
      <c r="N1166" s="320"/>
      <c r="O1166" s="320"/>
      <c r="P1166" s="320"/>
      <c r="Q1166" s="320"/>
      <c r="R1166" s="320"/>
      <c r="S1166" s="320"/>
      <c r="T1166" s="320"/>
    </row>
    <row r="1167">
      <c r="A1167" s="362" t="str">
        <f>IFERROR(__xludf.DUMMYFUNCTION("""COMPUTED_VALUE"""),"Refined Mineral")</f>
        <v>Refined Mineral</v>
      </c>
      <c r="B1167" s="373">
        <f>IFERROR(__xludf.DUMMYFUNCTION("""COMPUTED_VALUE"""),6549.85)</f>
        <v>6549.85</v>
      </c>
      <c r="C1167" s="320"/>
      <c r="D1167" s="320"/>
      <c r="E1167" s="320"/>
      <c r="F1167" s="320"/>
      <c r="G1167" s="320"/>
      <c r="H1167" s="320"/>
      <c r="I1167" s="320"/>
      <c r="J1167" s="320"/>
      <c r="K1167" s="320"/>
      <c r="L1167" s="320"/>
      <c r="M1167" s="320"/>
      <c r="N1167" s="320"/>
      <c r="O1167" s="320"/>
      <c r="P1167" s="320"/>
      <c r="Q1167" s="320"/>
      <c r="R1167" s="320"/>
      <c r="S1167" s="320"/>
      <c r="T1167" s="320"/>
    </row>
    <row r="1168">
      <c r="A1168" s="362" t="str">
        <f>IFERROR(__xludf.DUMMYFUNCTION("""COMPUTED_VALUE"""),"Refined Mithril")</f>
        <v>Refined Mithril</v>
      </c>
      <c r="B1168" s="373">
        <f>IFERROR(__xludf.DUMMYFUNCTION("""COMPUTED_VALUE"""),472454.8)</f>
        <v>472454.8</v>
      </c>
      <c r="C1168" s="320"/>
      <c r="D1168" s="320"/>
      <c r="E1168" s="320"/>
      <c r="F1168" s="320"/>
      <c r="G1168" s="320"/>
      <c r="H1168" s="320"/>
      <c r="I1168" s="320"/>
      <c r="J1168" s="320"/>
      <c r="K1168" s="320"/>
      <c r="L1168" s="320"/>
      <c r="M1168" s="320"/>
      <c r="N1168" s="320"/>
      <c r="O1168" s="320"/>
      <c r="P1168" s="320"/>
      <c r="Q1168" s="320"/>
      <c r="R1168" s="320"/>
      <c r="S1168" s="320"/>
      <c r="T1168" s="320"/>
    </row>
    <row r="1169">
      <c r="A1169" s="362" t="str">
        <f>IFERROR(__xludf.DUMMYFUNCTION("""COMPUTED_VALUE"""),"Refined Titanium")</f>
        <v>Refined Titanium</v>
      </c>
      <c r="B1169" s="373">
        <f>IFERROR(__xludf.DUMMYFUNCTION("""COMPUTED_VALUE"""),681374.356)</f>
        <v>681374.356</v>
      </c>
      <c r="C1169" s="320"/>
      <c r="D1169" s="320"/>
      <c r="E1169" s="320"/>
      <c r="F1169" s="320"/>
      <c r="G1169" s="320"/>
      <c r="H1169" s="320"/>
      <c r="I1169" s="320"/>
      <c r="J1169" s="320"/>
      <c r="K1169" s="320"/>
      <c r="L1169" s="320"/>
      <c r="M1169" s="320"/>
      <c r="N1169" s="320"/>
      <c r="O1169" s="320"/>
      <c r="P1169" s="320"/>
      <c r="Q1169" s="320"/>
      <c r="R1169" s="320"/>
      <c r="S1169" s="320"/>
      <c r="T1169" s="320"/>
    </row>
    <row r="1170">
      <c r="A1170" s="362" t="str">
        <f>IFERROR(__xludf.DUMMYFUNCTION("""COMPUTED_VALUE"""),"Revenant Catalyst")</f>
        <v>Revenant Catalyst</v>
      </c>
      <c r="B1170" s="373">
        <f>IFERROR(__xludf.DUMMYFUNCTION("""COMPUTED_VALUE"""),13990.714)</f>
        <v>13990.714</v>
      </c>
      <c r="C1170" s="320"/>
      <c r="D1170" s="320"/>
      <c r="E1170" s="320"/>
      <c r="F1170" s="320"/>
      <c r="G1170" s="320"/>
      <c r="H1170" s="320"/>
      <c r="I1170" s="320"/>
      <c r="J1170" s="320"/>
      <c r="K1170" s="320"/>
      <c r="L1170" s="320"/>
      <c r="M1170" s="320"/>
      <c r="N1170" s="320"/>
      <c r="O1170" s="320"/>
      <c r="P1170" s="320"/>
      <c r="Q1170" s="320"/>
      <c r="R1170" s="320"/>
      <c r="S1170" s="320"/>
      <c r="T1170" s="320"/>
    </row>
    <row r="1171">
      <c r="A1171" s="362" t="str">
        <f>IFERROR(__xludf.DUMMYFUNCTION("""COMPUTED_VALUE"""),"Revenant Flesh")</f>
        <v>Revenant Flesh</v>
      </c>
      <c r="B1171" s="373">
        <f>IFERROR(__xludf.DUMMYFUNCTION("""COMPUTED_VALUE"""),22.861)</f>
        <v>22.861</v>
      </c>
      <c r="C1171" s="320"/>
      <c r="D1171" s="320"/>
      <c r="E1171" s="320"/>
      <c r="F1171" s="320"/>
      <c r="G1171" s="320"/>
      <c r="H1171" s="320"/>
      <c r="I1171" s="320"/>
      <c r="J1171" s="320"/>
      <c r="K1171" s="320"/>
      <c r="L1171" s="320"/>
      <c r="M1171" s="320"/>
      <c r="N1171" s="320"/>
      <c r="O1171" s="320"/>
      <c r="P1171" s="320"/>
      <c r="Q1171" s="320"/>
      <c r="R1171" s="320"/>
      <c r="S1171" s="320"/>
      <c r="T1171" s="320"/>
    </row>
    <row r="1172">
      <c r="A1172" s="362" t="str">
        <f>IFERROR(__xludf.DUMMYFUNCTION("""COMPUTED_VALUE"""),"Revenant Viscera")</f>
        <v>Revenant Viscera</v>
      </c>
      <c r="B1172" s="373">
        <f>IFERROR(__xludf.DUMMYFUNCTION("""COMPUTED_VALUE"""),89045.864)</f>
        <v>89045.864</v>
      </c>
      <c r="C1172" s="320"/>
      <c r="D1172" s="320"/>
      <c r="E1172" s="320"/>
      <c r="F1172" s="320"/>
      <c r="G1172" s="320"/>
      <c r="H1172" s="320"/>
      <c r="I1172" s="320"/>
      <c r="J1172" s="320"/>
      <c r="K1172" s="320"/>
      <c r="L1172" s="320"/>
      <c r="M1172" s="320"/>
      <c r="N1172" s="320"/>
      <c r="O1172" s="320"/>
      <c r="P1172" s="320"/>
      <c r="Q1172" s="320"/>
      <c r="R1172" s="320"/>
      <c r="S1172" s="320"/>
      <c r="T1172" s="320"/>
    </row>
    <row r="1173">
      <c r="A1173" s="362" t="str">
        <f>IFERROR(__xludf.DUMMYFUNCTION("""COMPUTED_VALUE"""),"Ritual Residue")</f>
        <v>Ritual Residue</v>
      </c>
      <c r="B1173" s="373">
        <f>IFERROR(__xludf.DUMMYFUNCTION("""COMPUTED_VALUE"""),1962926.133)</f>
        <v>1962926.133</v>
      </c>
      <c r="C1173" s="320"/>
      <c r="D1173" s="320"/>
      <c r="E1173" s="320"/>
      <c r="F1173" s="320"/>
      <c r="G1173" s="320"/>
      <c r="H1173" s="320"/>
      <c r="I1173" s="320"/>
      <c r="J1173" s="320"/>
      <c r="K1173" s="320"/>
      <c r="L1173" s="320"/>
      <c r="M1173" s="320"/>
      <c r="N1173" s="320"/>
      <c r="O1173" s="320"/>
      <c r="P1173" s="320"/>
      <c r="Q1173" s="320"/>
      <c r="R1173" s="320"/>
      <c r="S1173" s="320"/>
      <c r="T1173" s="320"/>
    </row>
    <row r="1174">
      <c r="A1174" s="362" t="str">
        <f>IFERROR(__xludf.DUMMYFUNCTION("""COMPUTED_VALUE"""),"Robotron Reflector")</f>
        <v>Robotron Reflector</v>
      </c>
      <c r="B1174" s="373">
        <f>IFERROR(__xludf.DUMMYFUNCTION("""COMPUTED_VALUE"""),581150.203)</f>
        <v>581150.203</v>
      </c>
      <c r="C1174" s="320"/>
      <c r="D1174" s="320"/>
      <c r="E1174" s="320"/>
      <c r="F1174" s="320"/>
      <c r="G1174" s="320"/>
      <c r="H1174" s="320"/>
      <c r="I1174" s="320"/>
      <c r="J1174" s="320"/>
      <c r="K1174" s="320"/>
      <c r="L1174" s="320"/>
      <c r="M1174" s="320"/>
      <c r="N1174" s="320"/>
      <c r="O1174" s="320"/>
      <c r="P1174" s="320"/>
      <c r="Q1174" s="320"/>
      <c r="R1174" s="320"/>
      <c r="S1174" s="320"/>
      <c r="T1174" s="320"/>
    </row>
    <row r="1175">
      <c r="A1175" s="362" t="str">
        <f>IFERROR(__xludf.DUMMYFUNCTION("""COMPUTED_VALUE"""),"Rock Candy")</f>
        <v>Rock Candy</v>
      </c>
      <c r="B1175" s="373">
        <f>IFERROR(__xludf.DUMMYFUNCTION("""COMPUTED_VALUE"""),115874.462)</f>
        <v>115874.462</v>
      </c>
      <c r="C1175" s="320"/>
      <c r="D1175" s="320"/>
      <c r="E1175" s="320"/>
      <c r="F1175" s="320"/>
      <c r="G1175" s="320"/>
      <c r="H1175" s="320"/>
      <c r="I1175" s="320"/>
      <c r="J1175" s="320"/>
      <c r="K1175" s="320"/>
      <c r="L1175" s="320"/>
      <c r="M1175" s="320"/>
      <c r="N1175" s="320"/>
      <c r="O1175" s="320"/>
      <c r="P1175" s="320"/>
      <c r="Q1175" s="320"/>
      <c r="R1175" s="320"/>
      <c r="S1175" s="320"/>
      <c r="T1175" s="320"/>
    </row>
    <row r="1176">
      <c r="A1176" s="362" t="str">
        <f>IFERROR(__xludf.DUMMYFUNCTION("""COMPUTED_VALUE"""),"Rock Gemstone")</f>
        <v>Rock Gemstone</v>
      </c>
      <c r="B1176" s="373">
        <f>IFERROR(__xludf.DUMMYFUNCTION("""COMPUTED_VALUE"""),530921.7)</f>
        <v>530921.7</v>
      </c>
      <c r="C1176" s="320"/>
      <c r="D1176" s="320"/>
      <c r="E1176" s="320"/>
      <c r="F1176" s="320"/>
      <c r="G1176" s="320"/>
      <c r="H1176" s="320"/>
      <c r="I1176" s="320"/>
      <c r="J1176" s="320"/>
      <c r="K1176" s="320"/>
      <c r="L1176" s="320"/>
      <c r="M1176" s="320"/>
      <c r="N1176" s="320"/>
      <c r="O1176" s="320"/>
      <c r="P1176" s="320"/>
      <c r="Q1176" s="320"/>
      <c r="R1176" s="320"/>
      <c r="S1176" s="320"/>
      <c r="T1176" s="320"/>
    </row>
    <row r="1177">
      <c r="A1177" s="362" t="str">
        <f>IFERROR(__xludf.DUMMYFUNCTION("""COMPUTED_VALUE"""),"Rotten Flesh")</f>
        <v>Rotten Flesh</v>
      </c>
      <c r="B1177" s="373">
        <f>IFERROR(__xludf.DUMMYFUNCTION("""COMPUTED_VALUE"""),5.86)</f>
        <v>5.86</v>
      </c>
      <c r="C1177" s="320"/>
      <c r="D1177" s="320"/>
      <c r="E1177" s="320"/>
      <c r="F1177" s="320"/>
      <c r="G1177" s="320"/>
      <c r="H1177" s="320"/>
      <c r="I1177" s="320"/>
      <c r="J1177" s="320"/>
      <c r="K1177" s="320"/>
      <c r="L1177" s="320"/>
      <c r="M1177" s="320"/>
      <c r="N1177" s="320"/>
      <c r="O1177" s="320"/>
      <c r="P1177" s="320"/>
      <c r="Q1177" s="320"/>
      <c r="R1177" s="320"/>
      <c r="S1177" s="320"/>
      <c r="T1177" s="320"/>
    </row>
    <row r="1178">
      <c r="A1178" s="362" t="str">
        <f>IFERROR(__xludf.DUMMYFUNCTION("""COMPUTED_VALUE"""),"Rough Amber Gemstone")</f>
        <v>Rough Amber Gemstone</v>
      </c>
      <c r="B1178" s="373">
        <f>IFERROR(__xludf.DUMMYFUNCTION("""COMPUTED_VALUE"""),4.644)</f>
        <v>4.644</v>
      </c>
      <c r="C1178" s="320"/>
      <c r="D1178" s="320"/>
      <c r="E1178" s="320"/>
      <c r="F1178" s="320"/>
      <c r="G1178" s="320"/>
      <c r="H1178" s="320"/>
      <c r="I1178" s="320"/>
      <c r="J1178" s="320"/>
      <c r="K1178" s="320"/>
      <c r="L1178" s="320"/>
      <c r="M1178" s="320"/>
      <c r="N1178" s="320"/>
      <c r="O1178" s="320"/>
      <c r="P1178" s="320"/>
      <c r="Q1178" s="320"/>
      <c r="R1178" s="320"/>
      <c r="S1178" s="320"/>
      <c r="T1178" s="320"/>
    </row>
    <row r="1179">
      <c r="A1179" s="362" t="str">
        <f>IFERROR(__xludf.DUMMYFUNCTION("""COMPUTED_VALUE"""),"Rough Amethyst Gemstone")</f>
        <v>Rough Amethyst Gemstone</v>
      </c>
      <c r="B1179" s="373">
        <f>IFERROR(__xludf.DUMMYFUNCTION("""COMPUTED_VALUE"""),3.091)</f>
        <v>3.091</v>
      </c>
      <c r="C1179" s="320"/>
      <c r="D1179" s="320"/>
      <c r="E1179" s="320"/>
      <c r="F1179" s="320"/>
      <c r="G1179" s="320"/>
      <c r="H1179" s="320"/>
      <c r="I1179" s="320"/>
      <c r="J1179" s="320"/>
      <c r="K1179" s="320"/>
      <c r="L1179" s="320"/>
      <c r="M1179" s="320"/>
      <c r="N1179" s="320"/>
      <c r="O1179" s="320"/>
      <c r="P1179" s="320"/>
      <c r="Q1179" s="320"/>
      <c r="R1179" s="320"/>
      <c r="S1179" s="320"/>
      <c r="T1179" s="320"/>
    </row>
    <row r="1180">
      <c r="A1180" s="362" t="str">
        <f>IFERROR(__xludf.DUMMYFUNCTION("""COMPUTED_VALUE"""),"Rough Jade Gemstone")</f>
        <v>Rough Jade Gemstone</v>
      </c>
      <c r="B1180" s="373">
        <f>IFERROR(__xludf.DUMMYFUNCTION("""COMPUTED_VALUE"""),2.718)</f>
        <v>2.718</v>
      </c>
      <c r="C1180" s="320"/>
      <c r="D1180" s="320"/>
      <c r="E1180" s="320"/>
      <c r="F1180" s="320"/>
      <c r="G1180" s="320"/>
      <c r="H1180" s="320"/>
      <c r="I1180" s="320"/>
      <c r="J1180" s="320"/>
      <c r="K1180" s="320"/>
      <c r="L1180" s="320"/>
      <c r="M1180" s="320"/>
      <c r="N1180" s="320"/>
      <c r="O1180" s="320"/>
      <c r="P1180" s="320"/>
      <c r="Q1180" s="320"/>
      <c r="R1180" s="320"/>
      <c r="S1180" s="320"/>
      <c r="T1180" s="320"/>
    </row>
    <row r="1181">
      <c r="A1181" s="362" t="str">
        <f>IFERROR(__xludf.DUMMYFUNCTION("""COMPUTED_VALUE"""),"Rough Jasper Gemstone")</f>
        <v>Rough Jasper Gemstone</v>
      </c>
      <c r="B1181" s="373">
        <f>IFERROR(__xludf.DUMMYFUNCTION("""COMPUTED_VALUE"""),9.468)</f>
        <v>9.468</v>
      </c>
      <c r="C1181" s="320"/>
      <c r="D1181" s="320"/>
      <c r="E1181" s="320"/>
      <c r="F1181" s="320"/>
      <c r="G1181" s="320"/>
      <c r="H1181" s="320"/>
      <c r="I1181" s="320"/>
      <c r="J1181" s="320"/>
      <c r="K1181" s="320"/>
      <c r="L1181" s="320"/>
      <c r="M1181" s="320"/>
      <c r="N1181" s="320"/>
      <c r="O1181" s="320"/>
      <c r="P1181" s="320"/>
      <c r="Q1181" s="320"/>
      <c r="R1181" s="320"/>
      <c r="S1181" s="320"/>
      <c r="T1181" s="320"/>
    </row>
    <row r="1182">
      <c r="A1182" s="362" t="str">
        <f>IFERROR(__xludf.DUMMYFUNCTION("""COMPUTED_VALUE"""),"Rough Opal Gemstone")</f>
        <v>Rough Opal Gemstone</v>
      </c>
      <c r="B1182" s="373">
        <f>IFERROR(__xludf.DUMMYFUNCTION("""COMPUTED_VALUE"""),19.25)</f>
        <v>19.25</v>
      </c>
      <c r="C1182" s="320"/>
      <c r="D1182" s="320"/>
      <c r="E1182" s="320"/>
      <c r="F1182" s="320"/>
      <c r="G1182" s="320"/>
      <c r="H1182" s="320"/>
      <c r="I1182" s="320"/>
      <c r="J1182" s="320"/>
      <c r="K1182" s="320"/>
      <c r="L1182" s="320"/>
      <c r="M1182" s="320"/>
      <c r="N1182" s="320"/>
      <c r="O1182" s="320"/>
      <c r="P1182" s="320"/>
      <c r="Q1182" s="320"/>
      <c r="R1182" s="320"/>
      <c r="S1182" s="320"/>
      <c r="T1182" s="320"/>
    </row>
    <row r="1183">
      <c r="A1183" s="362" t="str">
        <f>IFERROR(__xludf.DUMMYFUNCTION("""COMPUTED_VALUE"""),"Rough Ruby Gemstone")</f>
        <v>Rough Ruby Gemstone</v>
      </c>
      <c r="B1183" s="373">
        <f>IFERROR(__xludf.DUMMYFUNCTION("""COMPUTED_VALUE"""),2.345)</f>
        <v>2.345</v>
      </c>
      <c r="C1183" s="320"/>
      <c r="D1183" s="320"/>
      <c r="E1183" s="320"/>
      <c r="F1183" s="320"/>
      <c r="G1183" s="320"/>
      <c r="H1183" s="320"/>
      <c r="I1183" s="320"/>
      <c r="J1183" s="320"/>
      <c r="K1183" s="320"/>
      <c r="L1183" s="320"/>
      <c r="M1183" s="320"/>
      <c r="N1183" s="320"/>
      <c r="O1183" s="320"/>
      <c r="P1183" s="320"/>
      <c r="Q1183" s="320"/>
      <c r="R1183" s="320"/>
      <c r="S1183" s="320"/>
      <c r="T1183" s="320"/>
    </row>
    <row r="1184">
      <c r="A1184" s="362" t="str">
        <f>IFERROR(__xludf.DUMMYFUNCTION("""COMPUTED_VALUE"""),"Rough Sapphire Gemstone")</f>
        <v>Rough Sapphire Gemstone</v>
      </c>
      <c r="B1184" s="373">
        <f>IFERROR(__xludf.DUMMYFUNCTION("""COMPUTED_VALUE"""),2.249)</f>
        <v>2.249</v>
      </c>
      <c r="C1184" s="320"/>
      <c r="D1184" s="320"/>
      <c r="E1184" s="320"/>
      <c r="F1184" s="320"/>
      <c r="G1184" s="320"/>
      <c r="H1184" s="320"/>
      <c r="I1184" s="320"/>
      <c r="J1184" s="320"/>
      <c r="K1184" s="320"/>
      <c r="L1184" s="320"/>
      <c r="M1184" s="320"/>
      <c r="N1184" s="320"/>
      <c r="O1184" s="320"/>
      <c r="P1184" s="320"/>
      <c r="Q1184" s="320"/>
      <c r="R1184" s="320"/>
      <c r="S1184" s="320"/>
      <c r="T1184" s="320"/>
    </row>
    <row r="1185">
      <c r="A1185" s="362" t="str">
        <f>IFERROR(__xludf.DUMMYFUNCTION("""COMPUTED_VALUE"""),"Rough Topaz Gemstone")</f>
        <v>Rough Topaz Gemstone</v>
      </c>
      <c r="B1185" s="373">
        <f>IFERROR(__xludf.DUMMYFUNCTION("""COMPUTED_VALUE"""),1.95)</f>
        <v>1.95</v>
      </c>
      <c r="C1185" s="320"/>
      <c r="D1185" s="320"/>
      <c r="E1185" s="320"/>
      <c r="F1185" s="320"/>
      <c r="G1185" s="320"/>
      <c r="H1185" s="320"/>
      <c r="I1185" s="320"/>
      <c r="J1185" s="320"/>
      <c r="K1185" s="320"/>
      <c r="L1185" s="320"/>
      <c r="M1185" s="320"/>
      <c r="N1185" s="320"/>
      <c r="O1185" s="320"/>
      <c r="P1185" s="320"/>
      <c r="Q1185" s="320"/>
      <c r="R1185" s="320"/>
      <c r="S1185" s="320"/>
      <c r="T1185" s="320"/>
    </row>
    <row r="1186">
      <c r="A1186" s="362" t="str">
        <f>IFERROR(__xludf.DUMMYFUNCTION("""COMPUTED_VALUE"""),"Rusty Anchor")</f>
        <v>Rusty Anchor</v>
      </c>
      <c r="B1186" s="373">
        <f>IFERROR(__xludf.DUMMYFUNCTION("""COMPUTED_VALUE"""),5999500.65)</f>
        <v>5999500.65</v>
      </c>
      <c r="C1186" s="320"/>
      <c r="D1186" s="320"/>
      <c r="E1186" s="320"/>
      <c r="F1186" s="320"/>
      <c r="G1186" s="320"/>
      <c r="H1186" s="320"/>
      <c r="I1186" s="320"/>
      <c r="J1186" s="320"/>
      <c r="K1186" s="320"/>
      <c r="L1186" s="320"/>
      <c r="M1186" s="320"/>
      <c r="N1186" s="320"/>
      <c r="O1186" s="320"/>
      <c r="P1186" s="320"/>
      <c r="Q1186" s="320"/>
      <c r="R1186" s="320"/>
      <c r="S1186" s="320"/>
      <c r="T1186" s="320"/>
    </row>
    <row r="1187">
      <c r="A1187" s="362" t="str">
        <f>IFERROR(__xludf.DUMMYFUNCTION("""COMPUTED_VALUE"""),"Sadan's Brooch")</f>
        <v>Sadan's Brooch</v>
      </c>
      <c r="B1187" s="373">
        <f>IFERROR(__xludf.DUMMYFUNCTION("""COMPUTED_VALUE"""),135000.775)</f>
        <v>135000.775</v>
      </c>
      <c r="C1187" s="320"/>
      <c r="D1187" s="320"/>
      <c r="E1187" s="320"/>
      <c r="F1187" s="320"/>
      <c r="G1187" s="320"/>
      <c r="H1187" s="320"/>
      <c r="I1187" s="320"/>
      <c r="J1187" s="320"/>
      <c r="K1187" s="320"/>
      <c r="L1187" s="320"/>
      <c r="M1187" s="320"/>
      <c r="N1187" s="320"/>
      <c r="O1187" s="320"/>
      <c r="P1187" s="320"/>
      <c r="Q1187" s="320"/>
      <c r="R1187" s="320"/>
      <c r="S1187" s="320"/>
      <c r="T1187" s="320"/>
    </row>
    <row r="1188">
      <c r="A1188" s="362" t="str">
        <f>IFERROR(__xludf.DUMMYFUNCTION("""COMPUTED_VALUE"""),"Salmon Opal")</f>
        <v>Salmon Opal</v>
      </c>
      <c r="B1188" s="373">
        <f>IFERROR(__xludf.DUMMYFUNCTION("""COMPUTED_VALUE"""),1079.629)</f>
        <v>1079.629</v>
      </c>
      <c r="C1188" s="320"/>
      <c r="D1188" s="320"/>
      <c r="E1188" s="320"/>
      <c r="F1188" s="320"/>
      <c r="G1188" s="320"/>
      <c r="H1188" s="320"/>
      <c r="I1188" s="320"/>
      <c r="J1188" s="320"/>
      <c r="K1188" s="320"/>
      <c r="L1188" s="320"/>
      <c r="M1188" s="320"/>
      <c r="N1188" s="320"/>
      <c r="O1188" s="320"/>
      <c r="P1188" s="320"/>
      <c r="Q1188" s="320"/>
      <c r="R1188" s="320"/>
      <c r="S1188" s="320"/>
      <c r="T1188" s="320"/>
    </row>
    <row r="1189">
      <c r="A1189" s="362" t="str">
        <f>IFERROR(__xludf.DUMMYFUNCTION("""COMPUTED_VALUE"""),"Salt Cube")</f>
        <v>Salt Cube</v>
      </c>
      <c r="B1189" s="373">
        <f>IFERROR(__xludf.DUMMYFUNCTION("""COMPUTED_VALUE"""),6833.925)</f>
        <v>6833.925</v>
      </c>
      <c r="C1189" s="320"/>
      <c r="D1189" s="320"/>
      <c r="E1189" s="320"/>
      <c r="F1189" s="320"/>
      <c r="G1189" s="320"/>
      <c r="H1189" s="320"/>
      <c r="I1189" s="320"/>
      <c r="J1189" s="320"/>
      <c r="K1189" s="320"/>
      <c r="L1189" s="320"/>
      <c r="M1189" s="320"/>
      <c r="N1189" s="320"/>
      <c r="O1189" s="320"/>
      <c r="P1189" s="320"/>
      <c r="Q1189" s="320"/>
      <c r="R1189" s="320"/>
      <c r="S1189" s="320"/>
      <c r="T1189" s="320"/>
    </row>
    <row r="1190">
      <c r="A1190" s="362" t="str">
        <f>IFERROR(__xludf.DUMMYFUNCTION("""COMPUTED_VALUE"""),"Sand")</f>
        <v>Sand</v>
      </c>
      <c r="B1190" s="373">
        <f>IFERROR(__xludf.DUMMYFUNCTION("""COMPUTED_VALUE"""),23.745)</f>
        <v>23.745</v>
      </c>
      <c r="C1190" s="320"/>
      <c r="D1190" s="320"/>
      <c r="E1190" s="320"/>
      <c r="F1190" s="320"/>
      <c r="G1190" s="320"/>
      <c r="H1190" s="320"/>
      <c r="I1190" s="320"/>
      <c r="J1190" s="320"/>
      <c r="K1190" s="320"/>
      <c r="L1190" s="320"/>
      <c r="M1190" s="320"/>
      <c r="N1190" s="320"/>
      <c r="O1190" s="320"/>
      <c r="P1190" s="320"/>
      <c r="Q1190" s="320"/>
      <c r="R1190" s="320"/>
      <c r="S1190" s="320"/>
      <c r="T1190" s="320"/>
    </row>
    <row r="1191">
      <c r="A1191" s="362" t="str">
        <f>IFERROR(__xludf.DUMMYFUNCTION("""COMPUTED_VALUE"""),"Scarf Fragment")</f>
        <v>Scarf Fragment</v>
      </c>
      <c r="B1191" s="373">
        <f>IFERROR(__xludf.DUMMYFUNCTION("""COMPUTED_VALUE"""),520.7)</f>
        <v>520.7</v>
      </c>
      <c r="C1191" s="320"/>
      <c r="D1191" s="320"/>
      <c r="E1191" s="320"/>
      <c r="F1191" s="320"/>
      <c r="G1191" s="320"/>
      <c r="H1191" s="320"/>
      <c r="I1191" s="320"/>
      <c r="J1191" s="320"/>
      <c r="K1191" s="320"/>
      <c r="L1191" s="320"/>
      <c r="M1191" s="320"/>
      <c r="N1191" s="320"/>
      <c r="O1191" s="320"/>
      <c r="P1191" s="320"/>
      <c r="Q1191" s="320"/>
      <c r="R1191" s="320"/>
      <c r="S1191" s="320"/>
      <c r="T1191" s="320"/>
    </row>
    <row r="1192">
      <c r="A1192" s="362" t="str">
        <f>IFERROR(__xludf.DUMMYFUNCTION("""COMPUTED_VALUE"""),"Scorched Books")</f>
        <v>Scorched Books</v>
      </c>
      <c r="B1192" s="373">
        <f>IFERROR(__xludf.DUMMYFUNCTION("""COMPUTED_VALUE"""),698254.15)</f>
        <v>698254.15</v>
      </c>
      <c r="C1192" s="320"/>
      <c r="D1192" s="320"/>
      <c r="E1192" s="320"/>
      <c r="F1192" s="320"/>
      <c r="G1192" s="320"/>
      <c r="H1192" s="320"/>
      <c r="I1192" s="320"/>
      <c r="J1192" s="320"/>
      <c r="K1192" s="320"/>
      <c r="L1192" s="320"/>
      <c r="M1192" s="320"/>
      <c r="N1192" s="320"/>
      <c r="O1192" s="320"/>
      <c r="P1192" s="320"/>
      <c r="Q1192" s="320"/>
      <c r="R1192" s="320"/>
      <c r="S1192" s="320"/>
      <c r="T1192" s="320"/>
    </row>
    <row r="1193">
      <c r="A1193" s="362" t="str">
        <f>IFERROR(__xludf.DUMMYFUNCTION("""COMPUTED_VALUE"""),"Scorched Power Crystal")</f>
        <v>Scorched Power Crystal</v>
      </c>
      <c r="B1193" s="373">
        <f>IFERROR(__xludf.DUMMYFUNCTION("""COMPUTED_VALUE"""),1986142.742)</f>
        <v>1986142.742</v>
      </c>
      <c r="C1193" s="320"/>
      <c r="D1193" s="320"/>
      <c r="E1193" s="320"/>
      <c r="F1193" s="320"/>
      <c r="G1193" s="320"/>
      <c r="H1193" s="320"/>
      <c r="I1193" s="320"/>
      <c r="J1193" s="320"/>
      <c r="K1193" s="320"/>
      <c r="L1193" s="320"/>
      <c r="M1193" s="320"/>
      <c r="N1193" s="320"/>
      <c r="O1193" s="320"/>
      <c r="P1193" s="320"/>
      <c r="Q1193" s="320"/>
      <c r="R1193" s="320"/>
      <c r="S1193" s="320"/>
      <c r="T1193" s="320"/>
    </row>
    <row r="1194">
      <c r="A1194" s="362" t="str">
        <f>IFERROR(__xludf.DUMMYFUNCTION("""COMPUTED_VALUE"""),"Searing Stone")</f>
        <v>Searing Stone</v>
      </c>
      <c r="B1194" s="373">
        <f>IFERROR(__xludf.DUMMYFUNCTION("""COMPUTED_VALUE"""),530002.4)</f>
        <v>530002.4</v>
      </c>
      <c r="C1194" s="320"/>
      <c r="D1194" s="320"/>
      <c r="E1194" s="320"/>
      <c r="F1194" s="320"/>
      <c r="G1194" s="320"/>
      <c r="H1194" s="320"/>
      <c r="I1194" s="320"/>
      <c r="J1194" s="320"/>
      <c r="K1194" s="320"/>
      <c r="L1194" s="320"/>
      <c r="M1194" s="320"/>
      <c r="N1194" s="320"/>
      <c r="O1194" s="320"/>
      <c r="P1194" s="320"/>
      <c r="Q1194" s="320"/>
      <c r="R1194" s="320"/>
      <c r="S1194" s="320"/>
      <c r="T1194" s="320"/>
    </row>
    <row r="1195">
      <c r="A1195" s="362" t="str">
        <f>IFERROR(__xludf.DUMMYFUNCTION("""COMPUTED_VALUE"""),"Second Master Star")</f>
        <v>Second Master Star</v>
      </c>
      <c r="B1195" s="373">
        <f>IFERROR(__xludf.DUMMYFUNCTION("""COMPUTED_VALUE"""),1.92162665E7)</f>
        <v>19216266.5</v>
      </c>
      <c r="C1195" s="320"/>
      <c r="D1195" s="320"/>
      <c r="E1195" s="320"/>
      <c r="F1195" s="320"/>
      <c r="G1195" s="320"/>
      <c r="H1195" s="320"/>
      <c r="I1195" s="320"/>
      <c r="J1195" s="320"/>
      <c r="K1195" s="320"/>
      <c r="L1195" s="320"/>
      <c r="M1195" s="320"/>
      <c r="N1195" s="320"/>
      <c r="O1195" s="320"/>
      <c r="P1195" s="320"/>
      <c r="Q1195" s="320"/>
      <c r="R1195" s="320"/>
      <c r="S1195" s="320"/>
      <c r="T1195" s="320"/>
    </row>
    <row r="1196">
      <c r="A1196" s="362" t="str">
        <f>IFERROR(__xludf.DUMMYFUNCTION("""COMPUTED_VALUE"""),"Seeds")</f>
        <v>Seeds</v>
      </c>
      <c r="B1196" s="373">
        <f>IFERROR(__xludf.DUMMYFUNCTION("""COMPUTED_VALUE"""),2.988)</f>
        <v>2.988</v>
      </c>
      <c r="C1196" s="320"/>
      <c r="D1196" s="320"/>
      <c r="E1196" s="320"/>
      <c r="F1196" s="320"/>
      <c r="G1196" s="320"/>
      <c r="H1196" s="320"/>
      <c r="I1196" s="320"/>
      <c r="J1196" s="320"/>
      <c r="K1196" s="320"/>
      <c r="L1196" s="320"/>
      <c r="M1196" s="320"/>
      <c r="N1196" s="320"/>
      <c r="O1196" s="320"/>
      <c r="P1196" s="320"/>
      <c r="Q1196" s="320"/>
      <c r="R1196" s="320"/>
      <c r="S1196" s="320"/>
      <c r="T1196" s="320"/>
    </row>
    <row r="1197">
      <c r="A1197" s="362" t="str">
        <f>IFERROR(__xludf.DUMMYFUNCTION("""COMPUTED_VALUE"""),"Shadow Warp")</f>
        <v>Shadow Warp</v>
      </c>
      <c r="B1197" s="373">
        <f>IFERROR(__xludf.DUMMYFUNCTION("""COMPUTED_VALUE"""),2.6178697615E8)</f>
        <v>261786976.2</v>
      </c>
      <c r="C1197" s="320"/>
      <c r="D1197" s="320"/>
      <c r="E1197" s="320"/>
      <c r="F1197" s="320"/>
      <c r="G1197" s="320"/>
      <c r="H1197" s="320"/>
      <c r="I1197" s="320"/>
      <c r="J1197" s="320"/>
      <c r="K1197" s="320"/>
      <c r="L1197" s="320"/>
      <c r="M1197" s="320"/>
      <c r="N1197" s="320"/>
      <c r="O1197" s="320"/>
      <c r="P1197" s="320"/>
      <c r="Q1197" s="320"/>
      <c r="R1197" s="320"/>
      <c r="S1197" s="320"/>
      <c r="T1197" s="320"/>
    </row>
    <row r="1198">
      <c r="A1198" s="362" t="str">
        <f>IFERROR(__xludf.DUMMYFUNCTION("""COMPUTED_VALUE"""),"Shark Bait")</f>
        <v>Shark Bait</v>
      </c>
      <c r="B1198" s="373">
        <f>IFERROR(__xludf.DUMMYFUNCTION("""COMPUTED_VALUE"""),228.408)</f>
        <v>228.408</v>
      </c>
      <c r="C1198" s="320"/>
      <c r="D1198" s="320"/>
      <c r="E1198" s="320"/>
      <c r="F1198" s="320"/>
      <c r="G1198" s="320"/>
      <c r="H1198" s="320"/>
      <c r="I1198" s="320"/>
      <c r="J1198" s="320"/>
      <c r="K1198" s="320"/>
      <c r="L1198" s="320"/>
      <c r="M1198" s="320"/>
      <c r="N1198" s="320"/>
      <c r="O1198" s="320"/>
      <c r="P1198" s="320"/>
      <c r="Q1198" s="320"/>
      <c r="R1198" s="320"/>
      <c r="S1198" s="320"/>
      <c r="T1198" s="320"/>
    </row>
    <row r="1199">
      <c r="A1199" s="362" t="str">
        <f>IFERROR(__xludf.DUMMYFUNCTION("""COMPUTED_VALUE"""),"Shark Fin")</f>
        <v>Shark Fin</v>
      </c>
      <c r="B1199" s="373">
        <f>IFERROR(__xludf.DUMMYFUNCTION("""COMPUTED_VALUE"""),1893.7)</f>
        <v>1893.7</v>
      </c>
      <c r="C1199" s="320"/>
      <c r="D1199" s="320"/>
      <c r="E1199" s="320"/>
      <c r="F1199" s="320"/>
      <c r="G1199" s="320"/>
      <c r="H1199" s="320"/>
      <c r="I1199" s="320"/>
      <c r="J1199" s="320"/>
      <c r="K1199" s="320"/>
      <c r="L1199" s="320"/>
      <c r="M1199" s="320"/>
      <c r="N1199" s="320"/>
      <c r="O1199" s="320"/>
      <c r="P1199" s="320"/>
      <c r="Q1199" s="320"/>
      <c r="R1199" s="320"/>
      <c r="S1199" s="320"/>
      <c r="T1199" s="320"/>
    </row>
    <row r="1200">
      <c r="A1200" s="362" t="str">
        <f>IFERROR(__xludf.DUMMYFUNCTION("""COMPUTED_VALUE"""),"Shark Water Orb")</f>
        <v>Shark Water Orb</v>
      </c>
      <c r="B1200" s="373">
        <f>IFERROR(__xludf.DUMMYFUNCTION("""COMPUTED_VALUE"""),1.091999945E7)</f>
        <v>10919999.45</v>
      </c>
      <c r="C1200" s="320"/>
      <c r="D1200" s="320"/>
      <c r="E1200" s="320"/>
      <c r="F1200" s="320"/>
      <c r="G1200" s="320"/>
      <c r="H1200" s="320"/>
      <c r="I1200" s="320"/>
      <c r="J1200" s="320"/>
      <c r="K1200" s="320"/>
      <c r="L1200" s="320"/>
      <c r="M1200" s="320"/>
      <c r="N1200" s="320"/>
      <c r="O1200" s="320"/>
      <c r="P1200" s="320"/>
      <c r="Q1200" s="320"/>
      <c r="R1200" s="320"/>
      <c r="S1200" s="320"/>
      <c r="T1200" s="320"/>
    </row>
    <row r="1201">
      <c r="A1201" s="362" t="str">
        <f>IFERROR(__xludf.DUMMYFUNCTION("""COMPUTED_VALUE"""),"Shiny Prism")</f>
        <v>Shiny Prism</v>
      </c>
      <c r="B1201" s="373">
        <f>IFERROR(__xludf.DUMMYFUNCTION("""COMPUTED_VALUE"""),301029.513)</f>
        <v>301029.513</v>
      </c>
      <c r="C1201" s="320"/>
      <c r="D1201" s="320"/>
      <c r="E1201" s="320"/>
      <c r="F1201" s="320"/>
      <c r="G1201" s="320"/>
      <c r="H1201" s="320"/>
      <c r="I1201" s="320"/>
      <c r="J1201" s="320"/>
      <c r="K1201" s="320"/>
      <c r="L1201" s="320"/>
      <c r="M1201" s="320"/>
      <c r="N1201" s="320"/>
      <c r="O1201" s="320"/>
      <c r="P1201" s="320"/>
      <c r="Q1201" s="320"/>
      <c r="R1201" s="320"/>
      <c r="S1201" s="320"/>
      <c r="T1201" s="320"/>
    </row>
    <row r="1202">
      <c r="A1202" s="362" t="str">
        <f>IFERROR(__xludf.DUMMYFUNCTION("""COMPUTED_VALUE"""),"Silex")</f>
        <v>Silex</v>
      </c>
      <c r="B1202" s="373">
        <f>IFERROR(__xludf.DUMMYFUNCTION("""COMPUTED_VALUE"""),1.73956445E7)</f>
        <v>17395644.5</v>
      </c>
      <c r="C1202" s="320"/>
      <c r="D1202" s="320"/>
      <c r="E1202" s="320"/>
      <c r="F1202" s="320"/>
      <c r="G1202" s="320"/>
      <c r="H1202" s="320"/>
      <c r="I1202" s="320"/>
      <c r="J1202" s="320"/>
      <c r="K1202" s="320"/>
      <c r="L1202" s="320"/>
      <c r="M1202" s="320"/>
      <c r="N1202" s="320"/>
      <c r="O1202" s="320"/>
      <c r="P1202" s="320"/>
      <c r="Q1202" s="320"/>
      <c r="R1202" s="320"/>
      <c r="S1202" s="320"/>
      <c r="T1202" s="320"/>
    </row>
    <row r="1203">
      <c r="A1203" s="362" t="str">
        <f>IFERROR(__xludf.DUMMYFUNCTION("""COMPUTED_VALUE"""),"Silver Magmafish")</f>
        <v>Silver Magmafish</v>
      </c>
      <c r="B1203" s="373">
        <f>IFERROR(__xludf.DUMMYFUNCTION("""COMPUTED_VALUE"""),32416.651)</f>
        <v>32416.651</v>
      </c>
      <c r="C1203" s="320"/>
      <c r="D1203" s="320"/>
      <c r="E1203" s="320"/>
      <c r="F1203" s="320"/>
      <c r="G1203" s="320"/>
      <c r="H1203" s="320"/>
      <c r="I1203" s="320"/>
      <c r="J1203" s="320"/>
      <c r="K1203" s="320"/>
      <c r="L1203" s="320"/>
      <c r="M1203" s="320"/>
      <c r="N1203" s="320"/>
      <c r="O1203" s="320"/>
      <c r="P1203" s="320"/>
      <c r="Q1203" s="320"/>
      <c r="R1203" s="320"/>
      <c r="S1203" s="320"/>
      <c r="T1203" s="320"/>
    </row>
    <row r="1204">
      <c r="A1204" s="362" t="str">
        <f>IFERROR(__xludf.DUMMYFUNCTION("""COMPUTED_VALUE"""),"Simple Carrot Candy")</f>
        <v>Simple Carrot Candy</v>
      </c>
      <c r="B1204" s="373">
        <f>IFERROR(__xludf.DUMMYFUNCTION("""COMPUTED_VALUE"""),7234.75)</f>
        <v>7234.75</v>
      </c>
      <c r="C1204" s="320"/>
      <c r="D1204" s="320"/>
      <c r="E1204" s="320"/>
      <c r="F1204" s="320"/>
      <c r="G1204" s="320"/>
      <c r="H1204" s="320"/>
      <c r="I1204" s="320"/>
      <c r="J1204" s="320"/>
      <c r="K1204" s="320"/>
      <c r="L1204" s="320"/>
      <c r="M1204" s="320"/>
      <c r="N1204" s="320"/>
      <c r="O1204" s="320"/>
      <c r="P1204" s="320"/>
      <c r="Q1204" s="320"/>
      <c r="R1204" s="320"/>
      <c r="S1204" s="320"/>
      <c r="T1204" s="320"/>
    </row>
    <row r="1205">
      <c r="A1205" s="362" t="str">
        <f>IFERROR(__xludf.DUMMYFUNCTION("""COMPUTED_VALUE"""),"SkyMart Brochure")</f>
        <v>SkyMart Brochure</v>
      </c>
      <c r="B1205" s="373">
        <f>IFERROR(__xludf.DUMMYFUNCTION("""COMPUTED_VALUE"""),504280.883)</f>
        <v>504280.883</v>
      </c>
      <c r="C1205" s="320"/>
      <c r="D1205" s="320"/>
      <c r="E1205" s="320"/>
      <c r="F1205" s="320"/>
      <c r="G1205" s="320"/>
      <c r="H1205" s="320"/>
      <c r="I1205" s="320"/>
      <c r="J1205" s="320"/>
      <c r="K1205" s="320"/>
      <c r="L1205" s="320"/>
      <c r="M1205" s="320"/>
      <c r="N1205" s="320"/>
      <c r="O1205" s="320"/>
      <c r="P1205" s="320"/>
      <c r="Q1205" s="320"/>
      <c r="R1205" s="320"/>
      <c r="S1205" s="320"/>
      <c r="T1205" s="320"/>
    </row>
    <row r="1206">
      <c r="A1206" s="362" t="str">
        <f>IFERROR(__xludf.DUMMYFUNCTION("""COMPUTED_VALUE"""),"Sleepy Hollow")</f>
        <v>Sleepy Hollow</v>
      </c>
      <c r="B1206" s="373">
        <f>IFERROR(__xludf.DUMMYFUNCTION("""COMPUTED_VALUE"""),2950493.85)</f>
        <v>2950493.85</v>
      </c>
      <c r="C1206" s="320"/>
      <c r="D1206" s="320"/>
      <c r="E1206" s="320"/>
      <c r="F1206" s="320"/>
      <c r="G1206" s="320"/>
      <c r="H1206" s="320"/>
      <c r="I1206" s="320"/>
      <c r="J1206" s="320"/>
      <c r="K1206" s="320"/>
      <c r="L1206" s="320"/>
      <c r="M1206" s="320"/>
      <c r="N1206" s="320"/>
      <c r="O1206" s="320"/>
      <c r="P1206" s="320"/>
      <c r="Q1206" s="320"/>
      <c r="R1206" s="320"/>
      <c r="S1206" s="320"/>
      <c r="T1206" s="320"/>
    </row>
    <row r="1207">
      <c r="A1207" s="362" t="str">
        <f>IFERROR(__xludf.DUMMYFUNCTION("""COMPUTED_VALUE"""),"Slimeball")</f>
        <v>Slimeball</v>
      </c>
      <c r="B1207" s="373">
        <f>IFERROR(__xludf.DUMMYFUNCTION("""COMPUTED_VALUE"""),27.299)</f>
        <v>27.299</v>
      </c>
      <c r="C1207" s="320"/>
      <c r="D1207" s="320"/>
      <c r="E1207" s="320"/>
      <c r="F1207" s="320"/>
      <c r="G1207" s="320"/>
      <c r="H1207" s="320"/>
      <c r="I1207" s="320"/>
      <c r="J1207" s="320"/>
      <c r="K1207" s="320"/>
      <c r="L1207" s="320"/>
      <c r="M1207" s="320"/>
      <c r="N1207" s="320"/>
      <c r="O1207" s="320"/>
      <c r="P1207" s="320"/>
      <c r="Q1207" s="320"/>
      <c r="R1207" s="320"/>
      <c r="S1207" s="320"/>
      <c r="T1207" s="320"/>
    </row>
    <row r="1208">
      <c r="A1208" s="362" t="str">
        <f>IFERROR(__xludf.DUMMYFUNCTION("""COMPUTED_VALUE"""),"Sludge Juice")</f>
        <v>Sludge Juice</v>
      </c>
      <c r="B1208" s="373">
        <f>IFERROR(__xludf.DUMMYFUNCTION("""COMPUTED_VALUE"""),1946.284)</f>
        <v>1946.284</v>
      </c>
      <c r="C1208" s="320"/>
      <c r="D1208" s="320"/>
      <c r="E1208" s="320"/>
      <c r="F1208" s="320"/>
      <c r="G1208" s="320"/>
      <c r="H1208" s="320"/>
      <c r="I1208" s="320"/>
      <c r="J1208" s="320"/>
      <c r="K1208" s="320"/>
      <c r="L1208" s="320"/>
      <c r="M1208" s="320"/>
      <c r="N1208" s="320"/>
      <c r="O1208" s="320"/>
      <c r="P1208" s="320"/>
      <c r="Q1208" s="320"/>
      <c r="R1208" s="320"/>
      <c r="S1208" s="320"/>
      <c r="T1208" s="320"/>
    </row>
    <row r="1209">
      <c r="A1209" s="362" t="str">
        <f>IFERROR(__xludf.DUMMYFUNCTION("""COMPUTED_VALUE"""),"Small Storage")</f>
        <v>Small Storage</v>
      </c>
      <c r="B1209" s="373">
        <f>IFERROR(__xludf.DUMMYFUNCTION("""COMPUTED_VALUE"""),852.097)</f>
        <v>852.097</v>
      </c>
      <c r="C1209" s="320"/>
      <c r="D1209" s="320"/>
      <c r="E1209" s="320"/>
      <c r="F1209" s="320"/>
      <c r="G1209" s="320"/>
      <c r="H1209" s="320"/>
      <c r="I1209" s="320"/>
      <c r="J1209" s="320"/>
      <c r="K1209" s="320"/>
      <c r="L1209" s="320"/>
      <c r="M1209" s="320"/>
      <c r="N1209" s="320"/>
      <c r="O1209" s="320"/>
      <c r="P1209" s="320"/>
      <c r="Q1209" s="320"/>
      <c r="R1209" s="320"/>
      <c r="S1209" s="320"/>
      <c r="T1209" s="320"/>
    </row>
    <row r="1210">
      <c r="A1210" s="362" t="str">
        <f>IFERROR(__xludf.DUMMYFUNCTION("""COMPUTED_VALUE"""),"Snow Block")</f>
        <v>Snow Block</v>
      </c>
      <c r="B1210" s="373">
        <f>IFERROR(__xludf.DUMMYFUNCTION("""COMPUTED_VALUE"""),7.142)</f>
        <v>7.142</v>
      </c>
      <c r="C1210" s="320"/>
      <c r="D1210" s="320"/>
      <c r="E1210" s="320"/>
      <c r="F1210" s="320"/>
      <c r="G1210" s="320"/>
      <c r="H1210" s="320"/>
      <c r="I1210" s="320"/>
      <c r="J1210" s="320"/>
      <c r="K1210" s="320"/>
      <c r="L1210" s="320"/>
      <c r="M1210" s="320"/>
      <c r="N1210" s="320"/>
      <c r="O1210" s="320"/>
      <c r="P1210" s="320"/>
      <c r="Q1210" s="320"/>
      <c r="R1210" s="320"/>
      <c r="S1210" s="320"/>
      <c r="T1210" s="320"/>
    </row>
    <row r="1211">
      <c r="A1211" s="362" t="str">
        <f>IFERROR(__xludf.DUMMYFUNCTION("""COMPUTED_VALUE"""),"Snowball")</f>
        <v>Snowball</v>
      </c>
      <c r="B1211" s="373">
        <f>IFERROR(__xludf.DUMMYFUNCTION("""COMPUTED_VALUE"""),4.15)</f>
        <v>4.15</v>
      </c>
      <c r="C1211" s="320"/>
      <c r="D1211" s="320"/>
      <c r="E1211" s="320"/>
      <c r="F1211" s="320"/>
      <c r="G1211" s="320"/>
      <c r="H1211" s="320"/>
      <c r="I1211" s="320"/>
      <c r="J1211" s="320"/>
      <c r="K1211" s="320"/>
      <c r="L1211" s="320"/>
      <c r="M1211" s="320"/>
      <c r="N1211" s="320"/>
      <c r="O1211" s="320"/>
      <c r="P1211" s="320"/>
      <c r="Q1211" s="320"/>
      <c r="R1211" s="320"/>
      <c r="S1211" s="320"/>
      <c r="T1211" s="320"/>
    </row>
    <row r="1212">
      <c r="A1212" s="362" t="str">
        <f>IFERROR(__xludf.DUMMYFUNCTION("""COMPUTED_VALUE"""),"Solar Panel")</f>
        <v>Solar Panel</v>
      </c>
      <c r="B1212" s="373">
        <f>IFERROR(__xludf.DUMMYFUNCTION("""COMPUTED_VALUE"""),429929.313)</f>
        <v>429929.313</v>
      </c>
      <c r="C1212" s="320"/>
      <c r="D1212" s="320"/>
      <c r="E1212" s="320"/>
      <c r="F1212" s="320"/>
      <c r="G1212" s="320"/>
      <c r="H1212" s="320"/>
      <c r="I1212" s="320"/>
      <c r="J1212" s="320"/>
      <c r="K1212" s="320"/>
      <c r="L1212" s="320"/>
      <c r="M1212" s="320"/>
      <c r="N1212" s="320"/>
      <c r="O1212" s="320"/>
      <c r="P1212" s="320"/>
      <c r="Q1212" s="320"/>
      <c r="R1212" s="320"/>
      <c r="S1212" s="320"/>
      <c r="T1212" s="320"/>
    </row>
    <row r="1213">
      <c r="A1213" s="362" t="str">
        <f>IFERROR(__xludf.DUMMYFUNCTION("""COMPUTED_VALUE"""),"Sorrow")</f>
        <v>Sorrow</v>
      </c>
      <c r="B1213" s="373">
        <f>IFERROR(__xludf.DUMMYFUNCTION("""COMPUTED_VALUE"""),263827.142)</f>
        <v>263827.142</v>
      </c>
      <c r="C1213" s="320"/>
      <c r="D1213" s="320"/>
      <c r="E1213" s="320"/>
      <c r="F1213" s="320"/>
      <c r="G1213" s="320"/>
      <c r="H1213" s="320"/>
      <c r="I1213" s="320"/>
      <c r="J1213" s="320"/>
      <c r="K1213" s="320"/>
      <c r="L1213" s="320"/>
      <c r="M1213" s="320"/>
      <c r="N1213" s="320"/>
      <c r="O1213" s="320"/>
      <c r="P1213" s="320"/>
      <c r="Q1213" s="320"/>
      <c r="R1213" s="320"/>
      <c r="S1213" s="320"/>
      <c r="T1213" s="320"/>
    </row>
    <row r="1214">
      <c r="A1214" s="362" t="str">
        <f>IFERROR(__xludf.DUMMYFUNCTION("""COMPUTED_VALUE"""),"Soul Fragment")</f>
        <v>Soul Fragment</v>
      </c>
      <c r="B1214" s="373">
        <f>IFERROR(__xludf.DUMMYFUNCTION("""COMPUTED_VALUE"""),1735256.664)</f>
        <v>1735256.664</v>
      </c>
      <c r="C1214" s="320"/>
      <c r="D1214" s="320"/>
      <c r="E1214" s="320"/>
      <c r="F1214" s="320"/>
      <c r="G1214" s="320"/>
      <c r="H1214" s="320"/>
      <c r="I1214" s="320"/>
      <c r="J1214" s="320"/>
      <c r="K1214" s="320"/>
      <c r="L1214" s="320"/>
      <c r="M1214" s="320"/>
      <c r="N1214" s="320"/>
      <c r="O1214" s="320"/>
      <c r="P1214" s="320"/>
      <c r="Q1214" s="320"/>
      <c r="R1214" s="320"/>
      <c r="S1214" s="320"/>
      <c r="T1214" s="320"/>
    </row>
    <row r="1215">
      <c r="A1215" s="362" t="str">
        <f>IFERROR(__xludf.DUMMYFUNCTION("""COMPUTED_VALUE"""),"Soul String")</f>
        <v>Soul String</v>
      </c>
      <c r="B1215" s="373">
        <f>IFERROR(__xludf.DUMMYFUNCTION("""COMPUTED_VALUE"""),5101.2)</f>
        <v>5101.2</v>
      </c>
      <c r="C1215" s="320"/>
      <c r="D1215" s="320"/>
      <c r="E1215" s="320"/>
      <c r="F1215" s="320"/>
      <c r="G1215" s="320"/>
      <c r="H1215" s="320"/>
      <c r="I1215" s="320"/>
      <c r="J1215" s="320"/>
      <c r="K1215" s="320"/>
      <c r="L1215" s="320"/>
      <c r="M1215" s="320"/>
      <c r="N1215" s="320"/>
      <c r="O1215" s="320"/>
      <c r="P1215" s="320"/>
      <c r="Q1215" s="320"/>
      <c r="R1215" s="320"/>
      <c r="S1215" s="320"/>
      <c r="T1215" s="320"/>
    </row>
    <row r="1216">
      <c r="A1216" s="362" t="str">
        <f>IFERROR(__xludf.DUMMYFUNCTION("""COMPUTED_VALUE"""),"Soulflow")</f>
        <v>Soulflow</v>
      </c>
      <c r="B1216" s="373">
        <f>IFERROR(__xludf.DUMMYFUNCTION("""COMPUTED_VALUE"""),39317.342)</f>
        <v>39317.342</v>
      </c>
      <c r="C1216" s="320"/>
      <c r="D1216" s="320"/>
      <c r="E1216" s="320"/>
      <c r="F1216" s="320"/>
      <c r="G1216" s="320"/>
      <c r="H1216" s="320"/>
      <c r="I1216" s="320"/>
      <c r="J1216" s="320"/>
      <c r="K1216" s="320"/>
      <c r="L1216" s="320"/>
      <c r="M1216" s="320"/>
      <c r="N1216" s="320"/>
      <c r="O1216" s="320"/>
      <c r="P1216" s="320"/>
      <c r="Q1216" s="320"/>
      <c r="R1216" s="320"/>
      <c r="S1216" s="320"/>
      <c r="T1216" s="320"/>
    </row>
    <row r="1217">
      <c r="A1217" s="362" t="str">
        <f>IFERROR(__xludf.DUMMYFUNCTION("""COMPUTED_VALUE"""),"Soulflow Engine")</f>
        <v>Soulflow Engine</v>
      </c>
      <c r="B1217" s="373">
        <f>IFERROR(__xludf.DUMMYFUNCTION("""COMPUTED_VALUE"""),3.04311798E7)</f>
        <v>30431179.8</v>
      </c>
      <c r="C1217" s="320"/>
      <c r="D1217" s="320"/>
      <c r="E1217" s="320"/>
      <c r="F1217" s="320"/>
      <c r="G1217" s="320"/>
      <c r="H1217" s="320"/>
      <c r="I1217" s="320"/>
      <c r="J1217" s="320"/>
      <c r="K1217" s="320"/>
      <c r="L1217" s="320"/>
      <c r="M1217" s="320"/>
      <c r="N1217" s="320"/>
      <c r="O1217" s="320"/>
      <c r="P1217" s="320"/>
      <c r="Q1217" s="320"/>
      <c r="R1217" s="320"/>
      <c r="S1217" s="320"/>
      <c r="T1217" s="320"/>
    </row>
    <row r="1218">
      <c r="A1218" s="362" t="str">
        <f>IFERROR(__xludf.DUMMYFUNCTION("""COMPUTED_VALUE"""),"Spider Catalyst")</f>
        <v>Spider Catalyst</v>
      </c>
      <c r="B1218" s="373">
        <f>IFERROR(__xludf.DUMMYFUNCTION("""COMPUTED_VALUE"""),2224.85)</f>
        <v>2224.85</v>
      </c>
      <c r="C1218" s="320"/>
      <c r="D1218" s="320"/>
      <c r="E1218" s="320"/>
      <c r="F1218" s="320"/>
      <c r="G1218" s="320"/>
      <c r="H1218" s="320"/>
      <c r="I1218" s="320"/>
      <c r="J1218" s="320"/>
      <c r="K1218" s="320"/>
      <c r="L1218" s="320"/>
      <c r="M1218" s="320"/>
      <c r="N1218" s="320"/>
      <c r="O1218" s="320"/>
      <c r="P1218" s="320"/>
      <c r="Q1218" s="320"/>
      <c r="R1218" s="320"/>
      <c r="S1218" s="320"/>
      <c r="T1218" s="320"/>
    </row>
    <row r="1219">
      <c r="A1219" s="362" t="str">
        <f>IFERROR(__xludf.DUMMYFUNCTION("""COMPUTED_VALUE"""),"Spider Eye")</f>
        <v>Spider Eye</v>
      </c>
      <c r="B1219" s="373">
        <f>IFERROR(__xludf.DUMMYFUNCTION("""COMPUTED_VALUE"""),10.471)</f>
        <v>10.471</v>
      </c>
      <c r="C1219" s="320"/>
      <c r="D1219" s="320"/>
      <c r="E1219" s="320"/>
      <c r="F1219" s="320"/>
      <c r="G1219" s="320"/>
      <c r="H1219" s="320"/>
      <c r="I1219" s="320"/>
      <c r="J1219" s="320"/>
      <c r="K1219" s="320"/>
      <c r="L1219" s="320"/>
      <c r="M1219" s="320"/>
      <c r="N1219" s="320"/>
      <c r="O1219" s="320"/>
      <c r="P1219" s="320"/>
      <c r="Q1219" s="320"/>
      <c r="R1219" s="320"/>
      <c r="S1219" s="320"/>
      <c r="T1219" s="320"/>
    </row>
    <row r="1220">
      <c r="A1220" s="362" t="str">
        <f>IFERROR(__xludf.DUMMYFUNCTION("""COMPUTED_VALUE"""),"Spiked Bait")</f>
        <v>Spiked Bait</v>
      </c>
      <c r="B1220" s="373">
        <f>IFERROR(__xludf.DUMMYFUNCTION("""COMPUTED_VALUE"""),131.3)</f>
        <v>131.3</v>
      </c>
      <c r="C1220" s="320"/>
      <c r="D1220" s="320"/>
      <c r="E1220" s="320"/>
      <c r="F1220" s="320"/>
      <c r="G1220" s="320"/>
      <c r="H1220" s="320"/>
      <c r="I1220" s="320"/>
      <c r="J1220" s="320"/>
      <c r="K1220" s="320"/>
      <c r="L1220" s="320"/>
      <c r="M1220" s="320"/>
      <c r="N1220" s="320"/>
      <c r="O1220" s="320"/>
      <c r="P1220" s="320"/>
      <c r="Q1220" s="320"/>
      <c r="R1220" s="320"/>
      <c r="S1220" s="320"/>
      <c r="T1220" s="320"/>
    </row>
    <row r="1221">
      <c r="A1221" s="362" t="str">
        <f>IFERROR(__xludf.DUMMYFUNCTION("""COMPUTED_VALUE"""),"Spirit Bone")</f>
        <v>Spirit Bone</v>
      </c>
      <c r="B1221" s="373">
        <f>IFERROR(__xludf.DUMMYFUNCTION("""COMPUTED_VALUE"""),4253368.4)</f>
        <v>4253368.4</v>
      </c>
      <c r="C1221" s="320"/>
      <c r="D1221" s="320"/>
      <c r="E1221" s="320"/>
      <c r="F1221" s="320"/>
      <c r="G1221" s="320"/>
      <c r="H1221" s="320"/>
      <c r="I1221" s="320"/>
      <c r="J1221" s="320"/>
      <c r="K1221" s="320"/>
      <c r="L1221" s="320"/>
      <c r="M1221" s="320"/>
      <c r="N1221" s="320"/>
      <c r="O1221" s="320"/>
      <c r="P1221" s="320"/>
      <c r="Q1221" s="320"/>
      <c r="R1221" s="320"/>
      <c r="S1221" s="320"/>
      <c r="T1221" s="320"/>
    </row>
    <row r="1222">
      <c r="A1222" s="362" t="str">
        <f>IFERROR(__xludf.DUMMYFUNCTION("""COMPUTED_VALUE"""),"Spirit Leap")</f>
        <v>Spirit Leap</v>
      </c>
      <c r="B1222" s="373">
        <f>IFERROR(__xludf.DUMMYFUNCTION("""COMPUTED_VALUE"""),188.674)</f>
        <v>188.674</v>
      </c>
      <c r="C1222" s="320"/>
      <c r="D1222" s="320"/>
      <c r="E1222" s="320"/>
      <c r="F1222" s="320"/>
      <c r="G1222" s="320"/>
      <c r="H1222" s="320"/>
      <c r="I1222" s="320"/>
      <c r="J1222" s="320"/>
      <c r="K1222" s="320"/>
      <c r="L1222" s="320"/>
      <c r="M1222" s="320"/>
      <c r="N1222" s="320"/>
      <c r="O1222" s="320"/>
      <c r="P1222" s="320"/>
      <c r="Q1222" s="320"/>
      <c r="R1222" s="320"/>
      <c r="S1222" s="320"/>
      <c r="T1222" s="320"/>
    </row>
    <row r="1223">
      <c r="A1223" s="362" t="str">
        <f>IFERROR(__xludf.DUMMYFUNCTION("""COMPUTED_VALUE"""),"Spirit Stone")</f>
        <v>Spirit Stone</v>
      </c>
      <c r="B1223" s="373">
        <f>IFERROR(__xludf.DUMMYFUNCTION("""COMPUTED_VALUE"""),1079712.725)</f>
        <v>1079712.725</v>
      </c>
      <c r="C1223" s="320"/>
      <c r="D1223" s="320"/>
      <c r="E1223" s="320"/>
      <c r="F1223" s="320"/>
      <c r="G1223" s="320"/>
      <c r="H1223" s="320"/>
      <c r="I1223" s="320"/>
      <c r="J1223" s="320"/>
      <c r="K1223" s="320"/>
      <c r="L1223" s="320"/>
      <c r="M1223" s="320"/>
      <c r="N1223" s="320"/>
      <c r="O1223" s="320"/>
      <c r="P1223" s="320"/>
      <c r="Q1223" s="320"/>
      <c r="R1223" s="320"/>
      <c r="S1223" s="320"/>
      <c r="T1223" s="320"/>
    </row>
    <row r="1224">
      <c r="A1224" s="362" t="str">
        <f>IFERROR(__xludf.DUMMYFUNCTION("""COMPUTED_VALUE"""),"Spirit Wing")</f>
        <v>Spirit Wing</v>
      </c>
      <c r="B1224" s="373">
        <f>IFERROR(__xludf.DUMMYFUNCTION("""COMPUTED_VALUE"""),6759469.6)</f>
        <v>6759469.6</v>
      </c>
      <c r="C1224" s="320"/>
      <c r="D1224" s="320"/>
      <c r="E1224" s="320"/>
      <c r="F1224" s="320"/>
      <c r="G1224" s="320"/>
      <c r="H1224" s="320"/>
      <c r="I1224" s="320"/>
      <c r="J1224" s="320"/>
      <c r="K1224" s="320"/>
      <c r="L1224" s="320"/>
      <c r="M1224" s="320"/>
      <c r="N1224" s="320"/>
      <c r="O1224" s="320"/>
      <c r="P1224" s="320"/>
      <c r="Q1224" s="320"/>
      <c r="R1224" s="320"/>
      <c r="S1224" s="320"/>
      <c r="T1224" s="320"/>
    </row>
    <row r="1225">
      <c r="A1225" s="362" t="str">
        <f>IFERROR(__xludf.DUMMYFUNCTION("""COMPUTED_VALUE"""),"Sponge")</f>
        <v>Sponge</v>
      </c>
      <c r="B1225" s="373">
        <f>IFERROR(__xludf.DUMMYFUNCTION("""COMPUTED_VALUE"""),55.139)</f>
        <v>55.139</v>
      </c>
      <c r="C1225" s="320"/>
      <c r="D1225" s="320"/>
      <c r="E1225" s="320"/>
      <c r="F1225" s="320"/>
      <c r="G1225" s="320"/>
      <c r="H1225" s="320"/>
      <c r="I1225" s="320"/>
      <c r="J1225" s="320"/>
      <c r="K1225" s="320"/>
      <c r="L1225" s="320"/>
      <c r="M1225" s="320"/>
      <c r="N1225" s="320"/>
      <c r="O1225" s="320"/>
      <c r="P1225" s="320"/>
      <c r="Q1225" s="320"/>
      <c r="R1225" s="320"/>
      <c r="S1225" s="320"/>
      <c r="T1225" s="320"/>
    </row>
    <row r="1226">
      <c r="A1226" s="362" t="str">
        <f>IFERROR(__xludf.DUMMYFUNCTION("""COMPUTED_VALUE"""),"Spooky Bait")</f>
        <v>Spooky Bait</v>
      </c>
      <c r="B1226" s="373">
        <f>IFERROR(__xludf.DUMMYFUNCTION("""COMPUTED_VALUE"""),98.428)</f>
        <v>98.428</v>
      </c>
      <c r="C1226" s="320"/>
      <c r="D1226" s="320"/>
      <c r="E1226" s="320"/>
      <c r="F1226" s="320"/>
      <c r="G1226" s="320"/>
      <c r="H1226" s="320"/>
      <c r="I1226" s="320"/>
      <c r="J1226" s="320"/>
      <c r="K1226" s="320"/>
      <c r="L1226" s="320"/>
      <c r="M1226" s="320"/>
      <c r="N1226" s="320"/>
      <c r="O1226" s="320"/>
      <c r="P1226" s="320"/>
      <c r="Q1226" s="320"/>
      <c r="R1226" s="320"/>
      <c r="S1226" s="320"/>
      <c r="T1226" s="320"/>
    </row>
    <row r="1227">
      <c r="A1227" s="362" t="str">
        <f>IFERROR(__xludf.DUMMYFUNCTION("""COMPUTED_VALUE"""),"Spooky Shard")</f>
        <v>Spooky Shard</v>
      </c>
      <c r="B1227" s="373">
        <f>IFERROR(__xludf.DUMMYFUNCTION("""COMPUTED_VALUE"""),28855.35)</f>
        <v>28855.35</v>
      </c>
      <c r="C1227" s="320"/>
      <c r="D1227" s="320"/>
      <c r="E1227" s="320"/>
      <c r="F1227" s="320"/>
      <c r="G1227" s="320"/>
      <c r="H1227" s="320"/>
      <c r="I1227" s="320"/>
      <c r="J1227" s="320"/>
      <c r="K1227" s="320"/>
      <c r="L1227" s="320"/>
      <c r="M1227" s="320"/>
      <c r="N1227" s="320"/>
      <c r="O1227" s="320"/>
      <c r="P1227" s="320"/>
      <c r="Q1227" s="320"/>
      <c r="R1227" s="320"/>
      <c r="S1227" s="320"/>
      <c r="T1227" s="320"/>
    </row>
    <row r="1228">
      <c r="A1228" s="362" t="str">
        <f>IFERROR(__xludf.DUMMYFUNCTION("""COMPUTED_VALUE"""),"Spooky Water Orb")</f>
        <v>Spooky Water Orb</v>
      </c>
      <c r="B1228" s="373">
        <f>IFERROR(__xludf.DUMMYFUNCTION("""COMPUTED_VALUE"""),4800000.05)</f>
        <v>4800000.05</v>
      </c>
      <c r="C1228" s="320"/>
      <c r="D1228" s="320"/>
      <c r="E1228" s="320"/>
      <c r="F1228" s="320"/>
      <c r="G1228" s="320"/>
      <c r="H1228" s="320"/>
      <c r="I1228" s="320"/>
      <c r="J1228" s="320"/>
      <c r="K1228" s="320"/>
      <c r="L1228" s="320"/>
      <c r="M1228" s="320"/>
      <c r="N1228" s="320"/>
      <c r="O1228" s="320"/>
      <c r="P1228" s="320"/>
      <c r="Q1228" s="320"/>
      <c r="R1228" s="320"/>
      <c r="S1228" s="320"/>
      <c r="T1228" s="320"/>
    </row>
    <row r="1229">
      <c r="A1229" s="362" t="str">
        <f>IFERROR(__xludf.DUMMYFUNCTION("""COMPUTED_VALUE"""),"Spruce Wood")</f>
        <v>Spruce Wood</v>
      </c>
      <c r="B1229" s="373">
        <f>IFERROR(__xludf.DUMMYFUNCTION("""COMPUTED_VALUE"""),9.7)</f>
        <v>9.7</v>
      </c>
      <c r="C1229" s="320"/>
      <c r="D1229" s="320"/>
      <c r="E1229" s="320"/>
      <c r="F1229" s="320"/>
      <c r="G1229" s="320"/>
      <c r="H1229" s="320"/>
      <c r="I1229" s="320"/>
      <c r="J1229" s="320"/>
      <c r="K1229" s="320"/>
      <c r="L1229" s="320"/>
      <c r="M1229" s="320"/>
      <c r="N1229" s="320"/>
      <c r="O1229" s="320"/>
      <c r="P1229" s="320"/>
      <c r="Q1229" s="320"/>
      <c r="R1229" s="320"/>
      <c r="S1229" s="320"/>
      <c r="T1229" s="320"/>
    </row>
    <row r="1230">
      <c r="A1230" s="362" t="str">
        <f>IFERROR(__xludf.DUMMYFUNCTION("""COMPUTED_VALUE"""),"Squash")</f>
        <v>Squash</v>
      </c>
      <c r="B1230" s="373">
        <f>IFERROR(__xludf.DUMMYFUNCTION("""COMPUTED_VALUE"""),74452.722)</f>
        <v>74452.722</v>
      </c>
      <c r="C1230" s="320"/>
      <c r="D1230" s="320"/>
      <c r="E1230" s="320"/>
      <c r="F1230" s="320"/>
      <c r="G1230" s="320"/>
      <c r="H1230" s="320"/>
      <c r="I1230" s="320"/>
      <c r="J1230" s="320"/>
      <c r="K1230" s="320"/>
      <c r="L1230" s="320"/>
      <c r="M1230" s="320"/>
      <c r="N1230" s="320"/>
      <c r="O1230" s="320"/>
      <c r="P1230" s="320"/>
      <c r="Q1230" s="320"/>
      <c r="R1230" s="320"/>
      <c r="S1230" s="320"/>
      <c r="T1230" s="320"/>
    </row>
    <row r="1231">
      <c r="A1231" s="362" t="str">
        <f>IFERROR(__xludf.DUMMYFUNCTION("""COMPUTED_VALUE"""),"Starfall")</f>
        <v>Starfall</v>
      </c>
      <c r="B1231" s="373">
        <f>IFERROR(__xludf.DUMMYFUNCTION("""COMPUTED_VALUE"""),2501.1)</f>
        <v>2501.1</v>
      </c>
      <c r="C1231" s="320"/>
      <c r="D1231" s="320"/>
      <c r="E1231" s="320"/>
      <c r="F1231" s="320"/>
      <c r="G1231" s="320"/>
      <c r="H1231" s="320"/>
      <c r="I1231" s="320"/>
      <c r="J1231" s="320"/>
      <c r="K1231" s="320"/>
      <c r="L1231" s="320"/>
      <c r="M1231" s="320"/>
      <c r="N1231" s="320"/>
      <c r="O1231" s="320"/>
      <c r="P1231" s="320"/>
      <c r="Q1231" s="320"/>
      <c r="R1231" s="320"/>
      <c r="S1231" s="320"/>
      <c r="T1231" s="320"/>
    </row>
    <row r="1232">
      <c r="A1232" s="362" t="str">
        <f>IFERROR(__xludf.DUMMYFUNCTION("""COMPUTED_VALUE"""),"Stock of Stonks")</f>
        <v>Stock of Stonks</v>
      </c>
      <c r="B1232" s="373">
        <f>IFERROR(__xludf.DUMMYFUNCTION("""COMPUTED_VALUE"""),2.7676468909E7)</f>
        <v>27676468.91</v>
      </c>
      <c r="C1232" s="320"/>
      <c r="D1232" s="320"/>
      <c r="E1232" s="320"/>
      <c r="F1232" s="320"/>
      <c r="G1232" s="320"/>
      <c r="H1232" s="320"/>
      <c r="I1232" s="320"/>
      <c r="J1232" s="320"/>
      <c r="K1232" s="320"/>
      <c r="L1232" s="320"/>
      <c r="M1232" s="320"/>
      <c r="N1232" s="320"/>
      <c r="O1232" s="320"/>
      <c r="P1232" s="320"/>
      <c r="Q1232" s="320"/>
      <c r="R1232" s="320"/>
      <c r="S1232" s="320"/>
      <c r="T1232" s="320"/>
    </row>
    <row r="1233">
      <c r="A1233" s="362" t="str">
        <f>IFERROR(__xludf.DUMMYFUNCTION("""COMPUTED_VALUE"""),"String")</f>
        <v>String</v>
      </c>
      <c r="B1233" s="373">
        <f>IFERROR(__xludf.DUMMYFUNCTION("""COMPUTED_VALUE"""),20.0)</f>
        <v>20</v>
      </c>
      <c r="C1233" s="320"/>
      <c r="D1233" s="320"/>
      <c r="E1233" s="320"/>
      <c r="F1233" s="320"/>
      <c r="G1233" s="320"/>
      <c r="H1233" s="320"/>
      <c r="I1233" s="320"/>
      <c r="J1233" s="320"/>
      <c r="K1233" s="320"/>
      <c r="L1233" s="320"/>
      <c r="M1233" s="320"/>
      <c r="N1233" s="320"/>
      <c r="O1233" s="320"/>
      <c r="P1233" s="320"/>
      <c r="Q1233" s="320"/>
      <c r="R1233" s="320"/>
      <c r="S1233" s="320"/>
      <c r="T1233" s="320"/>
    </row>
    <row r="1234">
      <c r="A1234" s="362" t="str">
        <f>IFERROR(__xludf.DUMMYFUNCTION("""COMPUTED_VALUE"""),"Strong Dragon Fragment")</f>
        <v>Strong Dragon Fragment</v>
      </c>
      <c r="B1234" s="373">
        <f>IFERROR(__xludf.DUMMYFUNCTION("""COMPUTED_VALUE"""),36841.65)</f>
        <v>36841.65</v>
      </c>
      <c r="C1234" s="320"/>
      <c r="D1234" s="320"/>
      <c r="E1234" s="320"/>
      <c r="F1234" s="320"/>
      <c r="G1234" s="320"/>
      <c r="H1234" s="320"/>
      <c r="I1234" s="320"/>
      <c r="J1234" s="320"/>
      <c r="K1234" s="320"/>
      <c r="L1234" s="320"/>
      <c r="M1234" s="320"/>
      <c r="N1234" s="320"/>
      <c r="O1234" s="320"/>
      <c r="P1234" s="320"/>
      <c r="Q1234" s="320"/>
      <c r="R1234" s="320"/>
      <c r="S1234" s="320"/>
      <c r="T1234" s="320"/>
    </row>
    <row r="1235">
      <c r="A1235" s="362" t="str">
        <f>IFERROR(__xludf.DUMMYFUNCTION("""COMPUTED_VALUE"""),"Stuffed Chili Pepper")</f>
        <v>Stuffed Chili Pepper</v>
      </c>
      <c r="B1235" s="373">
        <f>IFERROR(__xludf.DUMMYFUNCTION("""COMPUTED_VALUE"""),1912129.7)</f>
        <v>1912129.7</v>
      </c>
      <c r="C1235" s="320"/>
      <c r="D1235" s="320"/>
      <c r="E1235" s="320"/>
      <c r="F1235" s="320"/>
      <c r="G1235" s="320"/>
      <c r="H1235" s="320"/>
      <c r="I1235" s="320"/>
      <c r="J1235" s="320"/>
      <c r="K1235" s="320"/>
      <c r="L1235" s="320"/>
      <c r="M1235" s="320"/>
      <c r="N1235" s="320"/>
      <c r="O1235" s="320"/>
      <c r="P1235" s="320"/>
      <c r="Q1235" s="320"/>
      <c r="R1235" s="320"/>
      <c r="S1235" s="320"/>
      <c r="T1235" s="320"/>
    </row>
    <row r="1236">
      <c r="A1236" s="362" t="str">
        <f>IFERROR(__xludf.DUMMYFUNCTION("""COMPUTED_VALUE"""),"Subzero Inverter")</f>
        <v>Subzero Inverter</v>
      </c>
      <c r="B1236" s="373">
        <f>IFERROR(__xludf.DUMMYFUNCTION("""COMPUTED_VALUE"""),1044135.25)</f>
        <v>1044135.25</v>
      </c>
      <c r="C1236" s="320"/>
      <c r="D1236" s="320"/>
      <c r="E1236" s="320"/>
      <c r="F1236" s="320"/>
      <c r="G1236" s="320"/>
      <c r="H1236" s="320"/>
      <c r="I1236" s="320"/>
      <c r="J1236" s="320"/>
      <c r="K1236" s="320"/>
      <c r="L1236" s="320"/>
      <c r="M1236" s="320"/>
      <c r="N1236" s="320"/>
      <c r="O1236" s="320"/>
      <c r="P1236" s="320"/>
      <c r="Q1236" s="320"/>
      <c r="R1236" s="320"/>
      <c r="S1236" s="320"/>
      <c r="T1236" s="320"/>
    </row>
    <row r="1237">
      <c r="A1237" s="362" t="str">
        <f>IFERROR(__xludf.DUMMYFUNCTION("""COMPUTED_VALUE"""),"Sugar Cane")</f>
        <v>Sugar Cane</v>
      </c>
      <c r="B1237" s="373">
        <f>IFERROR(__xludf.DUMMYFUNCTION("""COMPUTED_VALUE"""),3.45)</f>
        <v>3.45</v>
      </c>
      <c r="C1237" s="320"/>
      <c r="D1237" s="320"/>
      <c r="E1237" s="320"/>
      <c r="F1237" s="320"/>
      <c r="G1237" s="320"/>
      <c r="H1237" s="320"/>
      <c r="I1237" s="320"/>
      <c r="J1237" s="320"/>
      <c r="K1237" s="320"/>
      <c r="L1237" s="320"/>
      <c r="M1237" s="320"/>
      <c r="N1237" s="320"/>
      <c r="O1237" s="320"/>
      <c r="P1237" s="320"/>
      <c r="Q1237" s="320"/>
      <c r="R1237" s="320"/>
      <c r="S1237" s="320"/>
      <c r="T1237" s="320"/>
    </row>
    <row r="1238">
      <c r="A1238" s="362" t="str">
        <f>IFERROR(__xludf.DUMMYFUNCTION("""COMPUTED_VALUE"""),"Sulphur")</f>
        <v>Sulphur</v>
      </c>
      <c r="B1238" s="373">
        <f>IFERROR(__xludf.DUMMYFUNCTION("""COMPUTED_VALUE"""),8.372)</f>
        <v>8.372</v>
      </c>
      <c r="C1238" s="320"/>
      <c r="D1238" s="320"/>
      <c r="E1238" s="320"/>
      <c r="F1238" s="320"/>
      <c r="G1238" s="320"/>
      <c r="H1238" s="320"/>
      <c r="I1238" s="320"/>
      <c r="J1238" s="320"/>
      <c r="K1238" s="320"/>
      <c r="L1238" s="320"/>
      <c r="M1238" s="320"/>
      <c r="N1238" s="320"/>
      <c r="O1238" s="320"/>
      <c r="P1238" s="320"/>
      <c r="Q1238" s="320"/>
      <c r="R1238" s="320"/>
      <c r="S1238" s="320"/>
      <c r="T1238" s="320"/>
    </row>
    <row r="1239">
      <c r="A1239" s="362" t="str">
        <f>IFERROR(__xludf.DUMMYFUNCTION("""COMPUTED_VALUE"""),"Sulphuric Coal")</f>
        <v>Sulphuric Coal</v>
      </c>
      <c r="B1239" s="373">
        <f>IFERROR(__xludf.DUMMYFUNCTION("""COMPUTED_VALUE"""),4485.35)</f>
        <v>4485.35</v>
      </c>
      <c r="C1239" s="320"/>
      <c r="D1239" s="320"/>
      <c r="E1239" s="320"/>
      <c r="F1239" s="320"/>
      <c r="G1239" s="320"/>
      <c r="H1239" s="320"/>
      <c r="I1239" s="320"/>
      <c r="J1239" s="320"/>
      <c r="K1239" s="320"/>
      <c r="L1239" s="320"/>
      <c r="M1239" s="320"/>
      <c r="N1239" s="320"/>
      <c r="O1239" s="320"/>
      <c r="P1239" s="320"/>
      <c r="Q1239" s="320"/>
      <c r="R1239" s="320"/>
      <c r="S1239" s="320"/>
      <c r="T1239" s="320"/>
    </row>
    <row r="1240">
      <c r="A1240" s="362" t="str">
        <f>IFERROR(__xludf.DUMMYFUNCTION("""COMPUTED_VALUE"""),"Summoning Eye")</f>
        <v>Summoning Eye</v>
      </c>
      <c r="B1240" s="373">
        <f>IFERROR(__xludf.DUMMYFUNCTION("""COMPUTED_VALUE"""),1792145.475)</f>
        <v>1792145.475</v>
      </c>
      <c r="C1240" s="320"/>
      <c r="D1240" s="320"/>
      <c r="E1240" s="320"/>
      <c r="F1240" s="320"/>
      <c r="G1240" s="320"/>
      <c r="H1240" s="320"/>
      <c r="I1240" s="320"/>
      <c r="J1240" s="320"/>
      <c r="K1240" s="320"/>
      <c r="L1240" s="320"/>
      <c r="M1240" s="320"/>
      <c r="N1240" s="320"/>
      <c r="O1240" s="320"/>
      <c r="P1240" s="320"/>
      <c r="Q1240" s="320"/>
      <c r="R1240" s="320"/>
      <c r="S1240" s="320"/>
      <c r="T1240" s="320"/>
    </row>
    <row r="1241">
      <c r="A1241" s="362" t="str">
        <f>IFERROR(__xludf.DUMMYFUNCTION("""COMPUTED_VALUE"""),"Super Compactor 3000")</f>
        <v>Super Compactor 3000</v>
      </c>
      <c r="B1241" s="373">
        <f>IFERROR(__xludf.DUMMYFUNCTION("""COMPUTED_VALUE"""),410924.46)</f>
        <v>410924.46</v>
      </c>
      <c r="C1241" s="320"/>
      <c r="D1241" s="320"/>
      <c r="E1241" s="320"/>
      <c r="F1241" s="320"/>
      <c r="G1241" s="320"/>
      <c r="H1241" s="320"/>
      <c r="I1241" s="320"/>
      <c r="J1241" s="320"/>
      <c r="K1241" s="320"/>
      <c r="L1241" s="320"/>
      <c r="M1241" s="320"/>
      <c r="N1241" s="320"/>
      <c r="O1241" s="320"/>
      <c r="P1241" s="320"/>
      <c r="Q1241" s="320"/>
      <c r="R1241" s="320"/>
      <c r="S1241" s="320"/>
      <c r="T1241" s="320"/>
    </row>
    <row r="1242">
      <c r="A1242" s="362" t="str">
        <f>IFERROR(__xludf.DUMMYFUNCTION("""COMPUTED_VALUE"""),"Super Enchanted Egg")</f>
        <v>Super Enchanted Egg</v>
      </c>
      <c r="B1242" s="373">
        <f>IFERROR(__xludf.DUMMYFUNCTION("""COMPUTED_VALUE"""),564248.95)</f>
        <v>564248.95</v>
      </c>
      <c r="C1242" s="320"/>
      <c r="D1242" s="320"/>
      <c r="E1242" s="320"/>
      <c r="F1242" s="320"/>
      <c r="G1242" s="320"/>
      <c r="H1242" s="320"/>
      <c r="I1242" s="320"/>
      <c r="J1242" s="320"/>
      <c r="K1242" s="320"/>
      <c r="L1242" s="320"/>
      <c r="M1242" s="320"/>
      <c r="N1242" s="320"/>
      <c r="O1242" s="320"/>
      <c r="P1242" s="320"/>
      <c r="Q1242" s="320"/>
      <c r="R1242" s="320"/>
      <c r="S1242" s="320"/>
      <c r="T1242" s="320"/>
    </row>
    <row r="1243">
      <c r="A1243" s="362" t="str">
        <f>IFERROR(__xludf.DUMMYFUNCTION("""COMPUTED_VALUE"""),"Superb Carrot Candy")</f>
        <v>Superb Carrot Candy</v>
      </c>
      <c r="B1243" s="373">
        <f>IFERROR(__xludf.DUMMYFUNCTION("""COMPUTED_VALUE"""),2164947.517)</f>
        <v>2164947.517</v>
      </c>
      <c r="C1243" s="320"/>
      <c r="D1243" s="320"/>
      <c r="E1243" s="320"/>
      <c r="F1243" s="320"/>
      <c r="G1243" s="320"/>
      <c r="H1243" s="320"/>
      <c r="I1243" s="320"/>
      <c r="J1243" s="320"/>
      <c r="K1243" s="320"/>
      <c r="L1243" s="320"/>
      <c r="M1243" s="320"/>
      <c r="N1243" s="320"/>
      <c r="O1243" s="320"/>
      <c r="P1243" s="320"/>
      <c r="Q1243" s="320"/>
      <c r="R1243" s="320"/>
      <c r="S1243" s="320"/>
      <c r="T1243" s="320"/>
    </row>
    <row r="1244">
      <c r="A1244" s="362" t="str">
        <f>IFERROR(__xludf.DUMMYFUNCTION("""COMPUTED_VALUE"""),"Superboom TNT")</f>
        <v>Superboom TNT</v>
      </c>
      <c r="B1244" s="373">
        <f>IFERROR(__xludf.DUMMYFUNCTION("""COMPUTED_VALUE"""),32.6)</f>
        <v>32.6</v>
      </c>
      <c r="C1244" s="320"/>
      <c r="D1244" s="320"/>
      <c r="E1244" s="320"/>
      <c r="F1244" s="320"/>
      <c r="G1244" s="320"/>
      <c r="H1244" s="320"/>
      <c r="I1244" s="320"/>
      <c r="J1244" s="320"/>
      <c r="K1244" s="320"/>
      <c r="L1244" s="320"/>
      <c r="M1244" s="320"/>
      <c r="N1244" s="320"/>
      <c r="O1244" s="320"/>
      <c r="P1244" s="320"/>
      <c r="Q1244" s="320"/>
      <c r="R1244" s="320"/>
      <c r="S1244" s="320"/>
      <c r="T1244" s="320"/>
    </row>
    <row r="1245">
      <c r="A1245" s="362" t="str">
        <f>IFERROR(__xludf.DUMMYFUNCTION("""COMPUTED_VALUE"""),"Superior Dragon Fragment")</f>
        <v>Superior Dragon Fragment</v>
      </c>
      <c r="B1245" s="373">
        <f>IFERROR(__xludf.DUMMYFUNCTION("""COMPUTED_VALUE"""),142500.521)</f>
        <v>142500.521</v>
      </c>
      <c r="C1245" s="320"/>
      <c r="D1245" s="320"/>
      <c r="E1245" s="320"/>
      <c r="F1245" s="320"/>
      <c r="G1245" s="320"/>
      <c r="H1245" s="320"/>
      <c r="I1245" s="320"/>
      <c r="J1245" s="320"/>
      <c r="K1245" s="320"/>
      <c r="L1245" s="320"/>
      <c r="M1245" s="320"/>
      <c r="N1245" s="320"/>
      <c r="O1245" s="320"/>
      <c r="P1245" s="320"/>
      <c r="Q1245" s="320"/>
      <c r="R1245" s="320"/>
      <c r="S1245" s="320"/>
      <c r="T1245" s="320"/>
    </row>
    <row r="1246">
      <c r="A1246" s="362" t="str">
        <f>IFERROR(__xludf.DUMMYFUNCTION("""COMPUTED_VALUE"""),"Superlite Motor")</f>
        <v>Superlite Motor</v>
      </c>
      <c r="B1246" s="373">
        <f>IFERROR(__xludf.DUMMYFUNCTION("""COMPUTED_VALUE"""),8703.1)</f>
        <v>8703.1</v>
      </c>
      <c r="C1246" s="320"/>
      <c r="D1246" s="320"/>
      <c r="E1246" s="320"/>
      <c r="F1246" s="320"/>
      <c r="G1246" s="320"/>
      <c r="H1246" s="320"/>
      <c r="I1246" s="320"/>
      <c r="J1246" s="320"/>
      <c r="K1246" s="320"/>
      <c r="L1246" s="320"/>
      <c r="M1246" s="320"/>
      <c r="N1246" s="320"/>
      <c r="O1246" s="320"/>
      <c r="P1246" s="320"/>
      <c r="Q1246" s="320"/>
      <c r="R1246" s="320"/>
      <c r="S1246" s="320"/>
      <c r="T1246" s="320"/>
    </row>
    <row r="1247">
      <c r="A1247" s="362" t="str">
        <f>IFERROR(__xludf.DUMMYFUNCTION("""COMPUTED_VALUE"""),"Suspicious Vial")</f>
        <v>Suspicious Vial</v>
      </c>
      <c r="B1247" s="373">
        <f>IFERROR(__xludf.DUMMYFUNCTION("""COMPUTED_VALUE"""),28363.45)</f>
        <v>28363.45</v>
      </c>
      <c r="C1247" s="320"/>
      <c r="D1247" s="320"/>
      <c r="E1247" s="320"/>
      <c r="F1247" s="320"/>
      <c r="G1247" s="320"/>
      <c r="H1247" s="320"/>
      <c r="I1247" s="320"/>
      <c r="J1247" s="320"/>
      <c r="K1247" s="320"/>
      <c r="L1247" s="320"/>
      <c r="M1247" s="320"/>
      <c r="N1247" s="320"/>
      <c r="O1247" s="320"/>
      <c r="P1247" s="320"/>
      <c r="Q1247" s="320"/>
      <c r="R1247" s="320"/>
      <c r="S1247" s="320"/>
      <c r="T1247" s="320"/>
    </row>
    <row r="1248">
      <c r="A1248" s="362" t="str">
        <f>IFERROR(__xludf.DUMMYFUNCTION("""COMPUTED_VALUE"""),"Synthetic Heart")</f>
        <v>Synthetic Heart</v>
      </c>
      <c r="B1248" s="373">
        <f>IFERROR(__xludf.DUMMYFUNCTION("""COMPUTED_VALUE"""),79492.218)</f>
        <v>79492.218</v>
      </c>
      <c r="C1248" s="320"/>
      <c r="D1248" s="320"/>
      <c r="E1248" s="320"/>
      <c r="F1248" s="320"/>
      <c r="G1248" s="320"/>
      <c r="H1248" s="320"/>
      <c r="I1248" s="320"/>
      <c r="J1248" s="320"/>
      <c r="K1248" s="320"/>
      <c r="L1248" s="320"/>
      <c r="M1248" s="320"/>
      <c r="N1248" s="320"/>
      <c r="O1248" s="320"/>
      <c r="P1248" s="320"/>
      <c r="Q1248" s="320"/>
      <c r="R1248" s="320"/>
      <c r="S1248" s="320"/>
      <c r="T1248" s="320"/>
    </row>
    <row r="1249">
      <c r="A1249" s="362" t="str">
        <f>IFERROR(__xludf.DUMMYFUNCTION("""COMPUTED_VALUE"""),"Tarantula Silk")</f>
        <v>Tarantula Silk</v>
      </c>
      <c r="B1249" s="373">
        <f>IFERROR(__xludf.DUMMYFUNCTION("""COMPUTED_VALUE"""),241007.4)</f>
        <v>241007.4</v>
      </c>
      <c r="C1249" s="320"/>
      <c r="D1249" s="320"/>
      <c r="E1249" s="320"/>
      <c r="F1249" s="320"/>
      <c r="G1249" s="320"/>
      <c r="H1249" s="320"/>
      <c r="I1249" s="320"/>
      <c r="J1249" s="320"/>
      <c r="K1249" s="320"/>
      <c r="L1249" s="320"/>
      <c r="M1249" s="320"/>
      <c r="N1249" s="320"/>
      <c r="O1249" s="320"/>
      <c r="P1249" s="320"/>
      <c r="Q1249" s="320"/>
      <c r="R1249" s="320"/>
      <c r="S1249" s="320"/>
      <c r="T1249" s="320"/>
    </row>
    <row r="1250">
      <c r="A1250" s="362" t="str">
        <f>IFERROR(__xludf.DUMMYFUNCTION("""COMPUTED_VALUE"""),"Tarantula Web")</f>
        <v>Tarantula Web</v>
      </c>
      <c r="B1250" s="373">
        <f>IFERROR(__xludf.DUMMYFUNCTION("""COMPUTED_VALUE"""),163.962)</f>
        <v>163.962</v>
      </c>
      <c r="C1250" s="320"/>
      <c r="D1250" s="320"/>
      <c r="E1250" s="320"/>
      <c r="F1250" s="320"/>
      <c r="G1250" s="320"/>
      <c r="H1250" s="320"/>
      <c r="I1250" s="320"/>
      <c r="J1250" s="320"/>
      <c r="K1250" s="320"/>
      <c r="L1250" s="320"/>
      <c r="M1250" s="320"/>
      <c r="N1250" s="320"/>
      <c r="O1250" s="320"/>
      <c r="P1250" s="320"/>
      <c r="Q1250" s="320"/>
      <c r="R1250" s="320"/>
      <c r="S1250" s="320"/>
      <c r="T1250" s="320"/>
    </row>
    <row r="1251">
      <c r="A1251" s="362" t="str">
        <f>IFERROR(__xludf.DUMMYFUNCTION("""COMPUTED_VALUE"""),"Tasty Cheese")</f>
        <v>Tasty Cheese</v>
      </c>
      <c r="B1251" s="373">
        <f>IFERROR(__xludf.DUMMYFUNCTION("""COMPUTED_VALUE"""),3681.9)</f>
        <v>3681.9</v>
      </c>
      <c r="C1251" s="320"/>
      <c r="D1251" s="320"/>
      <c r="E1251" s="320"/>
      <c r="F1251" s="320"/>
      <c r="G1251" s="320"/>
      <c r="H1251" s="320"/>
      <c r="I1251" s="320"/>
      <c r="J1251" s="320"/>
      <c r="K1251" s="320"/>
      <c r="L1251" s="320"/>
      <c r="M1251" s="320"/>
      <c r="N1251" s="320"/>
      <c r="O1251" s="320"/>
      <c r="P1251" s="320"/>
      <c r="Q1251" s="320"/>
      <c r="R1251" s="320"/>
      <c r="S1251" s="320"/>
      <c r="T1251" s="320"/>
    </row>
    <row r="1252">
      <c r="A1252" s="362" t="str">
        <f>IFERROR(__xludf.DUMMYFUNCTION("""COMPUTED_VALUE"""),"Terry's Snowglobe")</f>
        <v>Terry's Snowglobe</v>
      </c>
      <c r="B1252" s="373">
        <f>IFERROR(__xludf.DUMMYFUNCTION("""COMPUTED_VALUE"""),1299894.979)</f>
        <v>1299894.979</v>
      </c>
      <c r="C1252" s="320"/>
      <c r="D1252" s="320"/>
      <c r="E1252" s="320"/>
      <c r="F1252" s="320"/>
      <c r="G1252" s="320"/>
      <c r="H1252" s="320"/>
      <c r="I1252" s="320"/>
      <c r="J1252" s="320"/>
      <c r="K1252" s="320"/>
      <c r="L1252" s="320"/>
      <c r="M1252" s="320"/>
      <c r="N1252" s="320"/>
      <c r="O1252" s="320"/>
      <c r="P1252" s="320"/>
      <c r="Q1252" s="320"/>
      <c r="R1252" s="320"/>
      <c r="S1252" s="320"/>
      <c r="T1252" s="320"/>
    </row>
    <row r="1253">
      <c r="A1253" s="362" t="str">
        <f>IFERROR(__xludf.DUMMYFUNCTION("""COMPUTED_VALUE"""),"Tessellated Ender Pearl")</f>
        <v>Tessellated Ender Pearl</v>
      </c>
      <c r="B1253" s="373">
        <f>IFERROR(__xludf.DUMMYFUNCTION("""COMPUTED_VALUE"""),4004869.6)</f>
        <v>4004869.6</v>
      </c>
      <c r="C1253" s="320"/>
      <c r="D1253" s="320"/>
      <c r="E1253" s="320"/>
      <c r="F1253" s="320"/>
      <c r="G1253" s="320"/>
      <c r="H1253" s="320"/>
      <c r="I1253" s="320"/>
      <c r="J1253" s="320"/>
      <c r="K1253" s="320"/>
      <c r="L1253" s="320"/>
      <c r="M1253" s="320"/>
      <c r="N1253" s="320"/>
      <c r="O1253" s="320"/>
      <c r="P1253" s="320"/>
      <c r="Q1253" s="320"/>
      <c r="R1253" s="320"/>
      <c r="S1253" s="320"/>
      <c r="T1253" s="320"/>
    </row>
    <row r="1254">
      <c r="A1254" s="362" t="str">
        <f>IFERROR(__xludf.DUMMYFUNCTION("""COMPUTED_VALUE"""),"The Art of Peace")</f>
        <v>The Art of Peace</v>
      </c>
      <c r="B1254" s="373">
        <f>IFERROR(__xludf.DUMMYFUNCTION("""COMPUTED_VALUE"""),5.099999815E7)</f>
        <v>50999998.15</v>
      </c>
      <c r="C1254" s="320"/>
      <c r="D1254" s="320"/>
      <c r="E1254" s="320"/>
      <c r="F1254" s="320"/>
      <c r="G1254" s="320"/>
      <c r="H1254" s="320"/>
      <c r="I1254" s="320"/>
      <c r="J1254" s="320"/>
      <c r="K1254" s="320"/>
      <c r="L1254" s="320"/>
      <c r="M1254" s="320"/>
      <c r="N1254" s="320"/>
      <c r="O1254" s="320"/>
      <c r="P1254" s="320"/>
      <c r="Q1254" s="320"/>
      <c r="R1254" s="320"/>
      <c r="S1254" s="320"/>
      <c r="T1254" s="320"/>
    </row>
    <row r="1255">
      <c r="A1255" s="362" t="str">
        <f>IFERROR(__xludf.DUMMYFUNCTION("""COMPUTED_VALUE"""),"The Art of War")</f>
        <v>The Art of War</v>
      </c>
      <c r="B1255" s="373">
        <f>IFERROR(__xludf.DUMMYFUNCTION("""COMPUTED_VALUE"""),7939349.45)</f>
        <v>7939349.45</v>
      </c>
      <c r="C1255" s="320"/>
      <c r="D1255" s="320"/>
      <c r="E1255" s="320"/>
      <c r="F1255" s="320"/>
      <c r="G1255" s="320"/>
      <c r="H1255" s="320"/>
      <c r="I1255" s="320"/>
      <c r="J1255" s="320"/>
      <c r="K1255" s="320"/>
      <c r="L1255" s="320"/>
      <c r="M1255" s="320"/>
      <c r="N1255" s="320"/>
      <c r="O1255" s="320"/>
      <c r="P1255" s="320"/>
      <c r="Q1255" s="320"/>
      <c r="R1255" s="320"/>
      <c r="S1255" s="320"/>
      <c r="T1255" s="320"/>
    </row>
    <row r="1256">
      <c r="A1256" s="362" t="str">
        <f>IFERROR(__xludf.DUMMYFUNCTION("""COMPUTED_VALUE"""),"Third Master Star")</f>
        <v>Third Master Star</v>
      </c>
      <c r="B1256" s="373">
        <f>IFERROR(__xludf.DUMMYFUNCTION("""COMPUTED_VALUE"""),5.63464019E7)</f>
        <v>56346401.9</v>
      </c>
      <c r="C1256" s="320"/>
      <c r="D1256" s="320"/>
      <c r="E1256" s="320"/>
      <c r="F1256" s="320"/>
      <c r="G1256" s="320"/>
      <c r="H1256" s="320"/>
      <c r="I1256" s="320"/>
      <c r="J1256" s="320"/>
      <c r="K1256" s="320"/>
      <c r="L1256" s="320"/>
      <c r="M1256" s="320"/>
      <c r="N1256" s="320"/>
      <c r="O1256" s="320"/>
      <c r="P1256" s="320"/>
      <c r="Q1256" s="320"/>
      <c r="R1256" s="320"/>
      <c r="S1256" s="320"/>
      <c r="T1256" s="320"/>
    </row>
    <row r="1257">
      <c r="A1257" s="362" t="str">
        <f>IFERROR(__xludf.DUMMYFUNCTION("""COMPUTED_VALUE"""),"Thorn Fragment")</f>
        <v>Thorn Fragment</v>
      </c>
      <c r="B1257" s="373">
        <f>IFERROR(__xludf.DUMMYFUNCTION("""COMPUTED_VALUE"""),537.1)</f>
        <v>537.1</v>
      </c>
      <c r="C1257" s="320"/>
      <c r="D1257" s="320"/>
      <c r="E1257" s="320"/>
      <c r="F1257" s="320"/>
      <c r="G1257" s="320"/>
      <c r="H1257" s="320"/>
      <c r="I1257" s="320"/>
      <c r="J1257" s="320"/>
      <c r="K1257" s="320"/>
      <c r="L1257" s="320"/>
      <c r="M1257" s="320"/>
      <c r="N1257" s="320"/>
      <c r="O1257" s="320"/>
      <c r="P1257" s="320"/>
      <c r="Q1257" s="320"/>
      <c r="R1257" s="320"/>
      <c r="S1257" s="320"/>
      <c r="T1257" s="320"/>
    </row>
    <row r="1258">
      <c r="A1258" s="362" t="str">
        <f>IFERROR(__xludf.DUMMYFUNCTION("""COMPUTED_VALUE"""),"Tier Boost Core")</f>
        <v>Tier Boost Core</v>
      </c>
      <c r="B1258" s="373">
        <f>IFERROR(__xludf.DUMMYFUNCTION("""COMPUTED_VALUE"""),5.47001552E7)</f>
        <v>54700155.2</v>
      </c>
      <c r="C1258" s="320"/>
      <c r="D1258" s="320"/>
      <c r="E1258" s="320"/>
      <c r="F1258" s="320"/>
      <c r="G1258" s="320"/>
      <c r="H1258" s="320"/>
      <c r="I1258" s="320"/>
      <c r="J1258" s="320"/>
      <c r="K1258" s="320"/>
      <c r="L1258" s="320"/>
      <c r="M1258" s="320"/>
      <c r="N1258" s="320"/>
      <c r="O1258" s="320"/>
      <c r="P1258" s="320"/>
      <c r="Q1258" s="320"/>
      <c r="R1258" s="320"/>
      <c r="S1258" s="320"/>
      <c r="T1258" s="320"/>
    </row>
    <row r="1259">
      <c r="A1259" s="362" t="str">
        <f>IFERROR(__xludf.DUMMYFUNCTION("""COMPUTED_VALUE"""),"Tiger Shark Tooth")</f>
        <v>Tiger Shark Tooth</v>
      </c>
      <c r="B1259" s="373">
        <f>IFERROR(__xludf.DUMMYFUNCTION("""COMPUTED_VALUE"""),159375.75)</f>
        <v>159375.75</v>
      </c>
      <c r="C1259" s="320"/>
      <c r="D1259" s="320"/>
      <c r="E1259" s="320"/>
      <c r="F1259" s="320"/>
      <c r="G1259" s="320"/>
      <c r="H1259" s="320"/>
      <c r="I1259" s="320"/>
      <c r="J1259" s="320"/>
      <c r="K1259" s="320"/>
      <c r="L1259" s="320"/>
      <c r="M1259" s="320"/>
      <c r="N1259" s="320"/>
      <c r="O1259" s="320"/>
      <c r="P1259" s="320"/>
      <c r="Q1259" s="320"/>
      <c r="R1259" s="320"/>
      <c r="S1259" s="320"/>
      <c r="T1259" s="320"/>
    </row>
    <row r="1260">
      <c r="A1260" s="362" t="str">
        <f>IFERROR(__xludf.DUMMYFUNCTION("""COMPUTED_VALUE"""),"Tightly-Tied Hay Bale")</f>
        <v>Tightly-Tied Hay Bale</v>
      </c>
      <c r="B1260" s="373">
        <f>IFERROR(__xludf.DUMMYFUNCTION("""COMPUTED_VALUE"""),1114718.748)</f>
        <v>1114718.748</v>
      </c>
      <c r="C1260" s="320"/>
      <c r="D1260" s="320"/>
      <c r="E1260" s="320"/>
      <c r="F1260" s="320"/>
      <c r="G1260" s="320"/>
      <c r="H1260" s="320"/>
      <c r="I1260" s="320"/>
      <c r="J1260" s="320"/>
      <c r="K1260" s="320"/>
      <c r="L1260" s="320"/>
      <c r="M1260" s="320"/>
      <c r="N1260" s="320"/>
      <c r="O1260" s="320"/>
      <c r="P1260" s="320"/>
      <c r="Q1260" s="320"/>
      <c r="R1260" s="320"/>
      <c r="S1260" s="320"/>
      <c r="T1260" s="320"/>
    </row>
    <row r="1261">
      <c r="A1261" s="362" t="str">
        <f>IFERROR(__xludf.DUMMYFUNCTION("""COMPUTED_VALUE"""),"Titanic Experience Bottle")</f>
        <v>Titanic Experience Bottle</v>
      </c>
      <c r="B1261" s="373">
        <f>IFERROR(__xludf.DUMMYFUNCTION("""COMPUTED_VALUE"""),570184.151)</f>
        <v>570184.151</v>
      </c>
      <c r="C1261" s="320"/>
      <c r="D1261" s="320"/>
      <c r="E1261" s="320"/>
      <c r="F1261" s="320"/>
      <c r="G1261" s="320"/>
      <c r="H1261" s="320"/>
      <c r="I1261" s="320"/>
      <c r="J1261" s="320"/>
      <c r="K1261" s="320"/>
      <c r="L1261" s="320"/>
      <c r="M1261" s="320"/>
      <c r="N1261" s="320"/>
      <c r="O1261" s="320"/>
      <c r="P1261" s="320"/>
      <c r="Q1261" s="320"/>
      <c r="R1261" s="320"/>
      <c r="S1261" s="320"/>
      <c r="T1261" s="320"/>
    </row>
    <row r="1262">
      <c r="A1262" s="362" t="str">
        <f>IFERROR(__xludf.DUMMYFUNCTION("""COMPUTED_VALUE"""),"Titanium")</f>
        <v>Titanium</v>
      </c>
      <c r="B1262" s="373">
        <f>IFERROR(__xludf.DUMMYFUNCTION("""COMPUTED_VALUE"""),160.094)</f>
        <v>160.094</v>
      </c>
      <c r="C1262" s="320"/>
      <c r="D1262" s="320"/>
      <c r="E1262" s="320"/>
      <c r="F1262" s="320"/>
      <c r="G1262" s="320"/>
      <c r="H1262" s="320"/>
      <c r="I1262" s="320"/>
      <c r="J1262" s="320"/>
      <c r="K1262" s="320"/>
      <c r="L1262" s="320"/>
      <c r="M1262" s="320"/>
      <c r="N1262" s="320"/>
      <c r="O1262" s="320"/>
      <c r="P1262" s="320"/>
      <c r="Q1262" s="320"/>
      <c r="R1262" s="320"/>
      <c r="S1262" s="320"/>
      <c r="T1262" s="320"/>
    </row>
    <row r="1263">
      <c r="A1263" s="362" t="str">
        <f>IFERROR(__xludf.DUMMYFUNCTION("""COMPUTED_VALUE"""),"Toil Log")</f>
        <v>Toil Log</v>
      </c>
      <c r="B1263" s="373"/>
      <c r="C1263" s="320"/>
      <c r="D1263" s="320"/>
      <c r="E1263" s="320"/>
      <c r="F1263" s="320"/>
      <c r="G1263" s="320"/>
      <c r="H1263" s="320"/>
      <c r="I1263" s="320"/>
      <c r="J1263" s="320"/>
      <c r="K1263" s="320"/>
      <c r="L1263" s="320"/>
      <c r="M1263" s="320"/>
      <c r="N1263" s="320"/>
      <c r="O1263" s="320"/>
      <c r="P1263" s="320"/>
      <c r="Q1263" s="320"/>
      <c r="R1263" s="320"/>
      <c r="S1263" s="320"/>
      <c r="T1263" s="320"/>
    </row>
    <row r="1264">
      <c r="A1264" s="362" t="str">
        <f>IFERROR(__xludf.DUMMYFUNCTION("""COMPUTED_VALUE"""),"Toxic Arrow Poison")</f>
        <v>Toxic Arrow Poison</v>
      </c>
      <c r="B1264" s="373">
        <f>IFERROR(__xludf.DUMMYFUNCTION("""COMPUTED_VALUE"""),1979.613)</f>
        <v>1979.613</v>
      </c>
      <c r="C1264" s="320"/>
      <c r="D1264" s="320"/>
      <c r="E1264" s="320"/>
      <c r="F1264" s="320"/>
      <c r="G1264" s="320"/>
      <c r="H1264" s="320"/>
      <c r="I1264" s="320"/>
      <c r="J1264" s="320"/>
      <c r="K1264" s="320"/>
      <c r="L1264" s="320"/>
      <c r="M1264" s="320"/>
      <c r="N1264" s="320"/>
      <c r="O1264" s="320"/>
      <c r="P1264" s="320"/>
      <c r="Q1264" s="320"/>
      <c r="R1264" s="320"/>
      <c r="S1264" s="320"/>
      <c r="T1264" s="320"/>
    </row>
    <row r="1265">
      <c r="A1265" s="362" t="str">
        <f>IFERROR(__xludf.DUMMYFUNCTION("""COMPUTED_VALUE"""),"Transmission Tuner")</f>
        <v>Transmission Tuner</v>
      </c>
      <c r="B1265" s="373">
        <f>IFERROR(__xludf.DUMMYFUNCTION("""COMPUTED_VALUE"""),48679.933)</f>
        <v>48679.933</v>
      </c>
      <c r="C1265" s="320"/>
      <c r="D1265" s="320"/>
      <c r="E1265" s="320"/>
      <c r="F1265" s="320"/>
      <c r="G1265" s="320"/>
      <c r="H1265" s="320"/>
      <c r="I1265" s="320"/>
      <c r="J1265" s="320"/>
      <c r="K1265" s="320"/>
      <c r="L1265" s="320"/>
      <c r="M1265" s="320"/>
      <c r="N1265" s="320"/>
      <c r="O1265" s="320"/>
      <c r="P1265" s="320"/>
      <c r="Q1265" s="320"/>
      <c r="R1265" s="320"/>
      <c r="S1265" s="320"/>
      <c r="T1265" s="320"/>
    </row>
    <row r="1266">
      <c r="A1266" s="362" t="str">
        <f>IFERROR(__xludf.DUMMYFUNCTION("""COMPUTED_VALUE"""),"Trap")</f>
        <v>Trap</v>
      </c>
      <c r="B1266" s="373">
        <f>IFERROR(__xludf.DUMMYFUNCTION("""COMPUTED_VALUE"""),4.65)</f>
        <v>4.65</v>
      </c>
      <c r="C1266" s="320"/>
      <c r="D1266" s="320"/>
      <c r="E1266" s="320"/>
      <c r="F1266" s="320"/>
      <c r="G1266" s="320"/>
      <c r="H1266" s="320"/>
      <c r="I1266" s="320"/>
      <c r="J1266" s="320"/>
      <c r="K1266" s="320"/>
      <c r="L1266" s="320"/>
      <c r="M1266" s="320"/>
      <c r="N1266" s="320"/>
      <c r="O1266" s="320"/>
      <c r="P1266" s="320"/>
      <c r="Q1266" s="320"/>
      <c r="R1266" s="320"/>
      <c r="S1266" s="320"/>
      <c r="T1266" s="320"/>
    </row>
    <row r="1267">
      <c r="A1267" s="362" t="str">
        <f>IFERROR(__xludf.DUMMYFUNCTION("""COMPUTED_VALUE"""),"Treasurite")</f>
        <v>Treasurite</v>
      </c>
      <c r="B1267" s="373">
        <f>IFERROR(__xludf.DUMMYFUNCTION("""COMPUTED_VALUE"""),6267.839)</f>
        <v>6267.839</v>
      </c>
      <c r="C1267" s="320"/>
      <c r="D1267" s="320"/>
      <c r="E1267" s="320"/>
      <c r="F1267" s="320"/>
      <c r="G1267" s="320"/>
      <c r="H1267" s="320"/>
      <c r="I1267" s="320"/>
      <c r="J1267" s="320"/>
      <c r="K1267" s="320"/>
      <c r="L1267" s="320"/>
      <c r="M1267" s="320"/>
      <c r="N1267" s="320"/>
      <c r="O1267" s="320"/>
      <c r="P1267" s="320"/>
      <c r="Q1267" s="320"/>
      <c r="R1267" s="320"/>
      <c r="S1267" s="320"/>
      <c r="T1267" s="320"/>
    </row>
    <row r="1268">
      <c r="A1268" s="362" t="str">
        <f>IFERROR(__xludf.DUMMYFUNCTION("""COMPUTED_VALUE"""),"Twilight Arrow Poison")</f>
        <v>Twilight Arrow Poison</v>
      </c>
      <c r="B1268" s="373">
        <f>IFERROR(__xludf.DUMMYFUNCTION("""COMPUTED_VALUE"""),2241.508)</f>
        <v>2241.508</v>
      </c>
      <c r="C1268" s="320"/>
      <c r="D1268" s="320"/>
      <c r="E1268" s="320"/>
      <c r="F1268" s="320"/>
      <c r="G1268" s="320"/>
      <c r="H1268" s="320"/>
      <c r="I1268" s="320"/>
      <c r="J1268" s="320"/>
      <c r="K1268" s="320"/>
      <c r="L1268" s="320"/>
      <c r="M1268" s="320"/>
      <c r="N1268" s="320"/>
      <c r="O1268" s="320"/>
      <c r="P1268" s="320"/>
      <c r="Q1268" s="320"/>
      <c r="R1268" s="320"/>
      <c r="S1268" s="320"/>
      <c r="T1268" s="320"/>
    </row>
    <row r="1269">
      <c r="A1269" s="362" t="str">
        <f>IFERROR(__xludf.DUMMYFUNCTION("""COMPUTED_VALUE"""),"Ultimate Carrot Candy")</f>
        <v>Ultimate Carrot Candy</v>
      </c>
      <c r="B1269" s="373">
        <f>IFERROR(__xludf.DUMMYFUNCTION("""COMPUTED_VALUE"""),2754365.875)</f>
        <v>2754365.875</v>
      </c>
      <c r="C1269" s="320"/>
      <c r="D1269" s="320"/>
      <c r="E1269" s="320"/>
      <c r="F1269" s="320"/>
      <c r="G1269" s="320"/>
      <c r="H1269" s="320"/>
      <c r="I1269" s="320"/>
      <c r="J1269" s="320"/>
      <c r="K1269" s="320"/>
      <c r="L1269" s="320"/>
      <c r="M1269" s="320"/>
      <c r="N1269" s="320"/>
      <c r="O1269" s="320"/>
      <c r="P1269" s="320"/>
      <c r="Q1269" s="320"/>
      <c r="R1269" s="320"/>
      <c r="S1269" s="320"/>
      <c r="T1269" s="320"/>
    </row>
    <row r="1270">
      <c r="A1270" s="362" t="str">
        <f>IFERROR(__xludf.DUMMYFUNCTION("""COMPUTED_VALUE"""),"Undead Catalyst")</f>
        <v>Undead Catalyst</v>
      </c>
      <c r="B1270" s="373">
        <f>IFERROR(__xludf.DUMMYFUNCTION("""COMPUTED_VALUE"""),1874.722)</f>
        <v>1874.722</v>
      </c>
      <c r="C1270" s="320"/>
      <c r="D1270" s="320"/>
      <c r="E1270" s="320"/>
      <c r="F1270" s="320"/>
      <c r="G1270" s="320"/>
      <c r="H1270" s="320"/>
      <c r="I1270" s="320"/>
      <c r="J1270" s="320"/>
      <c r="K1270" s="320"/>
      <c r="L1270" s="320"/>
      <c r="M1270" s="320"/>
      <c r="N1270" s="320"/>
      <c r="O1270" s="320"/>
      <c r="P1270" s="320"/>
      <c r="Q1270" s="320"/>
      <c r="R1270" s="320"/>
      <c r="S1270" s="320"/>
      <c r="T1270" s="320"/>
    </row>
    <row r="1271">
      <c r="A1271" s="362" t="str">
        <f>IFERROR(__xludf.DUMMYFUNCTION("""COMPUTED_VALUE"""),"Unstable Dragon Fragment")</f>
        <v>Unstable Dragon Fragment</v>
      </c>
      <c r="B1271" s="373">
        <f>IFERROR(__xludf.DUMMYFUNCTION("""COMPUTED_VALUE"""),10046.659)</f>
        <v>10046.659</v>
      </c>
      <c r="C1271" s="320"/>
      <c r="D1271" s="320"/>
      <c r="E1271" s="320"/>
      <c r="F1271" s="320"/>
      <c r="G1271" s="320"/>
      <c r="H1271" s="320"/>
      <c r="I1271" s="320"/>
      <c r="J1271" s="320"/>
      <c r="K1271" s="320"/>
      <c r="L1271" s="320"/>
      <c r="M1271" s="320"/>
      <c r="N1271" s="320"/>
      <c r="O1271" s="320"/>
      <c r="P1271" s="320"/>
      <c r="Q1271" s="320"/>
      <c r="R1271" s="320"/>
      <c r="S1271" s="320"/>
      <c r="T1271" s="320"/>
    </row>
    <row r="1272">
      <c r="A1272" s="362" t="str">
        <f>IFERROR(__xludf.DUMMYFUNCTION("""COMPUTED_VALUE"""),"Vampire Fang")</f>
        <v>Vampire Fang</v>
      </c>
      <c r="B1272" s="373">
        <f>IFERROR(__xludf.DUMMYFUNCTION("""COMPUTED_VALUE"""),27442.75)</f>
        <v>27442.75</v>
      </c>
      <c r="C1272" s="320"/>
      <c r="D1272" s="320"/>
      <c r="E1272" s="320"/>
      <c r="F1272" s="320"/>
      <c r="G1272" s="320"/>
      <c r="H1272" s="320"/>
      <c r="I1272" s="320"/>
      <c r="J1272" s="320"/>
      <c r="K1272" s="320"/>
      <c r="L1272" s="320"/>
      <c r="M1272" s="320"/>
      <c r="N1272" s="320"/>
      <c r="O1272" s="320"/>
      <c r="P1272" s="320"/>
      <c r="Q1272" s="320"/>
      <c r="R1272" s="320"/>
      <c r="S1272" s="320"/>
      <c r="T1272" s="320"/>
    </row>
    <row r="1273">
      <c r="A1273" s="362" t="str">
        <f>IFERROR(__xludf.DUMMYFUNCTION("""COMPUTED_VALUE"""),"Very Crude Gabagool")</f>
        <v>Very Crude Gabagool</v>
      </c>
      <c r="B1273" s="373">
        <f>IFERROR(__xludf.DUMMYFUNCTION("""COMPUTED_VALUE"""),182150.55)</f>
        <v>182150.55</v>
      </c>
      <c r="C1273" s="320"/>
      <c r="D1273" s="320"/>
      <c r="E1273" s="320"/>
      <c r="F1273" s="320"/>
      <c r="G1273" s="320"/>
      <c r="H1273" s="320"/>
      <c r="I1273" s="320"/>
      <c r="J1273" s="320"/>
      <c r="K1273" s="320"/>
      <c r="L1273" s="320"/>
      <c r="M1273" s="320"/>
      <c r="N1273" s="320"/>
      <c r="O1273" s="320"/>
      <c r="P1273" s="320"/>
      <c r="Q1273" s="320"/>
      <c r="R1273" s="320"/>
      <c r="S1273" s="320"/>
      <c r="T1273" s="320"/>
    </row>
    <row r="1274">
      <c r="A1274" s="362" t="str">
        <f>IFERROR(__xludf.DUMMYFUNCTION("""COMPUTED_VALUE"""),"Vitamin Death")</f>
        <v>Vitamin Death</v>
      </c>
      <c r="B1274" s="373">
        <f>IFERROR(__xludf.DUMMYFUNCTION("""COMPUTED_VALUE"""),118467.6)</f>
        <v>118467.6</v>
      </c>
      <c r="C1274" s="320"/>
      <c r="D1274" s="320"/>
      <c r="E1274" s="320"/>
      <c r="F1274" s="320"/>
      <c r="G1274" s="320"/>
      <c r="H1274" s="320"/>
      <c r="I1274" s="320"/>
      <c r="J1274" s="320"/>
      <c r="K1274" s="320"/>
      <c r="L1274" s="320"/>
      <c r="M1274" s="320"/>
      <c r="N1274" s="320"/>
      <c r="O1274" s="320"/>
      <c r="P1274" s="320"/>
      <c r="Q1274" s="320"/>
      <c r="R1274" s="320"/>
      <c r="S1274" s="320"/>
      <c r="T1274" s="320"/>
    </row>
    <row r="1275">
      <c r="A1275" s="362" t="str">
        <f>IFERROR(__xludf.DUMMYFUNCTION("""COMPUTED_VALUE"""),"Volta")</f>
        <v>Volta</v>
      </c>
      <c r="B1275" s="373">
        <f>IFERROR(__xludf.DUMMYFUNCTION("""COMPUTED_VALUE"""),6881.9)</f>
        <v>6881.9</v>
      </c>
      <c r="C1275" s="320"/>
      <c r="D1275" s="320"/>
      <c r="E1275" s="320"/>
      <c r="F1275" s="320"/>
      <c r="G1275" s="320"/>
      <c r="H1275" s="320"/>
      <c r="I1275" s="320"/>
      <c r="J1275" s="320"/>
      <c r="K1275" s="320"/>
      <c r="L1275" s="320"/>
      <c r="M1275" s="320"/>
      <c r="N1275" s="320"/>
      <c r="O1275" s="320"/>
      <c r="P1275" s="320"/>
      <c r="Q1275" s="320"/>
      <c r="R1275" s="320"/>
      <c r="S1275" s="320"/>
      <c r="T1275" s="320"/>
    </row>
    <row r="1276">
      <c r="A1276" s="362" t="str">
        <f>IFERROR(__xludf.DUMMYFUNCTION("""COMPUTED_VALUE"""),"Warped Stone")</f>
        <v>Warped Stone</v>
      </c>
      <c r="B1276" s="373">
        <f>IFERROR(__xludf.DUMMYFUNCTION("""COMPUTED_VALUE"""),5101417.65)</f>
        <v>5101417.65</v>
      </c>
      <c r="C1276" s="320"/>
      <c r="D1276" s="320"/>
      <c r="E1276" s="320"/>
      <c r="F1276" s="320"/>
      <c r="G1276" s="320"/>
      <c r="H1276" s="320"/>
      <c r="I1276" s="320"/>
      <c r="J1276" s="320"/>
      <c r="K1276" s="320"/>
      <c r="L1276" s="320"/>
      <c r="M1276" s="320"/>
      <c r="N1276" s="320"/>
      <c r="O1276" s="320"/>
      <c r="P1276" s="320"/>
      <c r="Q1276" s="320"/>
      <c r="R1276" s="320"/>
      <c r="S1276" s="320"/>
      <c r="T1276" s="320"/>
    </row>
    <row r="1277">
      <c r="A1277" s="362" t="str">
        <f>IFERROR(__xludf.DUMMYFUNCTION("""COMPUTED_VALUE"""),"Water Orb")</f>
        <v>Water Orb</v>
      </c>
      <c r="B1277" s="373">
        <f>IFERROR(__xludf.DUMMYFUNCTION("""COMPUTED_VALUE"""),756108.9)</f>
        <v>756108.9</v>
      </c>
      <c r="C1277" s="320"/>
      <c r="D1277" s="320"/>
      <c r="E1277" s="320"/>
      <c r="F1277" s="320"/>
      <c r="G1277" s="320"/>
      <c r="H1277" s="320"/>
      <c r="I1277" s="320"/>
      <c r="J1277" s="320"/>
      <c r="K1277" s="320"/>
      <c r="L1277" s="320"/>
      <c r="M1277" s="320"/>
      <c r="N1277" s="320"/>
      <c r="O1277" s="320"/>
      <c r="P1277" s="320"/>
      <c r="Q1277" s="320"/>
      <c r="R1277" s="320"/>
      <c r="S1277" s="320"/>
      <c r="T1277" s="320"/>
    </row>
    <row r="1278">
      <c r="A1278" s="362" t="str">
        <f>IFERROR(__xludf.DUMMYFUNCTION("""COMPUTED_VALUE"""),"Weak Wolf Catalyst")</f>
        <v>Weak Wolf Catalyst</v>
      </c>
      <c r="B1278" s="373">
        <f>IFERROR(__xludf.DUMMYFUNCTION("""COMPUTED_VALUE"""),41249.441)</f>
        <v>41249.441</v>
      </c>
      <c r="C1278" s="320"/>
      <c r="D1278" s="320"/>
      <c r="E1278" s="320"/>
      <c r="F1278" s="320"/>
      <c r="G1278" s="320"/>
      <c r="H1278" s="320"/>
      <c r="I1278" s="320"/>
      <c r="J1278" s="320"/>
      <c r="K1278" s="320"/>
      <c r="L1278" s="320"/>
      <c r="M1278" s="320"/>
      <c r="N1278" s="320"/>
      <c r="O1278" s="320"/>
      <c r="P1278" s="320"/>
      <c r="Q1278" s="320"/>
      <c r="R1278" s="320"/>
      <c r="S1278" s="320"/>
      <c r="T1278" s="320"/>
    </row>
    <row r="1279">
      <c r="A1279" s="362" t="str">
        <f>IFERROR(__xludf.DUMMYFUNCTION("""COMPUTED_VALUE"""),"Werewolf Skin")</f>
        <v>Werewolf Skin</v>
      </c>
      <c r="B1279" s="373">
        <f>IFERROR(__xludf.DUMMYFUNCTION("""COMPUTED_VALUE"""),46159.721)</f>
        <v>46159.721</v>
      </c>
      <c r="C1279" s="320"/>
      <c r="D1279" s="320"/>
      <c r="E1279" s="320"/>
      <c r="F1279" s="320"/>
      <c r="G1279" s="320"/>
      <c r="H1279" s="320"/>
      <c r="I1279" s="320"/>
      <c r="J1279" s="320"/>
      <c r="K1279" s="320"/>
      <c r="L1279" s="320"/>
      <c r="M1279" s="320"/>
      <c r="N1279" s="320"/>
      <c r="O1279" s="320"/>
      <c r="P1279" s="320"/>
      <c r="Q1279" s="320"/>
      <c r="R1279" s="320"/>
      <c r="S1279" s="320"/>
      <c r="T1279" s="320"/>
    </row>
    <row r="1280">
      <c r="A1280" s="362" t="str">
        <f>IFERROR(__xludf.DUMMYFUNCTION("""COMPUTED_VALUE"""),"Whale Bait")</f>
        <v>Whale Bait</v>
      </c>
      <c r="B1280" s="373">
        <f>IFERROR(__xludf.DUMMYFUNCTION("""COMPUTED_VALUE"""),3123.314)</f>
        <v>3123.314</v>
      </c>
      <c r="C1280" s="320"/>
      <c r="D1280" s="320"/>
      <c r="E1280" s="320"/>
      <c r="F1280" s="320"/>
      <c r="G1280" s="320"/>
      <c r="H1280" s="320"/>
      <c r="I1280" s="320"/>
      <c r="J1280" s="320"/>
      <c r="K1280" s="320"/>
      <c r="L1280" s="320"/>
      <c r="M1280" s="320"/>
      <c r="N1280" s="320"/>
      <c r="O1280" s="320"/>
      <c r="P1280" s="320"/>
      <c r="Q1280" s="320"/>
      <c r="R1280" s="320"/>
      <c r="S1280" s="320"/>
      <c r="T1280" s="320"/>
    </row>
    <row r="1281">
      <c r="A1281" s="362" t="str">
        <f>IFERROR(__xludf.DUMMYFUNCTION("""COMPUTED_VALUE"""),"Wheat")</f>
        <v>Wheat</v>
      </c>
      <c r="B1281" s="373">
        <f>IFERROR(__xludf.DUMMYFUNCTION("""COMPUTED_VALUE"""),4.999)</f>
        <v>4.999</v>
      </c>
      <c r="C1281" s="320"/>
      <c r="D1281" s="320"/>
      <c r="E1281" s="320"/>
      <c r="F1281" s="320"/>
      <c r="G1281" s="320"/>
      <c r="H1281" s="320"/>
      <c r="I1281" s="320"/>
      <c r="J1281" s="320"/>
      <c r="K1281" s="320"/>
      <c r="L1281" s="320"/>
      <c r="M1281" s="320"/>
      <c r="N1281" s="320"/>
      <c r="O1281" s="320"/>
      <c r="P1281" s="320"/>
      <c r="Q1281" s="320"/>
      <c r="R1281" s="320"/>
      <c r="S1281" s="320"/>
      <c r="T1281" s="320"/>
    </row>
    <row r="1282">
      <c r="A1282" s="362" t="str">
        <f>IFERROR(__xludf.DUMMYFUNCTION("""COMPUTED_VALUE"""),"Whipped Magma Cream")</f>
        <v>Whipped Magma Cream</v>
      </c>
      <c r="B1282" s="373">
        <f>IFERROR(__xludf.DUMMYFUNCTION("""COMPUTED_VALUE"""),204717.695)</f>
        <v>204717.695</v>
      </c>
      <c r="C1282" s="320"/>
      <c r="D1282" s="320"/>
      <c r="E1282" s="320"/>
      <c r="F1282" s="320"/>
      <c r="G1282" s="320"/>
      <c r="H1282" s="320"/>
      <c r="I1282" s="320"/>
      <c r="J1282" s="320"/>
      <c r="K1282" s="320"/>
      <c r="L1282" s="320"/>
      <c r="M1282" s="320"/>
      <c r="N1282" s="320"/>
      <c r="O1282" s="320"/>
      <c r="P1282" s="320"/>
      <c r="Q1282" s="320"/>
      <c r="R1282" s="320"/>
      <c r="S1282" s="320"/>
      <c r="T1282" s="320"/>
    </row>
    <row r="1283">
      <c r="A1283" s="362" t="str">
        <f>IFERROR(__xludf.DUMMYFUNCTION("""COMPUTED_VALUE"""),"White Gift")</f>
        <v>White Gift</v>
      </c>
      <c r="B1283" s="373">
        <f>IFERROR(__xludf.DUMMYFUNCTION("""COMPUTED_VALUE"""),2523.457)</f>
        <v>2523.457</v>
      </c>
      <c r="C1283" s="320"/>
      <c r="D1283" s="320"/>
      <c r="E1283" s="320"/>
      <c r="F1283" s="320"/>
      <c r="G1283" s="320"/>
      <c r="H1283" s="320"/>
      <c r="I1283" s="320"/>
      <c r="J1283" s="320"/>
      <c r="K1283" s="320"/>
      <c r="L1283" s="320"/>
      <c r="M1283" s="320"/>
      <c r="N1283" s="320"/>
      <c r="O1283" s="320"/>
      <c r="P1283" s="320"/>
      <c r="Q1283" s="320"/>
      <c r="R1283" s="320"/>
      <c r="S1283" s="320"/>
      <c r="T1283" s="320"/>
    </row>
    <row r="1284">
      <c r="A1284" s="362" t="str">
        <f>IFERROR(__xludf.DUMMYFUNCTION("""COMPUTED_VALUE"""),"White Wool")</f>
        <v>White Wool</v>
      </c>
      <c r="B1284" s="373">
        <f>IFERROR(__xludf.DUMMYFUNCTION("""COMPUTED_VALUE"""),0.848)</f>
        <v>0.848</v>
      </c>
      <c r="C1284" s="320"/>
      <c r="D1284" s="320"/>
      <c r="E1284" s="320"/>
      <c r="F1284" s="320"/>
      <c r="G1284" s="320"/>
      <c r="H1284" s="320"/>
      <c r="I1284" s="320"/>
      <c r="J1284" s="320"/>
      <c r="K1284" s="320"/>
      <c r="L1284" s="320"/>
      <c r="M1284" s="320"/>
      <c r="N1284" s="320"/>
      <c r="O1284" s="320"/>
      <c r="P1284" s="320"/>
      <c r="Q1284" s="320"/>
      <c r="R1284" s="320"/>
      <c r="S1284" s="320"/>
      <c r="T1284" s="320"/>
    </row>
    <row r="1285">
      <c r="A1285" s="362" t="str">
        <f>IFERROR(__xludf.DUMMYFUNCTION("""COMPUTED_VALUE"""),"Winter Water Orb")</f>
        <v>Winter Water Orb</v>
      </c>
      <c r="B1285" s="373">
        <f>IFERROR(__xludf.DUMMYFUNCTION("""COMPUTED_VALUE"""),1.527855845E7)</f>
        <v>15278558.45</v>
      </c>
      <c r="C1285" s="320"/>
      <c r="D1285" s="320"/>
      <c r="E1285" s="320"/>
      <c r="F1285" s="320"/>
      <c r="G1285" s="320"/>
      <c r="H1285" s="320"/>
      <c r="I1285" s="320"/>
      <c r="J1285" s="320"/>
      <c r="K1285" s="320"/>
      <c r="L1285" s="320"/>
      <c r="M1285" s="320"/>
      <c r="N1285" s="320"/>
      <c r="O1285" s="320"/>
      <c r="P1285" s="320"/>
      <c r="Q1285" s="320"/>
      <c r="R1285" s="320"/>
      <c r="S1285" s="320"/>
      <c r="T1285" s="320"/>
    </row>
    <row r="1286">
      <c r="A1286" s="362" t="str">
        <f>IFERROR(__xludf.DUMMYFUNCTION("""COMPUTED_VALUE"""),"Wise Dragon Fragment")</f>
        <v>Wise Dragon Fragment</v>
      </c>
      <c r="B1286" s="373">
        <f>IFERROR(__xludf.DUMMYFUNCTION("""COMPUTED_VALUE"""),62071.215)</f>
        <v>62071.215</v>
      </c>
      <c r="C1286" s="320"/>
      <c r="D1286" s="320"/>
      <c r="E1286" s="320"/>
      <c r="F1286" s="320"/>
      <c r="G1286" s="320"/>
      <c r="H1286" s="320"/>
      <c r="I1286" s="320"/>
      <c r="J1286" s="320"/>
      <c r="K1286" s="320"/>
      <c r="L1286" s="320"/>
      <c r="M1286" s="320"/>
      <c r="N1286" s="320"/>
      <c r="O1286" s="320"/>
      <c r="P1286" s="320"/>
      <c r="Q1286" s="320"/>
      <c r="R1286" s="320"/>
      <c r="S1286" s="320"/>
      <c r="T1286" s="320"/>
    </row>
    <row r="1287">
      <c r="A1287" s="362" t="str">
        <f>IFERROR(__xludf.DUMMYFUNCTION("""COMPUTED_VALUE"""),"Wishing Compass")</f>
        <v>Wishing Compass</v>
      </c>
      <c r="B1287" s="373">
        <f>IFERROR(__xludf.DUMMYFUNCTION("""COMPUTED_VALUE"""),1.35)</f>
        <v>1.35</v>
      </c>
      <c r="C1287" s="320"/>
      <c r="D1287" s="320"/>
      <c r="E1287" s="320"/>
      <c r="F1287" s="320"/>
      <c r="G1287" s="320"/>
      <c r="H1287" s="320"/>
      <c r="I1287" s="320"/>
      <c r="J1287" s="320"/>
      <c r="K1287" s="320"/>
      <c r="L1287" s="320"/>
      <c r="M1287" s="320"/>
      <c r="N1287" s="320"/>
      <c r="O1287" s="320"/>
      <c r="P1287" s="320"/>
      <c r="Q1287" s="320"/>
      <c r="R1287" s="320"/>
      <c r="S1287" s="320"/>
      <c r="T1287" s="320"/>
    </row>
    <row r="1288">
      <c r="A1288" s="362" t="str">
        <f>IFERROR(__xludf.DUMMYFUNCTION("""COMPUTED_VALUE"""),"Wither Blood")</f>
        <v>Wither Blood</v>
      </c>
      <c r="B1288" s="373">
        <f>IFERROR(__xludf.DUMMYFUNCTION("""COMPUTED_VALUE"""),2021769.375)</f>
        <v>2021769.375</v>
      </c>
      <c r="C1288" s="320"/>
      <c r="D1288" s="320"/>
      <c r="E1288" s="320"/>
      <c r="F1288" s="320"/>
      <c r="G1288" s="320"/>
      <c r="H1288" s="320"/>
      <c r="I1288" s="320"/>
      <c r="J1288" s="320"/>
      <c r="K1288" s="320"/>
      <c r="L1288" s="320"/>
      <c r="M1288" s="320"/>
      <c r="N1288" s="320"/>
      <c r="O1288" s="320"/>
      <c r="P1288" s="320"/>
      <c r="Q1288" s="320"/>
      <c r="R1288" s="320"/>
      <c r="S1288" s="320"/>
      <c r="T1288" s="320"/>
    </row>
    <row r="1289">
      <c r="A1289" s="362" t="str">
        <f>IFERROR(__xludf.DUMMYFUNCTION("""COMPUTED_VALUE"""),"Wither Catalyst")</f>
        <v>Wither Catalyst</v>
      </c>
      <c r="B1289" s="373">
        <f>IFERROR(__xludf.DUMMYFUNCTION("""COMPUTED_VALUE"""),1111406.087)</f>
        <v>1111406.087</v>
      </c>
      <c r="C1289" s="320"/>
      <c r="D1289" s="320"/>
      <c r="E1289" s="320"/>
      <c r="F1289" s="320"/>
      <c r="G1289" s="320"/>
      <c r="H1289" s="320"/>
      <c r="I1289" s="320"/>
      <c r="J1289" s="320"/>
      <c r="K1289" s="320"/>
      <c r="L1289" s="320"/>
      <c r="M1289" s="320"/>
      <c r="N1289" s="320"/>
      <c r="O1289" s="320"/>
      <c r="P1289" s="320"/>
      <c r="Q1289" s="320"/>
      <c r="R1289" s="320"/>
      <c r="S1289" s="320"/>
      <c r="T1289" s="320"/>
    </row>
    <row r="1290">
      <c r="A1290" s="362" t="str">
        <f>IFERROR(__xludf.DUMMYFUNCTION("""COMPUTED_VALUE"""),"Wither Shield")</f>
        <v>Wither Shield</v>
      </c>
      <c r="B1290" s="373">
        <f>IFERROR(__xludf.DUMMYFUNCTION("""COMPUTED_VALUE"""),2.800594929E8)</f>
        <v>280059492.9</v>
      </c>
      <c r="C1290" s="320"/>
      <c r="D1290" s="320"/>
      <c r="E1290" s="320"/>
      <c r="F1290" s="320"/>
      <c r="G1290" s="320"/>
      <c r="H1290" s="320"/>
      <c r="I1290" s="320"/>
      <c r="J1290" s="320"/>
      <c r="K1290" s="320"/>
      <c r="L1290" s="320"/>
      <c r="M1290" s="320"/>
      <c r="N1290" s="320"/>
      <c r="O1290" s="320"/>
      <c r="P1290" s="320"/>
      <c r="Q1290" s="320"/>
      <c r="R1290" s="320"/>
      <c r="S1290" s="320"/>
      <c r="T1290" s="320"/>
    </row>
    <row r="1291">
      <c r="A1291" s="362" t="str">
        <f>IFERROR(__xludf.DUMMYFUNCTION("""COMPUTED_VALUE"""),"Wolf Tooth")</f>
        <v>Wolf Tooth</v>
      </c>
      <c r="B1291" s="373">
        <f>IFERROR(__xludf.DUMMYFUNCTION("""COMPUTED_VALUE"""),497.993)</f>
        <v>497.993</v>
      </c>
      <c r="C1291" s="320"/>
      <c r="D1291" s="320"/>
      <c r="E1291" s="320"/>
      <c r="F1291" s="320"/>
      <c r="G1291" s="320"/>
      <c r="H1291" s="320"/>
      <c r="I1291" s="320"/>
      <c r="J1291" s="320"/>
      <c r="K1291" s="320"/>
      <c r="L1291" s="320"/>
      <c r="M1291" s="320"/>
      <c r="N1291" s="320"/>
      <c r="O1291" s="320"/>
      <c r="P1291" s="320"/>
      <c r="Q1291" s="320"/>
      <c r="R1291" s="320"/>
      <c r="S1291" s="320"/>
      <c r="T1291" s="320"/>
    </row>
    <row r="1292">
      <c r="A1292" s="362" t="str">
        <f>IFERROR(__xludf.DUMMYFUNCTION("""COMPUTED_VALUE"""),"Wood Singularity")</f>
        <v>Wood Singularity</v>
      </c>
      <c r="B1292" s="373">
        <f>IFERROR(__xludf.DUMMYFUNCTION("""COMPUTED_VALUE"""),5570485.375)</f>
        <v>5570485.375</v>
      </c>
      <c r="C1292" s="320"/>
      <c r="D1292" s="320"/>
      <c r="E1292" s="320"/>
      <c r="F1292" s="320"/>
      <c r="G1292" s="320"/>
      <c r="H1292" s="320"/>
      <c r="I1292" s="320"/>
      <c r="J1292" s="320"/>
      <c r="K1292" s="320"/>
      <c r="L1292" s="320"/>
      <c r="M1292" s="320"/>
      <c r="N1292" s="320"/>
      <c r="O1292" s="320"/>
      <c r="P1292" s="320"/>
      <c r="Q1292" s="320"/>
      <c r="R1292" s="320"/>
      <c r="S1292" s="320"/>
      <c r="T1292" s="320"/>
    </row>
    <row r="1293">
      <c r="A1293" s="362" t="str">
        <f>IFERROR(__xludf.DUMMYFUNCTION("""COMPUTED_VALUE"""),"Worm Bait")</f>
        <v>Worm Bait</v>
      </c>
      <c r="B1293" s="373">
        <f>IFERROR(__xludf.DUMMYFUNCTION("""COMPUTED_VALUE"""),2333.885)</f>
        <v>2333.885</v>
      </c>
      <c r="C1293" s="320"/>
      <c r="D1293" s="320"/>
      <c r="E1293" s="320"/>
      <c r="F1293" s="320"/>
      <c r="G1293" s="320"/>
      <c r="H1293" s="320"/>
      <c r="I1293" s="320"/>
      <c r="J1293" s="320"/>
      <c r="K1293" s="320"/>
      <c r="L1293" s="320"/>
      <c r="M1293" s="320"/>
      <c r="N1293" s="320"/>
      <c r="O1293" s="320"/>
      <c r="P1293" s="320"/>
      <c r="Q1293" s="320"/>
      <c r="R1293" s="320"/>
      <c r="S1293" s="320"/>
      <c r="T1293" s="320"/>
    </row>
    <row r="1294">
      <c r="A1294" s="362" t="str">
        <f>IFERROR(__xludf.DUMMYFUNCTION("""COMPUTED_VALUE"""),"Worm Membrane")</f>
        <v>Worm Membrane</v>
      </c>
      <c r="B1294" s="373">
        <f>IFERROR(__xludf.DUMMYFUNCTION("""COMPUTED_VALUE"""),50413.723)</f>
        <v>50413.723</v>
      </c>
      <c r="C1294" s="320"/>
      <c r="D1294" s="320"/>
      <c r="E1294" s="320"/>
      <c r="F1294" s="320"/>
      <c r="G1294" s="320"/>
      <c r="H1294" s="320"/>
      <c r="I1294" s="320"/>
      <c r="J1294" s="320"/>
      <c r="K1294" s="320"/>
      <c r="L1294" s="320"/>
      <c r="M1294" s="320"/>
      <c r="N1294" s="320"/>
      <c r="O1294" s="320"/>
      <c r="P1294" s="320"/>
      <c r="Q1294" s="320"/>
      <c r="R1294" s="320"/>
      <c r="S1294" s="320"/>
      <c r="T1294" s="320"/>
    </row>
    <row r="1295">
      <c r="A1295" s="362" t="str">
        <f>IFERROR(__xludf.DUMMYFUNCTION("""COMPUTED_VALUE"""),"Wriggling Larva")</f>
        <v>Wriggling Larva</v>
      </c>
      <c r="B1295" s="373">
        <f>IFERROR(__xludf.DUMMYFUNCTION("""COMPUTED_VALUE"""),5510106.4)</f>
        <v>5510106.4</v>
      </c>
      <c r="C1295" s="320"/>
      <c r="D1295" s="320"/>
      <c r="E1295" s="320"/>
      <c r="F1295" s="320"/>
      <c r="G1295" s="320"/>
      <c r="H1295" s="320"/>
      <c r="I1295" s="320"/>
      <c r="J1295" s="320"/>
      <c r="K1295" s="320"/>
      <c r="L1295" s="320"/>
      <c r="M1295" s="320"/>
      <c r="N1295" s="320"/>
      <c r="O1295" s="320"/>
      <c r="P1295" s="320"/>
      <c r="Q1295" s="320"/>
      <c r="R1295" s="320"/>
      <c r="S1295" s="320"/>
      <c r="T1295" s="320"/>
    </row>
    <row r="1296">
      <c r="A1296" s="362" t="str">
        <f>IFERROR(__xludf.DUMMYFUNCTION("""COMPUTED_VALUE"""),"X-Large Storage")</f>
        <v>X-Large Storage</v>
      </c>
      <c r="B1296" s="373">
        <f>IFERROR(__xludf.DUMMYFUNCTION("""COMPUTED_VALUE"""),2740770.421)</f>
        <v>2740770.421</v>
      </c>
      <c r="C1296" s="320"/>
      <c r="D1296" s="320"/>
      <c r="E1296" s="320"/>
      <c r="F1296" s="320"/>
      <c r="G1296" s="320"/>
      <c r="H1296" s="320"/>
      <c r="I1296" s="320"/>
      <c r="J1296" s="320"/>
      <c r="K1296" s="320"/>
      <c r="L1296" s="320"/>
      <c r="M1296" s="320"/>
      <c r="N1296" s="320"/>
      <c r="O1296" s="320"/>
      <c r="P1296" s="320"/>
      <c r="Q1296" s="320"/>
      <c r="R1296" s="320"/>
      <c r="S1296" s="320"/>
      <c r="T1296" s="320"/>
    </row>
    <row r="1297">
      <c r="A1297" s="362" t="str">
        <f>IFERROR(__xludf.DUMMYFUNCTION("""COMPUTED_VALUE"""),"XX-Large Storage")</f>
        <v>XX-Large Storage</v>
      </c>
      <c r="B1297" s="373">
        <f>IFERROR(__xludf.DUMMYFUNCTION("""COMPUTED_VALUE"""),4847201.9)</f>
        <v>4847201.9</v>
      </c>
      <c r="C1297" s="320"/>
      <c r="D1297" s="320"/>
      <c r="E1297" s="320"/>
      <c r="F1297" s="320"/>
      <c r="G1297" s="320"/>
      <c r="H1297" s="320"/>
      <c r="I1297" s="320"/>
      <c r="J1297" s="320"/>
      <c r="K1297" s="320"/>
      <c r="L1297" s="320"/>
      <c r="M1297" s="320"/>
      <c r="N1297" s="320"/>
      <c r="O1297" s="320"/>
      <c r="P1297" s="320"/>
      <c r="Q1297" s="320"/>
      <c r="R1297" s="320"/>
      <c r="S1297" s="320"/>
      <c r="T1297" s="320"/>
    </row>
    <row r="1298">
      <c r="A1298" s="362" t="str">
        <f>IFERROR(__xludf.DUMMYFUNCTION("""COMPUTED_VALUE"""),"Yoggie")</f>
        <v>Yoggie</v>
      </c>
      <c r="B1298" s="373">
        <f>IFERROR(__xludf.DUMMYFUNCTION("""COMPUTED_VALUE"""),154.689)</f>
        <v>154.689</v>
      </c>
      <c r="C1298" s="320"/>
      <c r="D1298" s="320"/>
      <c r="E1298" s="320"/>
      <c r="F1298" s="320"/>
      <c r="G1298" s="320"/>
      <c r="H1298" s="320"/>
      <c r="I1298" s="320"/>
      <c r="J1298" s="320"/>
      <c r="K1298" s="320"/>
      <c r="L1298" s="320"/>
      <c r="M1298" s="320"/>
      <c r="N1298" s="320"/>
      <c r="O1298" s="320"/>
      <c r="P1298" s="320"/>
      <c r="Q1298" s="320"/>
      <c r="R1298" s="320"/>
      <c r="S1298" s="320"/>
      <c r="T1298" s="320"/>
    </row>
    <row r="1299">
      <c r="A1299" s="362" t="str">
        <f>IFERROR(__xludf.DUMMYFUNCTION("""COMPUTED_VALUE"""),"Young Dragon Fragment")</f>
        <v>Young Dragon Fragment</v>
      </c>
      <c r="B1299" s="373">
        <f>IFERROR(__xludf.DUMMYFUNCTION("""COMPUTED_VALUE"""),10039.2)</f>
        <v>10039.2</v>
      </c>
      <c r="C1299" s="320"/>
      <c r="D1299" s="320"/>
      <c r="E1299" s="320"/>
      <c r="F1299" s="320"/>
      <c r="G1299" s="320"/>
      <c r="H1299" s="320"/>
      <c r="I1299" s="320"/>
      <c r="J1299" s="320"/>
      <c r="K1299" s="320"/>
      <c r="L1299" s="320"/>
      <c r="M1299" s="320"/>
      <c r="N1299" s="320"/>
      <c r="O1299" s="320"/>
      <c r="P1299" s="320"/>
      <c r="Q1299" s="320"/>
      <c r="R1299" s="320"/>
      <c r="S1299" s="320"/>
      <c r="T1299" s="320"/>
    </row>
    <row r="1300">
      <c r="A1300" s="362"/>
      <c r="B1300" s="373"/>
      <c r="C1300" s="320"/>
      <c r="D1300" s="320"/>
      <c r="E1300" s="320"/>
      <c r="F1300" s="320"/>
      <c r="G1300" s="320"/>
      <c r="H1300" s="320"/>
      <c r="I1300" s="320"/>
      <c r="J1300" s="320"/>
      <c r="K1300" s="320"/>
      <c r="L1300" s="320"/>
      <c r="M1300" s="320"/>
      <c r="N1300" s="320"/>
      <c r="O1300" s="320"/>
      <c r="P1300" s="320"/>
      <c r="Q1300" s="320"/>
      <c r="R1300" s="320"/>
      <c r="S1300" s="320"/>
      <c r="T1300" s="320"/>
    </row>
    <row r="1301">
      <c r="A1301" s="362"/>
      <c r="B1301" s="373"/>
      <c r="C1301" s="320"/>
      <c r="D1301" s="320"/>
      <c r="E1301" s="320"/>
      <c r="F1301" s="320"/>
      <c r="G1301" s="320"/>
      <c r="H1301" s="320"/>
      <c r="I1301" s="320"/>
      <c r="J1301" s="320"/>
      <c r="K1301" s="320"/>
      <c r="L1301" s="320"/>
      <c r="M1301" s="320"/>
      <c r="N1301" s="320"/>
      <c r="O1301" s="320"/>
      <c r="P1301" s="320"/>
      <c r="Q1301" s="320"/>
      <c r="R1301" s="320"/>
      <c r="S1301" s="320"/>
      <c r="T1301" s="320"/>
    </row>
    <row r="1302">
      <c r="A1302" s="362"/>
      <c r="B1302" s="373"/>
      <c r="C1302" s="320"/>
      <c r="D1302" s="320"/>
      <c r="E1302" s="320"/>
      <c r="F1302" s="320"/>
      <c r="G1302" s="320"/>
      <c r="H1302" s="320"/>
      <c r="I1302" s="320"/>
      <c r="J1302" s="320"/>
      <c r="K1302" s="320"/>
      <c r="L1302" s="320"/>
      <c r="M1302" s="320"/>
      <c r="N1302" s="320"/>
      <c r="O1302" s="320"/>
      <c r="P1302" s="320"/>
      <c r="Q1302" s="320"/>
      <c r="R1302" s="320"/>
      <c r="S1302" s="320"/>
      <c r="T1302" s="320"/>
    </row>
    <row r="1303">
      <c r="A1303" s="362"/>
      <c r="B1303" s="373"/>
      <c r="C1303" s="320"/>
      <c r="D1303" s="320"/>
      <c r="E1303" s="320"/>
      <c r="F1303" s="320"/>
      <c r="G1303" s="320"/>
      <c r="H1303" s="320"/>
      <c r="I1303" s="320"/>
      <c r="J1303" s="320"/>
      <c r="K1303" s="320"/>
      <c r="L1303" s="320"/>
      <c r="M1303" s="320"/>
      <c r="N1303" s="320"/>
      <c r="O1303" s="320"/>
      <c r="P1303" s="320"/>
      <c r="Q1303" s="320"/>
      <c r="R1303" s="320"/>
      <c r="S1303" s="320"/>
      <c r="T1303" s="320"/>
    </row>
    <row r="1304">
      <c r="A1304" s="362"/>
      <c r="B1304" s="373"/>
      <c r="C1304" s="320"/>
      <c r="D1304" s="320"/>
      <c r="E1304" s="320"/>
      <c r="F1304" s="320"/>
      <c r="G1304" s="320"/>
      <c r="H1304" s="320"/>
      <c r="I1304" s="320"/>
      <c r="J1304" s="320"/>
      <c r="K1304" s="320"/>
      <c r="L1304" s="320"/>
      <c r="M1304" s="320"/>
      <c r="N1304" s="320"/>
      <c r="O1304" s="320"/>
      <c r="P1304" s="320"/>
      <c r="Q1304" s="320"/>
      <c r="R1304" s="320"/>
      <c r="S1304" s="320"/>
      <c r="T1304" s="320"/>
    </row>
    <row r="1305">
      <c r="A1305" s="362"/>
      <c r="B1305" s="373"/>
      <c r="C1305" s="320"/>
      <c r="D1305" s="320"/>
      <c r="E1305" s="320"/>
      <c r="F1305" s="320"/>
      <c r="G1305" s="320"/>
      <c r="H1305" s="320"/>
      <c r="I1305" s="320"/>
      <c r="J1305" s="320"/>
      <c r="K1305" s="320"/>
      <c r="L1305" s="320"/>
      <c r="M1305" s="320"/>
      <c r="N1305" s="320"/>
      <c r="O1305" s="320"/>
      <c r="P1305" s="320"/>
      <c r="Q1305" s="320"/>
      <c r="R1305" s="320"/>
      <c r="S1305" s="320"/>
      <c r="T1305" s="320"/>
    </row>
    <row r="1306">
      <c r="A1306" s="362"/>
      <c r="B1306" s="373"/>
      <c r="C1306" s="320"/>
      <c r="D1306" s="320"/>
      <c r="E1306" s="320"/>
      <c r="F1306" s="320"/>
      <c r="G1306" s="320"/>
      <c r="H1306" s="320"/>
      <c r="I1306" s="320"/>
      <c r="J1306" s="320"/>
      <c r="K1306" s="320"/>
      <c r="L1306" s="320"/>
      <c r="M1306" s="320"/>
      <c r="N1306" s="320"/>
      <c r="O1306" s="320"/>
      <c r="P1306" s="320"/>
      <c r="Q1306" s="320"/>
      <c r="R1306" s="320"/>
      <c r="S1306" s="320"/>
      <c r="T1306" s="320"/>
    </row>
    <row r="1307">
      <c r="A1307" s="362"/>
      <c r="B1307" s="373"/>
      <c r="C1307" s="320"/>
      <c r="D1307" s="320"/>
      <c r="E1307" s="320"/>
      <c r="F1307" s="320"/>
      <c r="G1307" s="320"/>
      <c r="H1307" s="320"/>
      <c r="I1307" s="320"/>
      <c r="J1307" s="320"/>
      <c r="K1307" s="320"/>
      <c r="L1307" s="320"/>
      <c r="M1307" s="320"/>
      <c r="N1307" s="320"/>
      <c r="O1307" s="320"/>
      <c r="P1307" s="320"/>
      <c r="Q1307" s="320"/>
      <c r="R1307" s="320"/>
      <c r="S1307" s="320"/>
      <c r="T1307" s="320"/>
    </row>
    <row r="1308">
      <c r="A1308" s="362"/>
      <c r="B1308" s="373"/>
      <c r="C1308" s="320"/>
      <c r="D1308" s="320"/>
      <c r="E1308" s="320"/>
      <c r="F1308" s="320"/>
      <c r="G1308" s="320"/>
      <c r="H1308" s="320"/>
      <c r="I1308" s="320"/>
      <c r="J1308" s="320"/>
      <c r="K1308" s="320"/>
      <c r="L1308" s="320"/>
      <c r="M1308" s="320"/>
      <c r="N1308" s="320"/>
      <c r="O1308" s="320"/>
      <c r="P1308" s="320"/>
      <c r="Q1308" s="320"/>
      <c r="R1308" s="320"/>
      <c r="S1308" s="320"/>
      <c r="T1308" s="320"/>
    </row>
    <row r="1309">
      <c r="A1309" s="362"/>
      <c r="B1309" s="373"/>
      <c r="C1309" s="320"/>
      <c r="D1309" s="320"/>
      <c r="E1309" s="320"/>
      <c r="F1309" s="320"/>
      <c r="G1309" s="320"/>
      <c r="H1309" s="320"/>
      <c r="I1309" s="320"/>
      <c r="J1309" s="320"/>
      <c r="K1309" s="320"/>
      <c r="L1309" s="320"/>
      <c r="M1309" s="320"/>
      <c r="N1309" s="320"/>
      <c r="O1309" s="320"/>
      <c r="P1309" s="320"/>
      <c r="Q1309" s="320"/>
      <c r="R1309" s="320"/>
      <c r="S1309" s="320"/>
      <c r="T1309" s="320"/>
    </row>
    <row r="1310">
      <c r="A1310" s="362"/>
      <c r="B1310" s="373"/>
      <c r="C1310" s="320"/>
      <c r="D1310" s="320"/>
      <c r="E1310" s="320"/>
      <c r="F1310" s="320"/>
      <c r="G1310" s="320"/>
      <c r="H1310" s="320"/>
      <c r="I1310" s="320"/>
      <c r="J1310" s="320"/>
      <c r="K1310" s="320"/>
      <c r="L1310" s="320"/>
      <c r="M1310" s="320"/>
      <c r="N1310" s="320"/>
      <c r="O1310" s="320"/>
      <c r="P1310" s="320"/>
      <c r="Q1310" s="320"/>
      <c r="R1310" s="320"/>
      <c r="S1310" s="320"/>
      <c r="T1310" s="320"/>
    </row>
    <row r="1311">
      <c r="A1311" s="362"/>
      <c r="B1311" s="373"/>
      <c r="C1311" s="320"/>
      <c r="D1311" s="320"/>
      <c r="E1311" s="320"/>
      <c r="F1311" s="320"/>
      <c r="G1311" s="320"/>
      <c r="H1311" s="320"/>
      <c r="I1311" s="320"/>
      <c r="J1311" s="320"/>
      <c r="K1311" s="320"/>
      <c r="L1311" s="320"/>
      <c r="M1311" s="320"/>
      <c r="N1311" s="320"/>
      <c r="O1311" s="320"/>
      <c r="P1311" s="320"/>
      <c r="Q1311" s="320"/>
      <c r="R1311" s="320"/>
      <c r="S1311" s="320"/>
      <c r="T1311" s="320"/>
    </row>
    <row r="1312">
      <c r="A1312" s="362"/>
      <c r="B1312" s="373"/>
      <c r="C1312" s="320"/>
      <c r="D1312" s="320"/>
      <c r="E1312" s="320"/>
      <c r="F1312" s="320"/>
      <c r="G1312" s="320"/>
      <c r="H1312" s="320"/>
      <c r="I1312" s="320"/>
      <c r="J1312" s="320"/>
      <c r="K1312" s="320"/>
      <c r="L1312" s="320"/>
      <c r="M1312" s="320"/>
      <c r="N1312" s="320"/>
      <c r="O1312" s="320"/>
      <c r="P1312" s="320"/>
      <c r="Q1312" s="320"/>
      <c r="R1312" s="320"/>
      <c r="S1312" s="320"/>
      <c r="T1312" s="320"/>
    </row>
    <row r="1313">
      <c r="A1313" s="362"/>
      <c r="B1313" s="373"/>
      <c r="C1313" s="320"/>
      <c r="D1313" s="320"/>
      <c r="E1313" s="320"/>
      <c r="F1313" s="320"/>
      <c r="G1313" s="320"/>
      <c r="H1313" s="320"/>
      <c r="I1313" s="320"/>
      <c r="J1313" s="320"/>
      <c r="K1313" s="320"/>
      <c r="L1313" s="320"/>
      <c r="M1313" s="320"/>
      <c r="N1313" s="320"/>
      <c r="O1313" s="320"/>
      <c r="P1313" s="320"/>
      <c r="Q1313" s="320"/>
      <c r="R1313" s="320"/>
      <c r="S1313" s="320"/>
      <c r="T1313" s="320"/>
    </row>
    <row r="1314">
      <c r="A1314" s="362"/>
      <c r="B1314" s="373"/>
      <c r="C1314" s="320"/>
      <c r="D1314" s="320"/>
      <c r="E1314" s="320"/>
      <c r="F1314" s="320"/>
      <c r="G1314" s="320"/>
      <c r="H1314" s="320"/>
      <c r="I1314" s="320"/>
      <c r="J1314" s="320"/>
      <c r="K1314" s="320"/>
      <c r="L1314" s="320"/>
      <c r="M1314" s="320"/>
      <c r="N1314" s="320"/>
      <c r="O1314" s="320"/>
      <c r="P1314" s="320"/>
      <c r="Q1314" s="320"/>
      <c r="R1314" s="320"/>
      <c r="S1314" s="320"/>
      <c r="T1314" s="320"/>
    </row>
    <row r="1315">
      <c r="A1315" s="362"/>
      <c r="B1315" s="373"/>
      <c r="C1315" s="320"/>
      <c r="D1315" s="320"/>
      <c r="E1315" s="320"/>
      <c r="F1315" s="320"/>
      <c r="G1315" s="320"/>
      <c r="H1315" s="320"/>
      <c r="I1315" s="320"/>
      <c r="J1315" s="320"/>
      <c r="K1315" s="320"/>
      <c r="L1315" s="320"/>
      <c r="M1315" s="320"/>
      <c r="N1315" s="320"/>
      <c r="O1315" s="320"/>
      <c r="P1315" s="320"/>
      <c r="Q1315" s="320"/>
      <c r="R1315" s="320"/>
      <c r="S1315" s="320"/>
      <c r="T1315" s="320"/>
    </row>
    <row r="1316">
      <c r="A1316" s="362"/>
      <c r="B1316" s="373"/>
      <c r="C1316" s="320"/>
      <c r="D1316" s="320"/>
      <c r="E1316" s="320"/>
      <c r="F1316" s="320"/>
      <c r="G1316" s="320"/>
      <c r="H1316" s="320"/>
      <c r="I1316" s="320"/>
      <c r="J1316" s="320"/>
      <c r="K1316" s="320"/>
      <c r="L1316" s="320"/>
      <c r="M1316" s="320"/>
      <c r="N1316" s="320"/>
      <c r="O1316" s="320"/>
      <c r="P1316" s="320"/>
      <c r="Q1316" s="320"/>
      <c r="R1316" s="320"/>
      <c r="S1316" s="320"/>
      <c r="T1316" s="320"/>
    </row>
    <row r="1317">
      <c r="A1317" s="362"/>
      <c r="B1317" s="373"/>
      <c r="C1317" s="320"/>
      <c r="D1317" s="320"/>
      <c r="E1317" s="320"/>
      <c r="F1317" s="320"/>
      <c r="G1317" s="320"/>
      <c r="H1317" s="320"/>
      <c r="I1317" s="320"/>
      <c r="J1317" s="320"/>
      <c r="K1317" s="320"/>
      <c r="L1317" s="320"/>
      <c r="M1317" s="320"/>
      <c r="N1317" s="320"/>
      <c r="O1317" s="320"/>
      <c r="P1317" s="320"/>
      <c r="Q1317" s="320"/>
      <c r="R1317" s="320"/>
      <c r="S1317" s="320"/>
      <c r="T1317" s="320"/>
    </row>
    <row r="1318">
      <c r="A1318" s="362"/>
      <c r="B1318" s="373"/>
      <c r="C1318" s="320"/>
      <c r="D1318" s="320"/>
      <c r="E1318" s="320"/>
      <c r="F1318" s="320"/>
      <c r="G1318" s="320"/>
      <c r="H1318" s="320"/>
      <c r="I1318" s="320"/>
      <c r="J1318" s="320"/>
      <c r="K1318" s="320"/>
      <c r="L1318" s="320"/>
      <c r="M1318" s="320"/>
      <c r="N1318" s="320"/>
      <c r="O1318" s="320"/>
      <c r="P1318" s="320"/>
      <c r="Q1318" s="320"/>
      <c r="R1318" s="320"/>
      <c r="S1318" s="320"/>
      <c r="T1318" s="320"/>
    </row>
    <row r="1319">
      <c r="A1319" s="362"/>
      <c r="B1319" s="373"/>
      <c r="C1319" s="320"/>
      <c r="D1319" s="320"/>
      <c r="E1319" s="320"/>
      <c r="F1319" s="320"/>
      <c r="G1319" s="320"/>
      <c r="H1319" s="320"/>
      <c r="I1319" s="320"/>
      <c r="J1319" s="320"/>
      <c r="K1319" s="320"/>
      <c r="L1319" s="320"/>
      <c r="M1319" s="320"/>
      <c r="N1319" s="320"/>
      <c r="O1319" s="320"/>
      <c r="P1319" s="320"/>
      <c r="Q1319" s="320"/>
      <c r="R1319" s="320"/>
      <c r="S1319" s="320"/>
      <c r="T1319" s="320"/>
    </row>
    <row r="1320">
      <c r="A1320" s="362"/>
      <c r="B1320" s="373"/>
      <c r="C1320" s="320"/>
      <c r="D1320" s="320"/>
      <c r="E1320" s="320"/>
      <c r="F1320" s="320"/>
      <c r="G1320" s="320"/>
      <c r="H1320" s="320"/>
      <c r="I1320" s="320"/>
      <c r="J1320" s="320"/>
      <c r="K1320" s="320"/>
      <c r="L1320" s="320"/>
      <c r="M1320" s="320"/>
      <c r="N1320" s="320"/>
      <c r="O1320" s="320"/>
      <c r="P1320" s="320"/>
      <c r="Q1320" s="320"/>
      <c r="R1320" s="320"/>
      <c r="S1320" s="320"/>
      <c r="T1320" s="320"/>
    </row>
    <row r="1321">
      <c r="A1321" s="362"/>
      <c r="B1321" s="373"/>
      <c r="C1321" s="320"/>
      <c r="D1321" s="320"/>
      <c r="E1321" s="320"/>
      <c r="F1321" s="320"/>
      <c r="G1321" s="320"/>
      <c r="H1321" s="320"/>
      <c r="I1321" s="320"/>
      <c r="J1321" s="320"/>
      <c r="K1321" s="320"/>
      <c r="L1321" s="320"/>
      <c r="M1321" s="320"/>
      <c r="N1321" s="320"/>
      <c r="O1321" s="320"/>
      <c r="P1321" s="320"/>
      <c r="Q1321" s="320"/>
      <c r="R1321" s="320"/>
      <c r="S1321" s="320"/>
      <c r="T1321" s="320"/>
    </row>
    <row r="1322">
      <c r="A1322" s="362"/>
      <c r="B1322" s="373"/>
      <c r="C1322" s="320"/>
      <c r="D1322" s="320"/>
      <c r="E1322" s="320"/>
      <c r="F1322" s="320"/>
      <c r="G1322" s="320"/>
      <c r="H1322" s="320"/>
      <c r="I1322" s="320"/>
      <c r="J1322" s="320"/>
      <c r="K1322" s="320"/>
      <c r="L1322" s="320"/>
      <c r="M1322" s="320"/>
      <c r="N1322" s="320"/>
      <c r="O1322" s="320"/>
      <c r="P1322" s="320"/>
      <c r="Q1322" s="320"/>
      <c r="R1322" s="320"/>
      <c r="S1322" s="320"/>
      <c r="T1322" s="320"/>
    </row>
    <row r="1323">
      <c r="A1323" s="362"/>
      <c r="B1323" s="373"/>
      <c r="C1323" s="320"/>
      <c r="D1323" s="320"/>
      <c r="E1323" s="320"/>
      <c r="F1323" s="320"/>
      <c r="G1323" s="320"/>
      <c r="H1323" s="320"/>
      <c r="I1323" s="320"/>
      <c r="J1323" s="320"/>
      <c r="K1323" s="320"/>
      <c r="L1323" s="320"/>
      <c r="M1323" s="320"/>
      <c r="N1323" s="320"/>
      <c r="O1323" s="320"/>
      <c r="P1323" s="320"/>
      <c r="Q1323" s="320"/>
      <c r="R1323" s="320"/>
      <c r="S1323" s="320"/>
      <c r="T1323" s="320"/>
    </row>
    <row r="1324">
      <c r="A1324" s="362"/>
      <c r="B1324" s="373"/>
      <c r="C1324" s="320"/>
      <c r="D1324" s="320"/>
      <c r="E1324" s="320"/>
      <c r="F1324" s="320"/>
      <c r="G1324" s="320"/>
      <c r="H1324" s="320"/>
      <c r="I1324" s="320"/>
      <c r="J1324" s="320"/>
      <c r="K1324" s="320"/>
      <c r="L1324" s="320"/>
      <c r="M1324" s="320"/>
      <c r="N1324" s="320"/>
      <c r="O1324" s="320"/>
      <c r="P1324" s="320"/>
      <c r="Q1324" s="320"/>
      <c r="R1324" s="320"/>
      <c r="S1324" s="320"/>
      <c r="T1324" s="320"/>
    </row>
    <row r="1325">
      <c r="A1325" s="362"/>
      <c r="B1325" s="373"/>
      <c r="C1325" s="320"/>
      <c r="D1325" s="320"/>
      <c r="E1325" s="320"/>
      <c r="F1325" s="320"/>
      <c r="G1325" s="320"/>
      <c r="H1325" s="320"/>
      <c r="I1325" s="320"/>
      <c r="J1325" s="320"/>
      <c r="K1325" s="320"/>
      <c r="L1325" s="320"/>
      <c r="M1325" s="320"/>
      <c r="N1325" s="320"/>
      <c r="O1325" s="320"/>
      <c r="P1325" s="320"/>
      <c r="Q1325" s="320"/>
      <c r="R1325" s="320"/>
      <c r="S1325" s="320"/>
      <c r="T1325" s="320"/>
    </row>
    <row r="1326">
      <c r="A1326" s="362"/>
      <c r="B1326" s="373"/>
      <c r="C1326" s="320"/>
      <c r="D1326" s="320"/>
      <c r="E1326" s="320"/>
      <c r="F1326" s="320"/>
      <c r="G1326" s="320"/>
      <c r="H1326" s="320"/>
      <c r="I1326" s="320"/>
      <c r="J1326" s="320"/>
      <c r="K1326" s="320"/>
      <c r="L1326" s="320"/>
      <c r="M1326" s="320"/>
      <c r="N1326" s="320"/>
      <c r="O1326" s="320"/>
      <c r="P1326" s="320"/>
      <c r="Q1326" s="320"/>
      <c r="R1326" s="320"/>
      <c r="S1326" s="320"/>
      <c r="T1326" s="320"/>
    </row>
    <row r="1327">
      <c r="A1327" s="362"/>
      <c r="B1327" s="373"/>
      <c r="C1327" s="320"/>
      <c r="D1327" s="320"/>
      <c r="E1327" s="320"/>
      <c r="F1327" s="320"/>
      <c r="G1327" s="320"/>
      <c r="H1327" s="320"/>
      <c r="I1327" s="320"/>
      <c r="J1327" s="320"/>
      <c r="K1327" s="320"/>
      <c r="L1327" s="320"/>
      <c r="M1327" s="320"/>
      <c r="N1327" s="320"/>
      <c r="O1327" s="320"/>
      <c r="P1327" s="320"/>
      <c r="Q1327" s="320"/>
      <c r="R1327" s="320"/>
      <c r="S1327" s="320"/>
      <c r="T1327" s="320"/>
    </row>
    <row r="1328">
      <c r="A1328" s="362"/>
      <c r="B1328" s="373"/>
      <c r="C1328" s="320"/>
      <c r="D1328" s="320"/>
      <c r="E1328" s="320"/>
      <c r="F1328" s="320"/>
      <c r="G1328" s="320"/>
      <c r="H1328" s="320"/>
      <c r="I1328" s="320"/>
      <c r="J1328" s="320"/>
      <c r="K1328" s="320"/>
      <c r="L1328" s="320"/>
      <c r="M1328" s="320"/>
      <c r="N1328" s="320"/>
      <c r="O1328" s="320"/>
      <c r="P1328" s="320"/>
      <c r="Q1328" s="320"/>
      <c r="R1328" s="320"/>
      <c r="S1328" s="320"/>
      <c r="T1328" s="320"/>
    </row>
    <row r="1329">
      <c r="A1329" s="362"/>
      <c r="B1329" s="373"/>
      <c r="C1329" s="320"/>
      <c r="D1329" s="320"/>
      <c r="E1329" s="320"/>
      <c r="F1329" s="320"/>
      <c r="G1329" s="320"/>
      <c r="H1329" s="320"/>
      <c r="I1329" s="320"/>
      <c r="J1329" s="320"/>
      <c r="K1329" s="320"/>
      <c r="L1329" s="320"/>
      <c r="M1329" s="320"/>
      <c r="N1329" s="320"/>
      <c r="O1329" s="320"/>
      <c r="P1329" s="320"/>
      <c r="Q1329" s="320"/>
      <c r="R1329" s="320"/>
      <c r="S1329" s="320"/>
      <c r="T1329" s="320"/>
    </row>
    <row r="1330">
      <c r="A1330" s="362"/>
      <c r="B1330" s="373"/>
      <c r="C1330" s="320"/>
      <c r="D1330" s="320"/>
      <c r="E1330" s="320"/>
      <c r="F1330" s="320"/>
      <c r="G1330" s="320"/>
      <c r="H1330" s="320"/>
      <c r="I1330" s="320"/>
      <c r="J1330" s="320"/>
      <c r="K1330" s="320"/>
      <c r="L1330" s="320"/>
      <c r="M1330" s="320"/>
      <c r="N1330" s="320"/>
      <c r="O1330" s="320"/>
      <c r="P1330" s="320"/>
      <c r="Q1330" s="320"/>
      <c r="R1330" s="320"/>
      <c r="S1330" s="320"/>
      <c r="T1330" s="320"/>
    </row>
    <row r="1331">
      <c r="A1331" s="362"/>
      <c r="B1331" s="373"/>
      <c r="C1331" s="320"/>
      <c r="D1331" s="320"/>
      <c r="E1331" s="320"/>
      <c r="F1331" s="320"/>
      <c r="G1331" s="320"/>
      <c r="H1331" s="320"/>
      <c r="I1331" s="320"/>
      <c r="J1331" s="320"/>
      <c r="K1331" s="320"/>
      <c r="L1331" s="320"/>
      <c r="M1331" s="320"/>
      <c r="N1331" s="320"/>
      <c r="O1331" s="320"/>
      <c r="P1331" s="320"/>
      <c r="Q1331" s="320"/>
      <c r="R1331" s="320"/>
      <c r="S1331" s="320"/>
      <c r="T1331" s="320"/>
    </row>
    <row r="1332">
      <c r="A1332" s="362"/>
      <c r="B1332" s="373"/>
      <c r="C1332" s="320"/>
      <c r="D1332" s="320"/>
      <c r="E1332" s="320"/>
      <c r="F1332" s="320"/>
      <c r="G1332" s="320"/>
      <c r="H1332" s="320"/>
      <c r="I1332" s="320"/>
      <c r="J1332" s="320"/>
      <c r="K1332" s="320"/>
      <c r="L1332" s="320"/>
      <c r="M1332" s="320"/>
      <c r="N1332" s="320"/>
      <c r="O1332" s="320"/>
      <c r="P1332" s="320"/>
      <c r="Q1332" s="320"/>
      <c r="R1332" s="320"/>
      <c r="S1332" s="320"/>
      <c r="T1332" s="320"/>
    </row>
    <row r="1333">
      <c r="A1333" s="362"/>
      <c r="B1333" s="373"/>
      <c r="C1333" s="320"/>
      <c r="D1333" s="320"/>
      <c r="E1333" s="320"/>
      <c r="F1333" s="320"/>
      <c r="G1333" s="320"/>
      <c r="H1333" s="320"/>
      <c r="I1333" s="320"/>
      <c r="J1333" s="320"/>
      <c r="K1333" s="320"/>
      <c r="L1333" s="320"/>
      <c r="M1333" s="320"/>
      <c r="N1333" s="320"/>
      <c r="O1333" s="320"/>
      <c r="P1333" s="320"/>
      <c r="Q1333" s="320"/>
      <c r="R1333" s="320"/>
      <c r="S1333" s="320"/>
      <c r="T1333" s="320"/>
    </row>
    <row r="1334">
      <c r="A1334" s="362"/>
      <c r="B1334" s="373"/>
      <c r="C1334" s="320"/>
      <c r="D1334" s="320"/>
      <c r="E1334" s="320"/>
      <c r="F1334" s="320"/>
      <c r="G1334" s="320"/>
      <c r="H1334" s="320"/>
      <c r="I1334" s="320"/>
      <c r="J1334" s="320"/>
      <c r="K1334" s="320"/>
      <c r="L1334" s="320"/>
      <c r="M1334" s="320"/>
      <c r="N1334" s="320"/>
      <c r="O1334" s="320"/>
      <c r="P1334" s="320"/>
      <c r="Q1334" s="320"/>
      <c r="R1334" s="320"/>
      <c r="S1334" s="320"/>
      <c r="T1334" s="320"/>
    </row>
    <row r="1335">
      <c r="A1335" s="362"/>
      <c r="B1335" s="373"/>
      <c r="C1335" s="320"/>
      <c r="D1335" s="320"/>
      <c r="E1335" s="320"/>
      <c r="F1335" s="320"/>
      <c r="G1335" s="320"/>
      <c r="H1335" s="320"/>
      <c r="I1335" s="320"/>
      <c r="J1335" s="320"/>
      <c r="K1335" s="320"/>
      <c r="L1335" s="320"/>
      <c r="M1335" s="320"/>
      <c r="N1335" s="320"/>
      <c r="O1335" s="320"/>
      <c r="P1335" s="320"/>
      <c r="Q1335" s="320"/>
      <c r="R1335" s="320"/>
      <c r="S1335" s="320"/>
      <c r="T1335" s="320"/>
    </row>
    <row r="1336">
      <c r="A1336" s="362"/>
      <c r="B1336" s="373"/>
      <c r="C1336" s="320"/>
      <c r="D1336" s="320"/>
      <c r="E1336" s="320"/>
      <c r="F1336" s="320"/>
      <c r="G1336" s="320"/>
      <c r="H1336" s="320"/>
      <c r="I1336" s="320"/>
      <c r="J1336" s="320"/>
      <c r="K1336" s="320"/>
      <c r="L1336" s="320"/>
      <c r="M1336" s="320"/>
      <c r="N1336" s="320"/>
      <c r="O1336" s="320"/>
      <c r="P1336" s="320"/>
      <c r="Q1336" s="320"/>
      <c r="R1336" s="320"/>
      <c r="S1336" s="320"/>
      <c r="T1336" s="320"/>
    </row>
    <row r="1337">
      <c r="A1337" s="362"/>
      <c r="B1337" s="373"/>
      <c r="C1337" s="320"/>
      <c r="D1337" s="320"/>
      <c r="E1337" s="320"/>
      <c r="F1337" s="320"/>
      <c r="G1337" s="320"/>
      <c r="H1337" s="320"/>
      <c r="I1337" s="320"/>
      <c r="J1337" s="320"/>
      <c r="K1337" s="320"/>
      <c r="L1337" s="320"/>
      <c r="M1337" s="320"/>
      <c r="N1337" s="320"/>
      <c r="O1337" s="320"/>
      <c r="P1337" s="320"/>
      <c r="Q1337" s="320"/>
      <c r="R1337" s="320"/>
      <c r="S1337" s="320"/>
      <c r="T1337" s="320"/>
    </row>
    <row r="1338">
      <c r="A1338" s="362"/>
      <c r="B1338" s="373"/>
      <c r="C1338" s="320"/>
      <c r="D1338" s="320"/>
      <c r="E1338" s="320"/>
      <c r="F1338" s="320"/>
      <c r="G1338" s="320"/>
      <c r="H1338" s="320"/>
      <c r="I1338" s="320"/>
      <c r="J1338" s="320"/>
      <c r="K1338" s="320"/>
      <c r="L1338" s="320"/>
      <c r="M1338" s="320"/>
      <c r="N1338" s="320"/>
      <c r="O1338" s="320"/>
      <c r="P1338" s="320"/>
      <c r="Q1338" s="320"/>
      <c r="R1338" s="320"/>
      <c r="S1338" s="320"/>
      <c r="T1338" s="320"/>
    </row>
    <row r="1339">
      <c r="A1339" s="362"/>
      <c r="B1339" s="373"/>
      <c r="C1339" s="320"/>
      <c r="D1339" s="320"/>
      <c r="E1339" s="320"/>
      <c r="F1339" s="320"/>
      <c r="G1339" s="320"/>
      <c r="H1339" s="320"/>
      <c r="I1339" s="320"/>
      <c r="J1339" s="320"/>
      <c r="K1339" s="320"/>
      <c r="L1339" s="320"/>
      <c r="M1339" s="320"/>
      <c r="N1339" s="320"/>
      <c r="O1339" s="320"/>
      <c r="P1339" s="320"/>
      <c r="Q1339" s="320"/>
      <c r="R1339" s="320"/>
      <c r="S1339" s="320"/>
      <c r="T1339" s="320"/>
    </row>
    <row r="1340">
      <c r="A1340" s="362"/>
      <c r="B1340" s="373"/>
      <c r="C1340" s="320"/>
      <c r="D1340" s="320"/>
      <c r="E1340" s="320"/>
      <c r="F1340" s="320"/>
      <c r="G1340" s="320"/>
      <c r="H1340" s="320"/>
      <c r="I1340" s="320"/>
      <c r="J1340" s="320"/>
      <c r="K1340" s="320"/>
      <c r="L1340" s="320"/>
      <c r="M1340" s="320"/>
      <c r="N1340" s="320"/>
      <c r="O1340" s="320"/>
      <c r="P1340" s="320"/>
      <c r="Q1340" s="320"/>
      <c r="R1340" s="320"/>
      <c r="S1340" s="320"/>
      <c r="T1340" s="320"/>
    </row>
    <row r="1341">
      <c r="A1341" s="362"/>
      <c r="B1341" s="373"/>
      <c r="C1341" s="320"/>
      <c r="D1341" s="320"/>
      <c r="E1341" s="320"/>
      <c r="F1341" s="320"/>
      <c r="G1341" s="320"/>
      <c r="H1341" s="320"/>
      <c r="I1341" s="320"/>
      <c r="J1341" s="320"/>
      <c r="K1341" s="320"/>
      <c r="L1341" s="320"/>
      <c r="M1341" s="320"/>
      <c r="N1341" s="320"/>
      <c r="O1341" s="320"/>
      <c r="P1341" s="320"/>
      <c r="Q1341" s="320"/>
      <c r="R1341" s="320"/>
      <c r="S1341" s="320"/>
      <c r="T1341" s="320"/>
    </row>
    <row r="1342">
      <c r="A1342" s="362"/>
      <c r="B1342" s="373"/>
      <c r="C1342" s="320"/>
      <c r="D1342" s="320"/>
      <c r="E1342" s="320"/>
      <c r="F1342" s="320"/>
      <c r="G1342" s="320"/>
      <c r="H1342" s="320"/>
      <c r="I1342" s="320"/>
      <c r="J1342" s="320"/>
      <c r="K1342" s="320"/>
      <c r="L1342" s="320"/>
      <c r="M1342" s="320"/>
      <c r="N1342" s="320"/>
      <c r="O1342" s="320"/>
      <c r="P1342" s="320"/>
      <c r="Q1342" s="320"/>
      <c r="R1342" s="320"/>
      <c r="S1342" s="320"/>
      <c r="T1342" s="320"/>
    </row>
    <row r="1343">
      <c r="A1343" s="362"/>
      <c r="B1343" s="373"/>
      <c r="C1343" s="320"/>
      <c r="D1343" s="320"/>
      <c r="E1343" s="320"/>
      <c r="F1343" s="320"/>
      <c r="G1343" s="320"/>
      <c r="H1343" s="320"/>
      <c r="I1343" s="320"/>
      <c r="J1343" s="320"/>
      <c r="K1343" s="320"/>
      <c r="L1343" s="320"/>
      <c r="M1343" s="320"/>
      <c r="N1343" s="320"/>
      <c r="O1343" s="320"/>
      <c r="P1343" s="320"/>
      <c r="Q1343" s="320"/>
      <c r="R1343" s="320"/>
      <c r="S1343" s="320"/>
      <c r="T1343" s="320"/>
    </row>
    <row r="1344">
      <c r="A1344" s="362"/>
      <c r="B1344" s="373"/>
      <c r="C1344" s="320"/>
      <c r="D1344" s="320"/>
      <c r="E1344" s="320"/>
      <c r="F1344" s="320"/>
      <c r="G1344" s="320"/>
      <c r="H1344" s="320"/>
      <c r="I1344" s="320"/>
      <c r="J1344" s="320"/>
      <c r="K1344" s="320"/>
      <c r="L1344" s="320"/>
      <c r="M1344" s="320"/>
      <c r="N1344" s="320"/>
      <c r="O1344" s="320"/>
      <c r="P1344" s="320"/>
      <c r="Q1344" s="320"/>
      <c r="R1344" s="320"/>
      <c r="S1344" s="320"/>
      <c r="T1344" s="320"/>
    </row>
    <row r="1345">
      <c r="A1345" s="362"/>
      <c r="B1345" s="373"/>
      <c r="C1345" s="320"/>
      <c r="D1345" s="320"/>
      <c r="E1345" s="320"/>
      <c r="F1345" s="320"/>
      <c r="G1345" s="320"/>
      <c r="H1345" s="320"/>
      <c r="I1345" s="320"/>
      <c r="J1345" s="320"/>
      <c r="K1345" s="320"/>
      <c r="L1345" s="320"/>
      <c r="M1345" s="320"/>
      <c r="N1345" s="320"/>
      <c r="O1345" s="320"/>
      <c r="P1345" s="320"/>
      <c r="Q1345" s="320"/>
      <c r="R1345" s="320"/>
      <c r="S1345" s="320"/>
      <c r="T1345" s="320"/>
    </row>
    <row r="1346">
      <c r="A1346" s="362"/>
      <c r="B1346" s="373"/>
      <c r="C1346" s="320"/>
      <c r="D1346" s="320"/>
      <c r="E1346" s="320"/>
      <c r="F1346" s="320"/>
      <c r="G1346" s="320"/>
      <c r="H1346" s="320"/>
      <c r="I1346" s="320"/>
      <c r="J1346" s="320"/>
      <c r="K1346" s="320"/>
      <c r="L1346" s="320"/>
      <c r="M1346" s="320"/>
      <c r="N1346" s="320"/>
      <c r="O1346" s="320"/>
      <c r="P1346" s="320"/>
      <c r="Q1346" s="320"/>
      <c r="R1346" s="320"/>
      <c r="S1346" s="320"/>
      <c r="T1346" s="320"/>
    </row>
    <row r="1347">
      <c r="A1347" s="362"/>
      <c r="B1347" s="373"/>
      <c r="C1347" s="320"/>
      <c r="D1347" s="320"/>
      <c r="E1347" s="320"/>
      <c r="F1347" s="320"/>
      <c r="G1347" s="320"/>
      <c r="H1347" s="320"/>
      <c r="I1347" s="320"/>
      <c r="J1347" s="320"/>
      <c r="K1347" s="320"/>
      <c r="L1347" s="320"/>
      <c r="M1347" s="320"/>
      <c r="N1347" s="320"/>
      <c r="O1347" s="320"/>
      <c r="P1347" s="320"/>
      <c r="Q1347" s="320"/>
      <c r="R1347" s="320"/>
      <c r="S1347" s="320"/>
      <c r="T1347" s="320"/>
    </row>
    <row r="1348">
      <c r="A1348" s="362"/>
      <c r="B1348" s="373"/>
      <c r="C1348" s="320"/>
      <c r="D1348" s="320"/>
      <c r="E1348" s="320"/>
      <c r="F1348" s="320"/>
      <c r="G1348" s="320"/>
      <c r="H1348" s="320"/>
      <c r="I1348" s="320"/>
      <c r="J1348" s="320"/>
      <c r="K1348" s="320"/>
      <c r="L1348" s="320"/>
      <c r="M1348" s="320"/>
      <c r="N1348" s="320"/>
      <c r="O1348" s="320"/>
      <c r="P1348" s="320"/>
      <c r="Q1348" s="320"/>
      <c r="R1348" s="320"/>
      <c r="S1348" s="320"/>
      <c r="T1348" s="320"/>
    </row>
    <row r="1349">
      <c r="A1349" s="362"/>
      <c r="B1349" s="373"/>
      <c r="C1349" s="320"/>
      <c r="D1349" s="320"/>
      <c r="E1349" s="320"/>
      <c r="F1349" s="320"/>
      <c r="G1349" s="320"/>
      <c r="H1349" s="320"/>
      <c r="I1349" s="320"/>
      <c r="J1349" s="320"/>
      <c r="K1349" s="320"/>
      <c r="L1349" s="320"/>
      <c r="M1349" s="320"/>
      <c r="N1349" s="320"/>
      <c r="O1349" s="320"/>
      <c r="P1349" s="320"/>
      <c r="Q1349" s="320"/>
      <c r="R1349" s="320"/>
      <c r="S1349" s="320"/>
      <c r="T1349" s="320"/>
    </row>
    <row r="1350">
      <c r="A1350" s="362"/>
      <c r="B1350" s="373"/>
      <c r="C1350" s="320"/>
      <c r="D1350" s="320"/>
      <c r="E1350" s="320"/>
      <c r="F1350" s="320"/>
      <c r="G1350" s="320"/>
      <c r="H1350" s="320"/>
      <c r="I1350" s="320"/>
      <c r="J1350" s="320"/>
      <c r="K1350" s="320"/>
      <c r="L1350" s="320"/>
      <c r="M1350" s="320"/>
      <c r="N1350" s="320"/>
      <c r="O1350" s="320"/>
      <c r="P1350" s="320"/>
      <c r="Q1350" s="320"/>
      <c r="R1350" s="320"/>
      <c r="S1350" s="320"/>
      <c r="T1350" s="320"/>
    </row>
    <row r="1351">
      <c r="A1351" s="362"/>
      <c r="B1351" s="373"/>
      <c r="C1351" s="320"/>
      <c r="D1351" s="320"/>
      <c r="E1351" s="320"/>
      <c r="F1351" s="320"/>
      <c r="G1351" s="320"/>
      <c r="H1351" s="320"/>
      <c r="I1351" s="320"/>
      <c r="J1351" s="320"/>
      <c r="K1351" s="320"/>
      <c r="L1351" s="320"/>
      <c r="M1351" s="320"/>
      <c r="N1351" s="320"/>
      <c r="O1351" s="320"/>
      <c r="P1351" s="320"/>
      <c r="Q1351" s="320"/>
      <c r="R1351" s="320"/>
      <c r="S1351" s="320"/>
      <c r="T1351" s="320"/>
    </row>
    <row r="1352">
      <c r="A1352" s="362"/>
      <c r="B1352" s="373"/>
      <c r="C1352" s="320"/>
      <c r="D1352" s="320"/>
      <c r="E1352" s="320"/>
      <c r="F1352" s="320"/>
      <c r="G1352" s="320"/>
      <c r="H1352" s="320"/>
      <c r="I1352" s="320"/>
      <c r="J1352" s="320"/>
      <c r="K1352" s="320"/>
      <c r="L1352" s="320"/>
      <c r="M1352" s="320"/>
      <c r="N1352" s="320"/>
      <c r="O1352" s="320"/>
      <c r="P1352" s="320"/>
      <c r="Q1352" s="320"/>
      <c r="R1352" s="320"/>
      <c r="S1352" s="320"/>
      <c r="T1352" s="320"/>
    </row>
    <row r="1353">
      <c r="A1353" s="362"/>
      <c r="B1353" s="373"/>
      <c r="C1353" s="320"/>
      <c r="D1353" s="320"/>
      <c r="E1353" s="320"/>
      <c r="F1353" s="320"/>
      <c r="G1353" s="320"/>
      <c r="H1353" s="320"/>
      <c r="I1353" s="320"/>
      <c r="J1353" s="320"/>
      <c r="K1353" s="320"/>
      <c r="L1353" s="320"/>
      <c r="M1353" s="320"/>
      <c r="N1353" s="320"/>
      <c r="O1353" s="320"/>
      <c r="P1353" s="320"/>
      <c r="Q1353" s="320"/>
      <c r="R1353" s="320"/>
      <c r="S1353" s="320"/>
      <c r="T1353" s="320"/>
    </row>
    <row r="1354">
      <c r="A1354" s="362"/>
      <c r="B1354" s="373"/>
      <c r="C1354" s="320"/>
      <c r="D1354" s="320"/>
      <c r="E1354" s="320"/>
      <c r="F1354" s="320"/>
      <c r="G1354" s="320"/>
      <c r="H1354" s="320"/>
      <c r="I1354" s="320"/>
      <c r="J1354" s="320"/>
      <c r="K1354" s="320"/>
      <c r="L1354" s="320"/>
      <c r="M1354" s="320"/>
      <c r="N1354" s="320"/>
      <c r="O1354" s="320"/>
      <c r="P1354" s="320"/>
      <c r="Q1354" s="320"/>
      <c r="R1354" s="320"/>
      <c r="S1354" s="320"/>
      <c r="T1354" s="320"/>
    </row>
    <row r="1355">
      <c r="A1355" s="362"/>
      <c r="B1355" s="373"/>
      <c r="C1355" s="320"/>
      <c r="D1355" s="320"/>
      <c r="E1355" s="320"/>
      <c r="F1355" s="320"/>
      <c r="G1355" s="320"/>
      <c r="H1355" s="320"/>
      <c r="I1355" s="320"/>
      <c r="J1355" s="320"/>
      <c r="K1355" s="320"/>
      <c r="L1355" s="320"/>
      <c r="M1355" s="320"/>
      <c r="N1355" s="320"/>
      <c r="O1355" s="320"/>
      <c r="P1355" s="320"/>
      <c r="Q1355" s="320"/>
      <c r="R1355" s="320"/>
      <c r="S1355" s="320"/>
      <c r="T1355" s="320"/>
    </row>
    <row r="1356">
      <c r="A1356" s="362"/>
      <c r="B1356" s="373"/>
      <c r="C1356" s="320"/>
      <c r="D1356" s="320"/>
      <c r="E1356" s="320"/>
      <c r="F1356" s="320"/>
      <c r="G1356" s="320"/>
      <c r="H1356" s="320"/>
      <c r="I1356" s="320"/>
      <c r="J1356" s="320"/>
      <c r="K1356" s="320"/>
      <c r="L1356" s="320"/>
      <c r="M1356" s="320"/>
      <c r="N1356" s="320"/>
      <c r="O1356" s="320"/>
      <c r="P1356" s="320"/>
      <c r="Q1356" s="320"/>
      <c r="R1356" s="320"/>
      <c r="S1356" s="320"/>
      <c r="T1356" s="320"/>
    </row>
    <row r="1357">
      <c r="A1357" s="362"/>
      <c r="B1357" s="373"/>
      <c r="C1357" s="320"/>
      <c r="D1357" s="320"/>
      <c r="E1357" s="320"/>
      <c r="F1357" s="320"/>
      <c r="G1357" s="320"/>
      <c r="H1357" s="320"/>
      <c r="I1357" s="320"/>
      <c r="J1357" s="320"/>
      <c r="K1357" s="320"/>
      <c r="L1357" s="320"/>
      <c r="M1357" s="320"/>
      <c r="N1357" s="320"/>
      <c r="O1357" s="320"/>
      <c r="P1357" s="320"/>
      <c r="Q1357" s="320"/>
      <c r="R1357" s="320"/>
      <c r="S1357" s="320"/>
      <c r="T1357" s="320"/>
    </row>
    <row r="1358">
      <c r="A1358" s="362"/>
      <c r="B1358" s="373"/>
      <c r="C1358" s="320"/>
      <c r="D1358" s="320"/>
      <c r="E1358" s="320"/>
      <c r="F1358" s="320"/>
      <c r="G1358" s="320"/>
      <c r="H1358" s="320"/>
      <c r="I1358" s="320"/>
      <c r="J1358" s="320"/>
      <c r="K1358" s="320"/>
      <c r="L1358" s="320"/>
      <c r="M1358" s="320"/>
      <c r="N1358" s="320"/>
      <c r="O1358" s="320"/>
      <c r="P1358" s="320"/>
      <c r="Q1358" s="320"/>
      <c r="R1358" s="320"/>
      <c r="S1358" s="320"/>
      <c r="T1358" s="320"/>
    </row>
    <row r="1359">
      <c r="A1359" s="362"/>
      <c r="B1359" s="373"/>
      <c r="C1359" s="320"/>
      <c r="D1359" s="320"/>
      <c r="E1359" s="320"/>
      <c r="F1359" s="320"/>
      <c r="G1359" s="320"/>
      <c r="H1359" s="320"/>
      <c r="I1359" s="320"/>
      <c r="J1359" s="320"/>
      <c r="K1359" s="320"/>
      <c r="L1359" s="320"/>
      <c r="M1359" s="320"/>
      <c r="N1359" s="320"/>
      <c r="O1359" s="320"/>
      <c r="P1359" s="320"/>
      <c r="Q1359" s="320"/>
      <c r="R1359" s="320"/>
      <c r="S1359" s="320"/>
      <c r="T1359" s="320"/>
    </row>
    <row r="1360">
      <c r="A1360" s="362"/>
      <c r="B1360" s="373"/>
      <c r="C1360" s="320"/>
      <c r="D1360" s="320"/>
      <c r="E1360" s="320"/>
      <c r="F1360" s="320"/>
      <c r="G1360" s="320"/>
      <c r="H1360" s="320"/>
      <c r="I1360" s="320"/>
      <c r="J1360" s="320"/>
      <c r="K1360" s="320"/>
      <c r="L1360" s="320"/>
      <c r="M1360" s="320"/>
      <c r="N1360" s="320"/>
      <c r="O1360" s="320"/>
      <c r="P1360" s="320"/>
      <c r="Q1360" s="320"/>
      <c r="R1360" s="320"/>
      <c r="S1360" s="320"/>
      <c r="T1360" s="320"/>
    </row>
    <row r="1361">
      <c r="A1361" s="362"/>
      <c r="B1361" s="373"/>
      <c r="C1361" s="320"/>
      <c r="D1361" s="320"/>
      <c r="E1361" s="320"/>
      <c r="F1361" s="320"/>
      <c r="G1361" s="320"/>
      <c r="H1361" s="320"/>
      <c r="I1361" s="320"/>
      <c r="J1361" s="320"/>
      <c r="K1361" s="320"/>
      <c r="L1361" s="320"/>
      <c r="M1361" s="320"/>
      <c r="N1361" s="320"/>
      <c r="O1361" s="320"/>
      <c r="P1361" s="320"/>
      <c r="Q1361" s="320"/>
      <c r="R1361" s="320"/>
      <c r="S1361" s="320"/>
      <c r="T1361" s="320"/>
    </row>
    <row r="1362">
      <c r="A1362" s="362"/>
      <c r="B1362" s="373"/>
      <c r="C1362" s="320"/>
      <c r="D1362" s="320"/>
      <c r="E1362" s="320"/>
      <c r="F1362" s="320"/>
      <c r="G1362" s="320"/>
      <c r="H1362" s="320"/>
      <c r="I1362" s="320"/>
      <c r="J1362" s="320"/>
      <c r="K1362" s="320"/>
      <c r="L1362" s="320"/>
      <c r="M1362" s="320"/>
      <c r="N1362" s="320"/>
      <c r="O1362" s="320"/>
      <c r="P1362" s="320"/>
      <c r="Q1362" s="320"/>
      <c r="R1362" s="320"/>
      <c r="S1362" s="320"/>
      <c r="T1362" s="320"/>
    </row>
    <row r="1363">
      <c r="A1363" s="362"/>
      <c r="B1363" s="373"/>
      <c r="C1363" s="320"/>
      <c r="D1363" s="320"/>
      <c r="E1363" s="320"/>
      <c r="F1363" s="320"/>
      <c r="G1363" s="320"/>
      <c r="H1363" s="320"/>
      <c r="I1363" s="320"/>
      <c r="J1363" s="320"/>
      <c r="K1363" s="320"/>
      <c r="L1363" s="320"/>
      <c r="M1363" s="320"/>
      <c r="N1363" s="320"/>
      <c r="O1363" s="320"/>
      <c r="P1363" s="320"/>
      <c r="Q1363" s="320"/>
      <c r="R1363" s="320"/>
      <c r="S1363" s="320"/>
      <c r="T1363" s="320"/>
    </row>
    <row r="1364">
      <c r="A1364" s="362"/>
      <c r="B1364" s="373"/>
      <c r="C1364" s="320"/>
      <c r="D1364" s="320"/>
      <c r="E1364" s="320"/>
      <c r="F1364" s="320"/>
      <c r="G1364" s="320"/>
      <c r="H1364" s="320"/>
      <c r="I1364" s="320"/>
      <c r="J1364" s="320"/>
      <c r="K1364" s="320"/>
      <c r="L1364" s="320"/>
      <c r="M1364" s="320"/>
      <c r="N1364" s="320"/>
      <c r="O1364" s="320"/>
      <c r="P1364" s="320"/>
      <c r="Q1364" s="320"/>
      <c r="R1364" s="320"/>
      <c r="S1364" s="320"/>
      <c r="T1364" s="320"/>
    </row>
    <row r="1365">
      <c r="A1365" s="362"/>
      <c r="B1365" s="373"/>
      <c r="C1365" s="320"/>
      <c r="D1365" s="320"/>
      <c r="E1365" s="320"/>
      <c r="F1365" s="320"/>
      <c r="G1365" s="320"/>
      <c r="H1365" s="320"/>
      <c r="I1365" s="320"/>
      <c r="J1365" s="320"/>
      <c r="K1365" s="320"/>
      <c r="L1365" s="320"/>
      <c r="M1365" s="320"/>
      <c r="N1365" s="320"/>
      <c r="O1365" s="320"/>
      <c r="P1365" s="320"/>
      <c r="Q1365" s="320"/>
      <c r="R1365" s="320"/>
      <c r="S1365" s="320"/>
      <c r="T1365" s="320"/>
    </row>
    <row r="1366">
      <c r="A1366" s="362"/>
      <c r="B1366" s="373"/>
      <c r="C1366" s="320"/>
      <c r="D1366" s="320"/>
      <c r="E1366" s="320"/>
      <c r="F1366" s="320"/>
      <c r="G1366" s="320"/>
      <c r="H1366" s="320"/>
      <c r="I1366" s="320"/>
      <c r="J1366" s="320"/>
      <c r="K1366" s="320"/>
      <c r="L1366" s="320"/>
      <c r="M1366" s="320"/>
      <c r="N1366" s="320"/>
      <c r="O1366" s="320"/>
      <c r="P1366" s="320"/>
      <c r="Q1366" s="320"/>
      <c r="R1366" s="320"/>
      <c r="S1366" s="320"/>
      <c r="T1366" s="320"/>
    </row>
    <row r="1367">
      <c r="A1367" s="362"/>
      <c r="B1367" s="373"/>
      <c r="C1367" s="320"/>
      <c r="D1367" s="320"/>
      <c r="E1367" s="320"/>
      <c r="F1367" s="320"/>
      <c r="G1367" s="320"/>
      <c r="H1367" s="320"/>
      <c r="I1367" s="320"/>
      <c r="J1367" s="320"/>
      <c r="K1367" s="320"/>
      <c r="L1367" s="320"/>
      <c r="M1367" s="320"/>
      <c r="N1367" s="320"/>
      <c r="O1367" s="320"/>
      <c r="P1367" s="320"/>
      <c r="Q1367" s="320"/>
      <c r="R1367" s="320"/>
      <c r="S1367" s="320"/>
      <c r="T1367" s="320"/>
    </row>
    <row r="1368">
      <c r="A1368" s="362"/>
      <c r="B1368" s="373"/>
      <c r="C1368" s="320"/>
      <c r="D1368" s="320"/>
      <c r="E1368" s="320"/>
      <c r="F1368" s="320"/>
      <c r="G1368" s="320"/>
      <c r="H1368" s="320"/>
      <c r="I1368" s="320"/>
      <c r="J1368" s="320"/>
      <c r="K1368" s="320"/>
      <c r="L1368" s="320"/>
      <c r="M1368" s="320"/>
      <c r="N1368" s="320"/>
      <c r="O1368" s="320"/>
      <c r="P1368" s="320"/>
      <c r="Q1368" s="320"/>
      <c r="R1368" s="320"/>
      <c r="S1368" s="320"/>
      <c r="T1368" s="320"/>
    </row>
    <row r="1369">
      <c r="A1369" s="362"/>
      <c r="B1369" s="373"/>
      <c r="C1369" s="320"/>
      <c r="D1369" s="320"/>
      <c r="E1369" s="320"/>
      <c r="F1369" s="320"/>
      <c r="G1369" s="320"/>
      <c r="H1369" s="320"/>
      <c r="I1369" s="320"/>
      <c r="J1369" s="320"/>
      <c r="K1369" s="320"/>
      <c r="L1369" s="320"/>
      <c r="M1369" s="320"/>
      <c r="N1369" s="320"/>
      <c r="O1369" s="320"/>
      <c r="P1369" s="320"/>
      <c r="Q1369" s="320"/>
      <c r="R1369" s="320"/>
      <c r="S1369" s="320"/>
      <c r="T1369" s="320"/>
    </row>
    <row r="1370">
      <c r="A1370" s="362"/>
      <c r="B1370" s="373"/>
      <c r="C1370" s="320"/>
      <c r="D1370" s="320"/>
      <c r="E1370" s="320"/>
      <c r="F1370" s="320"/>
      <c r="G1370" s="320"/>
      <c r="H1370" s="320"/>
      <c r="I1370" s="320"/>
      <c r="J1370" s="320"/>
      <c r="K1370" s="320"/>
      <c r="L1370" s="320"/>
      <c r="M1370" s="320"/>
      <c r="N1370" s="320"/>
      <c r="O1370" s="320"/>
      <c r="P1370" s="320"/>
      <c r="Q1370" s="320"/>
      <c r="R1370" s="320"/>
      <c r="S1370" s="320"/>
      <c r="T1370" s="320"/>
    </row>
    <row r="1371">
      <c r="A1371" s="362"/>
      <c r="B1371" s="373"/>
      <c r="C1371" s="320"/>
      <c r="D1371" s="320"/>
      <c r="E1371" s="320"/>
      <c r="F1371" s="320"/>
      <c r="G1371" s="320"/>
      <c r="H1371" s="320"/>
      <c r="I1371" s="320"/>
      <c r="J1371" s="320"/>
      <c r="K1371" s="320"/>
      <c r="L1371" s="320"/>
      <c r="M1371" s="320"/>
      <c r="N1371" s="320"/>
      <c r="O1371" s="320"/>
      <c r="P1371" s="320"/>
      <c r="Q1371" s="320"/>
      <c r="R1371" s="320"/>
      <c r="S1371" s="320"/>
      <c r="T1371" s="320"/>
    </row>
    <row r="1372">
      <c r="A1372" s="362"/>
      <c r="B1372" s="373"/>
      <c r="C1372" s="320"/>
      <c r="D1372" s="320"/>
      <c r="E1372" s="320"/>
      <c r="F1372" s="320"/>
      <c r="G1372" s="320"/>
      <c r="H1372" s="320"/>
      <c r="I1372" s="320"/>
      <c r="J1372" s="320"/>
      <c r="K1372" s="320"/>
      <c r="L1372" s="320"/>
      <c r="M1372" s="320"/>
      <c r="N1372" s="320"/>
      <c r="O1372" s="320"/>
      <c r="P1372" s="320"/>
      <c r="Q1372" s="320"/>
      <c r="R1372" s="320"/>
      <c r="S1372" s="320"/>
      <c r="T1372" s="320"/>
    </row>
    <row r="1373">
      <c r="A1373" s="362"/>
      <c r="B1373" s="373"/>
      <c r="C1373" s="320"/>
      <c r="D1373" s="320"/>
      <c r="E1373" s="320"/>
      <c r="F1373" s="320"/>
      <c r="G1373" s="320"/>
      <c r="H1373" s="320"/>
      <c r="I1373" s="320"/>
      <c r="J1373" s="320"/>
      <c r="K1373" s="320"/>
      <c r="L1373" s="320"/>
      <c r="M1373" s="320"/>
      <c r="N1373" s="320"/>
      <c r="O1373" s="320"/>
      <c r="P1373" s="320"/>
      <c r="Q1373" s="320"/>
      <c r="R1373" s="320"/>
      <c r="S1373" s="320"/>
      <c r="T1373" s="320"/>
    </row>
    <row r="1374">
      <c r="A1374" s="362"/>
      <c r="B1374" s="373"/>
      <c r="C1374" s="320"/>
      <c r="D1374" s="320"/>
      <c r="E1374" s="320"/>
      <c r="F1374" s="320"/>
      <c r="G1374" s="320"/>
      <c r="H1374" s="320"/>
      <c r="I1374" s="320"/>
      <c r="J1374" s="320"/>
      <c r="K1374" s="320"/>
      <c r="L1374" s="320"/>
      <c r="M1374" s="320"/>
      <c r="N1374" s="320"/>
      <c r="O1374" s="320"/>
      <c r="P1374" s="320"/>
      <c r="Q1374" s="320"/>
      <c r="R1374" s="320"/>
      <c r="S1374" s="320"/>
      <c r="T1374" s="320"/>
    </row>
    <row r="1375">
      <c r="A1375" s="362"/>
      <c r="B1375" s="373"/>
      <c r="C1375" s="320"/>
      <c r="D1375" s="320"/>
      <c r="E1375" s="320"/>
      <c r="F1375" s="320"/>
      <c r="G1375" s="320"/>
      <c r="H1375" s="320"/>
      <c r="I1375" s="320"/>
      <c r="J1375" s="320"/>
      <c r="K1375" s="320"/>
      <c r="L1375" s="320"/>
      <c r="M1375" s="320"/>
      <c r="N1375" s="320"/>
      <c r="O1375" s="320"/>
      <c r="P1375" s="320"/>
      <c r="Q1375" s="320"/>
      <c r="R1375" s="320"/>
      <c r="S1375" s="320"/>
      <c r="T1375" s="320"/>
    </row>
    <row r="1376">
      <c r="A1376" s="362"/>
      <c r="B1376" s="373"/>
      <c r="C1376" s="320"/>
      <c r="D1376" s="320"/>
      <c r="E1376" s="320"/>
      <c r="F1376" s="320"/>
      <c r="G1376" s="320"/>
      <c r="H1376" s="320"/>
      <c r="I1376" s="320"/>
      <c r="J1376" s="320"/>
      <c r="K1376" s="320"/>
      <c r="L1376" s="320"/>
      <c r="M1376" s="320"/>
      <c r="N1376" s="320"/>
      <c r="O1376" s="320"/>
      <c r="P1376" s="320"/>
      <c r="Q1376" s="320"/>
      <c r="R1376" s="320"/>
      <c r="S1376" s="320"/>
      <c r="T1376" s="320"/>
    </row>
    <row r="1377">
      <c r="A1377" s="362"/>
      <c r="B1377" s="373"/>
      <c r="C1377" s="320"/>
      <c r="D1377" s="320"/>
      <c r="E1377" s="320"/>
      <c r="F1377" s="320"/>
      <c r="G1377" s="320"/>
      <c r="H1377" s="320"/>
      <c r="I1377" s="320"/>
      <c r="J1377" s="320"/>
      <c r="K1377" s="320"/>
      <c r="L1377" s="320"/>
      <c r="M1377" s="320"/>
      <c r="N1377" s="320"/>
      <c r="O1377" s="320"/>
      <c r="P1377" s="320"/>
      <c r="Q1377" s="320"/>
      <c r="R1377" s="320"/>
      <c r="S1377" s="320"/>
      <c r="T1377" s="320"/>
    </row>
    <row r="1378">
      <c r="A1378" s="362"/>
      <c r="B1378" s="373"/>
      <c r="C1378" s="320"/>
      <c r="D1378" s="320"/>
      <c r="E1378" s="320"/>
      <c r="F1378" s="320"/>
      <c r="G1378" s="320"/>
      <c r="H1378" s="320"/>
      <c r="I1378" s="320"/>
      <c r="J1378" s="320"/>
      <c r="K1378" s="320"/>
      <c r="L1378" s="320"/>
      <c r="M1378" s="320"/>
      <c r="N1378" s="320"/>
      <c r="O1378" s="320"/>
      <c r="P1378" s="320"/>
      <c r="Q1378" s="320"/>
      <c r="R1378" s="320"/>
      <c r="S1378" s="320"/>
      <c r="T1378" s="320"/>
    </row>
    <row r="1379">
      <c r="A1379" s="362"/>
      <c r="B1379" s="373"/>
      <c r="C1379" s="320"/>
      <c r="D1379" s="320"/>
      <c r="E1379" s="320"/>
      <c r="F1379" s="320"/>
      <c r="G1379" s="320"/>
      <c r="H1379" s="320"/>
      <c r="I1379" s="320"/>
      <c r="J1379" s="320"/>
      <c r="K1379" s="320"/>
      <c r="L1379" s="320"/>
      <c r="M1379" s="320"/>
      <c r="N1379" s="320"/>
      <c r="O1379" s="320"/>
      <c r="P1379" s="320"/>
      <c r="Q1379" s="320"/>
      <c r="R1379" s="320"/>
      <c r="S1379" s="320"/>
      <c r="T1379" s="320"/>
    </row>
    <row r="1380">
      <c r="A1380" s="362"/>
      <c r="B1380" s="373"/>
      <c r="C1380" s="320"/>
      <c r="D1380" s="320"/>
      <c r="E1380" s="320"/>
      <c r="F1380" s="320"/>
      <c r="G1380" s="320"/>
      <c r="H1380" s="320"/>
      <c r="I1380" s="320"/>
      <c r="J1380" s="320"/>
      <c r="K1380" s="320"/>
      <c r="L1380" s="320"/>
      <c r="M1380" s="320"/>
      <c r="N1380" s="320"/>
      <c r="O1380" s="320"/>
      <c r="P1380" s="320"/>
      <c r="Q1380" s="320"/>
      <c r="R1380" s="320"/>
      <c r="S1380" s="320"/>
      <c r="T1380" s="320"/>
    </row>
    <row r="1381">
      <c r="A1381" s="362"/>
      <c r="B1381" s="373"/>
      <c r="C1381" s="320"/>
      <c r="D1381" s="320"/>
      <c r="E1381" s="320"/>
      <c r="F1381" s="320"/>
      <c r="G1381" s="320"/>
      <c r="H1381" s="320"/>
      <c r="I1381" s="320"/>
      <c r="J1381" s="320"/>
      <c r="K1381" s="320"/>
      <c r="L1381" s="320"/>
      <c r="M1381" s="320"/>
      <c r="N1381" s="320"/>
      <c r="O1381" s="320"/>
      <c r="P1381" s="320"/>
      <c r="Q1381" s="320"/>
      <c r="R1381" s="320"/>
      <c r="S1381" s="320"/>
      <c r="T1381" s="320"/>
    </row>
    <row r="1382">
      <c r="A1382" s="362"/>
      <c r="B1382" s="373"/>
      <c r="C1382" s="320"/>
      <c r="D1382" s="320"/>
      <c r="E1382" s="320"/>
      <c r="F1382" s="320"/>
      <c r="G1382" s="320"/>
      <c r="H1382" s="320"/>
      <c r="I1382" s="320"/>
      <c r="J1382" s="320"/>
      <c r="K1382" s="320"/>
      <c r="L1382" s="320"/>
      <c r="M1382" s="320"/>
      <c r="N1382" s="320"/>
      <c r="O1382" s="320"/>
      <c r="P1382" s="320"/>
      <c r="Q1382" s="320"/>
      <c r="R1382" s="320"/>
      <c r="S1382" s="320"/>
      <c r="T1382" s="320"/>
    </row>
    <row r="1383">
      <c r="A1383" s="362"/>
      <c r="B1383" s="373"/>
      <c r="C1383" s="320"/>
      <c r="D1383" s="320"/>
      <c r="E1383" s="320"/>
      <c r="F1383" s="320"/>
      <c r="G1383" s="320"/>
      <c r="H1383" s="320"/>
      <c r="I1383" s="320"/>
      <c r="J1383" s="320"/>
      <c r="K1383" s="320"/>
      <c r="L1383" s="320"/>
      <c r="M1383" s="320"/>
      <c r="N1383" s="320"/>
      <c r="O1383" s="320"/>
      <c r="P1383" s="320"/>
      <c r="Q1383" s="320"/>
      <c r="R1383" s="320"/>
      <c r="S1383" s="320"/>
      <c r="T1383" s="320"/>
    </row>
    <row r="1384">
      <c r="A1384" s="362"/>
      <c r="B1384" s="373"/>
      <c r="C1384" s="320"/>
      <c r="D1384" s="320"/>
      <c r="E1384" s="320"/>
      <c r="F1384" s="320"/>
      <c r="G1384" s="320"/>
      <c r="H1384" s="320"/>
      <c r="I1384" s="320"/>
      <c r="J1384" s="320"/>
      <c r="K1384" s="320"/>
      <c r="L1384" s="320"/>
      <c r="M1384" s="320"/>
      <c r="N1384" s="320"/>
      <c r="O1384" s="320"/>
      <c r="P1384" s="320"/>
      <c r="Q1384" s="320"/>
      <c r="R1384" s="320"/>
      <c r="S1384" s="320"/>
      <c r="T1384" s="320"/>
    </row>
    <row r="1385">
      <c r="A1385" s="362"/>
      <c r="B1385" s="373"/>
      <c r="C1385" s="320"/>
      <c r="D1385" s="320"/>
      <c r="E1385" s="320"/>
      <c r="F1385" s="320"/>
      <c r="G1385" s="320"/>
      <c r="H1385" s="320"/>
      <c r="I1385" s="320"/>
      <c r="J1385" s="320"/>
      <c r="K1385" s="320"/>
      <c r="L1385" s="320"/>
      <c r="M1385" s="320"/>
      <c r="N1385" s="320"/>
      <c r="O1385" s="320"/>
      <c r="P1385" s="320"/>
      <c r="Q1385" s="320"/>
      <c r="R1385" s="320"/>
      <c r="S1385" s="320"/>
      <c r="T1385" s="320"/>
    </row>
    <row r="1386">
      <c r="A1386" s="362"/>
      <c r="B1386" s="373"/>
      <c r="C1386" s="320"/>
      <c r="D1386" s="320"/>
      <c r="E1386" s="320"/>
      <c r="F1386" s="320"/>
      <c r="G1386" s="320"/>
      <c r="H1386" s="320"/>
      <c r="I1386" s="320"/>
      <c r="J1386" s="320"/>
      <c r="K1386" s="320"/>
      <c r="L1386" s="320"/>
      <c r="M1386" s="320"/>
      <c r="N1386" s="320"/>
      <c r="O1386" s="320"/>
      <c r="P1386" s="320"/>
      <c r="Q1386" s="320"/>
      <c r="R1386" s="320"/>
      <c r="S1386" s="320"/>
      <c r="T1386" s="320"/>
    </row>
    <row r="1387">
      <c r="A1387" s="362"/>
      <c r="B1387" s="373"/>
      <c r="C1387" s="320"/>
      <c r="D1387" s="320"/>
      <c r="E1387" s="320"/>
      <c r="F1387" s="320"/>
      <c r="G1387" s="320"/>
      <c r="H1387" s="320"/>
      <c r="I1387" s="320"/>
      <c r="J1387" s="320"/>
      <c r="K1387" s="320"/>
      <c r="L1387" s="320"/>
      <c r="M1387" s="320"/>
      <c r="N1387" s="320"/>
      <c r="O1387" s="320"/>
      <c r="P1387" s="320"/>
      <c r="Q1387" s="320"/>
      <c r="R1387" s="320"/>
      <c r="S1387" s="320"/>
      <c r="T1387" s="320"/>
    </row>
    <row r="1388">
      <c r="A1388" s="362"/>
      <c r="B1388" s="373"/>
      <c r="C1388" s="320"/>
      <c r="D1388" s="320"/>
      <c r="E1388" s="320"/>
      <c r="F1388" s="320"/>
      <c r="G1388" s="320"/>
      <c r="H1388" s="320"/>
      <c r="I1388" s="320"/>
      <c r="J1388" s="320"/>
      <c r="K1388" s="320"/>
      <c r="L1388" s="320"/>
      <c r="M1388" s="320"/>
      <c r="N1388" s="320"/>
      <c r="O1388" s="320"/>
      <c r="P1388" s="320"/>
      <c r="Q1388" s="320"/>
      <c r="R1388" s="320"/>
      <c r="S1388" s="320"/>
      <c r="T1388" s="320"/>
    </row>
    <row r="1389">
      <c r="A1389" s="362"/>
      <c r="B1389" s="373"/>
      <c r="C1389" s="320"/>
      <c r="D1389" s="320"/>
      <c r="E1389" s="320"/>
      <c r="F1389" s="320"/>
      <c r="G1389" s="320"/>
      <c r="H1389" s="320"/>
      <c r="I1389" s="320"/>
      <c r="J1389" s="320"/>
      <c r="K1389" s="320"/>
      <c r="L1389" s="320"/>
      <c r="M1389" s="320"/>
      <c r="N1389" s="320"/>
      <c r="O1389" s="320"/>
      <c r="P1389" s="320"/>
      <c r="Q1389" s="320"/>
      <c r="R1389" s="320"/>
      <c r="S1389" s="320"/>
      <c r="T1389" s="320"/>
    </row>
    <row r="1390">
      <c r="A1390" s="362"/>
      <c r="B1390" s="373"/>
      <c r="C1390" s="320"/>
      <c r="D1390" s="320"/>
      <c r="E1390" s="320"/>
      <c r="F1390" s="320"/>
      <c r="G1390" s="320"/>
      <c r="H1390" s="320"/>
      <c r="I1390" s="320"/>
      <c r="J1390" s="320"/>
      <c r="K1390" s="320"/>
      <c r="L1390" s="320"/>
      <c r="M1390" s="320"/>
      <c r="N1390" s="320"/>
      <c r="O1390" s="320"/>
      <c r="P1390" s="320"/>
      <c r="Q1390" s="320"/>
      <c r="R1390" s="320"/>
      <c r="S1390" s="320"/>
      <c r="T1390" s="320"/>
    </row>
    <row r="1391">
      <c r="A1391" s="362"/>
      <c r="B1391" s="373"/>
      <c r="C1391" s="320"/>
      <c r="D1391" s="320"/>
      <c r="E1391" s="320"/>
      <c r="F1391" s="320"/>
      <c r="G1391" s="320"/>
      <c r="H1391" s="320"/>
      <c r="I1391" s="320"/>
      <c r="J1391" s="320"/>
      <c r="K1391" s="320"/>
      <c r="L1391" s="320"/>
      <c r="M1391" s="320"/>
      <c r="N1391" s="320"/>
      <c r="O1391" s="320"/>
      <c r="P1391" s="320"/>
      <c r="Q1391" s="320"/>
      <c r="R1391" s="320"/>
      <c r="S1391" s="320"/>
      <c r="T1391" s="320"/>
    </row>
    <row r="1392">
      <c r="A1392" s="362"/>
      <c r="B1392" s="373"/>
      <c r="C1392" s="320"/>
      <c r="D1392" s="320"/>
      <c r="E1392" s="320"/>
      <c r="F1392" s="320"/>
      <c r="G1392" s="320"/>
      <c r="H1392" s="320"/>
      <c r="I1392" s="320"/>
      <c r="J1392" s="320"/>
      <c r="K1392" s="320"/>
      <c r="L1392" s="320"/>
      <c r="M1392" s="320"/>
      <c r="N1392" s="320"/>
      <c r="O1392" s="320"/>
      <c r="P1392" s="320"/>
      <c r="Q1392" s="320"/>
      <c r="R1392" s="320"/>
      <c r="S1392" s="320"/>
      <c r="T1392" s="320"/>
    </row>
    <row r="1393">
      <c r="A1393" s="362"/>
      <c r="B1393" s="373"/>
      <c r="C1393" s="320"/>
      <c r="D1393" s="320"/>
      <c r="E1393" s="320"/>
      <c r="F1393" s="320"/>
      <c r="G1393" s="320"/>
      <c r="H1393" s="320"/>
      <c r="I1393" s="320"/>
      <c r="J1393" s="320"/>
      <c r="K1393" s="320"/>
      <c r="L1393" s="320"/>
      <c r="M1393" s="320"/>
      <c r="N1393" s="320"/>
      <c r="O1393" s="320"/>
      <c r="P1393" s="320"/>
      <c r="Q1393" s="320"/>
      <c r="R1393" s="320"/>
      <c r="S1393" s="320"/>
      <c r="T1393" s="320"/>
    </row>
    <row r="1394">
      <c r="A1394" s="362"/>
      <c r="B1394" s="373"/>
      <c r="C1394" s="320"/>
      <c r="D1394" s="320"/>
      <c r="E1394" s="320"/>
      <c r="F1394" s="320"/>
      <c r="G1394" s="320"/>
      <c r="H1394" s="320"/>
      <c r="I1394" s="320"/>
      <c r="J1394" s="320"/>
      <c r="K1394" s="320"/>
      <c r="L1394" s="320"/>
      <c r="M1394" s="320"/>
      <c r="N1394" s="320"/>
      <c r="O1394" s="320"/>
      <c r="P1394" s="320"/>
      <c r="Q1394" s="320"/>
      <c r="R1394" s="320"/>
      <c r="S1394" s="320"/>
      <c r="T1394" s="320"/>
    </row>
    <row r="1395">
      <c r="A1395" s="362"/>
      <c r="B1395" s="373"/>
      <c r="C1395" s="320"/>
      <c r="D1395" s="320"/>
      <c r="E1395" s="320"/>
      <c r="F1395" s="320"/>
      <c r="G1395" s="320"/>
      <c r="H1395" s="320"/>
      <c r="I1395" s="320"/>
      <c r="J1395" s="320"/>
      <c r="K1395" s="320"/>
      <c r="L1395" s="320"/>
      <c r="M1395" s="320"/>
      <c r="N1395" s="320"/>
      <c r="O1395" s="320"/>
      <c r="P1395" s="320"/>
      <c r="Q1395" s="320"/>
      <c r="R1395" s="320"/>
      <c r="S1395" s="320"/>
      <c r="T1395" s="320"/>
    </row>
    <row r="1396">
      <c r="A1396" s="362"/>
      <c r="B1396" s="373"/>
      <c r="C1396" s="320"/>
      <c r="D1396" s="320"/>
      <c r="E1396" s="320"/>
      <c r="F1396" s="320"/>
      <c r="G1396" s="320"/>
      <c r="H1396" s="320"/>
      <c r="I1396" s="320"/>
      <c r="J1396" s="320"/>
      <c r="K1396" s="320"/>
      <c r="L1396" s="320"/>
      <c r="M1396" s="320"/>
      <c r="N1396" s="320"/>
      <c r="O1396" s="320"/>
      <c r="P1396" s="320"/>
      <c r="Q1396" s="320"/>
      <c r="R1396" s="320"/>
      <c r="S1396" s="320"/>
      <c r="T1396" s="320"/>
    </row>
    <row r="1397">
      <c r="A1397" s="362"/>
      <c r="B1397" s="373"/>
      <c r="C1397" s="320"/>
      <c r="D1397" s="320"/>
      <c r="E1397" s="320"/>
      <c r="F1397" s="320"/>
      <c r="G1397" s="320"/>
      <c r="H1397" s="320"/>
      <c r="I1397" s="320"/>
      <c r="J1397" s="320"/>
      <c r="K1397" s="320"/>
      <c r="L1397" s="320"/>
      <c r="M1397" s="320"/>
      <c r="N1397" s="320"/>
      <c r="O1397" s="320"/>
      <c r="P1397" s="320"/>
      <c r="Q1397" s="320"/>
      <c r="R1397" s="320"/>
      <c r="S1397" s="320"/>
      <c r="T1397" s="320"/>
    </row>
    <row r="1398">
      <c r="A1398" s="362"/>
      <c r="B1398" s="373"/>
      <c r="C1398" s="320"/>
      <c r="D1398" s="320"/>
      <c r="E1398" s="320"/>
      <c r="F1398" s="320"/>
      <c r="G1398" s="320"/>
      <c r="H1398" s="320"/>
      <c r="I1398" s="320"/>
      <c r="J1398" s="320"/>
      <c r="K1398" s="320"/>
      <c r="L1398" s="320"/>
      <c r="M1398" s="320"/>
      <c r="N1398" s="320"/>
      <c r="O1398" s="320"/>
      <c r="P1398" s="320"/>
      <c r="Q1398" s="320"/>
      <c r="R1398" s="320"/>
      <c r="S1398" s="320"/>
      <c r="T1398" s="320"/>
    </row>
    <row r="1399">
      <c r="A1399" s="362"/>
      <c r="B1399" s="373"/>
      <c r="C1399" s="320"/>
      <c r="D1399" s="320"/>
      <c r="E1399" s="320"/>
      <c r="F1399" s="320"/>
      <c r="G1399" s="320"/>
      <c r="H1399" s="320"/>
      <c r="I1399" s="320"/>
      <c r="J1399" s="320"/>
      <c r="K1399" s="320"/>
      <c r="L1399" s="320"/>
      <c r="M1399" s="320"/>
      <c r="N1399" s="320"/>
      <c r="O1399" s="320"/>
      <c r="P1399" s="320"/>
      <c r="Q1399" s="320"/>
      <c r="R1399" s="320"/>
      <c r="S1399" s="320"/>
      <c r="T1399" s="320"/>
    </row>
    <row r="1400">
      <c r="A1400" s="362"/>
      <c r="B1400" s="373"/>
      <c r="C1400" s="320"/>
      <c r="D1400" s="320"/>
      <c r="E1400" s="320"/>
      <c r="F1400" s="320"/>
      <c r="G1400" s="320"/>
      <c r="H1400" s="320"/>
      <c r="I1400" s="320"/>
      <c r="J1400" s="320"/>
      <c r="K1400" s="320"/>
      <c r="L1400" s="320"/>
      <c r="M1400" s="320"/>
      <c r="N1400" s="320"/>
      <c r="O1400" s="320"/>
      <c r="P1400" s="320"/>
      <c r="Q1400" s="320"/>
      <c r="R1400" s="320"/>
      <c r="S1400" s="320"/>
      <c r="T1400" s="320"/>
    </row>
    <row r="1401">
      <c r="A1401" s="362"/>
      <c r="B1401" s="373"/>
      <c r="C1401" s="320"/>
      <c r="D1401" s="320"/>
      <c r="E1401" s="320"/>
      <c r="F1401" s="320"/>
      <c r="G1401" s="320"/>
      <c r="H1401" s="320"/>
      <c r="I1401" s="320"/>
      <c r="J1401" s="320"/>
      <c r="K1401" s="320"/>
      <c r="L1401" s="320"/>
      <c r="M1401" s="320"/>
      <c r="N1401" s="320"/>
      <c r="O1401" s="320"/>
      <c r="P1401" s="320"/>
      <c r="Q1401" s="320"/>
      <c r="R1401" s="320"/>
      <c r="S1401" s="320"/>
      <c r="T1401" s="320"/>
    </row>
    <row r="1402">
      <c r="A1402" s="362"/>
      <c r="B1402" s="373"/>
      <c r="C1402" s="320"/>
      <c r="D1402" s="320"/>
      <c r="E1402" s="320"/>
      <c r="F1402" s="320"/>
      <c r="G1402" s="320"/>
      <c r="H1402" s="320"/>
      <c r="I1402" s="320"/>
      <c r="J1402" s="320"/>
      <c r="K1402" s="320"/>
      <c r="L1402" s="320"/>
      <c r="M1402" s="320"/>
      <c r="N1402" s="320"/>
      <c r="O1402" s="320"/>
      <c r="P1402" s="320"/>
      <c r="Q1402" s="320"/>
      <c r="R1402" s="320"/>
      <c r="S1402" s="320"/>
      <c r="T1402" s="320"/>
    </row>
    <row r="1403">
      <c r="A1403" s="362"/>
      <c r="B1403" s="373"/>
      <c r="C1403" s="320"/>
      <c r="D1403" s="320"/>
      <c r="E1403" s="320"/>
      <c r="F1403" s="320"/>
      <c r="G1403" s="320"/>
      <c r="H1403" s="320"/>
      <c r="I1403" s="320"/>
      <c r="J1403" s="320"/>
      <c r="K1403" s="320"/>
      <c r="L1403" s="320"/>
      <c r="M1403" s="320"/>
      <c r="N1403" s="320"/>
      <c r="O1403" s="320"/>
      <c r="P1403" s="320"/>
      <c r="Q1403" s="320"/>
      <c r="R1403" s="320"/>
      <c r="S1403" s="320"/>
      <c r="T1403" s="320"/>
    </row>
    <row r="1404">
      <c r="A1404" s="362"/>
      <c r="B1404" s="373"/>
      <c r="C1404" s="320"/>
      <c r="D1404" s="320"/>
      <c r="E1404" s="320"/>
      <c r="F1404" s="320"/>
      <c r="G1404" s="320"/>
      <c r="H1404" s="320"/>
      <c r="I1404" s="320"/>
      <c r="J1404" s="320"/>
      <c r="K1404" s="320"/>
      <c r="L1404" s="320"/>
      <c r="M1404" s="320"/>
      <c r="N1404" s="320"/>
      <c r="O1404" s="320"/>
      <c r="P1404" s="320"/>
      <c r="Q1404" s="320"/>
      <c r="R1404" s="320"/>
      <c r="S1404" s="320"/>
      <c r="T1404" s="320"/>
    </row>
    <row r="1405">
      <c r="A1405" s="362"/>
      <c r="B1405" s="373"/>
      <c r="C1405" s="320"/>
      <c r="D1405" s="320"/>
      <c r="E1405" s="320"/>
      <c r="F1405" s="320"/>
      <c r="G1405" s="320"/>
      <c r="H1405" s="320"/>
      <c r="I1405" s="320"/>
      <c r="J1405" s="320"/>
      <c r="K1405" s="320"/>
      <c r="L1405" s="320"/>
      <c r="M1405" s="320"/>
      <c r="N1405" s="320"/>
      <c r="O1405" s="320"/>
      <c r="P1405" s="320"/>
      <c r="Q1405" s="320"/>
      <c r="R1405" s="320"/>
      <c r="S1405" s="320"/>
      <c r="T1405" s="320"/>
    </row>
    <row r="1406">
      <c r="A1406" s="362"/>
      <c r="B1406" s="373"/>
      <c r="C1406" s="320"/>
      <c r="D1406" s="320"/>
      <c r="E1406" s="320"/>
      <c r="F1406" s="320"/>
      <c r="G1406" s="320"/>
      <c r="H1406" s="320"/>
      <c r="I1406" s="320"/>
      <c r="J1406" s="320"/>
      <c r="K1406" s="320"/>
      <c r="L1406" s="320"/>
      <c r="M1406" s="320"/>
      <c r="N1406" s="320"/>
      <c r="O1406" s="320"/>
      <c r="P1406" s="320"/>
      <c r="Q1406" s="320"/>
      <c r="R1406" s="320"/>
      <c r="S1406" s="320"/>
      <c r="T1406" s="320"/>
    </row>
    <row r="1407">
      <c r="A1407" s="362"/>
      <c r="B1407" s="373"/>
      <c r="C1407" s="320"/>
      <c r="D1407" s="320"/>
      <c r="E1407" s="320"/>
      <c r="F1407" s="320"/>
      <c r="G1407" s="320"/>
      <c r="H1407" s="320"/>
      <c r="I1407" s="320"/>
      <c r="J1407" s="320"/>
      <c r="K1407" s="320"/>
      <c r="L1407" s="320"/>
      <c r="M1407" s="320"/>
      <c r="N1407" s="320"/>
      <c r="O1407" s="320"/>
      <c r="P1407" s="320"/>
      <c r="Q1407" s="320"/>
      <c r="R1407" s="320"/>
      <c r="S1407" s="320"/>
      <c r="T1407" s="320"/>
    </row>
    <row r="1408">
      <c r="A1408" s="362"/>
      <c r="B1408" s="373"/>
      <c r="C1408" s="320"/>
      <c r="D1408" s="320"/>
      <c r="E1408" s="320"/>
      <c r="F1408" s="320"/>
      <c r="G1408" s="320"/>
      <c r="H1408" s="320"/>
      <c r="I1408" s="320"/>
      <c r="J1408" s="320"/>
      <c r="K1408" s="320"/>
      <c r="L1408" s="320"/>
      <c r="M1408" s="320"/>
      <c r="N1408" s="320"/>
      <c r="O1408" s="320"/>
      <c r="P1408" s="320"/>
      <c r="Q1408" s="320"/>
      <c r="R1408" s="320"/>
      <c r="S1408" s="320"/>
      <c r="T1408" s="320"/>
    </row>
    <row r="1409">
      <c r="A1409" s="362"/>
      <c r="B1409" s="373"/>
      <c r="C1409" s="320"/>
      <c r="D1409" s="320"/>
      <c r="E1409" s="320"/>
      <c r="F1409" s="320"/>
      <c r="G1409" s="320"/>
      <c r="H1409" s="320"/>
      <c r="I1409" s="320"/>
      <c r="J1409" s="320"/>
      <c r="K1409" s="320"/>
      <c r="L1409" s="320"/>
      <c r="M1409" s="320"/>
      <c r="N1409" s="320"/>
      <c r="O1409" s="320"/>
      <c r="P1409" s="320"/>
      <c r="Q1409" s="320"/>
      <c r="R1409" s="320"/>
      <c r="S1409" s="320"/>
      <c r="T1409" s="320"/>
    </row>
    <row r="1410">
      <c r="A1410" s="362"/>
      <c r="B1410" s="373"/>
      <c r="C1410" s="320"/>
      <c r="D1410" s="320"/>
      <c r="E1410" s="320"/>
      <c r="F1410" s="320"/>
      <c r="G1410" s="320"/>
      <c r="H1410" s="320"/>
      <c r="I1410" s="320"/>
      <c r="J1410" s="320"/>
      <c r="K1410" s="320"/>
      <c r="L1410" s="320"/>
      <c r="M1410" s="320"/>
      <c r="N1410" s="320"/>
      <c r="O1410" s="320"/>
      <c r="P1410" s="320"/>
      <c r="Q1410" s="320"/>
      <c r="R1410" s="320"/>
      <c r="S1410" s="320"/>
      <c r="T1410" s="320"/>
    </row>
    <row r="1411">
      <c r="A1411" s="362"/>
      <c r="B1411" s="373"/>
      <c r="C1411" s="320"/>
      <c r="D1411" s="320"/>
      <c r="E1411" s="320"/>
      <c r="F1411" s="320"/>
      <c r="G1411" s="320"/>
      <c r="H1411" s="320"/>
      <c r="I1411" s="320"/>
      <c r="J1411" s="320"/>
      <c r="K1411" s="320"/>
      <c r="L1411" s="320"/>
      <c r="M1411" s="320"/>
      <c r="N1411" s="320"/>
      <c r="O1411" s="320"/>
      <c r="P1411" s="320"/>
      <c r="Q1411" s="320"/>
      <c r="R1411" s="320"/>
      <c r="S1411" s="320"/>
      <c r="T1411" s="320"/>
    </row>
    <row r="1412">
      <c r="A1412" s="362"/>
      <c r="B1412" s="373"/>
      <c r="C1412" s="320"/>
      <c r="D1412" s="320"/>
      <c r="E1412" s="320"/>
      <c r="F1412" s="320"/>
      <c r="G1412" s="320"/>
      <c r="H1412" s="320"/>
      <c r="I1412" s="320"/>
      <c r="J1412" s="320"/>
      <c r="K1412" s="320"/>
      <c r="L1412" s="320"/>
      <c r="M1412" s="320"/>
      <c r="N1412" s="320"/>
      <c r="O1412" s="320"/>
      <c r="P1412" s="320"/>
      <c r="Q1412" s="320"/>
      <c r="R1412" s="320"/>
      <c r="S1412" s="320"/>
      <c r="T1412" s="320"/>
    </row>
    <row r="1413">
      <c r="A1413" s="362"/>
      <c r="B1413" s="373"/>
      <c r="C1413" s="320"/>
      <c r="D1413" s="320"/>
      <c r="E1413" s="320"/>
      <c r="F1413" s="320"/>
      <c r="G1413" s="320"/>
      <c r="H1413" s="320"/>
      <c r="I1413" s="320"/>
      <c r="J1413" s="320"/>
      <c r="K1413" s="320"/>
      <c r="L1413" s="320"/>
      <c r="M1413" s="320"/>
      <c r="N1413" s="320"/>
      <c r="O1413" s="320"/>
      <c r="P1413" s="320"/>
      <c r="Q1413" s="320"/>
      <c r="R1413" s="320"/>
      <c r="S1413" s="320"/>
      <c r="T1413" s="320"/>
    </row>
    <row r="1414">
      <c r="A1414" s="362"/>
      <c r="B1414" s="373"/>
      <c r="C1414" s="320"/>
      <c r="D1414" s="320"/>
      <c r="E1414" s="320"/>
      <c r="F1414" s="320"/>
      <c r="G1414" s="320"/>
      <c r="H1414" s="320"/>
      <c r="I1414" s="320"/>
      <c r="J1414" s="320"/>
      <c r="K1414" s="320"/>
      <c r="L1414" s="320"/>
      <c r="M1414" s="320"/>
      <c r="N1414" s="320"/>
      <c r="O1414" s="320"/>
      <c r="P1414" s="320"/>
      <c r="Q1414" s="320"/>
      <c r="R1414" s="320"/>
      <c r="S1414" s="320"/>
      <c r="T1414" s="320"/>
    </row>
    <row r="1415">
      <c r="A1415" s="362"/>
      <c r="B1415" s="373"/>
      <c r="C1415" s="320"/>
      <c r="D1415" s="320"/>
      <c r="E1415" s="320"/>
      <c r="F1415" s="320"/>
      <c r="G1415" s="320"/>
      <c r="H1415" s="320"/>
      <c r="I1415" s="320"/>
      <c r="J1415" s="320"/>
      <c r="K1415" s="320"/>
      <c r="L1415" s="320"/>
      <c r="M1415" s="320"/>
      <c r="N1415" s="320"/>
      <c r="O1415" s="320"/>
      <c r="P1415" s="320"/>
      <c r="Q1415" s="320"/>
      <c r="R1415" s="320"/>
      <c r="S1415" s="320"/>
      <c r="T1415" s="320"/>
    </row>
    <row r="1416">
      <c r="A1416" s="362"/>
      <c r="B1416" s="373"/>
      <c r="C1416" s="320"/>
      <c r="D1416" s="320"/>
      <c r="E1416" s="320"/>
      <c r="F1416" s="320"/>
      <c r="G1416" s="320"/>
      <c r="H1416" s="320"/>
      <c r="I1416" s="320"/>
      <c r="J1416" s="320"/>
      <c r="K1416" s="320"/>
      <c r="L1416" s="320"/>
      <c r="M1416" s="320"/>
      <c r="N1416" s="320"/>
      <c r="O1416" s="320"/>
      <c r="P1416" s="320"/>
      <c r="Q1416" s="320"/>
      <c r="R1416" s="320"/>
      <c r="S1416" s="320"/>
      <c r="T1416" s="320"/>
    </row>
    <row r="1417">
      <c r="A1417" s="362"/>
      <c r="B1417" s="373"/>
      <c r="C1417" s="320"/>
      <c r="D1417" s="320"/>
      <c r="E1417" s="320"/>
      <c r="F1417" s="320"/>
      <c r="G1417" s="320"/>
      <c r="H1417" s="320"/>
      <c r="I1417" s="320"/>
      <c r="J1417" s="320"/>
      <c r="K1417" s="320"/>
      <c r="L1417" s="320"/>
      <c r="M1417" s="320"/>
      <c r="N1417" s="320"/>
      <c r="O1417" s="320"/>
      <c r="P1417" s="320"/>
      <c r="Q1417" s="320"/>
      <c r="R1417" s="320"/>
      <c r="S1417" s="320"/>
      <c r="T1417" s="320"/>
    </row>
    <row r="1418">
      <c r="A1418" s="362"/>
      <c r="B1418" s="373"/>
      <c r="C1418" s="320"/>
      <c r="D1418" s="320"/>
      <c r="E1418" s="320"/>
      <c r="F1418" s="320"/>
      <c r="G1418" s="320"/>
      <c r="H1418" s="320"/>
      <c r="I1418" s="320"/>
      <c r="J1418" s="320"/>
      <c r="K1418" s="320"/>
      <c r="L1418" s="320"/>
      <c r="M1418" s="320"/>
      <c r="N1418" s="320"/>
      <c r="O1418" s="320"/>
      <c r="P1418" s="320"/>
      <c r="Q1418" s="320"/>
      <c r="R1418" s="320"/>
      <c r="S1418" s="320"/>
      <c r="T1418" s="320"/>
    </row>
    <row r="1419">
      <c r="A1419" s="362"/>
      <c r="B1419" s="373"/>
      <c r="C1419" s="320"/>
      <c r="D1419" s="320"/>
      <c r="E1419" s="320"/>
      <c r="F1419" s="320"/>
      <c r="G1419" s="320"/>
      <c r="H1419" s="320"/>
      <c r="I1419" s="320"/>
      <c r="J1419" s="320"/>
      <c r="K1419" s="320"/>
      <c r="L1419" s="320"/>
      <c r="M1419" s="320"/>
      <c r="N1419" s="320"/>
      <c r="O1419" s="320"/>
      <c r="P1419" s="320"/>
      <c r="Q1419" s="320"/>
      <c r="R1419" s="320"/>
      <c r="S1419" s="320"/>
      <c r="T1419" s="320"/>
    </row>
    <row r="1420">
      <c r="A1420" s="362"/>
      <c r="B1420" s="373"/>
      <c r="C1420" s="320"/>
      <c r="D1420" s="320"/>
      <c r="E1420" s="320"/>
      <c r="F1420" s="320"/>
      <c r="G1420" s="320"/>
      <c r="H1420" s="320"/>
      <c r="I1420" s="320"/>
      <c r="J1420" s="320"/>
      <c r="K1420" s="320"/>
      <c r="L1420" s="320"/>
      <c r="M1420" s="320"/>
      <c r="N1420" s="320"/>
      <c r="O1420" s="320"/>
      <c r="P1420" s="320"/>
      <c r="Q1420" s="320"/>
      <c r="R1420" s="320"/>
      <c r="S1420" s="320"/>
      <c r="T1420" s="320"/>
    </row>
    <row r="1421">
      <c r="A1421" s="362"/>
      <c r="B1421" s="373"/>
      <c r="C1421" s="320"/>
      <c r="D1421" s="320"/>
      <c r="E1421" s="320"/>
      <c r="F1421" s="320"/>
      <c r="G1421" s="320"/>
      <c r="H1421" s="320"/>
      <c r="I1421" s="320"/>
      <c r="J1421" s="320"/>
      <c r="K1421" s="320"/>
      <c r="L1421" s="320"/>
      <c r="M1421" s="320"/>
      <c r="N1421" s="320"/>
      <c r="O1421" s="320"/>
      <c r="P1421" s="320"/>
      <c r="Q1421" s="320"/>
      <c r="R1421" s="320"/>
      <c r="S1421" s="320"/>
      <c r="T1421" s="320"/>
    </row>
    <row r="1422">
      <c r="A1422" s="362"/>
      <c r="B1422" s="373"/>
      <c r="C1422" s="320"/>
      <c r="D1422" s="320"/>
      <c r="E1422" s="320"/>
      <c r="F1422" s="320"/>
      <c r="G1422" s="320"/>
      <c r="H1422" s="320"/>
      <c r="I1422" s="320"/>
      <c r="J1422" s="320"/>
      <c r="K1422" s="320"/>
      <c r="L1422" s="320"/>
      <c r="M1422" s="320"/>
      <c r="N1422" s="320"/>
      <c r="O1422" s="320"/>
      <c r="P1422" s="320"/>
      <c r="Q1422" s="320"/>
      <c r="R1422" s="320"/>
      <c r="S1422" s="320"/>
      <c r="T1422" s="320"/>
    </row>
    <row r="1423">
      <c r="A1423" s="362"/>
      <c r="B1423" s="373"/>
      <c r="C1423" s="320"/>
      <c r="D1423" s="320"/>
      <c r="E1423" s="320"/>
      <c r="F1423" s="320"/>
      <c r="G1423" s="320"/>
      <c r="H1423" s="320"/>
      <c r="I1423" s="320"/>
      <c r="J1423" s="320"/>
      <c r="K1423" s="320"/>
      <c r="L1423" s="320"/>
      <c r="M1423" s="320"/>
      <c r="N1423" s="320"/>
      <c r="O1423" s="320"/>
      <c r="P1423" s="320"/>
      <c r="Q1423" s="320"/>
      <c r="R1423" s="320"/>
      <c r="S1423" s="320"/>
      <c r="T1423" s="320"/>
    </row>
    <row r="1424">
      <c r="A1424" s="362"/>
      <c r="B1424" s="373"/>
      <c r="C1424" s="320"/>
      <c r="D1424" s="320"/>
      <c r="E1424" s="320"/>
      <c r="F1424" s="320"/>
      <c r="G1424" s="320"/>
      <c r="H1424" s="320"/>
      <c r="I1424" s="320"/>
      <c r="J1424" s="320"/>
      <c r="K1424" s="320"/>
      <c r="L1424" s="320"/>
      <c r="M1424" s="320"/>
      <c r="N1424" s="320"/>
      <c r="O1424" s="320"/>
      <c r="P1424" s="320"/>
      <c r="Q1424" s="320"/>
      <c r="R1424" s="320"/>
      <c r="S1424" s="320"/>
      <c r="T1424" s="320"/>
    </row>
    <row r="1425">
      <c r="A1425" s="362"/>
      <c r="B1425" s="373"/>
      <c r="C1425" s="320"/>
      <c r="D1425" s="320"/>
      <c r="E1425" s="320"/>
      <c r="F1425" s="320"/>
      <c r="G1425" s="320"/>
      <c r="H1425" s="320"/>
      <c r="I1425" s="320"/>
      <c r="J1425" s="320"/>
      <c r="K1425" s="320"/>
      <c r="L1425" s="320"/>
      <c r="M1425" s="320"/>
      <c r="N1425" s="320"/>
      <c r="O1425" s="320"/>
      <c r="P1425" s="320"/>
      <c r="Q1425" s="320"/>
      <c r="R1425" s="320"/>
      <c r="S1425" s="320"/>
      <c r="T1425" s="320"/>
    </row>
    <row r="1426">
      <c r="A1426" s="362"/>
      <c r="B1426" s="373"/>
      <c r="C1426" s="320"/>
      <c r="D1426" s="320"/>
      <c r="E1426" s="320"/>
      <c r="F1426" s="320"/>
      <c r="G1426" s="320"/>
      <c r="H1426" s="320"/>
      <c r="I1426" s="320"/>
      <c r="J1426" s="320"/>
      <c r="K1426" s="320"/>
      <c r="L1426" s="320"/>
      <c r="M1426" s="320"/>
      <c r="N1426" s="320"/>
      <c r="O1426" s="320"/>
      <c r="P1426" s="320"/>
      <c r="Q1426" s="320"/>
      <c r="R1426" s="320"/>
      <c r="S1426" s="320"/>
      <c r="T1426" s="320"/>
    </row>
    <row r="1427">
      <c r="A1427" s="362"/>
      <c r="B1427" s="373"/>
      <c r="C1427" s="320"/>
      <c r="D1427" s="320"/>
      <c r="E1427" s="320"/>
      <c r="F1427" s="320"/>
      <c r="G1427" s="320"/>
      <c r="H1427" s="320"/>
      <c r="I1427" s="320"/>
      <c r="J1427" s="320"/>
      <c r="K1427" s="320"/>
      <c r="L1427" s="320"/>
      <c r="M1427" s="320"/>
      <c r="N1427" s="320"/>
      <c r="O1427" s="320"/>
      <c r="P1427" s="320"/>
      <c r="Q1427" s="320"/>
      <c r="R1427" s="320"/>
      <c r="S1427" s="320"/>
      <c r="T1427" s="320"/>
    </row>
    <row r="1428">
      <c r="A1428" s="362"/>
      <c r="B1428" s="373"/>
      <c r="C1428" s="320"/>
      <c r="D1428" s="320"/>
      <c r="E1428" s="320"/>
      <c r="F1428" s="320"/>
      <c r="G1428" s="320"/>
      <c r="H1428" s="320"/>
      <c r="I1428" s="320"/>
      <c r="J1428" s="320"/>
      <c r="K1428" s="320"/>
      <c r="L1428" s="320"/>
      <c r="M1428" s="320"/>
      <c r="N1428" s="320"/>
      <c r="O1428" s="320"/>
      <c r="P1428" s="320"/>
      <c r="Q1428" s="320"/>
      <c r="R1428" s="320"/>
      <c r="S1428" s="320"/>
      <c r="T1428" s="320"/>
    </row>
    <row r="1429">
      <c r="A1429" s="362"/>
      <c r="B1429" s="373"/>
      <c r="C1429" s="320"/>
      <c r="D1429" s="320"/>
      <c r="E1429" s="320"/>
      <c r="F1429" s="320"/>
      <c r="G1429" s="320"/>
      <c r="H1429" s="320"/>
      <c r="I1429" s="320"/>
      <c r="J1429" s="320"/>
      <c r="K1429" s="320"/>
      <c r="L1429" s="320"/>
      <c r="M1429" s="320"/>
      <c r="N1429" s="320"/>
      <c r="O1429" s="320"/>
      <c r="P1429" s="320"/>
      <c r="Q1429" s="320"/>
      <c r="R1429" s="320"/>
      <c r="S1429" s="320"/>
      <c r="T1429" s="320"/>
    </row>
    <row r="1430">
      <c r="A1430" s="362"/>
      <c r="B1430" s="373"/>
      <c r="C1430" s="320"/>
      <c r="D1430" s="320"/>
      <c r="E1430" s="320"/>
      <c r="F1430" s="320"/>
      <c r="G1430" s="320"/>
      <c r="H1430" s="320"/>
      <c r="I1430" s="320"/>
      <c r="J1430" s="320"/>
      <c r="K1430" s="320"/>
      <c r="L1430" s="320"/>
      <c r="M1430" s="320"/>
      <c r="N1430" s="320"/>
      <c r="O1430" s="320"/>
      <c r="P1430" s="320"/>
      <c r="Q1430" s="320"/>
      <c r="R1430" s="320"/>
      <c r="S1430" s="320"/>
      <c r="T1430" s="320"/>
    </row>
    <row r="1431">
      <c r="A1431" s="362"/>
      <c r="B1431" s="373"/>
      <c r="C1431" s="320"/>
      <c r="D1431" s="320"/>
      <c r="E1431" s="320"/>
      <c r="F1431" s="320"/>
      <c r="G1431" s="320"/>
      <c r="H1431" s="320"/>
      <c r="I1431" s="320"/>
      <c r="J1431" s="320"/>
      <c r="K1431" s="320"/>
      <c r="L1431" s="320"/>
      <c r="M1431" s="320"/>
      <c r="N1431" s="320"/>
      <c r="O1431" s="320"/>
      <c r="P1431" s="320"/>
      <c r="Q1431" s="320"/>
      <c r="R1431" s="320"/>
      <c r="S1431" s="320"/>
      <c r="T1431" s="320"/>
    </row>
    <row r="1432">
      <c r="A1432" s="362"/>
      <c r="B1432" s="373"/>
      <c r="C1432" s="320"/>
      <c r="D1432" s="320"/>
      <c r="E1432" s="320"/>
      <c r="F1432" s="320"/>
      <c r="G1432" s="320"/>
      <c r="H1432" s="320"/>
      <c r="I1432" s="320"/>
      <c r="J1432" s="320"/>
      <c r="K1432" s="320"/>
      <c r="L1432" s="320"/>
      <c r="M1432" s="320"/>
      <c r="N1432" s="320"/>
      <c r="O1432" s="320"/>
      <c r="P1432" s="320"/>
      <c r="Q1432" s="320"/>
      <c r="R1432" s="320"/>
      <c r="S1432" s="320"/>
      <c r="T1432" s="320"/>
    </row>
    <row r="1433">
      <c r="A1433" s="362"/>
      <c r="B1433" s="373"/>
      <c r="C1433" s="320"/>
      <c r="D1433" s="320"/>
      <c r="E1433" s="320"/>
      <c r="F1433" s="320"/>
      <c r="G1433" s="320"/>
      <c r="H1433" s="320"/>
      <c r="I1433" s="320"/>
      <c r="J1433" s="320"/>
      <c r="K1433" s="320"/>
      <c r="L1433" s="320"/>
      <c r="M1433" s="320"/>
      <c r="N1433" s="320"/>
      <c r="O1433" s="320"/>
      <c r="P1433" s="320"/>
      <c r="Q1433" s="320"/>
      <c r="R1433" s="320"/>
      <c r="S1433" s="320"/>
      <c r="T1433" s="320"/>
    </row>
    <row r="1434">
      <c r="A1434" s="362"/>
      <c r="B1434" s="373"/>
      <c r="C1434" s="320"/>
      <c r="D1434" s="320"/>
      <c r="E1434" s="320"/>
      <c r="F1434" s="320"/>
      <c r="G1434" s="320"/>
      <c r="H1434" s="320"/>
      <c r="I1434" s="320"/>
      <c r="J1434" s="320"/>
      <c r="K1434" s="320"/>
      <c r="L1434" s="320"/>
      <c r="M1434" s="320"/>
      <c r="N1434" s="320"/>
      <c r="O1434" s="320"/>
      <c r="P1434" s="320"/>
      <c r="Q1434" s="320"/>
      <c r="R1434" s="320"/>
      <c r="S1434" s="320"/>
      <c r="T1434" s="320"/>
    </row>
    <row r="1435">
      <c r="A1435" s="362"/>
      <c r="B1435" s="373"/>
      <c r="C1435" s="320"/>
      <c r="D1435" s="320"/>
      <c r="E1435" s="320"/>
      <c r="F1435" s="320"/>
      <c r="G1435" s="320"/>
      <c r="H1435" s="320"/>
      <c r="I1435" s="320"/>
      <c r="J1435" s="320"/>
      <c r="K1435" s="320"/>
      <c r="L1435" s="320"/>
      <c r="M1435" s="320"/>
      <c r="N1435" s="320"/>
      <c r="O1435" s="320"/>
      <c r="P1435" s="320"/>
      <c r="Q1435" s="320"/>
      <c r="R1435" s="320"/>
      <c r="S1435" s="320"/>
      <c r="T1435" s="320"/>
    </row>
    <row r="1436">
      <c r="A1436" s="362"/>
      <c r="B1436" s="373"/>
      <c r="C1436" s="320"/>
      <c r="D1436" s="320"/>
      <c r="E1436" s="320"/>
      <c r="F1436" s="320"/>
      <c r="G1436" s="320"/>
      <c r="H1436" s="320"/>
      <c r="I1436" s="320"/>
      <c r="J1436" s="320"/>
      <c r="K1436" s="320"/>
      <c r="L1436" s="320"/>
      <c r="M1436" s="320"/>
      <c r="N1436" s="320"/>
      <c r="O1436" s="320"/>
      <c r="P1436" s="320"/>
      <c r="Q1436" s="320"/>
      <c r="R1436" s="320"/>
      <c r="S1436" s="320"/>
      <c r="T1436" s="320"/>
    </row>
    <row r="1437">
      <c r="A1437" s="362"/>
      <c r="B1437" s="373"/>
      <c r="C1437" s="320"/>
      <c r="D1437" s="320"/>
      <c r="E1437" s="320"/>
      <c r="F1437" s="320"/>
      <c r="G1437" s="320"/>
      <c r="H1437" s="320"/>
      <c r="I1437" s="320"/>
      <c r="J1437" s="320"/>
      <c r="K1437" s="320"/>
      <c r="L1437" s="320"/>
      <c r="M1437" s="320"/>
      <c r="N1437" s="320"/>
      <c r="O1437" s="320"/>
      <c r="P1437" s="320"/>
      <c r="Q1437" s="320"/>
      <c r="R1437" s="320"/>
      <c r="S1437" s="320"/>
      <c r="T1437" s="320"/>
    </row>
    <row r="1438">
      <c r="A1438" s="362"/>
      <c r="B1438" s="373"/>
      <c r="C1438" s="320"/>
      <c r="D1438" s="320"/>
      <c r="E1438" s="320"/>
      <c r="F1438" s="320"/>
      <c r="G1438" s="320"/>
      <c r="H1438" s="320"/>
      <c r="I1438" s="320"/>
      <c r="J1438" s="320"/>
      <c r="K1438" s="320"/>
      <c r="L1438" s="320"/>
      <c r="M1438" s="320"/>
      <c r="N1438" s="320"/>
      <c r="O1438" s="320"/>
      <c r="P1438" s="320"/>
      <c r="Q1438" s="320"/>
      <c r="R1438" s="320"/>
      <c r="S1438" s="320"/>
      <c r="T1438" s="320"/>
    </row>
    <row r="1439">
      <c r="A1439" s="362"/>
      <c r="B1439" s="373"/>
      <c r="C1439" s="320"/>
      <c r="D1439" s="320"/>
      <c r="E1439" s="320"/>
      <c r="F1439" s="320"/>
      <c r="G1439" s="320"/>
      <c r="H1439" s="320"/>
      <c r="I1439" s="320"/>
      <c r="J1439" s="320"/>
      <c r="K1439" s="320"/>
      <c r="L1439" s="320"/>
      <c r="M1439" s="320"/>
      <c r="N1439" s="320"/>
      <c r="O1439" s="320"/>
      <c r="P1439" s="320"/>
      <c r="Q1439" s="320"/>
      <c r="R1439" s="320"/>
      <c r="S1439" s="320"/>
      <c r="T1439" s="320"/>
    </row>
    <row r="1440">
      <c r="A1440" s="362"/>
      <c r="B1440" s="373"/>
      <c r="C1440" s="320"/>
      <c r="D1440" s="320"/>
      <c r="E1440" s="320"/>
      <c r="F1440" s="320"/>
      <c r="G1440" s="320"/>
      <c r="H1440" s="320"/>
      <c r="I1440" s="320"/>
      <c r="J1440" s="320"/>
      <c r="K1440" s="320"/>
      <c r="L1440" s="320"/>
      <c r="M1440" s="320"/>
      <c r="N1440" s="320"/>
      <c r="O1440" s="320"/>
      <c r="P1440" s="320"/>
      <c r="Q1440" s="320"/>
      <c r="R1440" s="320"/>
      <c r="S1440" s="320"/>
      <c r="T1440" s="320"/>
    </row>
    <row r="1441">
      <c r="A1441" s="362"/>
      <c r="B1441" s="373"/>
      <c r="C1441" s="320"/>
      <c r="D1441" s="320"/>
      <c r="E1441" s="320"/>
      <c r="F1441" s="320"/>
      <c r="G1441" s="320"/>
      <c r="H1441" s="320"/>
      <c r="I1441" s="320"/>
      <c r="J1441" s="320"/>
      <c r="K1441" s="320"/>
      <c r="L1441" s="320"/>
      <c r="M1441" s="320"/>
      <c r="N1441" s="320"/>
      <c r="O1441" s="320"/>
      <c r="P1441" s="320"/>
      <c r="Q1441" s="320"/>
      <c r="R1441" s="320"/>
      <c r="S1441" s="320"/>
      <c r="T1441" s="320"/>
    </row>
    <row r="1442">
      <c r="A1442" s="362"/>
      <c r="B1442" s="373"/>
      <c r="C1442" s="320"/>
      <c r="D1442" s="320"/>
      <c r="E1442" s="320"/>
      <c r="F1442" s="320"/>
      <c r="G1442" s="320"/>
      <c r="H1442" s="320"/>
      <c r="I1442" s="320"/>
      <c r="J1442" s="320"/>
      <c r="K1442" s="320"/>
      <c r="L1442" s="320"/>
      <c r="M1442" s="320"/>
      <c r="N1442" s="320"/>
      <c r="O1442" s="320"/>
      <c r="P1442" s="320"/>
      <c r="Q1442" s="320"/>
      <c r="R1442" s="320"/>
      <c r="S1442" s="320"/>
      <c r="T1442" s="320"/>
    </row>
    <row r="1443">
      <c r="A1443" s="362"/>
      <c r="B1443" s="373"/>
      <c r="C1443" s="320"/>
      <c r="D1443" s="320"/>
      <c r="E1443" s="320"/>
      <c r="F1443" s="320"/>
      <c r="G1443" s="320"/>
      <c r="H1443" s="320"/>
      <c r="I1443" s="320"/>
      <c r="J1443" s="320"/>
      <c r="K1443" s="320"/>
      <c r="L1443" s="320"/>
      <c r="M1443" s="320"/>
      <c r="N1443" s="320"/>
      <c r="O1443" s="320"/>
      <c r="P1443" s="320"/>
      <c r="Q1443" s="320"/>
      <c r="R1443" s="320"/>
      <c r="S1443" s="320"/>
      <c r="T1443" s="320"/>
    </row>
    <row r="1444">
      <c r="A1444" s="362"/>
      <c r="B1444" s="373"/>
      <c r="C1444" s="320"/>
      <c r="D1444" s="320"/>
      <c r="E1444" s="320"/>
      <c r="F1444" s="320"/>
      <c r="G1444" s="320"/>
      <c r="H1444" s="320"/>
      <c r="I1444" s="320"/>
      <c r="J1444" s="320"/>
      <c r="K1444" s="320"/>
      <c r="L1444" s="320"/>
      <c r="M1444" s="320"/>
      <c r="N1444" s="320"/>
      <c r="O1444" s="320"/>
      <c r="P1444" s="320"/>
      <c r="Q1444" s="320"/>
      <c r="R1444" s="320"/>
      <c r="S1444" s="320"/>
      <c r="T1444" s="320"/>
    </row>
    <row r="1445">
      <c r="A1445" s="362"/>
      <c r="B1445" s="373"/>
      <c r="C1445" s="320"/>
      <c r="D1445" s="320"/>
      <c r="E1445" s="320"/>
      <c r="F1445" s="320"/>
      <c r="G1445" s="320"/>
      <c r="H1445" s="320"/>
      <c r="I1445" s="320"/>
      <c r="J1445" s="320"/>
      <c r="K1445" s="320"/>
      <c r="L1445" s="320"/>
      <c r="M1445" s="320"/>
      <c r="N1445" s="320"/>
      <c r="O1445" s="320"/>
      <c r="P1445" s="320"/>
      <c r="Q1445" s="320"/>
      <c r="R1445" s="320"/>
      <c r="S1445" s="320"/>
      <c r="T1445" s="320"/>
    </row>
    <row r="1446">
      <c r="A1446" s="362"/>
      <c r="B1446" s="373"/>
      <c r="C1446" s="320"/>
      <c r="D1446" s="320"/>
      <c r="E1446" s="320"/>
      <c r="F1446" s="320"/>
      <c r="G1446" s="320"/>
      <c r="H1446" s="320"/>
      <c r="I1446" s="320"/>
      <c r="J1446" s="320"/>
      <c r="K1446" s="320"/>
      <c r="L1446" s="320"/>
      <c r="M1446" s="320"/>
      <c r="N1446" s="320"/>
      <c r="O1446" s="320"/>
      <c r="P1446" s="320"/>
      <c r="Q1446" s="320"/>
      <c r="R1446" s="320"/>
      <c r="S1446" s="320"/>
      <c r="T1446" s="320"/>
    </row>
    <row r="1447">
      <c r="A1447" s="362"/>
      <c r="B1447" s="373"/>
      <c r="C1447" s="320"/>
      <c r="D1447" s="320"/>
      <c r="E1447" s="320"/>
      <c r="F1447" s="320"/>
      <c r="G1447" s="320"/>
      <c r="H1447" s="320"/>
      <c r="I1447" s="320"/>
      <c r="J1447" s="320"/>
      <c r="K1447" s="320"/>
      <c r="L1447" s="320"/>
      <c r="M1447" s="320"/>
      <c r="N1447" s="320"/>
      <c r="O1447" s="320"/>
      <c r="P1447" s="320"/>
      <c r="Q1447" s="320"/>
      <c r="R1447" s="320"/>
      <c r="S1447" s="320"/>
      <c r="T1447" s="320"/>
    </row>
    <row r="1448">
      <c r="A1448" s="362"/>
      <c r="B1448" s="373"/>
      <c r="C1448" s="320"/>
      <c r="D1448" s="320"/>
      <c r="E1448" s="320"/>
      <c r="F1448" s="320"/>
      <c r="G1448" s="320"/>
      <c r="H1448" s="320"/>
      <c r="I1448" s="320"/>
      <c r="J1448" s="320"/>
      <c r="K1448" s="320"/>
      <c r="L1448" s="320"/>
      <c r="M1448" s="320"/>
      <c r="N1448" s="320"/>
      <c r="O1448" s="320"/>
      <c r="P1448" s="320"/>
      <c r="Q1448" s="320"/>
      <c r="R1448" s="320"/>
      <c r="S1448" s="320"/>
      <c r="T1448" s="320"/>
    </row>
    <row r="1449">
      <c r="A1449" s="362"/>
      <c r="B1449" s="373"/>
      <c r="C1449" s="320"/>
      <c r="D1449" s="320"/>
      <c r="E1449" s="320"/>
      <c r="F1449" s="320"/>
      <c r="G1449" s="320"/>
      <c r="H1449" s="320"/>
      <c r="I1449" s="320"/>
      <c r="J1449" s="320"/>
      <c r="K1449" s="320"/>
      <c r="L1449" s="320"/>
      <c r="M1449" s="320"/>
      <c r="N1449" s="320"/>
      <c r="O1449" s="320"/>
      <c r="P1449" s="320"/>
      <c r="Q1449" s="320"/>
      <c r="R1449" s="320"/>
      <c r="S1449" s="320"/>
      <c r="T1449" s="320"/>
    </row>
    <row r="1450">
      <c r="A1450" s="362"/>
      <c r="B1450" s="373"/>
      <c r="C1450" s="320"/>
      <c r="D1450" s="320"/>
      <c r="E1450" s="320"/>
      <c r="F1450" s="320"/>
      <c r="G1450" s="320"/>
      <c r="H1450" s="320"/>
      <c r="I1450" s="320"/>
      <c r="J1450" s="320"/>
      <c r="K1450" s="320"/>
      <c r="L1450" s="320"/>
      <c r="M1450" s="320"/>
      <c r="N1450" s="320"/>
      <c r="O1450" s="320"/>
      <c r="P1450" s="320"/>
      <c r="Q1450" s="320"/>
      <c r="R1450" s="320"/>
      <c r="S1450" s="320"/>
      <c r="T1450" s="320"/>
    </row>
    <row r="1451">
      <c r="A1451" s="362"/>
      <c r="B1451" s="373"/>
      <c r="C1451" s="320"/>
      <c r="D1451" s="320"/>
      <c r="E1451" s="320"/>
      <c r="F1451" s="320"/>
      <c r="G1451" s="320"/>
      <c r="H1451" s="320"/>
      <c r="I1451" s="320"/>
      <c r="J1451" s="320"/>
      <c r="K1451" s="320"/>
      <c r="L1451" s="320"/>
      <c r="M1451" s="320"/>
      <c r="N1451" s="320"/>
      <c r="O1451" s="320"/>
      <c r="P1451" s="320"/>
      <c r="Q1451" s="320"/>
      <c r="R1451" s="320"/>
      <c r="S1451" s="320"/>
      <c r="T1451" s="320"/>
    </row>
    <row r="1452">
      <c r="A1452" s="362"/>
      <c r="B1452" s="373"/>
      <c r="C1452" s="320"/>
      <c r="D1452" s="320"/>
      <c r="E1452" s="320"/>
      <c r="F1452" s="320"/>
      <c r="G1452" s="320"/>
      <c r="H1452" s="320"/>
      <c r="I1452" s="320"/>
      <c r="J1452" s="320"/>
      <c r="K1452" s="320"/>
      <c r="L1452" s="320"/>
      <c r="M1452" s="320"/>
      <c r="N1452" s="320"/>
      <c r="O1452" s="320"/>
      <c r="P1452" s="320"/>
      <c r="Q1452" s="320"/>
      <c r="R1452" s="320"/>
      <c r="S1452" s="320"/>
      <c r="T1452" s="320"/>
    </row>
    <row r="1453">
      <c r="A1453" s="362"/>
      <c r="B1453" s="373"/>
      <c r="C1453" s="320"/>
      <c r="D1453" s="320"/>
      <c r="E1453" s="320"/>
      <c r="F1453" s="320"/>
      <c r="G1453" s="320"/>
      <c r="H1453" s="320"/>
      <c r="I1453" s="320"/>
      <c r="J1453" s="320"/>
      <c r="K1453" s="320"/>
      <c r="L1453" s="320"/>
      <c r="M1453" s="320"/>
      <c r="N1453" s="320"/>
      <c r="O1453" s="320"/>
      <c r="P1453" s="320"/>
      <c r="Q1453" s="320"/>
      <c r="R1453" s="320"/>
      <c r="S1453" s="320"/>
      <c r="T1453" s="320"/>
    </row>
    <row r="1454">
      <c r="A1454" s="362"/>
      <c r="B1454" s="373"/>
      <c r="C1454" s="320"/>
      <c r="D1454" s="320"/>
      <c r="E1454" s="320"/>
      <c r="F1454" s="320"/>
      <c r="G1454" s="320"/>
      <c r="H1454" s="320"/>
      <c r="I1454" s="320"/>
      <c r="J1454" s="320"/>
      <c r="K1454" s="320"/>
      <c r="L1454" s="320"/>
      <c r="M1454" s="320"/>
      <c r="N1454" s="320"/>
      <c r="O1454" s="320"/>
      <c r="P1454" s="320"/>
      <c r="Q1454" s="320"/>
      <c r="R1454" s="320"/>
      <c r="S1454" s="320"/>
      <c r="T1454" s="320"/>
    </row>
    <row r="1455">
      <c r="A1455" s="362"/>
      <c r="B1455" s="373"/>
      <c r="C1455" s="320"/>
      <c r="D1455" s="320"/>
      <c r="E1455" s="320"/>
      <c r="F1455" s="320"/>
      <c r="G1455" s="320"/>
      <c r="H1455" s="320"/>
      <c r="I1455" s="320"/>
      <c r="J1455" s="320"/>
      <c r="K1455" s="320"/>
      <c r="L1455" s="320"/>
      <c r="M1455" s="320"/>
      <c r="N1455" s="320"/>
      <c r="O1455" s="320"/>
      <c r="P1455" s="320"/>
      <c r="Q1455" s="320"/>
      <c r="R1455" s="320"/>
      <c r="S1455" s="320"/>
      <c r="T1455" s="320"/>
    </row>
    <row r="1456">
      <c r="A1456" s="362"/>
      <c r="B1456" s="373"/>
      <c r="C1456" s="320"/>
      <c r="D1456" s="320"/>
      <c r="E1456" s="320"/>
      <c r="F1456" s="320"/>
      <c r="G1456" s="320"/>
      <c r="H1456" s="320"/>
      <c r="I1456" s="320"/>
      <c r="J1456" s="320"/>
      <c r="K1456" s="320"/>
      <c r="L1456" s="320"/>
      <c r="M1456" s="320"/>
      <c r="N1456" s="320"/>
      <c r="O1456" s="320"/>
      <c r="P1456" s="320"/>
      <c r="Q1456" s="320"/>
      <c r="R1456" s="320"/>
      <c r="S1456" s="320"/>
      <c r="T1456" s="320"/>
    </row>
    <row r="1457">
      <c r="A1457" s="362"/>
      <c r="B1457" s="373"/>
      <c r="C1457" s="320"/>
      <c r="D1457" s="320"/>
      <c r="E1457" s="320"/>
      <c r="F1457" s="320"/>
      <c r="G1457" s="320"/>
      <c r="H1457" s="320"/>
      <c r="I1457" s="320"/>
      <c r="J1457" s="320"/>
      <c r="K1457" s="320"/>
      <c r="L1457" s="320"/>
      <c r="M1457" s="320"/>
      <c r="N1457" s="320"/>
      <c r="O1457" s="320"/>
      <c r="P1457" s="320"/>
      <c r="Q1457" s="320"/>
      <c r="R1457" s="320"/>
      <c r="S1457" s="320"/>
      <c r="T1457" s="320"/>
    </row>
    <row r="1458">
      <c r="A1458" s="362"/>
      <c r="B1458" s="373"/>
      <c r="C1458" s="320"/>
      <c r="D1458" s="320"/>
      <c r="E1458" s="320"/>
      <c r="F1458" s="320"/>
      <c r="G1458" s="320"/>
      <c r="H1458" s="320"/>
      <c r="I1458" s="320"/>
      <c r="J1458" s="320"/>
      <c r="K1458" s="320"/>
      <c r="L1458" s="320"/>
      <c r="M1458" s="320"/>
      <c r="N1458" s="320"/>
      <c r="O1458" s="320"/>
      <c r="P1458" s="320"/>
      <c r="Q1458" s="320"/>
      <c r="R1458" s="320"/>
      <c r="S1458" s="320"/>
      <c r="T1458" s="320"/>
    </row>
    <row r="1459">
      <c r="A1459" s="362"/>
      <c r="B1459" s="373"/>
      <c r="C1459" s="320"/>
      <c r="D1459" s="320"/>
      <c r="E1459" s="320"/>
      <c r="F1459" s="320"/>
      <c r="G1459" s="320"/>
      <c r="H1459" s="320"/>
      <c r="I1459" s="320"/>
      <c r="J1459" s="320"/>
      <c r="K1459" s="320"/>
      <c r="L1459" s="320"/>
      <c r="M1459" s="320"/>
      <c r="N1459" s="320"/>
      <c r="O1459" s="320"/>
      <c r="P1459" s="320"/>
      <c r="Q1459" s="320"/>
      <c r="R1459" s="320"/>
      <c r="S1459" s="320"/>
      <c r="T1459" s="320"/>
    </row>
    <row r="1460">
      <c r="A1460" s="362"/>
      <c r="B1460" s="373"/>
      <c r="C1460" s="320"/>
      <c r="D1460" s="320"/>
      <c r="E1460" s="320"/>
      <c r="F1460" s="320"/>
      <c r="G1460" s="320"/>
      <c r="H1460" s="320"/>
      <c r="I1460" s="320"/>
      <c r="J1460" s="320"/>
      <c r="K1460" s="320"/>
      <c r="L1460" s="320"/>
      <c r="M1460" s="320"/>
      <c r="N1460" s="320"/>
      <c r="O1460" s="320"/>
      <c r="P1460" s="320"/>
      <c r="Q1460" s="320"/>
      <c r="R1460" s="320"/>
      <c r="S1460" s="320"/>
      <c r="T1460" s="320"/>
    </row>
    <row r="1461">
      <c r="A1461" s="362"/>
      <c r="B1461" s="373"/>
      <c r="C1461" s="320"/>
      <c r="D1461" s="320"/>
      <c r="E1461" s="320"/>
      <c r="F1461" s="320"/>
      <c r="G1461" s="320"/>
      <c r="H1461" s="320"/>
      <c r="I1461" s="320"/>
      <c r="J1461" s="320"/>
      <c r="K1461" s="320"/>
      <c r="L1461" s="320"/>
      <c r="M1461" s="320"/>
      <c r="N1461" s="320"/>
      <c r="O1461" s="320"/>
      <c r="P1461" s="320"/>
      <c r="Q1461" s="320"/>
      <c r="R1461" s="320"/>
      <c r="S1461" s="320"/>
      <c r="T1461" s="320"/>
    </row>
    <row r="1462">
      <c r="A1462" s="362"/>
      <c r="B1462" s="373"/>
      <c r="C1462" s="320"/>
      <c r="D1462" s="320"/>
      <c r="E1462" s="320"/>
      <c r="F1462" s="320"/>
      <c r="G1462" s="320"/>
      <c r="H1462" s="320"/>
      <c r="I1462" s="320"/>
      <c r="J1462" s="320"/>
      <c r="K1462" s="320"/>
      <c r="L1462" s="320"/>
      <c r="M1462" s="320"/>
      <c r="N1462" s="320"/>
      <c r="O1462" s="320"/>
      <c r="P1462" s="320"/>
      <c r="Q1462" s="320"/>
      <c r="R1462" s="320"/>
      <c r="S1462" s="320"/>
      <c r="T1462" s="320"/>
    </row>
    <row r="1463">
      <c r="A1463" s="362"/>
      <c r="B1463" s="373"/>
      <c r="C1463" s="320"/>
      <c r="D1463" s="320"/>
      <c r="E1463" s="320"/>
      <c r="F1463" s="320"/>
      <c r="G1463" s="320"/>
      <c r="H1463" s="320"/>
      <c r="I1463" s="320"/>
      <c r="J1463" s="320"/>
      <c r="K1463" s="320"/>
      <c r="L1463" s="320"/>
      <c r="M1463" s="320"/>
      <c r="N1463" s="320"/>
      <c r="O1463" s="320"/>
      <c r="P1463" s="320"/>
      <c r="Q1463" s="320"/>
      <c r="R1463" s="320"/>
      <c r="S1463" s="320"/>
      <c r="T1463" s="320"/>
    </row>
    <row r="1464">
      <c r="A1464" s="362"/>
      <c r="B1464" s="373"/>
      <c r="C1464" s="320"/>
      <c r="D1464" s="320"/>
      <c r="E1464" s="320"/>
      <c r="F1464" s="320"/>
      <c r="G1464" s="320"/>
      <c r="H1464" s="320"/>
      <c r="I1464" s="320"/>
      <c r="J1464" s="320"/>
      <c r="K1464" s="320"/>
      <c r="L1464" s="320"/>
      <c r="M1464" s="320"/>
      <c r="N1464" s="320"/>
      <c r="O1464" s="320"/>
      <c r="P1464" s="320"/>
      <c r="Q1464" s="320"/>
      <c r="R1464" s="320"/>
      <c r="S1464" s="320"/>
      <c r="T1464" s="320"/>
    </row>
    <row r="1465">
      <c r="A1465" s="362"/>
      <c r="B1465" s="373"/>
      <c r="C1465" s="320"/>
      <c r="D1465" s="320"/>
      <c r="E1465" s="320"/>
      <c r="F1465" s="320"/>
      <c r="G1465" s="320"/>
      <c r="H1465" s="320"/>
      <c r="I1465" s="320"/>
      <c r="J1465" s="320"/>
      <c r="K1465" s="320"/>
      <c r="L1465" s="320"/>
      <c r="M1465" s="320"/>
      <c r="N1465" s="320"/>
      <c r="O1465" s="320"/>
      <c r="P1465" s="320"/>
      <c r="Q1465" s="320"/>
      <c r="R1465" s="320"/>
      <c r="S1465" s="320"/>
      <c r="T1465" s="320"/>
    </row>
    <row r="1466">
      <c r="A1466" s="362"/>
      <c r="B1466" s="373"/>
      <c r="C1466" s="320"/>
      <c r="D1466" s="320"/>
      <c r="E1466" s="320"/>
      <c r="F1466" s="320"/>
      <c r="G1466" s="320"/>
      <c r="H1466" s="320"/>
      <c r="I1466" s="320"/>
      <c r="J1466" s="320"/>
      <c r="K1466" s="320"/>
      <c r="L1466" s="320"/>
      <c r="M1466" s="320"/>
      <c r="N1466" s="320"/>
      <c r="O1466" s="320"/>
      <c r="P1466" s="320"/>
      <c r="Q1466" s="320"/>
      <c r="R1466" s="320"/>
      <c r="S1466" s="320"/>
      <c r="T1466" s="320"/>
    </row>
    <row r="1467">
      <c r="A1467" s="362"/>
      <c r="B1467" s="373"/>
      <c r="C1467" s="320"/>
      <c r="D1467" s="320"/>
      <c r="E1467" s="320"/>
      <c r="F1467" s="320"/>
      <c r="G1467" s="320"/>
      <c r="H1467" s="320"/>
      <c r="I1467" s="320"/>
      <c r="J1467" s="320"/>
      <c r="K1467" s="320"/>
      <c r="L1467" s="320"/>
      <c r="M1467" s="320"/>
      <c r="N1467" s="320"/>
      <c r="O1467" s="320"/>
      <c r="P1467" s="320"/>
      <c r="Q1467" s="320"/>
      <c r="R1467" s="320"/>
      <c r="S1467" s="320"/>
      <c r="T1467" s="320"/>
    </row>
    <row r="1468">
      <c r="A1468" s="362"/>
      <c r="B1468" s="373"/>
      <c r="C1468" s="320"/>
      <c r="D1468" s="320"/>
      <c r="E1468" s="320"/>
      <c r="F1468" s="320"/>
      <c r="G1468" s="320"/>
      <c r="H1468" s="320"/>
      <c r="I1468" s="320"/>
      <c r="J1468" s="320"/>
      <c r="K1468" s="320"/>
      <c r="L1468" s="320"/>
      <c r="M1468" s="320"/>
      <c r="N1468" s="320"/>
      <c r="O1468" s="320"/>
      <c r="P1468" s="320"/>
      <c r="Q1468" s="320"/>
      <c r="R1468" s="320"/>
      <c r="S1468" s="320"/>
      <c r="T1468" s="320"/>
    </row>
    <row r="1469">
      <c r="A1469" s="362"/>
      <c r="B1469" s="373"/>
      <c r="C1469" s="320"/>
      <c r="D1469" s="320"/>
      <c r="E1469" s="320"/>
      <c r="F1469" s="320"/>
      <c r="G1469" s="320"/>
      <c r="H1469" s="320"/>
      <c r="I1469" s="320"/>
      <c r="J1469" s="320"/>
      <c r="K1469" s="320"/>
      <c r="L1469" s="320"/>
      <c r="M1469" s="320"/>
      <c r="N1469" s="320"/>
      <c r="O1469" s="320"/>
      <c r="P1469" s="320"/>
      <c r="Q1469" s="320"/>
      <c r="R1469" s="320"/>
      <c r="S1469" s="320"/>
      <c r="T1469" s="320"/>
    </row>
    <row r="1470">
      <c r="A1470" s="362"/>
      <c r="B1470" s="373"/>
      <c r="C1470" s="320"/>
      <c r="D1470" s="320"/>
      <c r="E1470" s="320"/>
      <c r="F1470" s="320"/>
      <c r="G1470" s="320"/>
      <c r="H1470" s="320"/>
      <c r="I1470" s="320"/>
      <c r="J1470" s="320"/>
      <c r="K1470" s="320"/>
      <c r="L1470" s="320"/>
      <c r="M1470" s="320"/>
      <c r="N1470" s="320"/>
      <c r="O1470" s="320"/>
      <c r="P1470" s="320"/>
      <c r="Q1470" s="320"/>
      <c r="R1470" s="320"/>
      <c r="S1470" s="320"/>
      <c r="T1470" s="320"/>
    </row>
    <row r="1471">
      <c r="A1471" s="362"/>
      <c r="B1471" s="373"/>
      <c r="C1471" s="320"/>
      <c r="D1471" s="320"/>
      <c r="E1471" s="320"/>
      <c r="F1471" s="320"/>
      <c r="G1471" s="320"/>
      <c r="H1471" s="320"/>
      <c r="I1471" s="320"/>
      <c r="J1471" s="320"/>
      <c r="K1471" s="320"/>
      <c r="L1471" s="320"/>
      <c r="M1471" s="320"/>
      <c r="N1471" s="320"/>
      <c r="O1471" s="320"/>
      <c r="P1471" s="320"/>
      <c r="Q1471" s="320"/>
      <c r="R1471" s="320"/>
      <c r="S1471" s="320"/>
      <c r="T1471" s="320"/>
    </row>
    <row r="1472">
      <c r="A1472" s="362"/>
      <c r="B1472" s="373"/>
      <c r="C1472" s="320"/>
      <c r="D1472" s="320"/>
      <c r="E1472" s="320"/>
      <c r="F1472" s="320"/>
      <c r="G1472" s="320"/>
      <c r="H1472" s="320"/>
      <c r="I1472" s="320"/>
      <c r="J1472" s="320"/>
      <c r="K1472" s="320"/>
      <c r="L1472" s="320"/>
      <c r="M1472" s="320"/>
      <c r="N1472" s="320"/>
      <c r="O1472" s="320"/>
      <c r="P1472" s="320"/>
      <c r="Q1472" s="320"/>
      <c r="R1472" s="320"/>
      <c r="S1472" s="320"/>
      <c r="T1472" s="320"/>
    </row>
    <row r="1473">
      <c r="A1473" s="362"/>
      <c r="B1473" s="373"/>
      <c r="C1473" s="320"/>
      <c r="D1473" s="320"/>
      <c r="E1473" s="320"/>
      <c r="F1473" s="320"/>
      <c r="G1473" s="320"/>
      <c r="H1473" s="320"/>
      <c r="I1473" s="320"/>
      <c r="J1473" s="320"/>
      <c r="K1473" s="320"/>
      <c r="L1473" s="320"/>
      <c r="M1473" s="320"/>
      <c r="N1473" s="320"/>
      <c r="O1473" s="320"/>
      <c r="P1473" s="320"/>
      <c r="Q1473" s="320"/>
      <c r="R1473" s="320"/>
      <c r="S1473" s="320"/>
      <c r="T1473" s="320"/>
    </row>
    <row r="1474">
      <c r="A1474" s="362"/>
      <c r="B1474" s="373"/>
      <c r="C1474" s="320"/>
      <c r="D1474" s="320"/>
      <c r="E1474" s="320"/>
      <c r="F1474" s="320"/>
      <c r="G1474" s="320"/>
      <c r="H1474" s="320"/>
      <c r="I1474" s="320"/>
      <c r="J1474" s="320"/>
      <c r="K1474" s="320"/>
      <c r="L1474" s="320"/>
      <c r="M1474" s="320"/>
      <c r="N1474" s="320"/>
      <c r="O1474" s="320"/>
      <c r="P1474" s="320"/>
      <c r="Q1474" s="320"/>
      <c r="R1474" s="320"/>
      <c r="S1474" s="320"/>
      <c r="T1474" s="320"/>
    </row>
    <row r="1475">
      <c r="A1475" s="362"/>
      <c r="B1475" s="373"/>
      <c r="C1475" s="320"/>
      <c r="D1475" s="320"/>
      <c r="E1475" s="320"/>
      <c r="F1475" s="320"/>
      <c r="G1475" s="320"/>
      <c r="H1475" s="320"/>
      <c r="I1475" s="320"/>
      <c r="J1475" s="320"/>
      <c r="K1475" s="320"/>
      <c r="L1475" s="320"/>
      <c r="M1475" s="320"/>
      <c r="N1475" s="320"/>
      <c r="O1475" s="320"/>
      <c r="P1475" s="320"/>
      <c r="Q1475" s="320"/>
      <c r="R1475" s="320"/>
      <c r="S1475" s="320"/>
      <c r="T1475" s="320"/>
    </row>
    <row r="1476">
      <c r="A1476" s="362"/>
      <c r="B1476" s="373"/>
      <c r="C1476" s="320"/>
      <c r="D1476" s="320"/>
      <c r="E1476" s="320"/>
      <c r="F1476" s="320"/>
      <c r="G1476" s="320"/>
      <c r="H1476" s="320"/>
      <c r="I1476" s="320"/>
      <c r="J1476" s="320"/>
      <c r="K1476" s="320"/>
      <c r="L1476" s="320"/>
      <c r="M1476" s="320"/>
      <c r="N1476" s="320"/>
      <c r="O1476" s="320"/>
      <c r="P1476" s="320"/>
      <c r="Q1476" s="320"/>
      <c r="R1476" s="320"/>
      <c r="S1476" s="320"/>
      <c r="T1476" s="320"/>
    </row>
    <row r="1477">
      <c r="A1477" s="362"/>
      <c r="B1477" s="373"/>
      <c r="C1477" s="320"/>
      <c r="D1477" s="320"/>
      <c r="E1477" s="320"/>
      <c r="F1477" s="320"/>
      <c r="G1477" s="320"/>
      <c r="H1477" s="320"/>
      <c r="I1477" s="320"/>
      <c r="J1477" s="320"/>
      <c r="K1477" s="320"/>
      <c r="L1477" s="320"/>
      <c r="M1477" s="320"/>
      <c r="N1477" s="320"/>
      <c r="O1477" s="320"/>
      <c r="P1477" s="320"/>
      <c r="Q1477" s="320"/>
      <c r="R1477" s="320"/>
      <c r="S1477" s="320"/>
      <c r="T1477" s="320"/>
    </row>
    <row r="1478">
      <c r="A1478" s="362"/>
      <c r="B1478" s="373"/>
      <c r="C1478" s="320"/>
      <c r="D1478" s="320"/>
      <c r="E1478" s="320"/>
      <c r="F1478" s="320"/>
      <c r="G1478" s="320"/>
      <c r="H1478" s="320"/>
      <c r="I1478" s="320"/>
      <c r="J1478" s="320"/>
      <c r="K1478" s="320"/>
      <c r="L1478" s="320"/>
      <c r="M1478" s="320"/>
      <c r="N1478" s="320"/>
      <c r="O1478" s="320"/>
      <c r="P1478" s="320"/>
      <c r="Q1478" s="320"/>
      <c r="R1478" s="320"/>
      <c r="S1478" s="320"/>
      <c r="T1478" s="320"/>
    </row>
    <row r="1479">
      <c r="A1479" s="362"/>
      <c r="B1479" s="373"/>
      <c r="C1479" s="320"/>
      <c r="D1479" s="320"/>
      <c r="E1479" s="320"/>
      <c r="F1479" s="320"/>
      <c r="G1479" s="320"/>
      <c r="H1479" s="320"/>
      <c r="I1479" s="320"/>
      <c r="J1479" s="320"/>
      <c r="K1479" s="320"/>
      <c r="L1479" s="320"/>
      <c r="M1479" s="320"/>
      <c r="N1479" s="320"/>
      <c r="O1479" s="320"/>
      <c r="P1479" s="320"/>
      <c r="Q1479" s="320"/>
      <c r="R1479" s="320"/>
      <c r="S1479" s="320"/>
      <c r="T1479" s="320"/>
    </row>
    <row r="1480">
      <c r="A1480" s="362"/>
      <c r="B1480" s="373"/>
      <c r="C1480" s="320"/>
      <c r="D1480" s="320"/>
      <c r="E1480" s="320"/>
      <c r="F1480" s="320"/>
      <c r="G1480" s="320"/>
      <c r="H1480" s="320"/>
      <c r="I1480" s="320"/>
      <c r="J1480" s="320"/>
      <c r="K1480" s="320"/>
      <c r="L1480" s="320"/>
      <c r="M1480" s="320"/>
      <c r="N1480" s="320"/>
      <c r="O1480" s="320"/>
      <c r="P1480" s="320"/>
      <c r="Q1480" s="320"/>
      <c r="R1480" s="320"/>
      <c r="S1480" s="320"/>
      <c r="T1480" s="320"/>
    </row>
    <row r="1481">
      <c r="A1481" s="362"/>
      <c r="B1481" s="373"/>
      <c r="C1481" s="320"/>
      <c r="D1481" s="320"/>
      <c r="E1481" s="320"/>
      <c r="F1481" s="320"/>
      <c r="G1481" s="320"/>
      <c r="H1481" s="320"/>
      <c r="I1481" s="320"/>
      <c r="J1481" s="320"/>
      <c r="K1481" s="320"/>
      <c r="L1481" s="320"/>
      <c r="M1481" s="320"/>
      <c r="N1481" s="320"/>
      <c r="O1481" s="320"/>
      <c r="P1481" s="320"/>
      <c r="Q1481" s="320"/>
      <c r="R1481" s="320"/>
      <c r="S1481" s="320"/>
      <c r="T1481" s="320"/>
    </row>
    <row r="1482">
      <c r="A1482" s="362"/>
      <c r="B1482" s="373"/>
      <c r="C1482" s="320"/>
      <c r="D1482" s="320"/>
      <c r="E1482" s="320"/>
      <c r="F1482" s="320"/>
      <c r="G1482" s="320"/>
      <c r="H1482" s="320"/>
      <c r="I1482" s="320"/>
      <c r="J1482" s="320"/>
      <c r="K1482" s="320"/>
      <c r="L1482" s="320"/>
      <c r="M1482" s="320"/>
      <c r="N1482" s="320"/>
      <c r="O1482" s="320"/>
      <c r="P1482" s="320"/>
      <c r="Q1482" s="320"/>
      <c r="R1482" s="320"/>
      <c r="S1482" s="320"/>
      <c r="T1482" s="320"/>
    </row>
    <row r="1483">
      <c r="A1483" s="362"/>
      <c r="B1483" s="373"/>
      <c r="C1483" s="320"/>
      <c r="D1483" s="320"/>
      <c r="E1483" s="320"/>
      <c r="F1483" s="320"/>
      <c r="G1483" s="320"/>
      <c r="H1483" s="320"/>
      <c r="I1483" s="320"/>
      <c r="J1483" s="320"/>
      <c r="K1483" s="320"/>
      <c r="L1483" s="320"/>
      <c r="M1483" s="320"/>
      <c r="N1483" s="320"/>
      <c r="O1483" s="320"/>
      <c r="P1483" s="320"/>
      <c r="Q1483" s="320"/>
      <c r="R1483" s="320"/>
      <c r="S1483" s="320"/>
      <c r="T1483" s="320"/>
    </row>
    <row r="1484">
      <c r="A1484" s="362"/>
      <c r="B1484" s="373"/>
      <c r="C1484" s="320"/>
      <c r="D1484" s="320"/>
      <c r="E1484" s="320"/>
      <c r="F1484" s="320"/>
      <c r="G1484" s="320"/>
      <c r="H1484" s="320"/>
      <c r="I1484" s="320"/>
      <c r="J1484" s="320"/>
      <c r="K1484" s="320"/>
      <c r="L1484" s="320"/>
      <c r="M1484" s="320"/>
      <c r="N1484" s="320"/>
      <c r="O1484" s="320"/>
      <c r="P1484" s="320"/>
      <c r="Q1484" s="320"/>
      <c r="R1484" s="320"/>
      <c r="S1484" s="320"/>
      <c r="T1484" s="320"/>
    </row>
    <row r="1485">
      <c r="A1485" s="362"/>
      <c r="B1485" s="373"/>
      <c r="C1485" s="320"/>
      <c r="D1485" s="320"/>
      <c r="E1485" s="320"/>
      <c r="F1485" s="320"/>
      <c r="G1485" s="320"/>
      <c r="H1485" s="320"/>
      <c r="I1485" s="320"/>
      <c r="J1485" s="320"/>
      <c r="K1485" s="320"/>
      <c r="L1485" s="320"/>
      <c r="M1485" s="320"/>
      <c r="N1485" s="320"/>
      <c r="O1485" s="320"/>
      <c r="P1485" s="320"/>
      <c r="Q1485" s="320"/>
      <c r="R1485" s="320"/>
      <c r="S1485" s="320"/>
      <c r="T1485" s="320"/>
    </row>
    <row r="1486">
      <c r="A1486" s="362"/>
      <c r="B1486" s="373"/>
      <c r="C1486" s="320"/>
      <c r="D1486" s="320"/>
      <c r="E1486" s="320"/>
      <c r="F1486" s="320"/>
      <c r="G1486" s="320"/>
      <c r="H1486" s="320"/>
      <c r="I1486" s="320"/>
      <c r="J1486" s="320"/>
      <c r="K1486" s="320"/>
      <c r="L1486" s="320"/>
      <c r="M1486" s="320"/>
      <c r="N1486" s="320"/>
      <c r="O1486" s="320"/>
      <c r="P1486" s="320"/>
      <c r="Q1486" s="320"/>
      <c r="R1486" s="320"/>
      <c r="S1486" s="320"/>
      <c r="T1486" s="320"/>
    </row>
    <row r="1487">
      <c r="A1487" s="362"/>
      <c r="B1487" s="373"/>
      <c r="C1487" s="320"/>
      <c r="D1487" s="320"/>
      <c r="E1487" s="320"/>
      <c r="F1487" s="320"/>
      <c r="G1487" s="320"/>
      <c r="H1487" s="320"/>
      <c r="I1487" s="320"/>
      <c r="J1487" s="320"/>
      <c r="K1487" s="320"/>
      <c r="L1487" s="320"/>
      <c r="M1487" s="320"/>
      <c r="N1487" s="320"/>
      <c r="O1487" s="320"/>
      <c r="P1487" s="320"/>
      <c r="Q1487" s="320"/>
      <c r="R1487" s="320"/>
      <c r="S1487" s="320"/>
      <c r="T1487" s="320"/>
    </row>
    <row r="1488">
      <c r="A1488" s="362"/>
      <c r="B1488" s="373"/>
      <c r="C1488" s="320"/>
      <c r="D1488" s="320"/>
      <c r="E1488" s="320"/>
      <c r="F1488" s="320"/>
      <c r="G1488" s="320"/>
      <c r="H1488" s="320"/>
      <c r="I1488" s="320"/>
      <c r="J1488" s="320"/>
      <c r="K1488" s="320"/>
      <c r="L1488" s="320"/>
      <c r="M1488" s="320"/>
      <c r="N1488" s="320"/>
      <c r="O1488" s="320"/>
      <c r="P1488" s="320"/>
      <c r="Q1488" s="320"/>
      <c r="R1488" s="320"/>
      <c r="S1488" s="320"/>
      <c r="T1488" s="320"/>
    </row>
    <row r="1489">
      <c r="A1489" s="362"/>
      <c r="B1489" s="373"/>
      <c r="C1489" s="320"/>
      <c r="D1489" s="320"/>
      <c r="E1489" s="320"/>
      <c r="F1489" s="320"/>
      <c r="G1489" s="320"/>
      <c r="H1489" s="320"/>
      <c r="I1489" s="320"/>
      <c r="J1489" s="320"/>
      <c r="K1489" s="320"/>
      <c r="L1489" s="320"/>
      <c r="M1489" s="320"/>
      <c r="N1489" s="320"/>
      <c r="O1489" s="320"/>
      <c r="P1489" s="320"/>
      <c r="Q1489" s="320"/>
      <c r="R1489" s="320"/>
      <c r="S1489" s="320"/>
      <c r="T1489" s="320"/>
    </row>
    <row r="1490">
      <c r="A1490" s="362"/>
      <c r="B1490" s="373"/>
      <c r="C1490" s="320"/>
      <c r="D1490" s="320"/>
      <c r="E1490" s="320"/>
      <c r="F1490" s="320"/>
      <c r="G1490" s="320"/>
      <c r="H1490" s="320"/>
      <c r="I1490" s="320"/>
      <c r="J1490" s="320"/>
      <c r="K1490" s="320"/>
      <c r="L1490" s="320"/>
      <c r="M1490" s="320"/>
      <c r="N1490" s="320"/>
      <c r="O1490" s="320"/>
      <c r="P1490" s="320"/>
      <c r="Q1490" s="320"/>
      <c r="R1490" s="320"/>
      <c r="S1490" s="320"/>
      <c r="T1490" s="320"/>
    </row>
    <row r="1491">
      <c r="A1491" s="362"/>
      <c r="B1491" s="373"/>
      <c r="C1491" s="320"/>
      <c r="D1491" s="320"/>
      <c r="E1491" s="320"/>
      <c r="F1491" s="320"/>
      <c r="G1491" s="320"/>
      <c r="H1491" s="320"/>
      <c r="I1491" s="320"/>
      <c r="J1491" s="320"/>
      <c r="K1491" s="320"/>
      <c r="L1491" s="320"/>
      <c r="M1491" s="320"/>
      <c r="N1491" s="320"/>
      <c r="O1491" s="320"/>
      <c r="P1491" s="320"/>
      <c r="Q1491" s="320"/>
      <c r="R1491" s="320"/>
      <c r="S1491" s="320"/>
      <c r="T1491" s="320"/>
    </row>
    <row r="1492">
      <c r="A1492" s="362"/>
      <c r="B1492" s="373"/>
      <c r="C1492" s="320"/>
      <c r="D1492" s="320"/>
      <c r="E1492" s="320"/>
      <c r="F1492" s="320"/>
      <c r="G1492" s="320"/>
      <c r="H1492" s="320"/>
      <c r="I1492" s="320"/>
      <c r="J1492" s="320"/>
      <c r="K1492" s="320"/>
      <c r="L1492" s="320"/>
      <c r="M1492" s="320"/>
      <c r="N1492" s="320"/>
      <c r="O1492" s="320"/>
      <c r="P1492" s="320"/>
      <c r="Q1492" s="320"/>
      <c r="R1492" s="320"/>
      <c r="S1492" s="320"/>
      <c r="T1492" s="320"/>
    </row>
    <row r="1493">
      <c r="A1493" s="362"/>
      <c r="B1493" s="373"/>
      <c r="C1493" s="320"/>
      <c r="D1493" s="320"/>
      <c r="E1493" s="320"/>
      <c r="F1493" s="320"/>
      <c r="G1493" s="320"/>
      <c r="H1493" s="320"/>
      <c r="I1493" s="320"/>
      <c r="J1493" s="320"/>
      <c r="K1493" s="320"/>
      <c r="L1493" s="320"/>
      <c r="M1493" s="320"/>
      <c r="N1493" s="320"/>
      <c r="O1493" s="320"/>
      <c r="P1493" s="320"/>
      <c r="Q1493" s="320"/>
      <c r="R1493" s="320"/>
      <c r="S1493" s="320"/>
      <c r="T1493" s="320"/>
    </row>
    <row r="1494">
      <c r="A1494" s="362"/>
      <c r="B1494" s="373"/>
      <c r="C1494" s="320"/>
      <c r="D1494" s="320"/>
      <c r="E1494" s="320"/>
      <c r="F1494" s="320"/>
      <c r="G1494" s="320"/>
      <c r="H1494" s="320"/>
      <c r="I1494" s="320"/>
      <c r="J1494" s="320"/>
      <c r="K1494" s="320"/>
      <c r="L1494" s="320"/>
      <c r="M1494" s="320"/>
      <c r="N1494" s="320"/>
      <c r="O1494" s="320"/>
      <c r="P1494" s="320"/>
      <c r="Q1494" s="320"/>
      <c r="R1494" s="320"/>
      <c r="S1494" s="320"/>
      <c r="T1494" s="320"/>
    </row>
    <row r="1495">
      <c r="A1495" s="362"/>
      <c r="B1495" s="373"/>
      <c r="C1495" s="320"/>
      <c r="D1495" s="320"/>
      <c r="E1495" s="320"/>
      <c r="F1495" s="320"/>
      <c r="G1495" s="320"/>
      <c r="H1495" s="320"/>
      <c r="I1495" s="320"/>
      <c r="J1495" s="320"/>
      <c r="K1495" s="320"/>
      <c r="L1495" s="320"/>
      <c r="M1495" s="320"/>
      <c r="N1495" s="320"/>
      <c r="O1495" s="320"/>
      <c r="P1495" s="320"/>
      <c r="Q1495" s="320"/>
      <c r="R1495" s="320"/>
      <c r="S1495" s="320"/>
      <c r="T1495" s="320"/>
    </row>
    <row r="1496">
      <c r="A1496" s="362"/>
      <c r="B1496" s="373"/>
      <c r="C1496" s="320"/>
      <c r="D1496" s="320"/>
      <c r="E1496" s="320"/>
      <c r="F1496" s="320"/>
      <c r="G1496" s="320"/>
      <c r="H1496" s="320"/>
      <c r="I1496" s="320"/>
      <c r="J1496" s="320"/>
      <c r="K1496" s="320"/>
      <c r="L1496" s="320"/>
      <c r="M1496" s="320"/>
      <c r="N1496" s="320"/>
      <c r="O1496" s="320"/>
      <c r="P1496" s="320"/>
      <c r="Q1496" s="320"/>
      <c r="R1496" s="320"/>
      <c r="S1496" s="320"/>
      <c r="T1496" s="320"/>
    </row>
    <row r="1497">
      <c r="A1497" s="362"/>
      <c r="B1497" s="373"/>
      <c r="C1497" s="320"/>
      <c r="D1497" s="320"/>
      <c r="E1497" s="320"/>
      <c r="F1497" s="320"/>
      <c r="G1497" s="320"/>
      <c r="H1497" s="320"/>
      <c r="I1497" s="320"/>
      <c r="J1497" s="320"/>
      <c r="K1497" s="320"/>
      <c r="L1497" s="320"/>
      <c r="M1497" s="320"/>
      <c r="N1497" s="320"/>
      <c r="O1497" s="320"/>
      <c r="P1497" s="320"/>
      <c r="Q1497" s="320"/>
      <c r="R1497" s="320"/>
      <c r="S1497" s="320"/>
      <c r="T1497" s="320"/>
    </row>
    <row r="1498">
      <c r="A1498" s="362"/>
      <c r="B1498" s="373"/>
      <c r="C1498" s="320"/>
      <c r="D1498" s="320"/>
      <c r="E1498" s="320"/>
      <c r="F1498" s="320"/>
      <c r="G1498" s="320"/>
      <c r="H1498" s="320"/>
      <c r="I1498" s="320"/>
      <c r="J1498" s="320"/>
      <c r="K1498" s="320"/>
      <c r="L1498" s="320"/>
      <c r="M1498" s="320"/>
      <c r="N1498" s="320"/>
      <c r="O1498" s="320"/>
      <c r="P1498" s="320"/>
      <c r="Q1498" s="320"/>
      <c r="R1498" s="320"/>
      <c r="S1498" s="320"/>
      <c r="T1498" s="320"/>
    </row>
    <row r="1499">
      <c r="A1499" s="362"/>
      <c r="B1499" s="373"/>
      <c r="C1499" s="320"/>
      <c r="D1499" s="320"/>
      <c r="E1499" s="320"/>
      <c r="F1499" s="320"/>
      <c r="G1499" s="320"/>
      <c r="H1499" s="320"/>
      <c r="I1499" s="320"/>
      <c r="J1499" s="320"/>
      <c r="K1499" s="320"/>
      <c r="L1499" s="320"/>
      <c r="M1499" s="320"/>
      <c r="N1499" s="320"/>
      <c r="O1499" s="320"/>
      <c r="P1499" s="320"/>
      <c r="Q1499" s="320"/>
      <c r="R1499" s="320"/>
      <c r="S1499" s="320"/>
      <c r="T1499" s="320"/>
    </row>
    <row r="1500">
      <c r="A1500" s="362"/>
      <c r="B1500" s="373"/>
      <c r="C1500" s="320"/>
      <c r="D1500" s="320"/>
      <c r="E1500" s="320"/>
      <c r="F1500" s="320"/>
      <c r="G1500" s="320"/>
      <c r="H1500" s="320"/>
      <c r="I1500" s="320"/>
      <c r="J1500" s="320"/>
      <c r="K1500" s="320"/>
      <c r="L1500" s="320"/>
      <c r="M1500" s="320"/>
      <c r="N1500" s="320"/>
      <c r="O1500" s="320"/>
      <c r="P1500" s="320"/>
      <c r="Q1500" s="320"/>
      <c r="R1500" s="320"/>
      <c r="S1500" s="320"/>
      <c r="T1500" s="320"/>
    </row>
    <row r="1501">
      <c r="A1501" s="362"/>
      <c r="B1501" s="373"/>
      <c r="C1501" s="320"/>
      <c r="D1501" s="320"/>
      <c r="E1501" s="320"/>
      <c r="F1501" s="320"/>
      <c r="G1501" s="320"/>
      <c r="H1501" s="320"/>
      <c r="I1501" s="320"/>
      <c r="J1501" s="320"/>
      <c r="K1501" s="320"/>
      <c r="L1501" s="320"/>
      <c r="M1501" s="320"/>
      <c r="N1501" s="320"/>
      <c r="O1501" s="320"/>
      <c r="P1501" s="320"/>
      <c r="Q1501" s="320"/>
      <c r="R1501" s="320"/>
      <c r="S1501" s="320"/>
      <c r="T1501" s="320"/>
    </row>
    <row r="1502">
      <c r="A1502" s="362"/>
      <c r="B1502" s="373"/>
      <c r="C1502" s="320"/>
      <c r="D1502" s="320"/>
      <c r="E1502" s="320"/>
      <c r="F1502" s="320"/>
      <c r="G1502" s="320"/>
      <c r="H1502" s="320"/>
      <c r="I1502" s="320"/>
      <c r="J1502" s="320"/>
      <c r="K1502" s="320"/>
      <c r="L1502" s="320"/>
      <c r="M1502" s="320"/>
      <c r="N1502" s="320"/>
      <c r="O1502" s="320"/>
      <c r="P1502" s="320"/>
      <c r="Q1502" s="320"/>
      <c r="R1502" s="320"/>
      <c r="S1502" s="320"/>
      <c r="T1502" s="320"/>
    </row>
    <row r="1503">
      <c r="A1503" s="362"/>
      <c r="B1503" s="373"/>
      <c r="C1503" s="320"/>
      <c r="D1503" s="320"/>
      <c r="E1503" s="320"/>
      <c r="F1503" s="320"/>
      <c r="G1503" s="320"/>
      <c r="H1503" s="320"/>
      <c r="I1503" s="320"/>
      <c r="J1503" s="320"/>
      <c r="K1503" s="320"/>
      <c r="L1503" s="320"/>
      <c r="M1503" s="320"/>
      <c r="N1503" s="320"/>
      <c r="O1503" s="320"/>
      <c r="P1503" s="320"/>
      <c r="Q1503" s="320"/>
      <c r="R1503" s="320"/>
      <c r="S1503" s="320"/>
      <c r="T1503" s="320"/>
    </row>
    <row r="1504">
      <c r="A1504" s="362"/>
      <c r="B1504" s="373"/>
      <c r="C1504" s="320"/>
      <c r="D1504" s="320"/>
      <c r="E1504" s="320"/>
      <c r="F1504" s="320"/>
      <c r="G1504" s="320"/>
      <c r="H1504" s="320"/>
      <c r="I1504" s="320"/>
      <c r="J1504" s="320"/>
      <c r="K1504" s="320"/>
      <c r="L1504" s="320"/>
      <c r="M1504" s="320"/>
      <c r="N1504" s="320"/>
      <c r="O1504" s="320"/>
      <c r="P1504" s="320"/>
      <c r="Q1504" s="320"/>
      <c r="R1504" s="320"/>
      <c r="S1504" s="320"/>
      <c r="T1504" s="320"/>
    </row>
    <row r="1505">
      <c r="A1505" s="362"/>
      <c r="B1505" s="373"/>
      <c r="C1505" s="320"/>
      <c r="D1505" s="320"/>
      <c r="E1505" s="320"/>
      <c r="F1505" s="320"/>
      <c r="G1505" s="320"/>
      <c r="H1505" s="320"/>
      <c r="I1505" s="320"/>
      <c r="J1505" s="320"/>
      <c r="K1505" s="320"/>
      <c r="L1505" s="320"/>
      <c r="M1505" s="320"/>
      <c r="N1505" s="320"/>
      <c r="O1505" s="320"/>
      <c r="P1505" s="320"/>
      <c r="Q1505" s="320"/>
      <c r="R1505" s="320"/>
      <c r="S1505" s="320"/>
      <c r="T1505" s="320"/>
    </row>
    <row r="1506">
      <c r="A1506" s="362"/>
      <c r="B1506" s="373"/>
      <c r="C1506" s="320"/>
      <c r="D1506" s="320"/>
      <c r="E1506" s="320"/>
      <c r="F1506" s="320"/>
      <c r="G1506" s="320"/>
      <c r="H1506" s="320"/>
      <c r="I1506" s="320"/>
      <c r="J1506" s="320"/>
      <c r="K1506" s="320"/>
      <c r="L1506" s="320"/>
      <c r="M1506" s="320"/>
      <c r="N1506" s="320"/>
      <c r="O1506" s="320"/>
      <c r="P1506" s="320"/>
      <c r="Q1506" s="320"/>
      <c r="R1506" s="320"/>
      <c r="S1506" s="320"/>
      <c r="T1506" s="320"/>
    </row>
    <row r="1507">
      <c r="A1507" s="362"/>
      <c r="B1507" s="373"/>
      <c r="C1507" s="320"/>
      <c r="D1507" s="320"/>
      <c r="E1507" s="320"/>
      <c r="F1507" s="320"/>
      <c r="G1507" s="320"/>
      <c r="H1507" s="320"/>
      <c r="I1507" s="320"/>
      <c r="J1507" s="320"/>
      <c r="K1507" s="320"/>
      <c r="L1507" s="320"/>
      <c r="M1507" s="320"/>
      <c r="N1507" s="320"/>
      <c r="O1507" s="320"/>
      <c r="P1507" s="320"/>
      <c r="Q1507" s="320"/>
      <c r="R1507" s="320"/>
      <c r="S1507" s="320"/>
      <c r="T1507" s="320"/>
    </row>
    <row r="1508">
      <c r="A1508" s="362"/>
      <c r="B1508" s="373"/>
      <c r="C1508" s="320"/>
      <c r="D1508" s="320"/>
      <c r="E1508" s="320"/>
      <c r="F1508" s="320"/>
      <c r="G1508" s="320"/>
      <c r="H1508" s="320"/>
      <c r="I1508" s="320"/>
      <c r="J1508" s="320"/>
      <c r="K1508" s="320"/>
      <c r="L1508" s="320"/>
      <c r="M1508" s="320"/>
      <c r="N1508" s="320"/>
      <c r="O1508" s="320"/>
      <c r="P1508" s="320"/>
      <c r="Q1508" s="320"/>
      <c r="R1508" s="320"/>
      <c r="S1508" s="320"/>
      <c r="T1508" s="320"/>
    </row>
    <row r="1509">
      <c r="A1509" s="362"/>
      <c r="B1509" s="373"/>
      <c r="C1509" s="320"/>
      <c r="D1509" s="320"/>
      <c r="E1509" s="320"/>
      <c r="F1509" s="320"/>
      <c r="G1509" s="320"/>
      <c r="H1509" s="320"/>
      <c r="I1509" s="320"/>
      <c r="J1509" s="320"/>
      <c r="K1509" s="320"/>
      <c r="L1509" s="320"/>
      <c r="M1509" s="320"/>
      <c r="N1509" s="320"/>
      <c r="O1509" s="320"/>
      <c r="P1509" s="320"/>
      <c r="Q1509" s="320"/>
      <c r="R1509" s="320"/>
      <c r="S1509" s="320"/>
      <c r="T1509" s="320"/>
    </row>
    <row r="1510">
      <c r="A1510" s="362"/>
      <c r="B1510" s="373"/>
      <c r="C1510" s="320"/>
      <c r="D1510" s="320"/>
      <c r="E1510" s="320"/>
      <c r="F1510" s="320"/>
      <c r="G1510" s="320"/>
      <c r="H1510" s="320"/>
      <c r="I1510" s="320"/>
      <c r="J1510" s="320"/>
      <c r="K1510" s="320"/>
      <c r="L1510" s="320"/>
      <c r="M1510" s="320"/>
      <c r="N1510" s="320"/>
      <c r="O1510" s="320"/>
      <c r="P1510" s="320"/>
      <c r="Q1510" s="320"/>
      <c r="R1510" s="320"/>
      <c r="S1510" s="320"/>
      <c r="T1510" s="320"/>
    </row>
    <row r="1511">
      <c r="A1511" s="362"/>
      <c r="B1511" s="373"/>
      <c r="C1511" s="320"/>
      <c r="D1511" s="320"/>
      <c r="E1511" s="320"/>
      <c r="F1511" s="320"/>
      <c r="G1511" s="320"/>
      <c r="H1511" s="320"/>
      <c r="I1511" s="320"/>
      <c r="J1511" s="320"/>
      <c r="K1511" s="320"/>
      <c r="L1511" s="320"/>
      <c r="M1511" s="320"/>
      <c r="N1511" s="320"/>
      <c r="O1511" s="320"/>
      <c r="P1511" s="320"/>
      <c r="Q1511" s="320"/>
      <c r="R1511" s="320"/>
      <c r="S1511" s="320"/>
      <c r="T1511" s="320"/>
    </row>
    <row r="1512">
      <c r="A1512" s="362"/>
      <c r="B1512" s="373"/>
      <c r="C1512" s="320"/>
      <c r="D1512" s="320"/>
      <c r="E1512" s="320"/>
      <c r="F1512" s="320"/>
      <c r="G1512" s="320"/>
      <c r="H1512" s="320"/>
      <c r="I1512" s="320"/>
      <c r="J1512" s="320"/>
      <c r="K1512" s="320"/>
      <c r="L1512" s="320"/>
      <c r="M1512" s="320"/>
      <c r="N1512" s="320"/>
      <c r="O1512" s="320"/>
      <c r="P1512" s="320"/>
      <c r="Q1512" s="320"/>
      <c r="R1512" s="320"/>
      <c r="S1512" s="320"/>
      <c r="T1512" s="320"/>
    </row>
    <row r="1513">
      <c r="A1513" s="362"/>
      <c r="B1513" s="373"/>
      <c r="C1513" s="320"/>
      <c r="D1513" s="320"/>
      <c r="E1513" s="320"/>
      <c r="F1513" s="320"/>
      <c r="G1513" s="320"/>
      <c r="H1513" s="320"/>
      <c r="I1513" s="320"/>
      <c r="J1513" s="320"/>
      <c r="K1513" s="320"/>
      <c r="L1513" s="320"/>
      <c r="M1513" s="320"/>
      <c r="N1513" s="320"/>
      <c r="O1513" s="320"/>
      <c r="P1513" s="320"/>
      <c r="Q1513" s="320"/>
      <c r="R1513" s="320"/>
      <c r="S1513" s="320"/>
      <c r="T1513" s="320"/>
    </row>
    <row r="1514">
      <c r="A1514" s="362"/>
      <c r="B1514" s="373"/>
      <c r="C1514" s="320"/>
      <c r="D1514" s="320"/>
      <c r="E1514" s="320"/>
      <c r="F1514" s="320"/>
      <c r="G1514" s="320"/>
      <c r="H1514" s="320"/>
      <c r="I1514" s="320"/>
      <c r="J1514" s="320"/>
      <c r="K1514" s="320"/>
      <c r="L1514" s="320"/>
      <c r="M1514" s="320"/>
      <c r="N1514" s="320"/>
      <c r="O1514" s="320"/>
      <c r="P1514" s="320"/>
      <c r="Q1514" s="320"/>
      <c r="R1514" s="320"/>
      <c r="S1514" s="320"/>
      <c r="T1514" s="320"/>
    </row>
    <row r="1515">
      <c r="A1515" s="362"/>
      <c r="B1515" s="373"/>
      <c r="C1515" s="320"/>
      <c r="D1515" s="320"/>
      <c r="E1515" s="320"/>
      <c r="F1515" s="320"/>
      <c r="G1515" s="320"/>
      <c r="H1515" s="320"/>
      <c r="I1515" s="320"/>
      <c r="J1515" s="320"/>
      <c r="K1515" s="320"/>
      <c r="L1515" s="320"/>
      <c r="M1515" s="320"/>
      <c r="N1515" s="320"/>
      <c r="O1515" s="320"/>
      <c r="P1515" s="320"/>
      <c r="Q1515" s="320"/>
      <c r="R1515" s="320"/>
      <c r="S1515" s="320"/>
      <c r="T1515" s="320"/>
    </row>
    <row r="1516">
      <c r="A1516" s="362"/>
      <c r="B1516" s="373"/>
      <c r="C1516" s="320"/>
      <c r="D1516" s="320"/>
      <c r="E1516" s="320"/>
      <c r="F1516" s="320"/>
      <c r="G1516" s="320"/>
      <c r="H1516" s="320"/>
      <c r="I1516" s="320"/>
      <c r="J1516" s="320"/>
      <c r="K1516" s="320"/>
      <c r="L1516" s="320"/>
      <c r="M1516" s="320"/>
      <c r="N1516" s="320"/>
      <c r="O1516" s="320"/>
      <c r="P1516" s="320"/>
      <c r="Q1516" s="320"/>
      <c r="R1516" s="320"/>
      <c r="S1516" s="320"/>
      <c r="T1516" s="320"/>
    </row>
    <row r="1517">
      <c r="A1517" s="362"/>
      <c r="B1517" s="373"/>
      <c r="C1517" s="320"/>
      <c r="D1517" s="320"/>
      <c r="E1517" s="320"/>
      <c r="F1517" s="320"/>
      <c r="G1517" s="320"/>
      <c r="H1517" s="320"/>
      <c r="I1517" s="320"/>
      <c r="J1517" s="320"/>
      <c r="K1517" s="320"/>
      <c r="L1517" s="320"/>
      <c r="M1517" s="320"/>
      <c r="N1517" s="320"/>
      <c r="O1517" s="320"/>
      <c r="P1517" s="320"/>
      <c r="Q1517" s="320"/>
      <c r="R1517" s="320"/>
      <c r="S1517" s="320"/>
      <c r="T1517" s="320"/>
    </row>
    <row r="1518">
      <c r="A1518" s="362"/>
      <c r="B1518" s="373"/>
      <c r="C1518" s="320"/>
      <c r="D1518" s="320"/>
      <c r="E1518" s="320"/>
      <c r="F1518" s="320"/>
      <c r="G1518" s="320"/>
      <c r="H1518" s="320"/>
      <c r="I1518" s="320"/>
      <c r="J1518" s="320"/>
      <c r="K1518" s="320"/>
      <c r="L1518" s="320"/>
      <c r="M1518" s="320"/>
      <c r="N1518" s="320"/>
      <c r="O1518" s="320"/>
      <c r="P1518" s="320"/>
      <c r="Q1518" s="320"/>
      <c r="R1518" s="320"/>
      <c r="S1518" s="320"/>
      <c r="T1518" s="320"/>
    </row>
    <row r="1519">
      <c r="A1519" s="362"/>
      <c r="B1519" s="373"/>
      <c r="C1519" s="320"/>
      <c r="D1519" s="320"/>
      <c r="E1519" s="320"/>
      <c r="F1519" s="320"/>
      <c r="G1519" s="320"/>
      <c r="H1519" s="320"/>
      <c r="I1519" s="320"/>
      <c r="J1519" s="320"/>
      <c r="K1519" s="320"/>
      <c r="L1519" s="320"/>
      <c r="M1519" s="320"/>
      <c r="N1519" s="320"/>
      <c r="O1519" s="320"/>
      <c r="P1519" s="320"/>
      <c r="Q1519" s="320"/>
      <c r="R1519" s="320"/>
      <c r="S1519" s="320"/>
      <c r="T1519" s="320"/>
    </row>
    <row r="1520">
      <c r="A1520" s="362"/>
      <c r="B1520" s="373"/>
      <c r="C1520" s="320"/>
      <c r="D1520" s="320"/>
      <c r="E1520" s="320"/>
      <c r="F1520" s="320"/>
      <c r="G1520" s="320"/>
      <c r="H1520" s="320"/>
      <c r="I1520" s="320"/>
      <c r="J1520" s="320"/>
      <c r="K1520" s="320"/>
      <c r="L1520" s="320"/>
      <c r="M1520" s="320"/>
      <c r="N1520" s="320"/>
      <c r="O1520" s="320"/>
      <c r="P1520" s="320"/>
      <c r="Q1520" s="320"/>
      <c r="R1520" s="320"/>
      <c r="S1520" s="320"/>
      <c r="T1520" s="320"/>
    </row>
    <row r="1521">
      <c r="A1521" s="362"/>
      <c r="B1521" s="373"/>
      <c r="C1521" s="320"/>
      <c r="D1521" s="320"/>
      <c r="E1521" s="320"/>
      <c r="F1521" s="320"/>
      <c r="G1521" s="320"/>
      <c r="H1521" s="320"/>
      <c r="I1521" s="320"/>
      <c r="J1521" s="320"/>
      <c r="K1521" s="320"/>
      <c r="L1521" s="320"/>
      <c r="M1521" s="320"/>
      <c r="N1521" s="320"/>
      <c r="O1521" s="320"/>
      <c r="P1521" s="320"/>
      <c r="Q1521" s="320"/>
      <c r="R1521" s="320"/>
      <c r="S1521" s="320"/>
      <c r="T1521" s="320"/>
    </row>
    <row r="1522">
      <c r="A1522" s="362"/>
      <c r="B1522" s="373"/>
      <c r="C1522" s="320"/>
      <c r="D1522" s="320"/>
      <c r="E1522" s="320"/>
      <c r="F1522" s="320"/>
      <c r="G1522" s="320"/>
      <c r="H1522" s="320"/>
      <c r="I1522" s="320"/>
      <c r="J1522" s="320"/>
      <c r="K1522" s="320"/>
      <c r="L1522" s="320"/>
      <c r="M1522" s="320"/>
      <c r="N1522" s="320"/>
      <c r="O1522" s="320"/>
      <c r="P1522" s="320"/>
      <c r="Q1522" s="320"/>
      <c r="R1522" s="320"/>
      <c r="S1522" s="320"/>
      <c r="T1522" s="320"/>
    </row>
    <row r="1523">
      <c r="A1523" s="362"/>
      <c r="B1523" s="373"/>
      <c r="C1523" s="320"/>
      <c r="D1523" s="320"/>
      <c r="E1523" s="320"/>
      <c r="F1523" s="320"/>
      <c r="G1523" s="320"/>
      <c r="H1523" s="320"/>
      <c r="I1523" s="320"/>
      <c r="J1523" s="320"/>
      <c r="K1523" s="320"/>
      <c r="L1523" s="320"/>
      <c r="M1523" s="320"/>
      <c r="N1523" s="320"/>
      <c r="O1523" s="320"/>
      <c r="P1523" s="320"/>
      <c r="Q1523" s="320"/>
      <c r="R1523" s="320"/>
      <c r="S1523" s="320"/>
      <c r="T1523" s="320"/>
    </row>
    <row r="1524">
      <c r="A1524" s="362"/>
      <c r="B1524" s="373"/>
      <c r="C1524" s="320"/>
      <c r="D1524" s="320"/>
      <c r="E1524" s="320"/>
      <c r="F1524" s="320"/>
      <c r="G1524" s="320"/>
      <c r="H1524" s="320"/>
      <c r="I1524" s="320"/>
      <c r="J1524" s="320"/>
      <c r="K1524" s="320"/>
      <c r="L1524" s="320"/>
      <c r="M1524" s="320"/>
      <c r="N1524" s="320"/>
      <c r="O1524" s="320"/>
      <c r="P1524" s="320"/>
      <c r="Q1524" s="320"/>
      <c r="R1524" s="320"/>
      <c r="S1524" s="320"/>
      <c r="T1524" s="320"/>
    </row>
    <row r="1525">
      <c r="A1525" s="362"/>
      <c r="B1525" s="373"/>
      <c r="C1525" s="320"/>
      <c r="D1525" s="320"/>
      <c r="E1525" s="320"/>
      <c r="F1525" s="320"/>
      <c r="G1525" s="320"/>
      <c r="H1525" s="320"/>
      <c r="I1525" s="320"/>
      <c r="J1525" s="320"/>
      <c r="K1525" s="320"/>
      <c r="L1525" s="320"/>
      <c r="M1525" s="320"/>
      <c r="N1525" s="320"/>
      <c r="O1525" s="320"/>
      <c r="P1525" s="320"/>
      <c r="Q1525" s="320"/>
      <c r="R1525" s="320"/>
      <c r="S1525" s="320"/>
      <c r="T1525" s="320"/>
    </row>
    <row r="1526">
      <c r="A1526" s="362"/>
      <c r="B1526" s="373"/>
      <c r="C1526" s="320"/>
      <c r="D1526" s="320"/>
      <c r="E1526" s="320"/>
      <c r="F1526" s="320"/>
      <c r="G1526" s="320"/>
      <c r="H1526" s="320"/>
      <c r="I1526" s="320"/>
      <c r="J1526" s="320"/>
      <c r="K1526" s="320"/>
      <c r="L1526" s="320"/>
      <c r="M1526" s="320"/>
      <c r="N1526" s="320"/>
      <c r="O1526" s="320"/>
      <c r="P1526" s="320"/>
      <c r="Q1526" s="320"/>
      <c r="R1526" s="320"/>
      <c r="S1526" s="320"/>
      <c r="T1526" s="320"/>
    </row>
    <row r="1527">
      <c r="A1527" s="362"/>
      <c r="B1527" s="373"/>
      <c r="C1527" s="320"/>
      <c r="D1527" s="320"/>
      <c r="E1527" s="320"/>
      <c r="F1527" s="320"/>
      <c r="G1527" s="320"/>
      <c r="H1527" s="320"/>
      <c r="I1527" s="320"/>
      <c r="J1527" s="320"/>
      <c r="K1527" s="320"/>
      <c r="L1527" s="320"/>
      <c r="M1527" s="320"/>
      <c r="N1527" s="320"/>
      <c r="O1527" s="320"/>
      <c r="P1527" s="320"/>
      <c r="Q1527" s="320"/>
      <c r="R1527" s="320"/>
      <c r="S1527" s="320"/>
      <c r="T1527" s="320"/>
    </row>
    <row r="1528">
      <c r="A1528" s="362"/>
      <c r="B1528" s="373"/>
      <c r="C1528" s="320"/>
      <c r="D1528" s="320"/>
      <c r="E1528" s="320"/>
      <c r="F1528" s="320"/>
      <c r="G1528" s="320"/>
      <c r="H1528" s="320"/>
      <c r="I1528" s="320"/>
      <c r="J1528" s="320"/>
      <c r="K1528" s="320"/>
      <c r="L1528" s="320"/>
      <c r="M1528" s="320"/>
      <c r="N1528" s="320"/>
      <c r="O1528" s="320"/>
      <c r="P1528" s="320"/>
      <c r="Q1528" s="320"/>
      <c r="R1528" s="320"/>
      <c r="S1528" s="320"/>
      <c r="T1528" s="320"/>
    </row>
    <row r="1529">
      <c r="A1529" s="362"/>
      <c r="B1529" s="373"/>
      <c r="C1529" s="320"/>
      <c r="D1529" s="320"/>
      <c r="E1529" s="320"/>
      <c r="F1529" s="320"/>
      <c r="G1529" s="320"/>
      <c r="H1529" s="320"/>
      <c r="I1529" s="320"/>
      <c r="J1529" s="320"/>
      <c r="K1529" s="320"/>
      <c r="L1529" s="320"/>
      <c r="M1529" s="320"/>
      <c r="N1529" s="320"/>
      <c r="O1529" s="320"/>
      <c r="P1529" s="320"/>
      <c r="Q1529" s="320"/>
      <c r="R1529" s="320"/>
      <c r="S1529" s="320"/>
      <c r="T1529" s="320"/>
    </row>
    <row r="1530">
      <c r="A1530" s="362"/>
      <c r="B1530" s="373"/>
      <c r="C1530" s="320"/>
      <c r="D1530" s="320"/>
      <c r="E1530" s="320"/>
      <c r="F1530" s="320"/>
      <c r="G1530" s="320"/>
      <c r="H1530" s="320"/>
      <c r="I1530" s="320"/>
      <c r="J1530" s="320"/>
      <c r="K1530" s="320"/>
      <c r="L1530" s="320"/>
      <c r="M1530" s="320"/>
      <c r="N1530" s="320"/>
      <c r="O1530" s="320"/>
      <c r="P1530" s="320"/>
      <c r="Q1530" s="320"/>
      <c r="R1530" s="320"/>
      <c r="S1530" s="320"/>
      <c r="T1530" s="320"/>
    </row>
    <row r="1531">
      <c r="A1531" s="362"/>
      <c r="B1531" s="373"/>
      <c r="C1531" s="320"/>
      <c r="D1531" s="320"/>
      <c r="E1531" s="320"/>
      <c r="F1531" s="320"/>
      <c r="G1531" s="320"/>
      <c r="H1531" s="320"/>
      <c r="I1531" s="320"/>
      <c r="J1531" s="320"/>
      <c r="K1531" s="320"/>
      <c r="L1531" s="320"/>
      <c r="M1531" s="320"/>
      <c r="N1531" s="320"/>
      <c r="O1531" s="320"/>
      <c r="P1531" s="320"/>
      <c r="Q1531" s="320"/>
      <c r="R1531" s="320"/>
      <c r="S1531" s="320"/>
      <c r="T1531" s="320"/>
    </row>
    <row r="1532">
      <c r="A1532" s="362"/>
      <c r="B1532" s="373"/>
      <c r="C1532" s="320"/>
      <c r="D1532" s="320"/>
      <c r="E1532" s="320"/>
      <c r="F1532" s="320"/>
      <c r="G1532" s="320"/>
      <c r="H1532" s="320"/>
      <c r="I1532" s="320"/>
      <c r="J1532" s="320"/>
      <c r="K1532" s="320"/>
      <c r="L1532" s="320"/>
      <c r="M1532" s="320"/>
      <c r="N1532" s="320"/>
      <c r="O1532" s="320"/>
      <c r="P1532" s="320"/>
      <c r="Q1532" s="320"/>
      <c r="R1532" s="320"/>
      <c r="S1532" s="320"/>
      <c r="T1532" s="320"/>
    </row>
    <row r="1533">
      <c r="A1533" s="362"/>
      <c r="B1533" s="373"/>
      <c r="C1533" s="320"/>
      <c r="D1533" s="320"/>
      <c r="E1533" s="320"/>
      <c r="F1533" s="320"/>
      <c r="G1533" s="320"/>
      <c r="H1533" s="320"/>
      <c r="I1533" s="320"/>
      <c r="J1533" s="320"/>
      <c r="K1533" s="320"/>
      <c r="L1533" s="320"/>
      <c r="M1533" s="320"/>
      <c r="N1533" s="320"/>
      <c r="O1533" s="320"/>
      <c r="P1533" s="320"/>
      <c r="Q1533" s="320"/>
      <c r="R1533" s="320"/>
      <c r="S1533" s="320"/>
      <c r="T1533" s="320"/>
    </row>
    <row r="1534">
      <c r="A1534" s="362"/>
      <c r="B1534" s="373"/>
      <c r="C1534" s="320"/>
      <c r="D1534" s="320"/>
      <c r="E1534" s="320"/>
      <c r="F1534" s="320"/>
      <c r="G1534" s="320"/>
      <c r="H1534" s="320"/>
      <c r="I1534" s="320"/>
      <c r="J1534" s="320"/>
      <c r="K1534" s="320"/>
      <c r="L1534" s="320"/>
      <c r="M1534" s="320"/>
      <c r="N1534" s="320"/>
      <c r="O1534" s="320"/>
      <c r="P1534" s="320"/>
      <c r="Q1534" s="320"/>
      <c r="R1534" s="320"/>
      <c r="S1534" s="320"/>
      <c r="T1534" s="320"/>
    </row>
    <row r="1535">
      <c r="A1535" s="362"/>
      <c r="B1535" s="373"/>
      <c r="C1535" s="320"/>
      <c r="D1535" s="320"/>
      <c r="E1535" s="320"/>
      <c r="F1535" s="320"/>
      <c r="G1535" s="320"/>
      <c r="H1535" s="320"/>
      <c r="I1535" s="320"/>
      <c r="J1535" s="320"/>
      <c r="K1535" s="320"/>
      <c r="L1535" s="320"/>
      <c r="M1535" s="320"/>
      <c r="N1535" s="320"/>
      <c r="O1535" s="320"/>
      <c r="P1535" s="320"/>
      <c r="Q1535" s="320"/>
      <c r="R1535" s="320"/>
      <c r="S1535" s="320"/>
      <c r="T1535" s="320"/>
    </row>
    <row r="1536">
      <c r="A1536" s="362"/>
      <c r="B1536" s="373"/>
      <c r="C1536" s="320"/>
      <c r="D1536" s="320"/>
      <c r="E1536" s="320"/>
      <c r="F1536" s="320"/>
      <c r="G1536" s="320"/>
      <c r="H1536" s="320"/>
      <c r="I1536" s="320"/>
      <c r="J1536" s="320"/>
      <c r="K1536" s="320"/>
      <c r="L1536" s="320"/>
      <c r="M1536" s="320"/>
      <c r="N1536" s="320"/>
      <c r="O1536" s="320"/>
      <c r="P1536" s="320"/>
      <c r="Q1536" s="320"/>
      <c r="R1536" s="320"/>
      <c r="S1536" s="320"/>
      <c r="T1536" s="320"/>
    </row>
    <row r="1537">
      <c r="A1537" s="362"/>
      <c r="B1537" s="373"/>
      <c r="C1537" s="320"/>
      <c r="D1537" s="320"/>
      <c r="E1537" s="320"/>
      <c r="F1537" s="320"/>
      <c r="G1537" s="320"/>
      <c r="H1537" s="320"/>
      <c r="I1537" s="320"/>
      <c r="J1537" s="320"/>
      <c r="K1537" s="320"/>
      <c r="L1537" s="320"/>
      <c r="M1537" s="320"/>
      <c r="N1537" s="320"/>
      <c r="O1537" s="320"/>
      <c r="P1537" s="320"/>
      <c r="Q1537" s="320"/>
      <c r="R1537" s="320"/>
      <c r="S1537" s="320"/>
      <c r="T1537" s="320"/>
    </row>
    <row r="1538">
      <c r="A1538" s="362"/>
      <c r="B1538" s="373"/>
      <c r="C1538" s="320"/>
      <c r="D1538" s="320"/>
      <c r="E1538" s="320"/>
      <c r="F1538" s="320"/>
      <c r="G1538" s="320"/>
      <c r="H1538" s="320"/>
      <c r="I1538" s="320"/>
      <c r="J1538" s="320"/>
      <c r="K1538" s="320"/>
      <c r="L1538" s="320"/>
      <c r="M1538" s="320"/>
      <c r="N1538" s="320"/>
      <c r="O1538" s="320"/>
      <c r="P1538" s="320"/>
      <c r="Q1538" s="320"/>
      <c r="R1538" s="320"/>
      <c r="S1538" s="320"/>
      <c r="T1538" s="320"/>
    </row>
    <row r="1539">
      <c r="A1539" s="362"/>
      <c r="B1539" s="373"/>
      <c r="C1539" s="320"/>
      <c r="D1539" s="320"/>
      <c r="E1539" s="320"/>
      <c r="F1539" s="320"/>
      <c r="G1539" s="320"/>
      <c r="H1539" s="320"/>
      <c r="I1539" s="320"/>
      <c r="J1539" s="320"/>
      <c r="K1539" s="320"/>
      <c r="L1539" s="320"/>
      <c r="M1539" s="320"/>
      <c r="N1539" s="320"/>
      <c r="O1539" s="320"/>
      <c r="P1539" s="320"/>
      <c r="Q1539" s="320"/>
      <c r="R1539" s="320"/>
      <c r="S1539" s="320"/>
      <c r="T1539" s="320"/>
    </row>
    <row r="1540">
      <c r="A1540" s="362"/>
      <c r="B1540" s="373"/>
      <c r="C1540" s="320"/>
      <c r="D1540" s="320"/>
      <c r="E1540" s="320"/>
      <c r="F1540" s="320"/>
      <c r="G1540" s="320"/>
      <c r="H1540" s="320"/>
      <c r="I1540" s="320"/>
      <c r="J1540" s="320"/>
      <c r="K1540" s="320"/>
      <c r="L1540" s="320"/>
      <c r="M1540" s="320"/>
      <c r="N1540" s="320"/>
      <c r="O1540" s="320"/>
      <c r="P1540" s="320"/>
      <c r="Q1540" s="320"/>
      <c r="R1540" s="320"/>
      <c r="S1540" s="320"/>
      <c r="T1540" s="320"/>
    </row>
    <row r="1541">
      <c r="A1541" s="362"/>
      <c r="B1541" s="373"/>
      <c r="C1541" s="320"/>
      <c r="D1541" s="320"/>
      <c r="E1541" s="320"/>
      <c r="F1541" s="320"/>
      <c r="G1541" s="320"/>
      <c r="H1541" s="320"/>
      <c r="I1541" s="320"/>
      <c r="J1541" s="320"/>
      <c r="K1541" s="320"/>
      <c r="L1541" s="320"/>
      <c r="M1541" s="320"/>
      <c r="N1541" s="320"/>
      <c r="O1541" s="320"/>
      <c r="P1541" s="320"/>
      <c r="Q1541" s="320"/>
      <c r="R1541" s="320"/>
      <c r="S1541" s="320"/>
      <c r="T1541" s="320"/>
    </row>
    <row r="1542">
      <c r="A1542" s="362"/>
      <c r="B1542" s="373"/>
      <c r="C1542" s="320"/>
      <c r="D1542" s="320"/>
      <c r="E1542" s="320"/>
      <c r="F1542" s="320"/>
      <c r="G1542" s="320"/>
      <c r="H1542" s="320"/>
      <c r="I1542" s="320"/>
      <c r="J1542" s="320"/>
      <c r="K1542" s="320"/>
      <c r="L1542" s="320"/>
      <c r="M1542" s="320"/>
      <c r="N1542" s="320"/>
      <c r="O1542" s="320"/>
      <c r="P1542" s="320"/>
      <c r="Q1542" s="320"/>
      <c r="R1542" s="320"/>
      <c r="S1542" s="320"/>
      <c r="T1542" s="320"/>
    </row>
    <row r="1543">
      <c r="A1543" s="362"/>
      <c r="B1543" s="373"/>
      <c r="C1543" s="320"/>
      <c r="D1543" s="320"/>
      <c r="E1543" s="320"/>
      <c r="F1543" s="320"/>
      <c r="G1543" s="320"/>
      <c r="H1543" s="320"/>
      <c r="I1543" s="320"/>
      <c r="J1543" s="320"/>
      <c r="K1543" s="320"/>
      <c r="L1543" s="320"/>
      <c r="M1543" s="320"/>
      <c r="N1543" s="320"/>
      <c r="O1543" s="320"/>
      <c r="P1543" s="320"/>
      <c r="Q1543" s="320"/>
      <c r="R1543" s="320"/>
      <c r="S1543" s="320"/>
      <c r="T1543" s="320"/>
    </row>
    <row r="1544">
      <c r="A1544" s="362"/>
      <c r="B1544" s="373"/>
      <c r="C1544" s="320"/>
      <c r="D1544" s="320"/>
      <c r="E1544" s="320"/>
      <c r="F1544" s="320"/>
      <c r="G1544" s="320"/>
      <c r="H1544" s="320"/>
      <c r="I1544" s="320"/>
      <c r="J1544" s="320"/>
      <c r="K1544" s="320"/>
      <c r="L1544" s="320"/>
      <c r="M1544" s="320"/>
      <c r="N1544" s="320"/>
      <c r="O1544" s="320"/>
      <c r="P1544" s="320"/>
      <c r="Q1544" s="320"/>
      <c r="R1544" s="320"/>
      <c r="S1544" s="320"/>
      <c r="T1544" s="320"/>
    </row>
    <row r="1545">
      <c r="A1545" s="362"/>
      <c r="B1545" s="373"/>
      <c r="C1545" s="320"/>
      <c r="D1545" s="320"/>
      <c r="E1545" s="320"/>
      <c r="F1545" s="320"/>
      <c r="G1545" s="320"/>
      <c r="H1545" s="320"/>
      <c r="I1545" s="320"/>
      <c r="J1545" s="320"/>
      <c r="K1545" s="320"/>
      <c r="L1545" s="320"/>
      <c r="M1545" s="320"/>
      <c r="N1545" s="320"/>
      <c r="O1545" s="320"/>
      <c r="P1545" s="320"/>
      <c r="Q1545" s="320"/>
      <c r="R1545" s="320"/>
      <c r="S1545" s="320"/>
      <c r="T1545" s="320"/>
    </row>
    <row r="1546">
      <c r="A1546" s="362"/>
      <c r="B1546" s="373"/>
      <c r="C1546" s="320"/>
      <c r="D1546" s="320"/>
      <c r="E1546" s="320"/>
      <c r="F1546" s="320"/>
      <c r="G1546" s="320"/>
      <c r="H1546" s="320"/>
      <c r="I1546" s="320"/>
      <c r="J1546" s="320"/>
      <c r="K1546" s="320"/>
      <c r="L1546" s="320"/>
      <c r="M1546" s="320"/>
      <c r="N1546" s="320"/>
      <c r="O1546" s="320"/>
      <c r="P1546" s="320"/>
      <c r="Q1546" s="320"/>
      <c r="R1546" s="320"/>
      <c r="S1546" s="320"/>
      <c r="T1546" s="320"/>
    </row>
    <row r="1547">
      <c r="A1547" s="362"/>
      <c r="B1547" s="373"/>
      <c r="C1547" s="320"/>
      <c r="D1547" s="320"/>
      <c r="E1547" s="320"/>
      <c r="F1547" s="320"/>
      <c r="G1547" s="320"/>
      <c r="H1547" s="320"/>
      <c r="I1547" s="320"/>
      <c r="J1547" s="320"/>
      <c r="K1547" s="320"/>
      <c r="L1547" s="320"/>
      <c r="M1547" s="320"/>
      <c r="N1547" s="320"/>
      <c r="O1547" s="320"/>
      <c r="P1547" s="320"/>
      <c r="Q1547" s="320"/>
      <c r="R1547" s="320"/>
      <c r="S1547" s="320"/>
      <c r="T1547" s="320"/>
    </row>
    <row r="1548">
      <c r="A1548" s="362"/>
      <c r="B1548" s="373"/>
      <c r="C1548" s="320"/>
      <c r="D1548" s="320"/>
      <c r="E1548" s="320"/>
      <c r="F1548" s="320"/>
      <c r="G1548" s="320"/>
      <c r="H1548" s="320"/>
      <c r="I1548" s="320"/>
      <c r="J1548" s="320"/>
      <c r="K1548" s="320"/>
      <c r="L1548" s="320"/>
      <c r="M1548" s="320"/>
      <c r="N1548" s="320"/>
      <c r="O1548" s="320"/>
      <c r="P1548" s="320"/>
      <c r="Q1548" s="320"/>
      <c r="R1548" s="320"/>
      <c r="S1548" s="320"/>
      <c r="T1548" s="320"/>
    </row>
    <row r="1549">
      <c r="A1549" s="362"/>
      <c r="B1549" s="373"/>
      <c r="C1549" s="320"/>
      <c r="D1549" s="320"/>
      <c r="E1549" s="320"/>
      <c r="F1549" s="320"/>
      <c r="G1549" s="320"/>
      <c r="H1549" s="320"/>
      <c r="I1549" s="320"/>
      <c r="J1549" s="320"/>
      <c r="K1549" s="320"/>
      <c r="L1549" s="320"/>
      <c r="M1549" s="320"/>
      <c r="N1549" s="320"/>
      <c r="O1549" s="320"/>
      <c r="P1549" s="320"/>
      <c r="Q1549" s="320"/>
      <c r="R1549" s="320"/>
      <c r="S1549" s="320"/>
      <c r="T1549" s="320"/>
    </row>
    <row r="1550">
      <c r="A1550" s="362"/>
      <c r="B1550" s="373"/>
      <c r="C1550" s="320"/>
      <c r="D1550" s="320"/>
      <c r="E1550" s="320"/>
      <c r="F1550" s="320"/>
      <c r="G1550" s="320"/>
      <c r="H1550" s="320"/>
      <c r="I1550" s="320"/>
      <c r="J1550" s="320"/>
      <c r="K1550" s="320"/>
      <c r="L1550" s="320"/>
      <c r="M1550" s="320"/>
      <c r="N1550" s="320"/>
      <c r="O1550" s="320"/>
      <c r="P1550" s="320"/>
      <c r="Q1550" s="320"/>
      <c r="R1550" s="320"/>
      <c r="S1550" s="320"/>
      <c r="T1550" s="320"/>
    </row>
  </sheetData>
  <mergeCells count="21">
    <mergeCell ref="C1:D1"/>
    <mergeCell ref="C55:D55"/>
    <mergeCell ref="E55:F55"/>
    <mergeCell ref="G55:H55"/>
    <mergeCell ref="I55:J55"/>
    <mergeCell ref="K55:K107"/>
    <mergeCell ref="C109:P350"/>
    <mergeCell ref="L55:N55"/>
    <mergeCell ref="O55:P55"/>
    <mergeCell ref="L56:N56"/>
    <mergeCell ref="O56:P56"/>
    <mergeCell ref="Q1:Q350"/>
    <mergeCell ref="R58:R350"/>
    <mergeCell ref="S59:T350"/>
    <mergeCell ref="E1:F1"/>
    <mergeCell ref="G1:H1"/>
    <mergeCell ref="I1:J1"/>
    <mergeCell ref="K1:M1"/>
    <mergeCell ref="N1:P1"/>
    <mergeCell ref="R1:S1"/>
    <mergeCell ref="L57:P108"/>
  </mergeCells>
  <conditionalFormatting sqref="R2:T58">
    <cfRule type="expression" dxfId="4" priority="1">
      <formula>$T2&lt;=0</formula>
    </cfRule>
  </conditionalFormatting>
  <dataValidations>
    <dataValidation type="list" allowBlank="1" showErrorMessage="1" sqref="O56">
      <formula1>"sky.shiiyu.moe,sky.lea.moe,skyblock.matdoes.dev"</formula1>
    </dataValidation>
  </dataValidations>
  <drawing r:id="rId2"/>
  <legacy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C1DD4"/>
    <outlinePr summaryBelow="0" summaryRight="0"/>
  </sheetPr>
  <sheetViews>
    <sheetView workbookViewId="0"/>
  </sheetViews>
  <sheetFormatPr customHeight="1" defaultColWidth="12.63" defaultRowHeight="15.75"/>
  <cols>
    <col customWidth="1" min="1" max="1" width="15.75"/>
    <col customWidth="1" min="2" max="2" width="18.88"/>
    <col customWidth="1" min="3" max="3" width="8.63"/>
    <col customWidth="1" min="4" max="5" width="15.13"/>
    <col customWidth="1" min="6" max="6" width="14.25"/>
    <col customWidth="1" min="7" max="7" width="18.88"/>
    <col customWidth="1" min="8" max="9" width="13.88"/>
    <col customWidth="1" min="10" max="10" width="12.75"/>
    <col customWidth="1" min="11" max="11" width="10.13"/>
    <col customWidth="1" min="12" max="12" width="12.63"/>
    <col customWidth="1" hidden="1" min="13" max="17" width="10.13"/>
    <col customWidth="1" min="18" max="18" width="21.13"/>
    <col customWidth="1" min="19" max="19" width="10.75"/>
    <col customWidth="1" min="20" max="20" width="3.25"/>
    <col customWidth="1" min="21" max="21" width="12.63"/>
    <col customWidth="1" min="22" max="22" width="14.5"/>
    <col customWidth="1" min="23" max="23" width="8.5"/>
    <col customWidth="1" min="25" max="25" width="18.88"/>
    <col customWidth="1" min="26" max="26" width="6.38"/>
  </cols>
  <sheetData>
    <row r="1">
      <c r="A1" s="231" t="s">
        <v>0</v>
      </c>
      <c r="J1" s="12"/>
      <c r="K1" s="374"/>
      <c r="M1" s="374"/>
      <c r="N1" s="374"/>
      <c r="O1" s="374"/>
      <c r="P1" s="374"/>
      <c r="Q1" s="374"/>
      <c r="R1" s="374"/>
      <c r="T1" s="374"/>
      <c r="U1" s="374"/>
      <c r="Z1" s="374"/>
    </row>
    <row r="2">
      <c r="A2" s="232" t="s">
        <v>401</v>
      </c>
      <c r="B2" s="6"/>
      <c r="C2" s="6"/>
      <c r="D2" s="6"/>
      <c r="E2" s="6"/>
      <c r="F2" s="6"/>
      <c r="G2" s="6"/>
      <c r="H2" s="6"/>
      <c r="I2" s="6"/>
      <c r="J2" s="7"/>
      <c r="M2" s="374"/>
      <c r="N2" s="374"/>
      <c r="O2" s="374"/>
      <c r="P2" s="374"/>
      <c r="Q2" s="374"/>
    </row>
    <row r="3">
      <c r="A3" s="375" t="str">
        <f>IF(Bazaar!$B$1=FALSE,"Bazaar data failed to load! Please use the reload checkbox in Bazaar tab, check if matdoesdev/skyleamoe are online and/or wait","")</f>
        <v/>
      </c>
      <c r="M3" s="374"/>
      <c r="N3" s="374"/>
      <c r="O3" s="374"/>
      <c r="P3" s="374"/>
      <c r="Q3" s="374"/>
    </row>
    <row r="4">
      <c r="A4" s="349" t="s">
        <v>402</v>
      </c>
      <c r="B4" s="349" t="s">
        <v>403</v>
      </c>
      <c r="C4" s="376" t="s">
        <v>404</v>
      </c>
      <c r="D4" s="377" t="s">
        <v>31</v>
      </c>
      <c r="E4" s="377" t="s">
        <v>42</v>
      </c>
      <c r="F4" s="376" t="s">
        <v>405</v>
      </c>
      <c r="G4" s="377" t="s">
        <v>406</v>
      </c>
      <c r="H4" s="377" t="s">
        <v>407</v>
      </c>
      <c r="I4" s="377" t="s">
        <v>408</v>
      </c>
      <c r="J4" s="378" t="s">
        <v>409</v>
      </c>
      <c r="M4" s="321" t="s">
        <v>410</v>
      </c>
      <c r="N4" s="349" t="s">
        <v>411</v>
      </c>
      <c r="O4" s="379" t="s">
        <v>412</v>
      </c>
      <c r="P4" s="374"/>
      <c r="R4" s="321" t="s">
        <v>210</v>
      </c>
      <c r="S4" s="379" t="s">
        <v>413</v>
      </c>
      <c r="U4" s="321" t="s">
        <v>402</v>
      </c>
      <c r="V4" s="17"/>
      <c r="W4" s="349" t="s">
        <v>414</v>
      </c>
      <c r="X4" s="17"/>
      <c r="Y4" s="379" t="s">
        <v>415</v>
      </c>
    </row>
    <row r="5">
      <c r="A5" s="282" t="s">
        <v>416</v>
      </c>
      <c r="B5" s="380" t="str">
        <f t="shared" ref="B5:B12" si="1">IFERROR(OFFSET($Y$4,N5,0),"")</f>
        <v>Enchanted Cookie</v>
      </c>
      <c r="C5" s="381" t="s">
        <v>417</v>
      </c>
      <c r="D5" s="382" t="s">
        <v>418</v>
      </c>
      <c r="E5" s="382" t="s">
        <v>275</v>
      </c>
      <c r="F5" s="383" t="str">
        <f t="shared" ref="F5:F21" si="2">IFERROR(ROMAN(ARABIC(C5)+IFS(D5=$R$5,1,D5=$R$6,2,OR(D5=$R$7,D5=$R$8),3,1=1,0)),"∅")</f>
        <v>VIII</v>
      </c>
      <c r="G5" s="384">
        <f>IFERROR(VLOOKUP(B5,Bazaar!$A$2:$B97,2),"?")</f>
        <v>85676.206</v>
      </c>
      <c r="H5" s="384">
        <f t="shared" ref="H5:H21" si="3">IFERROR(OFFSET($S$5,MATCH(D5,$R$5:$R$9,0)-1,0),"?")</f>
        <v>122648.45</v>
      </c>
      <c r="I5" s="384">
        <f t="shared" ref="I5:I21" si="4">IFERROR(OFFSET($S$9,MATCH(E5,$R$9:$R$12,0)-1,0),"?")</f>
        <v>25516.574</v>
      </c>
      <c r="J5" s="284">
        <f t="shared" ref="J5:J12" si="5">IFERROR(IF(IFERROR(ARABIC(C5),0)&gt;0,G5+H5+I5,0),"?")</f>
        <v>233841.23</v>
      </c>
      <c r="M5" s="385">
        <f t="shared" ref="M5:M21" si="6">MATCH(A5,$U$5:$U97,0)</f>
        <v>1</v>
      </c>
      <c r="N5" s="282">
        <f t="shared" ref="N5:N21" si="7">IFERROR(MATCH(A5&amp;" "&amp;C5,$V$5:$V97,0),M5)</f>
        <v>5</v>
      </c>
      <c r="O5" s="386">
        <f t="shared" ref="O5:O21" si="8">MATCH(A5&amp;" "&amp;F5,$V$5:$V97,0)</f>
        <v>8</v>
      </c>
      <c r="R5" s="385" t="s">
        <v>31</v>
      </c>
      <c r="S5" s="387">
        <f>IFERROR(Bazaar!J4,0)</f>
        <v>18.6</v>
      </c>
      <c r="U5" s="385" t="s">
        <v>416</v>
      </c>
      <c r="V5" s="282" t="str">
        <f>U5&amp;" I"</f>
        <v>Adrenaline I</v>
      </c>
      <c r="W5" s="299">
        <v>1.0</v>
      </c>
      <c r="X5" s="282" t="s">
        <v>115</v>
      </c>
      <c r="Y5" s="386" t="s">
        <v>115</v>
      </c>
    </row>
    <row r="6">
      <c r="A6" s="282" t="s">
        <v>419</v>
      </c>
      <c r="B6" s="380" t="str">
        <f t="shared" si="1"/>
        <v>Enchanted Cake</v>
      </c>
      <c r="C6" s="381" t="s">
        <v>420</v>
      </c>
      <c r="D6" s="382" t="s">
        <v>418</v>
      </c>
      <c r="E6" s="382" t="s">
        <v>275</v>
      </c>
      <c r="F6" s="383" t="str">
        <f t="shared" si="2"/>
        <v>IV</v>
      </c>
      <c r="G6" s="384">
        <f>IFERROR(VLOOKUP(B6,Bazaar!$A$2:$B97,2),"?")</f>
        <v>126129.825</v>
      </c>
      <c r="H6" s="384">
        <f t="shared" si="3"/>
        <v>122648.45</v>
      </c>
      <c r="I6" s="384">
        <f t="shared" si="4"/>
        <v>25516.574</v>
      </c>
      <c r="J6" s="284">
        <f t="shared" si="5"/>
        <v>274294.849</v>
      </c>
      <c r="M6" s="385">
        <f t="shared" si="6"/>
        <v>9</v>
      </c>
      <c r="N6" s="282">
        <f t="shared" si="7"/>
        <v>9</v>
      </c>
      <c r="O6" s="386">
        <f t="shared" si="8"/>
        <v>12</v>
      </c>
      <c r="R6" s="385" t="s">
        <v>238</v>
      </c>
      <c r="S6" s="388">
        <f>IFERROR(Bazaar!M4,0)</f>
        <v>1894.621</v>
      </c>
      <c r="U6" s="372"/>
      <c r="V6" s="282" t="str">
        <f>U5&amp;" II"</f>
        <v>Adrenaline II</v>
      </c>
      <c r="W6" s="299">
        <v>1.0</v>
      </c>
      <c r="Y6" s="12"/>
    </row>
    <row r="7">
      <c r="A7" s="282" t="s">
        <v>421</v>
      </c>
      <c r="B7" s="380" t="str">
        <f t="shared" si="1"/>
        <v>Feather</v>
      </c>
      <c r="C7" s="381" t="s">
        <v>420</v>
      </c>
      <c r="D7" s="382" t="s">
        <v>418</v>
      </c>
      <c r="E7" s="382" t="s">
        <v>275</v>
      </c>
      <c r="F7" s="383" t="str">
        <f t="shared" si="2"/>
        <v>IV</v>
      </c>
      <c r="G7" s="384">
        <f>IFERROR(VLOOKUP(B7,Bazaar!$A$2:$B97,2),"?")</f>
        <v>4.766</v>
      </c>
      <c r="H7" s="384">
        <f t="shared" si="3"/>
        <v>122648.45</v>
      </c>
      <c r="I7" s="384">
        <f t="shared" si="4"/>
        <v>25516.574</v>
      </c>
      <c r="J7" s="284">
        <f t="shared" si="5"/>
        <v>148169.79</v>
      </c>
      <c r="M7" s="385">
        <f t="shared" si="6"/>
        <v>13</v>
      </c>
      <c r="N7" s="282">
        <f t="shared" si="7"/>
        <v>13</v>
      </c>
      <c r="O7" s="386">
        <f t="shared" si="8"/>
        <v>16</v>
      </c>
      <c r="R7" s="385" t="s">
        <v>422</v>
      </c>
      <c r="S7" s="284">
        <f>IFERROR(Bazaar!P4,0)</f>
        <v>50525.582</v>
      </c>
      <c r="U7" s="372"/>
      <c r="V7" s="282" t="str">
        <f>U5&amp;" III"</f>
        <v>Adrenaline III</v>
      </c>
      <c r="W7" s="299">
        <v>160.0</v>
      </c>
      <c r="Y7" s="386" t="str">
        <f>"Enchanted "&amp;Y5</f>
        <v>Enchanted Cocoa Beans</v>
      </c>
    </row>
    <row r="8">
      <c r="A8" s="282" t="s">
        <v>423</v>
      </c>
      <c r="B8" s="380" t="str">
        <f t="shared" si="1"/>
        <v>Flint</v>
      </c>
      <c r="C8" s="381" t="s">
        <v>420</v>
      </c>
      <c r="D8" s="382" t="s">
        <v>418</v>
      </c>
      <c r="E8" s="382" t="s">
        <v>275</v>
      </c>
      <c r="F8" s="383" t="str">
        <f t="shared" si="2"/>
        <v>IV</v>
      </c>
      <c r="G8" s="384">
        <f>IFERROR(VLOOKUP(B8,Bazaar!$A$2:$B97,2),"?")</f>
        <v>39.436</v>
      </c>
      <c r="H8" s="384">
        <f t="shared" si="3"/>
        <v>122648.45</v>
      </c>
      <c r="I8" s="384">
        <f t="shared" si="4"/>
        <v>25516.574</v>
      </c>
      <c r="J8" s="284">
        <f t="shared" si="5"/>
        <v>148204.46</v>
      </c>
      <c r="M8" s="385">
        <f t="shared" si="6"/>
        <v>17</v>
      </c>
      <c r="N8" s="282">
        <f t="shared" si="7"/>
        <v>17</v>
      </c>
      <c r="O8" s="386">
        <f t="shared" si="8"/>
        <v>20</v>
      </c>
      <c r="R8" s="385" t="s">
        <v>418</v>
      </c>
      <c r="S8" s="284">
        <f>IFERROR(VLOOKUP("Enchanted Redstone Lamp",Bazaar!$A$2:$B97,2),0)</f>
        <v>122648.45</v>
      </c>
      <c r="U8" s="372"/>
      <c r="V8" s="282" t="str">
        <f>U5&amp;" IV"</f>
        <v>Adrenaline IV</v>
      </c>
      <c r="W8" s="299">
        <v>160.0</v>
      </c>
      <c r="Y8" s="12"/>
    </row>
    <row r="9">
      <c r="A9" s="282" t="s">
        <v>424</v>
      </c>
      <c r="B9" s="380" t="str">
        <f t="shared" si="1"/>
        <v>Lapis</v>
      </c>
      <c r="C9" s="381" t="s">
        <v>420</v>
      </c>
      <c r="D9" s="382" t="s">
        <v>418</v>
      </c>
      <c r="E9" s="382" t="s">
        <v>275</v>
      </c>
      <c r="F9" s="383" t="str">
        <f t="shared" si="2"/>
        <v>IV</v>
      </c>
      <c r="G9" s="384">
        <f>IFERROR(VLOOKUP(B9,Bazaar!$A$2:$B97,2),"?")</f>
        <v>491386.75</v>
      </c>
      <c r="H9" s="384">
        <f t="shared" si="3"/>
        <v>122648.45</v>
      </c>
      <c r="I9" s="384">
        <f t="shared" si="4"/>
        <v>25516.574</v>
      </c>
      <c r="J9" s="284">
        <f t="shared" si="5"/>
        <v>639551.774</v>
      </c>
      <c r="M9" s="385">
        <f t="shared" si="6"/>
        <v>21</v>
      </c>
      <c r="N9" s="282">
        <f t="shared" si="7"/>
        <v>21</v>
      </c>
      <c r="O9" s="386">
        <f t="shared" si="8"/>
        <v>24</v>
      </c>
      <c r="R9" s="389" t="s">
        <v>425</v>
      </c>
      <c r="S9" s="390">
        <v>0.0</v>
      </c>
      <c r="U9" s="372"/>
      <c r="V9" s="282" t="str">
        <f>U5&amp;" V"</f>
        <v>Adrenaline V</v>
      </c>
      <c r="W9" s="283">
        <f t="shared" ref="W9:W12" si="9">160*160</f>
        <v>25600</v>
      </c>
      <c r="Y9" s="386" t="s">
        <v>426</v>
      </c>
    </row>
    <row r="10">
      <c r="A10" s="282" t="s">
        <v>427</v>
      </c>
      <c r="B10" s="380" t="str">
        <f t="shared" si="1"/>
        <v>Magma Cream</v>
      </c>
      <c r="C10" s="381" t="s">
        <v>420</v>
      </c>
      <c r="D10" s="382" t="s">
        <v>418</v>
      </c>
      <c r="E10" s="382" t="s">
        <v>275</v>
      </c>
      <c r="F10" s="383" t="str">
        <f t="shared" si="2"/>
        <v>IV</v>
      </c>
      <c r="G10" s="384">
        <f>IFERROR(VLOOKUP(B10,Bazaar!$A$2:$B97,2),"?")</f>
        <v>24.646</v>
      </c>
      <c r="H10" s="384">
        <f t="shared" si="3"/>
        <v>122648.45</v>
      </c>
      <c r="I10" s="384">
        <f t="shared" si="4"/>
        <v>25516.574</v>
      </c>
      <c r="J10" s="284">
        <f t="shared" si="5"/>
        <v>148189.67</v>
      </c>
      <c r="M10" s="385">
        <f t="shared" si="6"/>
        <v>25</v>
      </c>
      <c r="N10" s="282">
        <f t="shared" si="7"/>
        <v>25</v>
      </c>
      <c r="O10" s="386">
        <f t="shared" si="8"/>
        <v>28</v>
      </c>
      <c r="R10" s="389" t="s">
        <v>42</v>
      </c>
      <c r="S10" s="390">
        <f>IFERROR(Bazaar!J15,0)</f>
        <v>0.879</v>
      </c>
      <c r="U10" s="372"/>
      <c r="V10" s="282" t="str">
        <f>U5&amp;" VI"</f>
        <v>Adrenaline VI</v>
      </c>
      <c r="W10" s="283">
        <f t="shared" si="9"/>
        <v>25600</v>
      </c>
      <c r="Y10" s="12"/>
    </row>
    <row r="11">
      <c r="A11" s="282" t="s">
        <v>428</v>
      </c>
      <c r="B11" s="380" t="str">
        <f t="shared" si="1"/>
        <v>Coal</v>
      </c>
      <c r="C11" s="381" t="s">
        <v>420</v>
      </c>
      <c r="D11" s="382" t="s">
        <v>418</v>
      </c>
      <c r="E11" s="382" t="s">
        <v>275</v>
      </c>
      <c r="F11" s="383" t="str">
        <f t="shared" si="2"/>
        <v>IV</v>
      </c>
      <c r="G11" s="384">
        <f>IFERROR(VLOOKUP(B11,Bazaar!$A$2:$B97,2),"?")</f>
        <v>4.7</v>
      </c>
      <c r="H11" s="384">
        <f t="shared" si="3"/>
        <v>122648.45</v>
      </c>
      <c r="I11" s="384">
        <f t="shared" si="4"/>
        <v>25516.574</v>
      </c>
      <c r="J11" s="284">
        <f t="shared" si="5"/>
        <v>148169.724</v>
      </c>
      <c r="M11" s="385">
        <f t="shared" si="6"/>
        <v>29</v>
      </c>
      <c r="N11" s="282">
        <f t="shared" si="7"/>
        <v>29</v>
      </c>
      <c r="O11" s="386">
        <f t="shared" si="8"/>
        <v>32</v>
      </c>
      <c r="R11" s="385" t="s">
        <v>273</v>
      </c>
      <c r="S11" s="388">
        <f>IFERROR(Bazaar!M15,0)</f>
        <v>324.85</v>
      </c>
      <c r="U11" s="372"/>
      <c r="V11" s="282" t="str">
        <f>U5&amp;" VII"</f>
        <v>Adrenaline VII</v>
      </c>
      <c r="W11" s="283">
        <f t="shared" si="9"/>
        <v>25600</v>
      </c>
      <c r="Y11" s="12"/>
    </row>
    <row r="12">
      <c r="A12" s="282" t="s">
        <v>429</v>
      </c>
      <c r="B12" s="380" t="str">
        <f t="shared" si="1"/>
        <v>Rabbit Foot</v>
      </c>
      <c r="C12" s="381" t="s">
        <v>420</v>
      </c>
      <c r="D12" s="382" t="s">
        <v>418</v>
      </c>
      <c r="E12" s="382" t="s">
        <v>275</v>
      </c>
      <c r="F12" s="383" t="str">
        <f t="shared" si="2"/>
        <v>IV</v>
      </c>
      <c r="G12" s="384">
        <f>IFERROR(VLOOKUP(B12,Bazaar!$A$2:$B97,2),"?")</f>
        <v>580136.2</v>
      </c>
      <c r="H12" s="384">
        <f t="shared" si="3"/>
        <v>122648.45</v>
      </c>
      <c r="I12" s="384">
        <f t="shared" si="4"/>
        <v>25516.574</v>
      </c>
      <c r="J12" s="284">
        <f t="shared" si="5"/>
        <v>728301.224</v>
      </c>
      <c r="M12" s="385">
        <f t="shared" si="6"/>
        <v>33</v>
      </c>
      <c r="N12" s="282">
        <f t="shared" si="7"/>
        <v>33</v>
      </c>
      <c r="O12" s="386">
        <f t="shared" si="8"/>
        <v>36</v>
      </c>
      <c r="R12" s="391" t="s">
        <v>275</v>
      </c>
      <c r="S12" s="392">
        <f>IFERROR(Bazaar!P15,0)</f>
        <v>25516.574</v>
      </c>
      <c r="U12" s="393"/>
      <c r="V12" s="394" t="str">
        <f>U5&amp;" VIII"</f>
        <v>Adrenaline VIII</v>
      </c>
      <c r="W12" s="395">
        <f t="shared" si="9"/>
        <v>25600</v>
      </c>
      <c r="X12" s="6"/>
      <c r="Y12" s="7"/>
    </row>
    <row r="13">
      <c r="A13" s="282" t="s">
        <v>430</v>
      </c>
      <c r="B13" s="380" t="s">
        <v>431</v>
      </c>
      <c r="C13" s="381" t="s">
        <v>420</v>
      </c>
      <c r="D13" s="382" t="s">
        <v>418</v>
      </c>
      <c r="E13" s="382" t="s">
        <v>275</v>
      </c>
      <c r="F13" s="383" t="str">
        <f t="shared" si="2"/>
        <v>IV</v>
      </c>
      <c r="G13" s="380">
        <f>G18*10</f>
        <v>24017.5</v>
      </c>
      <c r="H13" s="384">
        <f t="shared" si="3"/>
        <v>122648.45</v>
      </c>
      <c r="I13" s="384">
        <f t="shared" si="4"/>
        <v>25516.574</v>
      </c>
      <c r="J13" s="284">
        <f>IFERROR(IF(IFERROR(ARABIC(C13),0)&gt;0,H13+I13,0),"?")</f>
        <v>148165.024</v>
      </c>
      <c r="M13" s="385">
        <f t="shared" si="6"/>
        <v>37</v>
      </c>
      <c r="N13" s="282">
        <f t="shared" si="7"/>
        <v>37</v>
      </c>
      <c r="O13" s="386">
        <f t="shared" si="8"/>
        <v>40</v>
      </c>
      <c r="R13" s="374"/>
      <c r="U13" s="385" t="s">
        <v>419</v>
      </c>
      <c r="V13" s="282" t="str">
        <f>U13&amp;" I"</f>
        <v>Agility I</v>
      </c>
      <c r="W13" s="299">
        <f>16*9</f>
        <v>144</v>
      </c>
      <c r="X13" s="282" t="s">
        <v>399</v>
      </c>
      <c r="Y13" s="386" t="s">
        <v>432</v>
      </c>
    </row>
    <row r="14">
      <c r="A14" s="282" t="s">
        <v>78</v>
      </c>
      <c r="B14" s="380" t="str">
        <f t="shared" ref="B14:B17" si="10">IFERROR(OFFSET($Y$4,N14,0),"")</f>
        <v>Enchanted Rabbit Foot</v>
      </c>
      <c r="C14" s="381" t="s">
        <v>433</v>
      </c>
      <c r="D14" s="382" t="s">
        <v>418</v>
      </c>
      <c r="E14" s="382" t="s">
        <v>275</v>
      </c>
      <c r="F14" s="383" t="str">
        <f t="shared" si="2"/>
        <v>VI</v>
      </c>
      <c r="G14" s="384">
        <f>IFERROR(VLOOKUP(B14,Bazaar!$A$2:$B97,2),"?")</f>
        <v>946.041</v>
      </c>
      <c r="H14" s="384">
        <f t="shared" si="3"/>
        <v>122648.45</v>
      </c>
      <c r="I14" s="384">
        <f t="shared" si="4"/>
        <v>25516.574</v>
      </c>
      <c r="J14" s="284">
        <f t="shared" ref="J14:J17" si="11">IFERROR(IF(IFERROR(ARABIC(C14),0)&gt;0,G14+H14+I14,0),"?")</f>
        <v>149111.065</v>
      </c>
      <c r="M14" s="385">
        <f t="shared" si="6"/>
        <v>41</v>
      </c>
      <c r="N14" s="282">
        <f t="shared" si="7"/>
        <v>43</v>
      </c>
      <c r="O14" s="386">
        <f t="shared" si="8"/>
        <v>46</v>
      </c>
      <c r="U14" s="372"/>
      <c r="V14" s="282" t="str">
        <f>U13&amp;" II"</f>
        <v>Agility II</v>
      </c>
      <c r="W14" s="299">
        <v>144.0</v>
      </c>
      <c r="Y14" s="12"/>
    </row>
    <row r="15">
      <c r="A15" s="282" t="s">
        <v>434</v>
      </c>
      <c r="B15" s="380" t="str">
        <f t="shared" si="10"/>
        <v>Enchanted Ghast Tear</v>
      </c>
      <c r="C15" s="381" t="s">
        <v>417</v>
      </c>
      <c r="D15" s="382" t="s">
        <v>418</v>
      </c>
      <c r="E15" s="382" t="s">
        <v>275</v>
      </c>
      <c r="F15" s="383" t="str">
        <f t="shared" si="2"/>
        <v>VIII</v>
      </c>
      <c r="G15" s="384">
        <f>IFERROR(VLOOKUP(B15,Bazaar!$A$2:$B97,2),"?")</f>
        <v>589.724</v>
      </c>
      <c r="H15" s="384">
        <f t="shared" si="3"/>
        <v>122648.45</v>
      </c>
      <c r="I15" s="384">
        <f t="shared" si="4"/>
        <v>25516.574</v>
      </c>
      <c r="J15" s="284">
        <f t="shared" si="11"/>
        <v>148754.748</v>
      </c>
      <c r="M15" s="385">
        <f t="shared" si="6"/>
        <v>47</v>
      </c>
      <c r="N15" s="282">
        <f t="shared" si="7"/>
        <v>51</v>
      </c>
      <c r="O15" s="386">
        <f t="shared" si="8"/>
        <v>54</v>
      </c>
      <c r="U15" s="372"/>
      <c r="V15" s="282" t="str">
        <f>U13&amp;" III"</f>
        <v>Agility III</v>
      </c>
      <c r="W15" s="299">
        <v>144.0</v>
      </c>
      <c r="Y15" s="12"/>
    </row>
    <row r="16">
      <c r="A16" s="282" t="s">
        <v>435</v>
      </c>
      <c r="B16" s="380" t="str">
        <f t="shared" si="10"/>
        <v>Enchanted Cactus</v>
      </c>
      <c r="C16" s="381" t="s">
        <v>417</v>
      </c>
      <c r="D16" s="382" t="s">
        <v>418</v>
      </c>
      <c r="E16" s="382" t="s">
        <v>275</v>
      </c>
      <c r="F16" s="383" t="str">
        <f t="shared" si="2"/>
        <v>VIII</v>
      </c>
      <c r="G16" s="384">
        <f>IFERROR(VLOOKUP(B16,Bazaar!$A$2:$B97,2),"?")</f>
        <v>183599.5</v>
      </c>
      <c r="H16" s="384">
        <f t="shared" si="3"/>
        <v>122648.45</v>
      </c>
      <c r="I16" s="384">
        <f t="shared" si="4"/>
        <v>25516.574</v>
      </c>
      <c r="J16" s="284">
        <f t="shared" si="11"/>
        <v>331764.524</v>
      </c>
      <c r="M16" s="385">
        <f t="shared" si="6"/>
        <v>55</v>
      </c>
      <c r="N16" s="282">
        <f t="shared" si="7"/>
        <v>59</v>
      </c>
      <c r="O16" s="386">
        <f t="shared" si="8"/>
        <v>62</v>
      </c>
      <c r="U16" s="393"/>
      <c r="V16" s="394" t="str">
        <f>U13&amp;" IV"</f>
        <v>Agility IV</v>
      </c>
      <c r="W16" s="396">
        <v>144.0</v>
      </c>
      <c r="X16" s="6"/>
      <c r="Y16" s="7"/>
    </row>
    <row r="17">
      <c r="A17" s="282" t="s">
        <v>436</v>
      </c>
      <c r="B17" s="380" t="str">
        <f t="shared" si="10"/>
        <v>Enchanted Sugar Cane</v>
      </c>
      <c r="C17" s="381" t="s">
        <v>417</v>
      </c>
      <c r="D17" s="382" t="s">
        <v>418</v>
      </c>
      <c r="E17" s="382" t="s">
        <v>275</v>
      </c>
      <c r="F17" s="383" t="str">
        <f t="shared" si="2"/>
        <v>VIII</v>
      </c>
      <c r="G17" s="384">
        <f>IFERROR(VLOOKUP(B17,Bazaar!$A$2:$B97,2),"?")</f>
        <v>109728.496</v>
      </c>
      <c r="H17" s="384">
        <f t="shared" si="3"/>
        <v>122648.45</v>
      </c>
      <c r="I17" s="384">
        <f t="shared" si="4"/>
        <v>25516.574</v>
      </c>
      <c r="J17" s="284">
        <f t="shared" si="11"/>
        <v>257893.52</v>
      </c>
      <c r="M17" s="385">
        <f t="shared" si="6"/>
        <v>63</v>
      </c>
      <c r="N17" s="282">
        <f t="shared" si="7"/>
        <v>67</v>
      </c>
      <c r="O17" s="386">
        <f t="shared" si="8"/>
        <v>70</v>
      </c>
      <c r="U17" s="385" t="s">
        <v>421</v>
      </c>
      <c r="V17" s="282" t="str">
        <f>U17&amp;" I"</f>
        <v>Archery I</v>
      </c>
      <c r="W17" s="299">
        <v>1.0</v>
      </c>
      <c r="X17" s="282" t="s">
        <v>398</v>
      </c>
      <c r="Y17" s="386" t="str">
        <f>X17</f>
        <v>Feather</v>
      </c>
    </row>
    <row r="18">
      <c r="A18" s="282" t="s">
        <v>437</v>
      </c>
      <c r="B18" s="380" t="s">
        <v>431</v>
      </c>
      <c r="C18" s="381" t="s">
        <v>420</v>
      </c>
      <c r="D18" s="382" t="s">
        <v>418</v>
      </c>
      <c r="E18" s="382" t="s">
        <v>275</v>
      </c>
      <c r="F18" s="383" t="str">
        <f t="shared" si="2"/>
        <v>IV</v>
      </c>
      <c r="G18" s="380">
        <f>IFERROR(VLOOKUP("Green Candy",Bazaar!$A$2:$B97,2),0)</f>
        <v>2401.75</v>
      </c>
      <c r="H18" s="384">
        <f t="shared" si="3"/>
        <v>122648.45</v>
      </c>
      <c r="I18" s="384">
        <f t="shared" si="4"/>
        <v>25516.574</v>
      </c>
      <c r="J18" s="284">
        <f>IFERROR(IF(IFERROR(ARABIC(C18),0)&gt;0,H18+I18,0),"?")</f>
        <v>148165.024</v>
      </c>
      <c r="M18" s="385">
        <f t="shared" si="6"/>
        <v>71</v>
      </c>
      <c r="N18" s="282">
        <f t="shared" si="7"/>
        <v>71</v>
      </c>
      <c r="O18" s="386">
        <f t="shared" si="8"/>
        <v>74</v>
      </c>
      <c r="U18" s="372"/>
      <c r="V18" s="282" t="str">
        <f>U17&amp;" II"</f>
        <v>Archery II</v>
      </c>
      <c r="W18" s="299">
        <v>1.0</v>
      </c>
      <c r="Y18" s="12"/>
    </row>
    <row r="19">
      <c r="A19" s="282" t="s">
        <v>438</v>
      </c>
      <c r="B19" s="380" t="str">
        <f t="shared" ref="B19:B21" si="12">IFERROR(OFFSET($Y$4,N19,0),"")</f>
        <v>Enchanted Blaze Rod</v>
      </c>
      <c r="C19" s="381" t="s">
        <v>417</v>
      </c>
      <c r="D19" s="382" t="s">
        <v>418</v>
      </c>
      <c r="E19" s="382" t="s">
        <v>275</v>
      </c>
      <c r="F19" s="383" t="str">
        <f t="shared" si="2"/>
        <v>VIII</v>
      </c>
      <c r="G19" s="384">
        <f>IFERROR(VLOOKUP(B19,Bazaar!$A$2:$B97,2),"?")</f>
        <v>473880.85</v>
      </c>
      <c r="H19" s="384">
        <f t="shared" si="3"/>
        <v>122648.45</v>
      </c>
      <c r="I19" s="384">
        <f t="shared" si="4"/>
        <v>25516.574</v>
      </c>
      <c r="J19" s="284">
        <f t="shared" ref="J19:J21" si="13">IFERROR(IF(IFERROR(ARABIC(C19),0)&gt;0,G19+H19+I19,0),"?")</f>
        <v>622045.874</v>
      </c>
      <c r="M19" s="385">
        <f t="shared" si="6"/>
        <v>75</v>
      </c>
      <c r="N19" s="282">
        <f t="shared" si="7"/>
        <v>79</v>
      </c>
      <c r="O19" s="386">
        <f t="shared" si="8"/>
        <v>82</v>
      </c>
      <c r="U19" s="372"/>
      <c r="V19" s="282" t="str">
        <f>U17&amp;" III"</f>
        <v>Archery III</v>
      </c>
      <c r="W19" s="299">
        <v>1.0</v>
      </c>
      <c r="Y19" s="12"/>
    </row>
    <row r="20">
      <c r="A20" s="282" t="s">
        <v>439</v>
      </c>
      <c r="B20" s="380" t="str">
        <f t="shared" si="12"/>
        <v>True Essence</v>
      </c>
      <c r="C20" s="381" t="s">
        <v>420</v>
      </c>
      <c r="D20" s="382" t="s">
        <v>418</v>
      </c>
      <c r="E20" s="382" t="s">
        <v>275</v>
      </c>
      <c r="F20" s="383" t="str">
        <f t="shared" si="2"/>
        <v>IV</v>
      </c>
      <c r="G20" s="299">
        <v>25000.0</v>
      </c>
      <c r="H20" s="384">
        <f t="shared" si="3"/>
        <v>122648.45</v>
      </c>
      <c r="I20" s="384">
        <f t="shared" si="4"/>
        <v>25516.574</v>
      </c>
      <c r="J20" s="284">
        <f t="shared" si="13"/>
        <v>173165.024</v>
      </c>
      <c r="M20" s="385">
        <f t="shared" si="6"/>
        <v>83</v>
      </c>
      <c r="N20" s="282">
        <f t="shared" si="7"/>
        <v>83</v>
      </c>
      <c r="O20" s="386">
        <f t="shared" si="8"/>
        <v>86</v>
      </c>
      <c r="U20" s="393"/>
      <c r="V20" s="394" t="str">
        <f>U17&amp;" IV"</f>
        <v>Archery IV</v>
      </c>
      <c r="W20" s="396">
        <v>1.0</v>
      </c>
      <c r="X20" s="6"/>
      <c r="Y20" s="7"/>
    </row>
    <row r="21">
      <c r="A21" s="282" t="s">
        <v>440</v>
      </c>
      <c r="B21" s="380" t="str">
        <f t="shared" si="12"/>
        <v>Pufferfish</v>
      </c>
      <c r="C21" s="381" t="s">
        <v>420</v>
      </c>
      <c r="D21" s="382" t="s">
        <v>418</v>
      </c>
      <c r="E21" s="382" t="s">
        <v>275</v>
      </c>
      <c r="F21" s="383" t="str">
        <f t="shared" si="2"/>
        <v>IV</v>
      </c>
      <c r="G21" s="384">
        <f>IFERROR(VLOOKUP(B21,Bazaar!$A$2:$B97,2),"?")</f>
        <v>11</v>
      </c>
      <c r="H21" s="384">
        <f t="shared" si="3"/>
        <v>122648.45</v>
      </c>
      <c r="I21" s="384">
        <f t="shared" si="4"/>
        <v>25516.574</v>
      </c>
      <c r="J21" s="284">
        <f t="shared" si="13"/>
        <v>148176.024</v>
      </c>
      <c r="M21" s="391">
        <f t="shared" si="6"/>
        <v>87</v>
      </c>
      <c r="N21" s="394">
        <f t="shared" si="7"/>
        <v>87</v>
      </c>
      <c r="O21" s="397">
        <f t="shared" si="8"/>
        <v>90</v>
      </c>
      <c r="U21" s="385" t="s">
        <v>423</v>
      </c>
      <c r="V21" s="282" t="str">
        <f>U21&amp;" I"</f>
        <v>Critical I</v>
      </c>
      <c r="W21" s="299">
        <v>1.0</v>
      </c>
      <c r="X21" s="282" t="s">
        <v>144</v>
      </c>
      <c r="Y21" s="386" t="str">
        <f>X21</f>
        <v>Flint</v>
      </c>
    </row>
    <row r="22">
      <c r="A22" s="377" t="s">
        <v>441</v>
      </c>
      <c r="B22" s="398" t="s">
        <v>431</v>
      </c>
      <c r="C22" s="376" t="s">
        <v>442</v>
      </c>
      <c r="D22" s="377" t="s">
        <v>31</v>
      </c>
      <c r="E22" s="377" t="s">
        <v>42</v>
      </c>
      <c r="F22" s="399" t="s">
        <v>431</v>
      </c>
      <c r="G22" s="398" t="s">
        <v>431</v>
      </c>
      <c r="H22" s="400" t="s">
        <v>407</v>
      </c>
      <c r="I22" s="398" t="s">
        <v>408</v>
      </c>
      <c r="J22" s="401" t="s">
        <v>409</v>
      </c>
      <c r="M22" s="374"/>
      <c r="U22" s="372"/>
      <c r="V22" s="282" t="str">
        <f>U21&amp;" II"</f>
        <v>Critical II</v>
      </c>
      <c r="W22" s="299">
        <v>1.0</v>
      </c>
      <c r="Y22" s="12"/>
    </row>
    <row r="23">
      <c r="A23" s="394" t="s">
        <v>441</v>
      </c>
      <c r="B23" s="402" t="s">
        <v>431</v>
      </c>
      <c r="C23" s="403">
        <v>7.0</v>
      </c>
      <c r="D23" s="404" t="s">
        <v>418</v>
      </c>
      <c r="E23" s="404" t="s">
        <v>275</v>
      </c>
      <c r="F23" s="405" t="s">
        <v>431</v>
      </c>
      <c r="G23" s="402" t="s">
        <v>431</v>
      </c>
      <c r="H23" s="406">
        <f>IFERROR(VLOOKUP(SUBSTITUTE(D23,"E.","Enchanted"),Bazaar!$A$2:$B97,2)*C23,"?")</f>
        <v>858539.15</v>
      </c>
      <c r="I23" s="407">
        <f>IFERROR(VLOOKUP(SUBSTITUTE(E23,"E.","Enchanted"),Bazaar!$A$2:$B97,2)*C23,"?")</f>
        <v>178616.018</v>
      </c>
      <c r="J23" s="392">
        <f>IFERROR(IF(C23&gt;0,H23+I23,0),"?")</f>
        <v>1037155.168</v>
      </c>
      <c r="U23" s="372"/>
      <c r="V23" s="282" t="str">
        <f>U21&amp;" III"</f>
        <v>Critical III</v>
      </c>
      <c r="W23" s="299">
        <v>1.0</v>
      </c>
      <c r="Y23" s="12"/>
    </row>
    <row r="24">
      <c r="A24" s="374"/>
      <c r="J24" s="408"/>
      <c r="U24" s="393"/>
      <c r="V24" s="394" t="str">
        <f>U21&amp;" IV"</f>
        <v>Critical IV</v>
      </c>
      <c r="W24" s="396">
        <v>1.0</v>
      </c>
      <c r="X24" s="6"/>
      <c r="Y24" s="7"/>
    </row>
    <row r="25">
      <c r="A25" s="376" t="s">
        <v>443</v>
      </c>
      <c r="B25" s="17"/>
      <c r="C25" s="17"/>
      <c r="D25" s="377" t="s">
        <v>444</v>
      </c>
      <c r="E25" s="17"/>
      <c r="F25" s="376" t="s">
        <v>445</v>
      </c>
      <c r="G25" s="17"/>
      <c r="H25" s="377" t="s">
        <v>446</v>
      </c>
      <c r="I25" s="22"/>
      <c r="U25" s="385" t="s">
        <v>424</v>
      </c>
      <c r="V25" s="282" t="str">
        <f>U25&amp;" I"</f>
        <v>Experience I</v>
      </c>
      <c r="W25" s="299">
        <v>1.0</v>
      </c>
      <c r="X25" s="282" t="s">
        <v>41</v>
      </c>
      <c r="Y25" s="386" t="str">
        <f>X25</f>
        <v>Lapis</v>
      </c>
    </row>
    <row r="26">
      <c r="A26" s="409">
        <f>SUM(H5:H21,H23)</f>
        <v>2943562.8</v>
      </c>
      <c r="B26" s="6"/>
      <c r="C26" s="6"/>
      <c r="D26" s="395">
        <f>SUM(I5:I21,I23)</f>
        <v>612397.776</v>
      </c>
      <c r="E26" s="6"/>
      <c r="F26" s="410">
        <f>SUM(J5:J21,J23)</f>
        <v>5633118.716</v>
      </c>
      <c r="G26" s="6"/>
      <c r="H26" s="395">
        <f>F26/3</f>
        <v>1877706.239</v>
      </c>
      <c r="I26" s="7"/>
      <c r="U26" s="372"/>
      <c r="V26" s="282" t="str">
        <f>U25&amp;" II"</f>
        <v>Experience II</v>
      </c>
      <c r="W26" s="299">
        <v>1.0</v>
      </c>
      <c r="Y26" s="12"/>
    </row>
    <row r="27">
      <c r="A27" s="374"/>
      <c r="U27" s="372"/>
      <c r="V27" s="282" t="str">
        <f>U25&amp;" III"</f>
        <v>Experience III</v>
      </c>
      <c r="W27" s="299">
        <v>1.0</v>
      </c>
      <c r="Y27" s="12"/>
    </row>
    <row r="28">
      <c r="A28" s="349" t="s">
        <v>402</v>
      </c>
      <c r="B28" s="379" t="s">
        <v>403</v>
      </c>
      <c r="C28" s="377" t="s">
        <v>404</v>
      </c>
      <c r="D28" s="377" t="s">
        <v>31</v>
      </c>
      <c r="E28" s="377" t="s">
        <v>42</v>
      </c>
      <c r="F28" s="376" t="s">
        <v>405</v>
      </c>
      <c r="G28" s="99" t="s">
        <v>101</v>
      </c>
      <c r="H28" s="257" t="s">
        <v>447</v>
      </c>
      <c r="I28" s="100" t="s">
        <v>170</v>
      </c>
      <c r="J28" s="100" t="s">
        <v>102</v>
      </c>
      <c r="K28" s="257" t="s">
        <v>126</v>
      </c>
      <c r="L28" s="102" t="s">
        <v>448</v>
      </c>
      <c r="M28" s="321" t="s">
        <v>410</v>
      </c>
      <c r="N28" s="349" t="s">
        <v>411</v>
      </c>
      <c r="O28" s="379" t="s">
        <v>412</v>
      </c>
      <c r="P28" s="16" t="s">
        <v>125</v>
      </c>
      <c r="Q28" s="19" t="s">
        <v>449</v>
      </c>
      <c r="U28" s="393"/>
      <c r="V28" s="394" t="str">
        <f>U25&amp;" IV"</f>
        <v>Experience IV</v>
      </c>
      <c r="W28" s="396">
        <v>1.0</v>
      </c>
      <c r="X28" s="6"/>
      <c r="Y28" s="7"/>
    </row>
    <row r="29">
      <c r="A29" s="282" t="s">
        <v>416</v>
      </c>
      <c r="B29" s="313" t="str">
        <f t="shared" ref="B29:B36" si="14">OFFSET($Y$4,N29,0)</f>
        <v>Enchanted Cookie</v>
      </c>
      <c r="C29" s="411" t="s">
        <v>417</v>
      </c>
      <c r="D29" s="412" t="s">
        <v>418</v>
      </c>
      <c r="E29" s="412" t="s">
        <v>275</v>
      </c>
      <c r="F29" s="383" t="str">
        <f t="shared" ref="F29:F45" si="15">IFERROR(ROMAN(ARABIC(C29)+IFS(D29=$R$5,1,D29=$R$6,2,OR(D29=$R$7,D29=$R$8),3,1=1,0)),"∅")</f>
        <v>VIII</v>
      </c>
      <c r="G29" s="33" t="s">
        <v>54</v>
      </c>
      <c r="H29" s="413">
        <v>1.0</v>
      </c>
      <c r="I29" s="104" t="s">
        <v>175</v>
      </c>
      <c r="J29" s="181">
        <v>0.25</v>
      </c>
      <c r="K29" s="184">
        <f t="shared" ref="K29:K36" si="16">IFERROR(P29/(1+J29),"N/A")</f>
        <v>12</v>
      </c>
      <c r="L29" s="414">
        <f t="shared" ref="L29:L36" si="17">IFERROR(OFFSET($W$4,N29,0)*K29*2/Q29/H29/3600)</f>
        <v>56.88888889</v>
      </c>
      <c r="M29" s="385">
        <f t="shared" ref="M29:M45" si="18">MATCH(A29,$U$5:$U97,0)</f>
        <v>1</v>
      </c>
      <c r="N29" s="282">
        <f t="shared" ref="N29:N45" si="19">IFERROR(MATCH(A29&amp;" "&amp;C29,$V$5:$V97,0),M29)</f>
        <v>5</v>
      </c>
      <c r="O29" s="386">
        <f t="shared" ref="O29:O45" si="20">MATCH(A29&amp;" "&amp;F29,$V$5:$V97,0)</f>
        <v>8</v>
      </c>
      <c r="P29" s="184">
        <f>OFFSET('Minion Tiers'!$I$314,ARABIC(I29),0)</f>
        <v>15</v>
      </c>
      <c r="Q29" s="415">
        <f>'Minion Sales'!L27</f>
        <v>3</v>
      </c>
      <c r="U29" s="385" t="s">
        <v>427</v>
      </c>
      <c r="V29" s="282" t="str">
        <f>U29&amp;" I"</f>
        <v>Fire Resistance I</v>
      </c>
      <c r="W29" s="299">
        <v>1.0</v>
      </c>
      <c r="X29" s="282" t="s">
        <v>153</v>
      </c>
      <c r="Y29" s="386" t="str">
        <f>X29</f>
        <v>Magma Cream</v>
      </c>
    </row>
    <row r="30">
      <c r="A30" s="282" t="s">
        <v>419</v>
      </c>
      <c r="B30" s="313" t="str">
        <f t="shared" si="14"/>
        <v>Enchanted Cake</v>
      </c>
      <c r="C30" s="411" t="s">
        <v>420</v>
      </c>
      <c r="D30" s="412" t="s">
        <v>418</v>
      </c>
      <c r="E30" s="412" t="s">
        <v>275</v>
      </c>
      <c r="F30" s="383" t="str">
        <f t="shared" si="15"/>
        <v>IV</v>
      </c>
      <c r="G30" s="27" t="s">
        <v>76</v>
      </c>
      <c r="H30" s="413">
        <v>1.0</v>
      </c>
      <c r="I30" s="104" t="s">
        <v>175</v>
      </c>
      <c r="J30" s="181">
        <v>0.25</v>
      </c>
      <c r="K30" s="184">
        <f t="shared" si="16"/>
        <v>12</v>
      </c>
      <c r="L30" s="414">
        <f t="shared" si="17"/>
        <v>0.96</v>
      </c>
      <c r="M30" s="385">
        <f t="shared" si="18"/>
        <v>9</v>
      </c>
      <c r="N30" s="282">
        <f t="shared" si="19"/>
        <v>9</v>
      </c>
      <c r="O30" s="386">
        <f t="shared" si="20"/>
        <v>12</v>
      </c>
      <c r="P30" s="184">
        <f>OFFSET('Minion Tiers'!$S$171,ARABIC(I30),0)</f>
        <v>15</v>
      </c>
      <c r="Q30" s="415">
        <v>1.0</v>
      </c>
      <c r="U30" s="372"/>
      <c r="V30" s="282" t="str">
        <f>U29&amp;" II"</f>
        <v>Fire Resistance II</v>
      </c>
      <c r="W30" s="299">
        <v>1.0</v>
      </c>
      <c r="Y30" s="12"/>
    </row>
    <row r="31">
      <c r="A31" s="282" t="s">
        <v>421</v>
      </c>
      <c r="B31" s="313" t="str">
        <f t="shared" si="14"/>
        <v>Feather</v>
      </c>
      <c r="C31" s="411" t="s">
        <v>420</v>
      </c>
      <c r="D31" s="412" t="s">
        <v>418</v>
      </c>
      <c r="E31" s="412" t="s">
        <v>275</v>
      </c>
      <c r="F31" s="383" t="str">
        <f t="shared" si="15"/>
        <v>IV</v>
      </c>
      <c r="G31" s="27" t="s">
        <v>76</v>
      </c>
      <c r="H31" s="413">
        <v>1.0</v>
      </c>
      <c r="I31" s="104" t="s">
        <v>175</v>
      </c>
      <c r="J31" s="181">
        <v>0.25</v>
      </c>
      <c r="K31" s="184">
        <f t="shared" si="16"/>
        <v>12</v>
      </c>
      <c r="L31" s="414">
        <f t="shared" si="17"/>
        <v>0.006666666667</v>
      </c>
      <c r="M31" s="385">
        <f t="shared" si="18"/>
        <v>13</v>
      </c>
      <c r="N31" s="282">
        <f t="shared" si="19"/>
        <v>13</v>
      </c>
      <c r="O31" s="386">
        <f t="shared" si="20"/>
        <v>16</v>
      </c>
      <c r="P31" s="184">
        <f>OFFSET('Minion Tiers'!$S$171,ARABIC(I31),0)</f>
        <v>15</v>
      </c>
      <c r="Q31" s="415">
        <f>'Minion Sales'!M46</f>
        <v>1</v>
      </c>
      <c r="U31" s="372"/>
      <c r="V31" s="282" t="str">
        <f>U29&amp;" III"</f>
        <v>Fire Resistance III</v>
      </c>
      <c r="W31" s="299">
        <v>1.0</v>
      </c>
      <c r="Y31" s="12"/>
    </row>
    <row r="32">
      <c r="A32" s="282" t="s">
        <v>423</v>
      </c>
      <c r="B32" s="313" t="str">
        <f t="shared" si="14"/>
        <v>Flint</v>
      </c>
      <c r="C32" s="411" t="s">
        <v>420</v>
      </c>
      <c r="D32" s="412" t="s">
        <v>418</v>
      </c>
      <c r="E32" s="412" t="s">
        <v>275</v>
      </c>
      <c r="F32" s="383" t="str">
        <f t="shared" si="15"/>
        <v>IV</v>
      </c>
      <c r="G32" s="27" t="s">
        <v>32</v>
      </c>
      <c r="H32" s="413">
        <v>1.0</v>
      </c>
      <c r="I32" s="104" t="s">
        <v>175</v>
      </c>
      <c r="J32" s="181">
        <v>0.25</v>
      </c>
      <c r="K32" s="184">
        <f t="shared" si="16"/>
        <v>10.4</v>
      </c>
      <c r="L32" s="414">
        <f t="shared" si="17"/>
        <v>0.005777777778</v>
      </c>
      <c r="M32" s="385">
        <f t="shared" si="18"/>
        <v>17</v>
      </c>
      <c r="N32" s="282">
        <f t="shared" si="19"/>
        <v>17</v>
      </c>
      <c r="O32" s="386">
        <f t="shared" si="20"/>
        <v>20</v>
      </c>
      <c r="P32" s="184">
        <f>OFFSET('Minion Tiers'!$I$41,ARABIC(I32),0)</f>
        <v>13</v>
      </c>
      <c r="Q32" s="415">
        <v>1.0</v>
      </c>
      <c r="U32" s="393"/>
      <c r="V32" s="394" t="str">
        <f>U29&amp;" IV"</f>
        <v>Fire Resistance IV</v>
      </c>
      <c r="W32" s="396">
        <v>1.0</v>
      </c>
      <c r="X32" s="6"/>
      <c r="Y32" s="7"/>
    </row>
    <row r="33">
      <c r="A33" s="282" t="s">
        <v>424</v>
      </c>
      <c r="B33" s="313" t="str">
        <f t="shared" si="14"/>
        <v>Lapis</v>
      </c>
      <c r="C33" s="411" t="s">
        <v>420</v>
      </c>
      <c r="D33" s="412" t="s">
        <v>418</v>
      </c>
      <c r="E33" s="412" t="s">
        <v>275</v>
      </c>
      <c r="F33" s="383" t="str">
        <f t="shared" si="15"/>
        <v>IV</v>
      </c>
      <c r="G33" s="27" t="s">
        <v>41</v>
      </c>
      <c r="H33" s="413">
        <v>1.0</v>
      </c>
      <c r="I33" s="104" t="s">
        <v>175</v>
      </c>
      <c r="J33" s="181">
        <v>0.25</v>
      </c>
      <c r="K33" s="184">
        <f t="shared" si="16"/>
        <v>14.4</v>
      </c>
      <c r="L33" s="414">
        <f t="shared" si="17"/>
        <v>0.001333333333</v>
      </c>
      <c r="M33" s="385">
        <f t="shared" si="18"/>
        <v>21</v>
      </c>
      <c r="N33" s="282">
        <f t="shared" si="19"/>
        <v>21</v>
      </c>
      <c r="O33" s="386">
        <f t="shared" si="20"/>
        <v>24</v>
      </c>
      <c r="P33" s="184">
        <f>OFFSET('Minion Tiers'!$I$158,ARABIC(I33),0)</f>
        <v>18</v>
      </c>
      <c r="Q33" s="415">
        <f>'Minion Sales'!L15</f>
        <v>6</v>
      </c>
      <c r="U33" s="385" t="s">
        <v>428</v>
      </c>
      <c r="V33" s="282" t="str">
        <f>U33&amp;" I"</f>
        <v>Haste I</v>
      </c>
      <c r="W33" s="299">
        <v>1.0</v>
      </c>
      <c r="X33" s="282" t="s">
        <v>37</v>
      </c>
      <c r="Y33" s="386" t="str">
        <f>X33</f>
        <v>Coal</v>
      </c>
    </row>
    <row r="34">
      <c r="A34" s="282" t="s">
        <v>427</v>
      </c>
      <c r="B34" s="313" t="str">
        <f t="shared" si="14"/>
        <v>Magma Cream</v>
      </c>
      <c r="C34" s="411" t="s">
        <v>420</v>
      </c>
      <c r="D34" s="412" t="s">
        <v>418</v>
      </c>
      <c r="E34" s="412" t="s">
        <v>275</v>
      </c>
      <c r="F34" s="383" t="str">
        <f t="shared" si="15"/>
        <v>IV</v>
      </c>
      <c r="G34" s="27" t="s">
        <v>69</v>
      </c>
      <c r="H34" s="413">
        <v>1.0</v>
      </c>
      <c r="I34" s="104" t="s">
        <v>175</v>
      </c>
      <c r="J34" s="181">
        <v>0.25</v>
      </c>
      <c r="K34" s="184">
        <f t="shared" si="16"/>
        <v>14.4</v>
      </c>
      <c r="L34" s="414">
        <f t="shared" si="17"/>
        <v>0.004444444444</v>
      </c>
      <c r="M34" s="385">
        <f t="shared" si="18"/>
        <v>25</v>
      </c>
      <c r="N34" s="282">
        <f t="shared" si="19"/>
        <v>25</v>
      </c>
      <c r="O34" s="386">
        <f t="shared" si="20"/>
        <v>28</v>
      </c>
      <c r="P34" s="184">
        <f>OFFSET('Minion Tiers'!$S$93,ARABIC(I34),0)</f>
        <v>18</v>
      </c>
      <c r="Q34" s="416">
        <f>'Minion Sales'!L40</f>
        <v>1.8</v>
      </c>
      <c r="U34" s="372"/>
      <c r="V34" s="282" t="str">
        <f>U33&amp;" II"</f>
        <v>Haste II</v>
      </c>
      <c r="W34" s="299">
        <v>1.0</v>
      </c>
      <c r="Y34" s="12"/>
    </row>
    <row r="35">
      <c r="A35" s="282" t="s">
        <v>428</v>
      </c>
      <c r="B35" s="313" t="str">
        <f t="shared" si="14"/>
        <v>Coal</v>
      </c>
      <c r="C35" s="411" t="s">
        <v>420</v>
      </c>
      <c r="D35" s="412" t="s">
        <v>418</v>
      </c>
      <c r="E35" s="412" t="s">
        <v>275</v>
      </c>
      <c r="F35" s="383" t="str">
        <f t="shared" si="15"/>
        <v>IV</v>
      </c>
      <c r="G35" s="27" t="s">
        <v>37</v>
      </c>
      <c r="H35" s="413">
        <v>1.0</v>
      </c>
      <c r="I35" s="104" t="s">
        <v>175</v>
      </c>
      <c r="J35" s="181">
        <v>0.25</v>
      </c>
      <c r="K35" s="184">
        <f t="shared" si="16"/>
        <v>5.6</v>
      </c>
      <c r="L35" s="414">
        <f t="shared" si="17"/>
        <v>0.003111111111</v>
      </c>
      <c r="M35" s="385">
        <f t="shared" si="18"/>
        <v>29</v>
      </c>
      <c r="N35" s="282">
        <f t="shared" si="19"/>
        <v>29</v>
      </c>
      <c r="O35" s="386">
        <f t="shared" si="20"/>
        <v>32</v>
      </c>
      <c r="P35" s="184">
        <f>OFFSET('Minion Tiers'!$I$106,ARABIC(I35),0)</f>
        <v>7</v>
      </c>
      <c r="Q35" s="415">
        <v>1.0</v>
      </c>
      <c r="U35" s="372"/>
      <c r="V35" s="282" t="str">
        <f>U33&amp;" III"</f>
        <v>Haste III</v>
      </c>
      <c r="W35" s="299">
        <v>1.0</v>
      </c>
      <c r="Y35" s="12"/>
    </row>
    <row r="36">
      <c r="A36" s="282" t="s">
        <v>429</v>
      </c>
      <c r="B36" s="313" t="str">
        <f t="shared" si="14"/>
        <v>Rabbit Foot</v>
      </c>
      <c r="C36" s="411" t="s">
        <v>420</v>
      </c>
      <c r="D36" s="412" t="s">
        <v>418</v>
      </c>
      <c r="E36" s="412" t="s">
        <v>275</v>
      </c>
      <c r="F36" s="383" t="str">
        <f t="shared" si="15"/>
        <v>IV</v>
      </c>
      <c r="G36" s="27" t="s">
        <v>78</v>
      </c>
      <c r="H36" s="413">
        <v>1.0</v>
      </c>
      <c r="I36" s="104" t="s">
        <v>175</v>
      </c>
      <c r="J36" s="181">
        <v>0.25</v>
      </c>
      <c r="K36" s="184">
        <f t="shared" si="16"/>
        <v>10.4</v>
      </c>
      <c r="L36" s="414">
        <f t="shared" si="17"/>
        <v>0.01650793651</v>
      </c>
      <c r="M36" s="385">
        <f t="shared" si="18"/>
        <v>33</v>
      </c>
      <c r="N36" s="282">
        <f t="shared" si="19"/>
        <v>33</v>
      </c>
      <c r="O36" s="386">
        <f t="shared" si="20"/>
        <v>36</v>
      </c>
      <c r="P36" s="184">
        <f>OFFSET('Minion Tiers'!$S$197,ARABIC(I36),0)</f>
        <v>13</v>
      </c>
      <c r="Q36" s="417">
        <f>'Minion Sales'!M48</f>
        <v>0.35</v>
      </c>
      <c r="U36" s="393"/>
      <c r="V36" s="394" t="str">
        <f>U33&amp;" IV"</f>
        <v>Haste IV</v>
      </c>
      <c r="W36" s="396">
        <v>1.0</v>
      </c>
      <c r="X36" s="6"/>
      <c r="Y36" s="7"/>
    </row>
    <row r="37">
      <c r="A37" s="282" t="s">
        <v>430</v>
      </c>
      <c r="B37" s="313" t="s">
        <v>431</v>
      </c>
      <c r="C37" s="411" t="s">
        <v>420</v>
      </c>
      <c r="D37" s="412" t="s">
        <v>418</v>
      </c>
      <c r="E37" s="412" t="s">
        <v>275</v>
      </c>
      <c r="F37" s="383" t="str">
        <f t="shared" si="15"/>
        <v>IV</v>
      </c>
      <c r="G37" s="27" t="s">
        <v>431</v>
      </c>
      <c r="H37" s="27" t="s">
        <v>431</v>
      </c>
      <c r="I37" s="34" t="s">
        <v>431</v>
      </c>
      <c r="J37" s="34" t="s">
        <v>431</v>
      </c>
      <c r="K37" s="184" t="s">
        <v>431</v>
      </c>
      <c r="L37" s="418" t="s">
        <v>431</v>
      </c>
      <c r="M37" s="385">
        <f t="shared" si="18"/>
        <v>37</v>
      </c>
      <c r="N37" s="282">
        <f t="shared" si="19"/>
        <v>37</v>
      </c>
      <c r="O37" s="386">
        <f t="shared" si="20"/>
        <v>40</v>
      </c>
      <c r="P37" s="184" t="s">
        <v>431</v>
      </c>
      <c r="Q37" s="416" t="s">
        <v>431</v>
      </c>
      <c r="U37" s="385" t="s">
        <v>429</v>
      </c>
      <c r="V37" s="282" t="str">
        <f>U37&amp;" I"</f>
        <v>Jump Boost I</v>
      </c>
      <c r="W37" s="299">
        <v>1.0</v>
      </c>
      <c r="X37" s="282" t="s">
        <v>450</v>
      </c>
      <c r="Y37" s="386" t="str">
        <f>X37</f>
        <v>Rabbit Foot</v>
      </c>
    </row>
    <row r="38">
      <c r="A38" s="282" t="s">
        <v>78</v>
      </c>
      <c r="B38" s="313" t="str">
        <f t="shared" ref="B38:B41" si="21">OFFSET($Y$4,N38,0)</f>
        <v>Enchanted Rabbit Foot</v>
      </c>
      <c r="C38" s="411" t="s">
        <v>433</v>
      </c>
      <c r="D38" s="412" t="s">
        <v>418</v>
      </c>
      <c r="E38" s="412" t="s">
        <v>275</v>
      </c>
      <c r="F38" s="383" t="str">
        <f t="shared" si="15"/>
        <v>VI</v>
      </c>
      <c r="G38" s="27" t="s">
        <v>78</v>
      </c>
      <c r="H38" s="413">
        <v>1.0</v>
      </c>
      <c r="I38" s="104" t="s">
        <v>175</v>
      </c>
      <c r="J38" s="181">
        <v>0.25</v>
      </c>
      <c r="K38" s="184">
        <f t="shared" ref="K38:K41" si="22">IFERROR(P38/(1+J38),"N/A")</f>
        <v>10.4</v>
      </c>
      <c r="L38" s="414">
        <f t="shared" ref="L38:L41" si="23">IFERROR(OFFSET($W$4,N38,0)*K38*2/Q38/H38/3600)</f>
        <v>2.641269841</v>
      </c>
      <c r="M38" s="385">
        <f t="shared" si="18"/>
        <v>41</v>
      </c>
      <c r="N38" s="282">
        <f t="shared" si="19"/>
        <v>43</v>
      </c>
      <c r="O38" s="386">
        <f t="shared" si="20"/>
        <v>46</v>
      </c>
      <c r="P38" s="184">
        <f>OFFSET('Minion Tiers'!$S$197,ARABIC(I38),0)</f>
        <v>13</v>
      </c>
      <c r="Q38" s="417">
        <f>'Minion Sales'!N48</f>
        <v>0.35</v>
      </c>
      <c r="U38" s="372"/>
      <c r="V38" s="282" t="str">
        <f>U37&amp;" II"</f>
        <v>Jump Boost II</v>
      </c>
      <c r="W38" s="299">
        <v>1.0</v>
      </c>
      <c r="Y38" s="12"/>
    </row>
    <row r="39">
      <c r="A39" s="282" t="s">
        <v>434</v>
      </c>
      <c r="B39" s="313" t="str">
        <f t="shared" si="21"/>
        <v>Enchanted Ghast Tear</v>
      </c>
      <c r="C39" s="411" t="s">
        <v>417</v>
      </c>
      <c r="D39" s="412" t="s">
        <v>418</v>
      </c>
      <c r="E39" s="412" t="s">
        <v>275</v>
      </c>
      <c r="F39" s="383" t="str">
        <f t="shared" si="15"/>
        <v>VIII</v>
      </c>
      <c r="G39" s="27" t="s">
        <v>72</v>
      </c>
      <c r="H39" s="413">
        <v>1.0</v>
      </c>
      <c r="I39" s="104" t="s">
        <v>175</v>
      </c>
      <c r="J39" s="181">
        <v>0.25</v>
      </c>
      <c r="K39" s="184">
        <f t="shared" si="22"/>
        <v>25.6</v>
      </c>
      <c r="L39" s="414">
        <f t="shared" si="23"/>
        <v>0.07111111111</v>
      </c>
      <c r="M39" s="385">
        <f t="shared" si="18"/>
        <v>47</v>
      </c>
      <c r="N39" s="282">
        <f t="shared" si="19"/>
        <v>51</v>
      </c>
      <c r="O39" s="386">
        <f t="shared" si="20"/>
        <v>54</v>
      </c>
      <c r="P39" s="184">
        <f>OFFSET('Minion Tiers'!$S$119,ARABIC(I39),0)</f>
        <v>32</v>
      </c>
      <c r="Q39" s="415">
        <v>1.0</v>
      </c>
      <c r="U39" s="372"/>
      <c r="V39" s="282" t="str">
        <f>U37&amp;" III"</f>
        <v>Jump Boost III</v>
      </c>
      <c r="W39" s="299">
        <v>1.0</v>
      </c>
      <c r="Y39" s="12"/>
    </row>
    <row r="40">
      <c r="A40" s="282" t="s">
        <v>435</v>
      </c>
      <c r="B40" s="313" t="str">
        <f t="shared" si="21"/>
        <v>Enchanted Cactus</v>
      </c>
      <c r="C40" s="411" t="s">
        <v>417</v>
      </c>
      <c r="D40" s="412" t="s">
        <v>418</v>
      </c>
      <c r="E40" s="412" t="s">
        <v>275</v>
      </c>
      <c r="F40" s="383" t="str">
        <f t="shared" si="15"/>
        <v>VIII</v>
      </c>
      <c r="G40" s="27" t="s">
        <v>53</v>
      </c>
      <c r="H40" s="413">
        <v>1.0</v>
      </c>
      <c r="I40" s="104" t="s">
        <v>175</v>
      </c>
      <c r="J40" s="181">
        <v>0.25</v>
      </c>
      <c r="K40" s="184">
        <f t="shared" si="22"/>
        <v>12</v>
      </c>
      <c r="L40" s="414">
        <f t="shared" si="23"/>
        <v>170.6666667</v>
      </c>
      <c r="M40" s="385">
        <f t="shared" si="18"/>
        <v>55</v>
      </c>
      <c r="N40" s="282">
        <f t="shared" si="19"/>
        <v>59</v>
      </c>
      <c r="O40" s="386">
        <f t="shared" si="20"/>
        <v>62</v>
      </c>
      <c r="P40" s="184">
        <f>OFFSET('Minion Tiers'!$I$301,ARABIC(I40),0)</f>
        <v>15</v>
      </c>
      <c r="Q40" s="415">
        <f>'Minion Sales'!L26</f>
        <v>1</v>
      </c>
      <c r="U40" s="393"/>
      <c r="V40" s="394" t="str">
        <f>U37&amp;" IV"</f>
        <v>Jump Boost IV</v>
      </c>
      <c r="W40" s="396">
        <v>1.0</v>
      </c>
      <c r="X40" s="6"/>
      <c r="Y40" s="7"/>
    </row>
    <row r="41">
      <c r="A41" s="282" t="s">
        <v>436</v>
      </c>
      <c r="B41" s="313" t="str">
        <f t="shared" si="21"/>
        <v>Enchanted Sugar Cane</v>
      </c>
      <c r="C41" s="411" t="s">
        <v>417</v>
      </c>
      <c r="D41" s="412" t="s">
        <v>418</v>
      </c>
      <c r="E41" s="412" t="s">
        <v>275</v>
      </c>
      <c r="F41" s="383" t="str">
        <f t="shared" si="15"/>
        <v>VIII</v>
      </c>
      <c r="G41" s="27" t="s">
        <v>55</v>
      </c>
      <c r="H41" s="413">
        <v>1.0</v>
      </c>
      <c r="I41" s="104" t="s">
        <v>175</v>
      </c>
      <c r="J41" s="181">
        <v>0.25</v>
      </c>
      <c r="K41" s="184">
        <f t="shared" si="22"/>
        <v>9.6</v>
      </c>
      <c r="L41" s="414">
        <f t="shared" si="23"/>
        <v>136.5333333</v>
      </c>
      <c r="M41" s="385">
        <f t="shared" si="18"/>
        <v>63</v>
      </c>
      <c r="N41" s="282">
        <f t="shared" si="19"/>
        <v>67</v>
      </c>
      <c r="O41" s="386">
        <f t="shared" si="20"/>
        <v>70</v>
      </c>
      <c r="P41" s="184">
        <f>OFFSET('Minion Tiers'!$I$327,ARABIC(I41),0)</f>
        <v>12</v>
      </c>
      <c r="Q41" s="415">
        <f>'Minion Sales'!L28</f>
        <v>1</v>
      </c>
      <c r="U41" s="385" t="s">
        <v>430</v>
      </c>
      <c r="V41" s="282" t="str">
        <f>U41&amp;" I"</f>
        <v>Magic Find I</v>
      </c>
      <c r="W41" s="299"/>
      <c r="X41" s="282"/>
      <c r="Y41" s="386"/>
    </row>
    <row r="42">
      <c r="A42" s="282" t="s">
        <v>437</v>
      </c>
      <c r="B42" s="313" t="s">
        <v>431</v>
      </c>
      <c r="C42" s="411" t="s">
        <v>420</v>
      </c>
      <c r="D42" s="412" t="s">
        <v>418</v>
      </c>
      <c r="E42" s="412" t="s">
        <v>275</v>
      </c>
      <c r="F42" s="383" t="str">
        <f t="shared" si="15"/>
        <v>IV</v>
      </c>
      <c r="G42" s="27" t="s">
        <v>431</v>
      </c>
      <c r="H42" s="27" t="s">
        <v>431</v>
      </c>
      <c r="I42" s="34" t="s">
        <v>431</v>
      </c>
      <c r="J42" s="34" t="s">
        <v>431</v>
      </c>
      <c r="K42" s="184" t="s">
        <v>431</v>
      </c>
      <c r="L42" s="418" t="s">
        <v>431</v>
      </c>
      <c r="M42" s="385">
        <f t="shared" si="18"/>
        <v>71</v>
      </c>
      <c r="N42" s="282">
        <f t="shared" si="19"/>
        <v>71</v>
      </c>
      <c r="O42" s="386">
        <f t="shared" si="20"/>
        <v>74</v>
      </c>
      <c r="P42" s="184" t="s">
        <v>431</v>
      </c>
      <c r="Q42" s="416" t="s">
        <v>431</v>
      </c>
      <c r="U42" s="372"/>
      <c r="V42" s="282" t="str">
        <f>U41&amp;" II"</f>
        <v>Magic Find II</v>
      </c>
      <c r="Y42" s="12"/>
    </row>
    <row r="43">
      <c r="A43" s="282" t="s">
        <v>438</v>
      </c>
      <c r="B43" s="313" t="str">
        <f t="shared" ref="B43:B45" si="24">OFFSET($Y$4,N43,0)</f>
        <v>Enchanted Blaze Rod</v>
      </c>
      <c r="C43" s="411" t="s">
        <v>417</v>
      </c>
      <c r="D43" s="412" t="s">
        <v>418</v>
      </c>
      <c r="E43" s="412" t="s">
        <v>275</v>
      </c>
      <c r="F43" s="383" t="str">
        <f t="shared" si="15"/>
        <v>VIII</v>
      </c>
      <c r="G43" s="27" t="s">
        <v>68</v>
      </c>
      <c r="H43" s="413">
        <v>1.0</v>
      </c>
      <c r="I43" s="104" t="s">
        <v>175</v>
      </c>
      <c r="J43" s="181">
        <v>0.25</v>
      </c>
      <c r="K43" s="184">
        <f>IFERROR(P43/(1+J43),"N/A")</f>
        <v>10.4</v>
      </c>
      <c r="L43" s="414">
        <f>IFERROR(OFFSET($W$4,N43,0)*K43*2/Q43/H43/3600)</f>
        <v>147.9111111</v>
      </c>
      <c r="M43" s="385">
        <f t="shared" si="18"/>
        <v>75</v>
      </c>
      <c r="N43" s="282">
        <f t="shared" si="19"/>
        <v>79</v>
      </c>
      <c r="O43" s="386">
        <f t="shared" si="20"/>
        <v>82</v>
      </c>
      <c r="P43" s="184">
        <f>OFFSET('Minion Tiers'!$I$41,ARABIC(I43),0)</f>
        <v>13</v>
      </c>
      <c r="Q43" s="415">
        <v>1.0</v>
      </c>
      <c r="U43" s="372"/>
      <c r="V43" s="282" t="str">
        <f>U41&amp;" III"</f>
        <v>Magic Find III</v>
      </c>
      <c r="Y43" s="12"/>
    </row>
    <row r="44">
      <c r="A44" s="282" t="s">
        <v>439</v>
      </c>
      <c r="B44" s="313" t="str">
        <f t="shared" si="24"/>
        <v>True Essence</v>
      </c>
      <c r="C44" s="411" t="s">
        <v>420</v>
      </c>
      <c r="D44" s="412" t="s">
        <v>418</v>
      </c>
      <c r="E44" s="412" t="s">
        <v>275</v>
      </c>
      <c r="F44" s="383" t="str">
        <f t="shared" si="15"/>
        <v>IV</v>
      </c>
      <c r="G44" s="27" t="s">
        <v>431</v>
      </c>
      <c r="H44" s="27" t="s">
        <v>431</v>
      </c>
      <c r="I44" s="34" t="s">
        <v>431</v>
      </c>
      <c r="J44" s="34" t="s">
        <v>431</v>
      </c>
      <c r="K44" s="184" t="s">
        <v>431</v>
      </c>
      <c r="L44" s="418" t="s">
        <v>431</v>
      </c>
      <c r="M44" s="385">
        <f t="shared" si="18"/>
        <v>83</v>
      </c>
      <c r="N44" s="282">
        <f t="shared" si="19"/>
        <v>83</v>
      </c>
      <c r="O44" s="386">
        <f t="shared" si="20"/>
        <v>86</v>
      </c>
      <c r="P44" s="184" t="s">
        <v>431</v>
      </c>
      <c r="Q44" s="416" t="s">
        <v>431</v>
      </c>
      <c r="U44" s="393"/>
      <c r="V44" s="394" t="str">
        <f>U41&amp;" IV"</f>
        <v>Magic Find IV</v>
      </c>
      <c r="W44" s="6"/>
      <c r="X44" s="6"/>
      <c r="Y44" s="7"/>
    </row>
    <row r="45">
      <c r="A45" s="282" t="s">
        <v>440</v>
      </c>
      <c r="B45" s="313" t="str">
        <f t="shared" si="24"/>
        <v>Pufferfish</v>
      </c>
      <c r="C45" s="411" t="s">
        <v>420</v>
      </c>
      <c r="D45" s="412" t="s">
        <v>418</v>
      </c>
      <c r="E45" s="412" t="s">
        <v>275</v>
      </c>
      <c r="F45" s="383" t="str">
        <f t="shared" si="15"/>
        <v>IV</v>
      </c>
      <c r="G45" s="27" t="s">
        <v>119</v>
      </c>
      <c r="H45" s="413">
        <v>1.0</v>
      </c>
      <c r="I45" s="104" t="s">
        <v>175</v>
      </c>
      <c r="J45" s="181">
        <v>0.25</v>
      </c>
      <c r="K45" s="184">
        <f>IFERROR(P45/(1+J45),"N/A")</f>
        <v>28</v>
      </c>
      <c r="L45" s="414">
        <f>IFERROR(OFFSET($W$4,N45,0)*K45/Q45/H45/3600)</f>
        <v>0.2222222222</v>
      </c>
      <c r="M45" s="391">
        <f t="shared" si="18"/>
        <v>87</v>
      </c>
      <c r="N45" s="394">
        <f t="shared" si="19"/>
        <v>87</v>
      </c>
      <c r="O45" s="397">
        <f t="shared" si="20"/>
        <v>90</v>
      </c>
      <c r="P45" s="419">
        <f>OFFSET('Minion Tiers'!$I$366,ARABIC(I45),0)</f>
        <v>35</v>
      </c>
      <c r="Q45" s="420">
        <v>0.035</v>
      </c>
      <c r="U45" s="385" t="s">
        <v>78</v>
      </c>
      <c r="V45" s="282" t="str">
        <f>U45&amp;" I"</f>
        <v>Rabbit I</v>
      </c>
      <c r="W45" s="299">
        <v>1.0</v>
      </c>
      <c r="X45" s="282" t="s">
        <v>451</v>
      </c>
      <c r="Y45" s="386" t="s">
        <v>161</v>
      </c>
    </row>
    <row r="46">
      <c r="A46" s="421" t="s">
        <v>441</v>
      </c>
      <c r="B46" s="422" t="s">
        <v>431</v>
      </c>
      <c r="C46" s="423" t="s">
        <v>452</v>
      </c>
      <c r="D46" s="424" t="s">
        <v>31</v>
      </c>
      <c r="E46" s="425" t="s">
        <v>42</v>
      </c>
      <c r="F46" s="424" t="s">
        <v>431</v>
      </c>
      <c r="G46" s="426" t="s">
        <v>431</v>
      </c>
      <c r="H46" s="422" t="s">
        <v>431</v>
      </c>
      <c r="I46" s="422" t="s">
        <v>431</v>
      </c>
      <c r="J46" s="422" t="s">
        <v>431</v>
      </c>
      <c r="K46" s="427" t="s">
        <v>431</v>
      </c>
      <c r="L46" s="428" t="s">
        <v>431</v>
      </c>
      <c r="M46" s="100" t="s">
        <v>453</v>
      </c>
      <c r="N46" s="349"/>
      <c r="O46" s="379"/>
      <c r="P46" s="16" t="s">
        <v>125</v>
      </c>
      <c r="Q46" s="19" t="s">
        <v>449</v>
      </c>
      <c r="U46" s="372"/>
      <c r="V46" s="282" t="str">
        <f>U45&amp;" II"</f>
        <v>Rabbit II</v>
      </c>
      <c r="W46" s="299">
        <v>1.0</v>
      </c>
      <c r="Y46" s="12"/>
    </row>
    <row r="47">
      <c r="A47" s="429" t="s">
        <v>441</v>
      </c>
      <c r="B47" s="430" t="s">
        <v>431</v>
      </c>
      <c r="C47" s="431">
        <v>7.0</v>
      </c>
      <c r="D47" s="404" t="s">
        <v>418</v>
      </c>
      <c r="E47" s="404" t="s">
        <v>275</v>
      </c>
      <c r="F47" s="432" t="s">
        <v>431</v>
      </c>
      <c r="G47" s="433" t="s">
        <v>431</v>
      </c>
      <c r="H47" s="430" t="s">
        <v>431</v>
      </c>
      <c r="I47" s="430" t="s">
        <v>431</v>
      </c>
      <c r="J47" s="430" t="s">
        <v>431</v>
      </c>
      <c r="K47" s="434" t="s">
        <v>431</v>
      </c>
      <c r="L47" s="435" t="s">
        <v>431</v>
      </c>
      <c r="M47" s="299">
        <v>1.0</v>
      </c>
      <c r="N47" s="282"/>
      <c r="O47" s="386"/>
      <c r="P47" s="184">
        <f>OFFSET('Minion Tiers'!$I$28,ARABIC(I49),0)</f>
        <v>13</v>
      </c>
      <c r="Q47" s="416">
        <v>3.0</v>
      </c>
      <c r="U47" s="372"/>
      <c r="V47" s="282" t="str">
        <f>U45&amp;" III"</f>
        <v>Rabbit III</v>
      </c>
      <c r="W47" s="299">
        <v>160.0</v>
      </c>
      <c r="Y47" s="386" t="s">
        <v>374</v>
      </c>
    </row>
    <row r="48">
      <c r="A48" s="374"/>
      <c r="D48" s="319" t="s">
        <v>196</v>
      </c>
      <c r="E48" s="6"/>
      <c r="F48" s="318" t="s">
        <v>442</v>
      </c>
      <c r="G48" s="436" t="s">
        <v>101</v>
      </c>
      <c r="H48" s="437" t="s">
        <v>447</v>
      </c>
      <c r="I48" s="438" t="s">
        <v>170</v>
      </c>
      <c r="J48" s="438" t="s">
        <v>102</v>
      </c>
      <c r="K48" s="437" t="s">
        <v>126</v>
      </c>
      <c r="L48" s="439" t="s">
        <v>454</v>
      </c>
      <c r="M48" s="383">
        <v>160.0</v>
      </c>
      <c r="O48" s="12"/>
      <c r="P48" s="372"/>
      <c r="Q48" s="12"/>
      <c r="U48" s="372"/>
      <c r="V48" s="282" t="str">
        <f>U45&amp;" IV"</f>
        <v>Rabbit IV</v>
      </c>
      <c r="W48" s="299">
        <v>160.0</v>
      </c>
      <c r="Y48" s="12"/>
    </row>
    <row r="49">
      <c r="D49" s="389" t="s">
        <v>31</v>
      </c>
      <c r="E49" s="3"/>
      <c r="F49" s="440">
        <f t="array" ref="F49">SUM(IF({$D$29:$D$45;$D$47}=D49,1,0))</f>
        <v>0</v>
      </c>
      <c r="G49" s="282" t="s">
        <v>31</v>
      </c>
      <c r="H49" s="441">
        <v>3.0</v>
      </c>
      <c r="I49" s="104" t="s">
        <v>175</v>
      </c>
      <c r="J49" s="181">
        <v>0.25</v>
      </c>
      <c r="K49" s="184">
        <f>IFERROR(P47/(1+J49),"N/A")</f>
        <v>10.4</v>
      </c>
      <c r="L49" s="442">
        <f>IFERROR(M47*F49*K$49*2/Q$47/H$49/60)</f>
        <v>0</v>
      </c>
      <c r="M49" s="383">
        <f>160*192</f>
        <v>30720</v>
      </c>
      <c r="O49" s="12"/>
      <c r="P49" s="372"/>
      <c r="Q49" s="12"/>
      <c r="U49" s="372"/>
      <c r="V49" s="282" t="str">
        <f>U45&amp;" V"</f>
        <v>Rabbit V</v>
      </c>
      <c r="W49" s="299">
        <v>160.0</v>
      </c>
      <c r="Y49" s="12"/>
    </row>
    <row r="50">
      <c r="D50" s="385" t="s">
        <v>238</v>
      </c>
      <c r="F50" s="282">
        <f t="array" ref="F50">SUM(IF({$D$29:$D$45;$D$47}=D50,1,0))</f>
        <v>0</v>
      </c>
      <c r="H50" s="372"/>
      <c r="K50" s="372"/>
      <c r="L50" s="113">
        <f t="shared" ref="L50:L52" si="25">IFERROR(M48*F50*K$49*2/Q$47/H$49/3600)</f>
        <v>0</v>
      </c>
      <c r="M50" s="383">
        <f>160*32</f>
        <v>5120</v>
      </c>
      <c r="O50" s="12"/>
      <c r="P50" s="372"/>
      <c r="Q50" s="12"/>
      <c r="U50" s="393"/>
      <c r="V50" s="394" t="str">
        <f>U45&amp;" VI"</f>
        <v>Rabbit VI</v>
      </c>
      <c r="W50" s="396">
        <v>160.0</v>
      </c>
      <c r="X50" s="6"/>
      <c r="Y50" s="7"/>
    </row>
    <row r="51">
      <c r="D51" s="385" t="s">
        <v>422</v>
      </c>
      <c r="F51" s="282">
        <f t="array" ref="F51">SUM(IF({$D$29:$D$45;$D$47}=D51,1,0))</f>
        <v>0</v>
      </c>
      <c r="H51" s="372"/>
      <c r="K51" s="372"/>
      <c r="L51" s="113">
        <f t="shared" si="25"/>
        <v>0</v>
      </c>
      <c r="M51" s="443">
        <v>1.0</v>
      </c>
      <c r="N51" s="440"/>
      <c r="O51" s="444"/>
      <c r="P51" s="445">
        <f>OFFSET('Minion Tiers'!$I$171,ARABIC(I53),0)</f>
        <v>18</v>
      </c>
      <c r="Q51" s="446">
        <v>4.5</v>
      </c>
      <c r="U51" s="385" t="s">
        <v>434</v>
      </c>
      <c r="V51" s="282" t="str">
        <f>U51&amp;" I"</f>
        <v>Regeneration I</v>
      </c>
      <c r="W51" s="299">
        <v>1.0</v>
      </c>
      <c r="X51" s="282" t="s">
        <v>155</v>
      </c>
      <c r="Y51" s="386" t="str">
        <f>X51</f>
        <v>Ghast Tear</v>
      </c>
    </row>
    <row r="52">
      <c r="D52" s="385" t="s">
        <v>418</v>
      </c>
      <c r="F52" s="282">
        <f t="array" ref="F52">SUM(IF({$D$29:$D$45;$D$47}=D52,1,0))</f>
        <v>18</v>
      </c>
      <c r="H52" s="393"/>
      <c r="K52" s="372"/>
      <c r="L52" s="113">
        <f t="shared" si="25"/>
        <v>59.16444444</v>
      </c>
      <c r="M52" s="383">
        <v>160.0</v>
      </c>
      <c r="O52" s="12"/>
      <c r="P52" s="372"/>
      <c r="Q52" s="12"/>
      <c r="U52" s="372"/>
      <c r="V52" s="282" t="str">
        <f>U51&amp;" II"</f>
        <v>Regeneration II</v>
      </c>
      <c r="W52" s="299">
        <v>1.0</v>
      </c>
      <c r="Y52" s="12"/>
    </row>
    <row r="53">
      <c r="D53" s="389" t="s">
        <v>42</v>
      </c>
      <c r="E53" s="3"/>
      <c r="F53" s="440">
        <f t="array" ref="F53">SUM(IF({$E$29:$E$45;$E$47}=D53,1,0))</f>
        <v>0</v>
      </c>
      <c r="G53" s="440" t="s">
        <v>42</v>
      </c>
      <c r="H53" s="441">
        <v>3.0</v>
      </c>
      <c r="I53" s="447" t="s">
        <v>175</v>
      </c>
      <c r="J53" s="448">
        <v>0.25</v>
      </c>
      <c r="K53" s="445">
        <f>IFERROR(P51/(1+J53),"N/A")</f>
        <v>14.4</v>
      </c>
      <c r="L53" s="449">
        <f>IFERROR(M51*F53*K$53*2/Q$51/H$53/60)</f>
        <v>0</v>
      </c>
      <c r="M53" s="383">
        <f>160*160</f>
        <v>25600</v>
      </c>
      <c r="O53" s="12"/>
      <c r="P53" s="372"/>
      <c r="Q53" s="12"/>
      <c r="U53" s="372"/>
      <c r="V53" s="282" t="str">
        <f>U51&amp;" III"</f>
        <v>Regeneration III</v>
      </c>
      <c r="W53" s="299">
        <v>1.0</v>
      </c>
      <c r="Y53" s="12"/>
    </row>
    <row r="54">
      <c r="D54" s="385" t="s">
        <v>273</v>
      </c>
      <c r="F54" s="282">
        <f t="array" ref="F54">SUM(IF({$E$29:$E$45;$E$47}=D54,1,0))</f>
        <v>0</v>
      </c>
      <c r="H54" s="372"/>
      <c r="K54" s="372"/>
      <c r="L54" s="113">
        <f t="shared" ref="L54:L56" si="26">IFERROR(M52*F54*K$53*2/Q$51/H$53/3600)</f>
        <v>0</v>
      </c>
      <c r="M54" s="450">
        <f>160*128</f>
        <v>20480</v>
      </c>
      <c r="N54" s="6"/>
      <c r="O54" s="7"/>
      <c r="P54" s="393"/>
      <c r="Q54" s="7"/>
      <c r="U54" s="372"/>
      <c r="V54" s="282" t="str">
        <f>U51&amp;" IV"</f>
        <v>Regeneration IV</v>
      </c>
      <c r="W54" s="299">
        <v>1.0</v>
      </c>
      <c r="Y54" s="12"/>
    </row>
    <row r="55">
      <c r="D55" s="385" t="s">
        <v>275</v>
      </c>
      <c r="F55" s="282">
        <f t="array" ref="F55">SUM(IF({$E$29:$E$45;$E$47}=D55,1,0))</f>
        <v>18</v>
      </c>
      <c r="H55" s="372"/>
      <c r="K55" s="372"/>
      <c r="L55" s="113">
        <f t="shared" si="26"/>
        <v>273.0666667</v>
      </c>
      <c r="M55" s="374"/>
      <c r="N55" s="374"/>
      <c r="O55" s="374"/>
      <c r="P55" s="374"/>
      <c r="Q55" s="374"/>
      <c r="U55" s="372"/>
      <c r="V55" s="282" t="str">
        <f>U51&amp;" V"</f>
        <v>Regeneration V</v>
      </c>
      <c r="W55" s="299">
        <v>5.0</v>
      </c>
      <c r="Y55" s="451" t="str">
        <f>"Enchanted "&amp;Y51</f>
        <v>Enchanted Ghast Tear</v>
      </c>
    </row>
    <row r="56">
      <c r="D56" s="391" t="s">
        <v>418</v>
      </c>
      <c r="E56" s="6"/>
      <c r="F56" s="394">
        <f>F52</f>
        <v>18</v>
      </c>
      <c r="G56" s="6"/>
      <c r="H56" s="393"/>
      <c r="I56" s="6"/>
      <c r="J56" s="6"/>
      <c r="K56" s="393"/>
      <c r="L56" s="452">
        <f t="shared" si="26"/>
        <v>218.4533333</v>
      </c>
      <c r="M56" s="374"/>
      <c r="N56" s="374"/>
      <c r="O56" s="374"/>
      <c r="P56" s="374"/>
      <c r="Q56" s="374"/>
      <c r="U56" s="372"/>
      <c r="V56" s="282" t="str">
        <f>U51&amp;" VI"</f>
        <v>Regeneration VI</v>
      </c>
      <c r="W56" s="299">
        <v>5.0</v>
      </c>
      <c r="Y56" s="12"/>
    </row>
    <row r="57">
      <c r="D57" s="374"/>
      <c r="M57" s="374"/>
      <c r="N57" s="374"/>
      <c r="O57" s="374"/>
      <c r="P57" s="374"/>
      <c r="Q57" s="374"/>
      <c r="U57" s="372"/>
      <c r="V57" s="282" t="str">
        <f>U51&amp;" VII"</f>
        <v>Regeneration VII</v>
      </c>
      <c r="W57" s="299">
        <v>5.0</v>
      </c>
      <c r="Y57" s="12"/>
    </row>
    <row r="58">
      <c r="A58" s="453" t="s">
        <v>455</v>
      </c>
      <c r="B58" s="454" t="s">
        <v>456</v>
      </c>
      <c r="C58" s="17"/>
      <c r="D58" s="455" t="s">
        <v>457</v>
      </c>
      <c r="E58" s="17"/>
      <c r="F58" s="455" t="s">
        <v>458</v>
      </c>
      <c r="G58" s="22"/>
      <c r="H58" s="454" t="s">
        <v>459</v>
      </c>
      <c r="I58" s="17"/>
      <c r="J58" s="455" t="s">
        <v>460</v>
      </c>
      <c r="K58" s="17"/>
      <c r="L58" s="22"/>
      <c r="M58" s="374"/>
      <c r="N58" s="374"/>
      <c r="O58" s="374"/>
      <c r="P58" s="374"/>
      <c r="Q58" s="374"/>
      <c r="U58" s="393"/>
      <c r="V58" s="394" t="str">
        <f>U51&amp;" VIII"</f>
        <v>Regeneration VIII</v>
      </c>
      <c r="W58" s="396">
        <v>5.0</v>
      </c>
      <c r="X58" s="6"/>
      <c r="Y58" s="7"/>
    </row>
    <row r="59">
      <c r="A59" s="456">
        <f>SUM(H29:H45,H49:H56)</f>
        <v>20</v>
      </c>
      <c r="B59" s="457">
        <f>SUM(L29:L45)</f>
        <v>515.9324444</v>
      </c>
      <c r="C59" s="3"/>
      <c r="D59" s="458">
        <f>SUM(L49:L52)</f>
        <v>59.16444444</v>
      </c>
      <c r="E59" s="3"/>
      <c r="F59" s="458">
        <f>SUM(L53:L56)</f>
        <v>491.52</v>
      </c>
      <c r="G59" s="4"/>
      <c r="H59" s="459">
        <f>SUM(B59:G59)</f>
        <v>1066.616889</v>
      </c>
      <c r="I59" s="3"/>
      <c r="J59" s="458">
        <f>H59/3</f>
        <v>355.538963</v>
      </c>
      <c r="K59" s="3"/>
      <c r="L59" s="4"/>
      <c r="M59" s="374"/>
      <c r="N59" s="374"/>
      <c r="O59" s="374"/>
      <c r="P59" s="374"/>
      <c r="Q59" s="374"/>
      <c r="U59" s="385" t="s">
        <v>435</v>
      </c>
      <c r="V59" s="282" t="str">
        <f>U59&amp;" I"</f>
        <v>Resistance I</v>
      </c>
      <c r="W59" s="299">
        <v>1.0</v>
      </c>
      <c r="X59" s="282" t="s">
        <v>53</v>
      </c>
      <c r="Y59" s="386" t="str">
        <f>X59</f>
        <v>Cactus</v>
      </c>
    </row>
    <row r="60">
      <c r="A60" s="460"/>
      <c r="B60" s="461">
        <f>B59/24</f>
        <v>21.49718519</v>
      </c>
      <c r="C60" s="6"/>
      <c r="D60" s="462">
        <f>D59/24</f>
        <v>2.465185185</v>
      </c>
      <c r="E60" s="6"/>
      <c r="F60" s="462">
        <f>F59/24</f>
        <v>20.48</v>
      </c>
      <c r="G60" s="7"/>
      <c r="H60" s="462">
        <f>H59/24</f>
        <v>44.44237037</v>
      </c>
      <c r="I60" s="6"/>
      <c r="J60" s="462">
        <f>J59/24</f>
        <v>14.81412346</v>
      </c>
      <c r="K60" s="6"/>
      <c r="L60" s="7"/>
      <c r="M60" s="374"/>
      <c r="N60" s="374"/>
      <c r="O60" s="374"/>
      <c r="P60" s="374"/>
      <c r="Q60" s="374"/>
      <c r="U60" s="372"/>
      <c r="V60" s="282" t="str">
        <f>U59&amp;" II"</f>
        <v>Resistance II</v>
      </c>
      <c r="W60" s="299">
        <v>1.0</v>
      </c>
      <c r="Y60" s="12"/>
    </row>
    <row r="61">
      <c r="A61" s="374"/>
      <c r="M61" s="374"/>
      <c r="N61" s="374"/>
      <c r="O61" s="374"/>
      <c r="P61" s="374"/>
      <c r="Q61" s="374"/>
      <c r="U61" s="372"/>
      <c r="V61" s="282" t="str">
        <f>U59&amp;" III"</f>
        <v>Resistance III</v>
      </c>
      <c r="W61" s="299">
        <v>160.0</v>
      </c>
      <c r="Y61" s="386" t="s">
        <v>461</v>
      </c>
    </row>
    <row r="62">
      <c r="M62" s="374"/>
      <c r="N62" s="374"/>
      <c r="O62" s="374"/>
      <c r="P62" s="374"/>
      <c r="Q62" s="374"/>
      <c r="U62" s="372"/>
      <c r="V62" s="282" t="str">
        <f>U59&amp;" IV"</f>
        <v>Resistance IV</v>
      </c>
      <c r="W62" s="299">
        <v>160.0</v>
      </c>
      <c r="Y62" s="12"/>
    </row>
    <row r="63">
      <c r="M63" s="374"/>
      <c r="N63" s="374"/>
      <c r="O63" s="374"/>
      <c r="P63" s="374"/>
      <c r="Q63" s="374"/>
      <c r="U63" s="372"/>
      <c r="V63" s="282" t="str">
        <f>U59&amp;" V"</f>
        <v>Resistance V</v>
      </c>
      <c r="W63" s="283">
        <f t="shared" ref="W63:W66" si="27">160*160</f>
        <v>25600</v>
      </c>
      <c r="Y63" s="386" t="s">
        <v>309</v>
      </c>
    </row>
    <row r="64">
      <c r="M64" s="374"/>
      <c r="N64" s="374"/>
      <c r="O64" s="374"/>
      <c r="P64" s="374"/>
      <c r="Q64" s="374"/>
      <c r="U64" s="372"/>
      <c r="V64" s="282" t="str">
        <f>U59&amp;" VI"</f>
        <v>Resistance VI</v>
      </c>
      <c r="W64" s="283">
        <f t="shared" si="27"/>
        <v>25600</v>
      </c>
      <c r="Y64" s="12"/>
    </row>
    <row r="65">
      <c r="M65" s="374"/>
      <c r="N65" s="374"/>
      <c r="O65" s="374"/>
      <c r="P65" s="374"/>
      <c r="Q65" s="374"/>
      <c r="U65" s="372"/>
      <c r="V65" s="282" t="str">
        <f>U59&amp;" VII"</f>
        <v>Resistance VII</v>
      </c>
      <c r="W65" s="283">
        <f t="shared" si="27"/>
        <v>25600</v>
      </c>
      <c r="Y65" s="12"/>
    </row>
    <row r="66">
      <c r="M66" s="374"/>
      <c r="N66" s="374"/>
      <c r="O66" s="374"/>
      <c r="P66" s="374"/>
      <c r="Q66" s="374"/>
      <c r="U66" s="393"/>
      <c r="V66" s="394" t="str">
        <f>U59&amp;" VIII"</f>
        <v>Resistance VIII</v>
      </c>
      <c r="W66" s="395">
        <f t="shared" si="27"/>
        <v>25600</v>
      </c>
      <c r="X66" s="6"/>
      <c r="Y66" s="7"/>
    </row>
    <row r="67">
      <c r="M67" s="374"/>
      <c r="N67" s="374"/>
      <c r="O67" s="374"/>
      <c r="P67" s="374"/>
      <c r="Q67" s="374"/>
      <c r="U67" s="385" t="s">
        <v>436</v>
      </c>
      <c r="V67" s="282" t="str">
        <f>U67&amp;" I"</f>
        <v>Speed I</v>
      </c>
      <c r="W67" s="299">
        <v>1.0</v>
      </c>
      <c r="X67" s="282" t="s">
        <v>55</v>
      </c>
      <c r="Y67" s="386" t="str">
        <f>X67</f>
        <v>Sugar Cane</v>
      </c>
    </row>
    <row r="68">
      <c r="M68" s="374"/>
      <c r="N68" s="374"/>
      <c r="O68" s="374"/>
      <c r="P68" s="374"/>
      <c r="Q68" s="374"/>
      <c r="U68" s="372"/>
      <c r="V68" s="282" t="str">
        <f>U67&amp;" II"</f>
        <v>Speed II</v>
      </c>
      <c r="W68" s="299">
        <v>1.0</v>
      </c>
      <c r="Y68" s="12"/>
    </row>
    <row r="69">
      <c r="M69" s="374"/>
      <c r="N69" s="374"/>
      <c r="O69" s="374"/>
      <c r="P69" s="374"/>
      <c r="Q69" s="374"/>
      <c r="U69" s="372"/>
      <c r="V69" s="282" t="str">
        <f>U67&amp;" III"</f>
        <v>Speed III</v>
      </c>
      <c r="W69" s="299">
        <v>160.0</v>
      </c>
      <c r="Y69" s="386" t="s">
        <v>313</v>
      </c>
    </row>
    <row r="70">
      <c r="M70" s="374"/>
      <c r="N70" s="374"/>
      <c r="O70" s="374"/>
      <c r="P70" s="374"/>
      <c r="Q70" s="374"/>
      <c r="U70" s="372"/>
      <c r="V70" s="282" t="str">
        <f>U67&amp;" IV"</f>
        <v>Speed IV</v>
      </c>
      <c r="W70" s="299">
        <v>160.0</v>
      </c>
      <c r="Y70" s="12"/>
    </row>
    <row r="71">
      <c r="M71" s="374"/>
      <c r="N71" s="374"/>
      <c r="O71" s="374"/>
      <c r="P71" s="374"/>
      <c r="Q71" s="374"/>
      <c r="U71" s="372"/>
      <c r="V71" s="282" t="str">
        <f>U67&amp;" V"</f>
        <v>Speed V</v>
      </c>
      <c r="W71" s="283">
        <f t="shared" ref="W71:W74" si="28">160*160</f>
        <v>25600</v>
      </c>
      <c r="Y71" s="451" t="s">
        <v>315</v>
      </c>
    </row>
    <row r="72">
      <c r="M72" s="374"/>
      <c r="N72" s="374"/>
      <c r="O72" s="374"/>
      <c r="P72" s="374"/>
      <c r="Q72" s="374"/>
      <c r="U72" s="372"/>
      <c r="V72" s="282" t="str">
        <f>U67&amp;" VI"</f>
        <v>Speed VI</v>
      </c>
      <c r="W72" s="283">
        <f t="shared" si="28"/>
        <v>25600</v>
      </c>
      <c r="Y72" s="12"/>
    </row>
    <row r="73">
      <c r="M73" s="374"/>
      <c r="N73" s="374"/>
      <c r="O73" s="374"/>
      <c r="P73" s="374"/>
      <c r="Q73" s="374"/>
      <c r="U73" s="372"/>
      <c r="V73" s="282" t="str">
        <f>U67&amp;" VII"</f>
        <v>Speed VII</v>
      </c>
      <c r="W73" s="283">
        <f t="shared" si="28"/>
        <v>25600</v>
      </c>
      <c r="Y73" s="12"/>
    </row>
    <row r="74">
      <c r="M74" s="374"/>
      <c r="N74" s="374"/>
      <c r="O74" s="374"/>
      <c r="P74" s="374"/>
      <c r="Q74" s="374"/>
      <c r="U74" s="393"/>
      <c r="V74" s="394" t="str">
        <f>U67&amp;" VIII"</f>
        <v>Speed VIII</v>
      </c>
      <c r="W74" s="395">
        <f t="shared" si="28"/>
        <v>25600</v>
      </c>
      <c r="X74" s="6"/>
      <c r="Y74" s="7"/>
    </row>
    <row r="75">
      <c r="M75" s="374"/>
      <c r="N75" s="374"/>
      <c r="O75" s="374"/>
      <c r="P75" s="374"/>
      <c r="Q75" s="374"/>
      <c r="U75" s="385" t="s">
        <v>437</v>
      </c>
      <c r="V75" s="282" t="str">
        <f>U75&amp;" I"</f>
        <v>Spirit I</v>
      </c>
      <c r="W75" s="299"/>
      <c r="X75" s="282"/>
      <c r="Y75" s="386"/>
    </row>
    <row r="76">
      <c r="M76" s="374"/>
      <c r="N76" s="374"/>
      <c r="O76" s="374"/>
      <c r="P76" s="374"/>
      <c r="Q76" s="374"/>
      <c r="U76" s="372"/>
      <c r="V76" s="282" t="str">
        <f>U75&amp;" II"</f>
        <v>Spirit II</v>
      </c>
      <c r="Y76" s="12"/>
    </row>
    <row r="77">
      <c r="M77" s="374"/>
      <c r="N77" s="374"/>
      <c r="O77" s="374"/>
      <c r="P77" s="374"/>
      <c r="Q77" s="374"/>
      <c r="U77" s="372"/>
      <c r="V77" s="282" t="str">
        <f>U75&amp;" III"</f>
        <v>Spirit III</v>
      </c>
      <c r="Y77" s="12"/>
    </row>
    <row r="78">
      <c r="M78" s="374"/>
      <c r="N78" s="374"/>
      <c r="O78" s="374"/>
      <c r="P78" s="374"/>
      <c r="Q78" s="374"/>
      <c r="U78" s="393"/>
      <c r="V78" s="394" t="str">
        <f>U75&amp;" IV"</f>
        <v>Spirit IV</v>
      </c>
      <c r="W78" s="6"/>
      <c r="X78" s="6"/>
      <c r="Y78" s="7"/>
    </row>
    <row r="79">
      <c r="M79" s="374"/>
      <c r="N79" s="374"/>
      <c r="O79" s="374"/>
      <c r="P79" s="374"/>
      <c r="Q79" s="374"/>
      <c r="U79" s="385" t="s">
        <v>438</v>
      </c>
      <c r="V79" s="282" t="str">
        <f>U79&amp;" I"</f>
        <v>Strength I</v>
      </c>
      <c r="W79" s="299">
        <v>1.0</v>
      </c>
      <c r="X79" s="282" t="s">
        <v>451</v>
      </c>
      <c r="Y79" s="386" t="str">
        <f>X79</f>
        <v>Blaze Powder</v>
      </c>
    </row>
    <row r="80">
      <c r="M80" s="374"/>
      <c r="N80" s="374"/>
      <c r="O80" s="374"/>
      <c r="P80" s="374"/>
      <c r="Q80" s="374"/>
      <c r="U80" s="372"/>
      <c r="V80" s="282" t="str">
        <f>U79&amp;" II"</f>
        <v>Strength II</v>
      </c>
      <c r="W80" s="299">
        <v>1.0</v>
      </c>
      <c r="Y80" s="12"/>
    </row>
    <row r="81">
      <c r="M81" s="374"/>
      <c r="N81" s="374"/>
      <c r="O81" s="374"/>
      <c r="P81" s="374"/>
      <c r="Q81" s="374"/>
      <c r="U81" s="372"/>
      <c r="V81" s="282" t="str">
        <f>U79&amp;" III"</f>
        <v>Strength III</v>
      </c>
      <c r="W81" s="299">
        <v>160.0</v>
      </c>
      <c r="Y81" s="386" t="str">
        <f>"Enchanted "&amp;Y79</f>
        <v>Enchanted Blaze Powder</v>
      </c>
    </row>
    <row r="82">
      <c r="M82" s="374"/>
      <c r="N82" s="374"/>
      <c r="O82" s="374"/>
      <c r="P82" s="374"/>
      <c r="Q82" s="374"/>
      <c r="U82" s="372"/>
      <c r="V82" s="282" t="str">
        <f>U79&amp;" IV"</f>
        <v>Strength IV</v>
      </c>
      <c r="W82" s="299">
        <v>160.0</v>
      </c>
      <c r="Y82" s="12"/>
    </row>
    <row r="83">
      <c r="M83" s="374"/>
      <c r="N83" s="374"/>
      <c r="O83" s="374"/>
      <c r="P83" s="374"/>
      <c r="Q83" s="374"/>
      <c r="U83" s="372"/>
      <c r="V83" s="282" t="str">
        <f>U79&amp;" V"</f>
        <v>Strength V</v>
      </c>
      <c r="W83" s="283">
        <f t="shared" ref="W83:W86" si="29">160*160</f>
        <v>25600</v>
      </c>
      <c r="Y83" s="451" t="s">
        <v>345</v>
      </c>
    </row>
    <row r="84">
      <c r="M84" s="374"/>
      <c r="N84" s="374"/>
      <c r="O84" s="374"/>
      <c r="P84" s="374"/>
      <c r="Q84" s="374"/>
      <c r="U84" s="372"/>
      <c r="V84" s="282" t="str">
        <f>U79&amp;" VI"</f>
        <v>Strength VI</v>
      </c>
      <c r="W84" s="283">
        <f t="shared" si="29"/>
        <v>25600</v>
      </c>
      <c r="Y84" s="12"/>
    </row>
    <row r="85">
      <c r="M85" s="374"/>
      <c r="N85" s="374"/>
      <c r="O85" s="374"/>
      <c r="P85" s="374"/>
      <c r="Q85" s="374"/>
      <c r="U85" s="372"/>
      <c r="V85" s="282" t="str">
        <f>U79&amp;" VII"</f>
        <v>Strength VII</v>
      </c>
      <c r="W85" s="283">
        <f t="shared" si="29"/>
        <v>25600</v>
      </c>
      <c r="Y85" s="12"/>
    </row>
    <row r="86">
      <c r="M86" s="374"/>
      <c r="N86" s="374"/>
      <c r="O86" s="374"/>
      <c r="P86" s="374"/>
      <c r="Q86" s="374"/>
      <c r="U86" s="393"/>
      <c r="V86" s="394" t="str">
        <f>U79&amp;" VIII"</f>
        <v>Strength VIII</v>
      </c>
      <c r="W86" s="395">
        <f t="shared" si="29"/>
        <v>25600</v>
      </c>
      <c r="X86" s="6"/>
      <c r="Y86" s="7"/>
    </row>
    <row r="87">
      <c r="M87" s="374"/>
      <c r="N87" s="374"/>
      <c r="O87" s="374"/>
      <c r="P87" s="374"/>
      <c r="Q87" s="374"/>
      <c r="U87" s="385" t="s">
        <v>439</v>
      </c>
      <c r="V87" s="282" t="str">
        <f>U87&amp;" I"</f>
        <v>True Resistance I</v>
      </c>
      <c r="W87" s="299">
        <v>1.0</v>
      </c>
      <c r="X87" s="282" t="s">
        <v>462</v>
      </c>
      <c r="Y87" s="386" t="str">
        <f>X87</f>
        <v>True Essence</v>
      </c>
    </row>
    <row r="88">
      <c r="M88" s="374"/>
      <c r="N88" s="374"/>
      <c r="O88" s="374"/>
      <c r="P88" s="374"/>
      <c r="Q88" s="374"/>
      <c r="U88" s="372"/>
      <c r="V88" s="282" t="str">
        <f>U87&amp;" II"</f>
        <v>True Resistance II</v>
      </c>
      <c r="W88" s="299">
        <v>1.0</v>
      </c>
      <c r="Y88" s="12"/>
    </row>
    <row r="89">
      <c r="M89" s="374"/>
      <c r="N89" s="374"/>
      <c r="O89" s="374"/>
      <c r="P89" s="374"/>
      <c r="Q89" s="374"/>
      <c r="U89" s="372"/>
      <c r="V89" s="282" t="str">
        <f>U87&amp;" III"</f>
        <v>True Resistance III</v>
      </c>
      <c r="W89" s="299">
        <v>1.0</v>
      </c>
      <c r="Y89" s="12"/>
    </row>
    <row r="90">
      <c r="M90" s="374"/>
      <c r="N90" s="374"/>
      <c r="O90" s="374"/>
      <c r="P90" s="374"/>
      <c r="Q90" s="374"/>
      <c r="U90" s="393"/>
      <c r="V90" s="394" t="str">
        <f>U87&amp;" IV"</f>
        <v>True Resistance IV</v>
      </c>
      <c r="W90" s="396">
        <v>1.0</v>
      </c>
      <c r="X90" s="6"/>
      <c r="Y90" s="7"/>
    </row>
    <row r="91">
      <c r="M91" s="374"/>
      <c r="N91" s="374"/>
      <c r="O91" s="374"/>
      <c r="P91" s="374"/>
      <c r="Q91" s="374"/>
      <c r="U91" s="385" t="s">
        <v>440</v>
      </c>
      <c r="V91" s="282" t="str">
        <f>U91&amp;" I"</f>
        <v>Water Breathing I</v>
      </c>
      <c r="W91" s="299">
        <v>1.0</v>
      </c>
      <c r="X91" s="282" t="s">
        <v>463</v>
      </c>
      <c r="Y91" s="386" t="str">
        <f>X91</f>
        <v>Pufferfish</v>
      </c>
    </row>
    <row r="92">
      <c r="M92" s="374"/>
      <c r="N92" s="374"/>
      <c r="O92" s="374"/>
      <c r="P92" s="374"/>
      <c r="Q92" s="374"/>
      <c r="U92" s="372"/>
      <c r="V92" s="282" t="str">
        <f>U91&amp;" II"</f>
        <v>Water Breathing II</v>
      </c>
      <c r="W92" s="299">
        <v>1.0</v>
      </c>
      <c r="Y92" s="12"/>
    </row>
    <row r="93">
      <c r="M93" s="374"/>
      <c r="N93" s="374"/>
      <c r="O93" s="374"/>
      <c r="P93" s="374"/>
      <c r="Q93" s="374"/>
      <c r="U93" s="372"/>
      <c r="V93" s="282" t="str">
        <f>U91&amp;" III"</f>
        <v>Water Breathing III</v>
      </c>
      <c r="W93" s="299">
        <v>160.0</v>
      </c>
      <c r="Y93" s="386" t="str">
        <f>"Enchanted "&amp;Y91</f>
        <v>Enchanted Pufferfish</v>
      </c>
    </row>
    <row r="94">
      <c r="M94" s="374"/>
      <c r="N94" s="374"/>
      <c r="O94" s="374"/>
      <c r="P94" s="374"/>
      <c r="Q94" s="374"/>
      <c r="U94" s="372"/>
      <c r="V94" s="282" t="str">
        <f>U91&amp;" IV"</f>
        <v>Water Breathing IV</v>
      </c>
      <c r="W94" s="299">
        <v>160.0</v>
      </c>
      <c r="Y94" s="12"/>
    </row>
    <row r="95">
      <c r="M95" s="374"/>
      <c r="N95" s="374"/>
      <c r="O95" s="374"/>
      <c r="P95" s="374"/>
      <c r="Q95" s="374"/>
      <c r="U95" s="372"/>
      <c r="V95" s="282" t="str">
        <f>U91&amp;" V"</f>
        <v>Water Breathing V</v>
      </c>
      <c r="W95" s="299">
        <v>160.0</v>
      </c>
      <c r="Y95" s="12"/>
    </row>
    <row r="96">
      <c r="M96" s="374"/>
      <c r="N96" s="374"/>
      <c r="O96" s="374"/>
      <c r="P96" s="374"/>
      <c r="Q96" s="374"/>
      <c r="U96" s="393"/>
      <c r="V96" s="394" t="str">
        <f>U91&amp;" VI"</f>
        <v>Water Breathing VI</v>
      </c>
      <c r="W96" s="396">
        <v>160.0</v>
      </c>
      <c r="X96" s="6"/>
      <c r="Y96" s="7"/>
    </row>
    <row r="97">
      <c r="M97" s="374"/>
      <c r="N97" s="374"/>
      <c r="O97" s="374"/>
      <c r="P97" s="374"/>
      <c r="Q97" s="374"/>
      <c r="U97" s="374"/>
    </row>
  </sheetData>
  <mergeCells count="135">
    <mergeCell ref="R1:S3"/>
    <mergeCell ref="P4:Q27"/>
    <mergeCell ref="U4:V4"/>
    <mergeCell ref="W4:X4"/>
    <mergeCell ref="U5:U12"/>
    <mergeCell ref="X5:X12"/>
    <mergeCell ref="Y5:Y6"/>
    <mergeCell ref="Y7:Y8"/>
    <mergeCell ref="U13:U16"/>
    <mergeCell ref="X13:X16"/>
    <mergeCell ref="Y13:Y16"/>
    <mergeCell ref="U17:U20"/>
    <mergeCell ref="X17:X20"/>
    <mergeCell ref="Y17:Y20"/>
    <mergeCell ref="U21:U24"/>
    <mergeCell ref="X21:X24"/>
    <mergeCell ref="K1:L27"/>
    <mergeCell ref="M22:O27"/>
    <mergeCell ref="U25:U28"/>
    <mergeCell ref="X25:X28"/>
    <mergeCell ref="D26:E26"/>
    <mergeCell ref="F26:G26"/>
    <mergeCell ref="A24:I24"/>
    <mergeCell ref="J24:J27"/>
    <mergeCell ref="A25:C25"/>
    <mergeCell ref="D25:E25"/>
    <mergeCell ref="F25:G25"/>
    <mergeCell ref="H25:I25"/>
    <mergeCell ref="A26:C26"/>
    <mergeCell ref="A27:I27"/>
    <mergeCell ref="Y25:Y28"/>
    <mergeCell ref="H26:I26"/>
    <mergeCell ref="U29:U32"/>
    <mergeCell ref="X29:X32"/>
    <mergeCell ref="Y29:Y32"/>
    <mergeCell ref="U33:U36"/>
    <mergeCell ref="X33:X36"/>
    <mergeCell ref="Y33:Y36"/>
    <mergeCell ref="U37:U40"/>
    <mergeCell ref="X37:X40"/>
    <mergeCell ref="Y37:Y40"/>
    <mergeCell ref="U41:U44"/>
    <mergeCell ref="W41:W44"/>
    <mergeCell ref="X41:X44"/>
    <mergeCell ref="Y41:Y44"/>
    <mergeCell ref="U45:U50"/>
    <mergeCell ref="X45:X50"/>
    <mergeCell ref="Y45:Y46"/>
    <mergeCell ref="N47:N50"/>
    <mergeCell ref="O47:O50"/>
    <mergeCell ref="P47:P50"/>
    <mergeCell ref="Q47:Q50"/>
    <mergeCell ref="Y47:Y50"/>
    <mergeCell ref="A48:C57"/>
    <mergeCell ref="D48:E48"/>
    <mergeCell ref="D49:E49"/>
    <mergeCell ref="D54:E54"/>
    <mergeCell ref="D55:E55"/>
    <mergeCell ref="D56:E56"/>
    <mergeCell ref="G49:G52"/>
    <mergeCell ref="H49:H52"/>
    <mergeCell ref="I53:I56"/>
    <mergeCell ref="J53:J56"/>
    <mergeCell ref="K53:K56"/>
    <mergeCell ref="D57:L57"/>
    <mergeCell ref="I49:I52"/>
    <mergeCell ref="J49:J52"/>
    <mergeCell ref="K49:K52"/>
    <mergeCell ref="D50:E50"/>
    <mergeCell ref="D51:E51"/>
    <mergeCell ref="D52:E52"/>
    <mergeCell ref="N51:N54"/>
    <mergeCell ref="O51:O54"/>
    <mergeCell ref="P51:P54"/>
    <mergeCell ref="Q51:Q54"/>
    <mergeCell ref="U51:U58"/>
    <mergeCell ref="X51:X58"/>
    <mergeCell ref="Y51:Y54"/>
    <mergeCell ref="D53:E53"/>
    <mergeCell ref="G53:G56"/>
    <mergeCell ref="H53:H56"/>
    <mergeCell ref="Y55:Y58"/>
    <mergeCell ref="B58:C58"/>
    <mergeCell ref="D58:E58"/>
    <mergeCell ref="F58:G58"/>
    <mergeCell ref="H58:I58"/>
    <mergeCell ref="J58:L58"/>
    <mergeCell ref="A59:A60"/>
    <mergeCell ref="B59:C59"/>
    <mergeCell ref="B60:C60"/>
    <mergeCell ref="D59:E59"/>
    <mergeCell ref="F59:G59"/>
    <mergeCell ref="H59:I59"/>
    <mergeCell ref="J59:L59"/>
    <mergeCell ref="U59:U66"/>
    <mergeCell ref="X59:X66"/>
    <mergeCell ref="Y59:Y60"/>
    <mergeCell ref="D60:E60"/>
    <mergeCell ref="F60:G60"/>
    <mergeCell ref="H60:I60"/>
    <mergeCell ref="J60:L60"/>
    <mergeCell ref="Y21:Y24"/>
    <mergeCell ref="Y61:Y62"/>
    <mergeCell ref="T1:T97"/>
    <mergeCell ref="R13:S97"/>
    <mergeCell ref="Y91:Y92"/>
    <mergeCell ref="Y93:Y96"/>
    <mergeCell ref="A1:J1"/>
    <mergeCell ref="U1:Y3"/>
    <mergeCell ref="Z1:Z97"/>
    <mergeCell ref="A2:J2"/>
    <mergeCell ref="A3:J3"/>
    <mergeCell ref="Y9:Y12"/>
    <mergeCell ref="A61:L97"/>
    <mergeCell ref="U97:Y97"/>
    <mergeCell ref="Y63:Y66"/>
    <mergeCell ref="U67:U74"/>
    <mergeCell ref="X67:X74"/>
    <mergeCell ref="Y67:Y68"/>
    <mergeCell ref="Y69:Y70"/>
    <mergeCell ref="Y71:Y74"/>
    <mergeCell ref="U75:U78"/>
    <mergeCell ref="W75:W78"/>
    <mergeCell ref="X75:X78"/>
    <mergeCell ref="Y75:Y78"/>
    <mergeCell ref="U79:U86"/>
    <mergeCell ref="X79:X86"/>
    <mergeCell ref="Y79:Y80"/>
    <mergeCell ref="Y81:Y82"/>
    <mergeCell ref="Y83:Y86"/>
    <mergeCell ref="U87:U90"/>
    <mergeCell ref="X87:X90"/>
    <mergeCell ref="Y87:Y90"/>
    <mergeCell ref="U91:U96"/>
    <mergeCell ref="X91:X96"/>
  </mergeCells>
  <dataValidations>
    <dataValidation type="list" allowBlank="1" showErrorMessage="1" sqref="C15 C39">
      <formula1>"∅,I,V"</formula1>
    </dataValidation>
    <dataValidation type="decimal" allowBlank="1" showDropDown="1" sqref="A59">
      <formula1>0.0</formula1>
      <formula2>24.0</formula2>
    </dataValidation>
    <dataValidation type="list" allowBlank="1" showErrorMessage="1" sqref="I29:I36 I38:I41 I43 I45">
      <formula1>"∅,I,II,III,IV,V,VI,VII,VIII,IX,X,XI"</formula1>
    </dataValidation>
    <dataValidation type="list" allowBlank="1" showErrorMessage="1" sqref="C5 C16:C17 C19 C29 C40:C41 C43">
      <formula1>"∅,I,III,V"</formula1>
    </dataValidation>
    <dataValidation type="list" allowBlank="1" showErrorMessage="1" sqref="E5:E21 E23 E29:E45 E47">
      <formula1>'Pot Costs'!$R$9:$R$12</formula1>
    </dataValidation>
    <dataValidation type="list" allowBlank="1" showErrorMessage="1" sqref="C14 C38">
      <formula1>"∅,I,III"</formula1>
    </dataValidation>
    <dataValidation type="list" allowBlank="1" showErrorMessage="1" sqref="C6:C13 C18 C20:C21 C30:C37 C42 C44:C45">
      <formula1>"∅,I"</formula1>
    </dataValidation>
    <dataValidation type="list" allowBlank="1" showErrorMessage="1" sqref="I49 I53">
      <formula1>"∅,I,II,III,IV,V,VI,VII,VIII,IX,X,XI,XII"</formula1>
    </dataValidation>
    <dataValidation type="list" allowBlank="1" showErrorMessage="1" sqref="D5:D21 D23 D29:D45 D47">
      <formula1>'Pot Costs'!$R$5:$R$9</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9.5"/>
    <col customWidth="1" min="2" max="2" width="31.38"/>
    <col customWidth="1" min="3" max="3" width="10.13"/>
    <col customWidth="1" min="4" max="4" width="13.88"/>
    <col customWidth="1" min="5" max="5" width="15.75"/>
    <col customWidth="1" hidden="1" min="6" max="6" width="15.75"/>
    <col customWidth="1" min="7" max="7" width="13.88"/>
    <col customWidth="1" min="8" max="8" width="10.75"/>
    <col customWidth="1" min="9" max="10" width="11.38"/>
    <col customWidth="1" hidden="1" min="11" max="11" width="10.75"/>
    <col customWidth="1" hidden="1" min="12" max="12" width="15.75"/>
    <col customWidth="1" min="13" max="13" width="18.88"/>
    <col customWidth="1" min="16" max="16" width="9.5"/>
  </cols>
  <sheetData>
    <row r="1">
      <c r="A1" s="80"/>
      <c r="B1" s="40"/>
      <c r="O1" s="463"/>
      <c r="P1" s="40"/>
    </row>
    <row r="2">
      <c r="B2" s="99" t="s">
        <v>464</v>
      </c>
      <c r="C2" s="101" t="s">
        <v>465</v>
      </c>
      <c r="D2" s="17"/>
      <c r="E2" s="16" t="s">
        <v>122</v>
      </c>
      <c r="F2" s="18" t="s">
        <v>103</v>
      </c>
      <c r="G2" s="18" t="s">
        <v>123</v>
      </c>
      <c r="H2" s="18" t="s">
        <v>102</v>
      </c>
      <c r="I2" s="18" t="s">
        <v>466</v>
      </c>
      <c r="J2" s="18" t="s">
        <v>126</v>
      </c>
      <c r="K2" s="18" t="s">
        <v>449</v>
      </c>
      <c r="L2" s="18" t="s">
        <v>467</v>
      </c>
      <c r="M2" s="18" t="s">
        <v>185</v>
      </c>
      <c r="N2" s="18" t="s">
        <v>468</v>
      </c>
      <c r="O2" s="464" t="s">
        <v>469</v>
      </c>
    </row>
    <row r="3">
      <c r="B3" s="27" t="s">
        <v>470</v>
      </c>
      <c r="C3" s="187">
        <v>125.0</v>
      </c>
      <c r="D3" s="34" t="s">
        <v>155</v>
      </c>
      <c r="E3" s="180" t="s">
        <v>175</v>
      </c>
      <c r="F3" s="104">
        <f t="shared" ref="F3:F17" si="1">IF(ISNUMBER(E3),E3,IFERROR(ARABIC(E3),0))</f>
        <v>11</v>
      </c>
      <c r="G3" s="104">
        <v>1.0</v>
      </c>
      <c r="H3" s="181">
        <v>0.25</v>
      </c>
      <c r="I3" s="465">
        <f>IF(AND(F3&gt;0,F3&lt;=11),OFFSET('Minion Tiers'!$S$119,F3,0),"N/A")</f>
        <v>32</v>
      </c>
      <c r="J3" s="465">
        <f t="shared" ref="J3:J17" si="2">IFERROR(I3/(1+H3),"N/A")</f>
        <v>25.6</v>
      </c>
      <c r="K3" s="108">
        <v>1.0</v>
      </c>
      <c r="L3" s="219">
        <f t="shared" ref="L3:L17" si="3">G3/J3*K3*3600/2</f>
        <v>70.3125</v>
      </c>
      <c r="M3" s="466" t="str">
        <f t="shared" ref="M3:M17" si="4">IFERROR(ROUND(L3,1)&amp;" "&amp;D3&amp;"/h","N/A")</f>
        <v>70.3 Ghast Tear/h</v>
      </c>
      <c r="N3" s="467">
        <f t="shared" ref="N3:N17" si="5">IFERROR(C3/L3,"N/A")</f>
        <v>1.777777778</v>
      </c>
      <c r="O3" s="468">
        <f>IFERROR(Bazaar!$J$41*C3,"?")</f>
        <v>10362.125</v>
      </c>
    </row>
    <row r="4">
      <c r="B4" s="25" t="s">
        <v>471</v>
      </c>
      <c r="C4" s="200">
        <v>15360.0</v>
      </c>
      <c r="D4" s="37" t="s">
        <v>154</v>
      </c>
      <c r="E4" s="192" t="s">
        <v>175</v>
      </c>
      <c r="F4" s="118">
        <f t="shared" si="1"/>
        <v>11</v>
      </c>
      <c r="G4" s="118">
        <v>1.0</v>
      </c>
      <c r="H4" s="194">
        <v>0.25</v>
      </c>
      <c r="I4" s="469">
        <f>IF(AND(F4&gt;0,F4&lt;=11),OFFSET('Minion Tiers'!$S$106,F4,0),"N/A")</f>
        <v>18</v>
      </c>
      <c r="J4" s="469">
        <f t="shared" si="2"/>
        <v>14.4</v>
      </c>
      <c r="K4" s="122">
        <v>1.0</v>
      </c>
      <c r="L4" s="218">
        <f t="shared" si="3"/>
        <v>125</v>
      </c>
      <c r="M4" s="470" t="str">
        <f t="shared" si="4"/>
        <v>125 Ender Pearl/h</v>
      </c>
      <c r="N4" s="471">
        <f t="shared" si="5"/>
        <v>122.88</v>
      </c>
      <c r="O4" s="204">
        <f>IFERROR(Bazaar!$F$94*C4,"?")</f>
        <v>110906.88</v>
      </c>
    </row>
    <row r="5">
      <c r="B5" s="27" t="s">
        <v>472</v>
      </c>
      <c r="C5" s="187">
        <f>64*2*160</f>
        <v>20480</v>
      </c>
      <c r="D5" s="34" t="s">
        <v>117</v>
      </c>
      <c r="E5" s="180" t="s">
        <v>175</v>
      </c>
      <c r="F5" s="104">
        <f t="shared" si="1"/>
        <v>11</v>
      </c>
      <c r="G5" s="104">
        <v>1.0</v>
      </c>
      <c r="H5" s="181">
        <v>0.25</v>
      </c>
      <c r="I5" s="465">
        <f>IF(AND(F5&gt;0,F5&lt;=11),OFFSET('Minion Tiers'!$I$210,F5,0),"N/A")</f>
        <v>13</v>
      </c>
      <c r="J5" s="465">
        <f t="shared" si="2"/>
        <v>10.4</v>
      </c>
      <c r="K5" s="108">
        <v>1.0</v>
      </c>
      <c r="L5" s="219">
        <f t="shared" si="3"/>
        <v>173.0769231</v>
      </c>
      <c r="M5" s="466" t="str">
        <f t="shared" si="4"/>
        <v>173.1 End Stone/h</v>
      </c>
      <c r="N5" s="467">
        <f t="shared" si="5"/>
        <v>118.3288889</v>
      </c>
      <c r="O5" s="191">
        <f>IFERROR(Bazaar!$F$72*C5,"?")</f>
        <v>40800</v>
      </c>
    </row>
    <row r="6">
      <c r="B6" s="25" t="s">
        <v>473</v>
      </c>
      <c r="C6" s="200">
        <v>51200.0</v>
      </c>
      <c r="D6" s="37" t="s">
        <v>43</v>
      </c>
      <c r="E6" s="192" t="s">
        <v>175</v>
      </c>
      <c r="F6" s="118">
        <f t="shared" si="1"/>
        <v>11</v>
      </c>
      <c r="G6" s="193">
        <v>1.0</v>
      </c>
      <c r="H6" s="194">
        <v>0.25</v>
      </c>
      <c r="I6" s="469">
        <f>IF(AND(F6&gt;0,F6&lt;=11),OFFSET('Minion Tiers'!$I$184,F6,0),"N/A")</f>
        <v>14</v>
      </c>
      <c r="J6" s="469">
        <f t="shared" si="2"/>
        <v>11.2</v>
      </c>
      <c r="K6" s="122">
        <v>1.0</v>
      </c>
      <c r="L6" s="218">
        <f t="shared" si="3"/>
        <v>160.7142857</v>
      </c>
      <c r="M6" s="470" t="str">
        <f t="shared" si="4"/>
        <v>160.7 Emerald/h</v>
      </c>
      <c r="N6" s="471">
        <f t="shared" si="5"/>
        <v>318.5777778</v>
      </c>
      <c r="O6" s="204">
        <f>IFERROR(Bazaar!$F$70*C6,"?")</f>
        <v>358885.12</v>
      </c>
    </row>
    <row r="7">
      <c r="B7" s="27" t="s">
        <v>474</v>
      </c>
      <c r="C7" s="187">
        <v>81920.0</v>
      </c>
      <c r="D7" s="34" t="s">
        <v>147</v>
      </c>
      <c r="E7" s="180" t="s">
        <v>175</v>
      </c>
      <c r="F7" s="104">
        <f t="shared" si="1"/>
        <v>11</v>
      </c>
      <c r="G7" s="205">
        <v>1.0</v>
      </c>
      <c r="H7" s="181">
        <v>0.25</v>
      </c>
      <c r="I7" s="465">
        <f>IF(AND(F7&gt;0,F7&lt;=11),OFFSET('Minion Tiers'!$I$379,F7,0),"N/A")</f>
        <v>13</v>
      </c>
      <c r="J7" s="465">
        <f t="shared" si="2"/>
        <v>10.4</v>
      </c>
      <c r="K7" s="108">
        <v>1.0</v>
      </c>
      <c r="L7" s="219">
        <f t="shared" si="3"/>
        <v>173.0769231</v>
      </c>
      <c r="M7" s="466" t="str">
        <f t="shared" si="4"/>
        <v>173.1 Rotten Flesh/h</v>
      </c>
      <c r="N7" s="467">
        <f t="shared" si="5"/>
        <v>473.3155556</v>
      </c>
      <c r="O7" s="191">
        <f>IFERROR(Bazaar!$F$85*C7,"?")</f>
        <v>460785.664</v>
      </c>
    </row>
    <row r="8">
      <c r="B8" s="25" t="s">
        <v>475</v>
      </c>
      <c r="C8" s="200">
        <f>64*2*160</f>
        <v>20480</v>
      </c>
      <c r="D8" s="37" t="s">
        <v>166</v>
      </c>
      <c r="E8" s="192" t="s">
        <v>175</v>
      </c>
      <c r="F8" s="118">
        <f t="shared" si="1"/>
        <v>11</v>
      </c>
      <c r="G8" s="193">
        <v>1.0</v>
      </c>
      <c r="H8" s="194">
        <v>0.25</v>
      </c>
      <c r="I8" s="469">
        <f>IF(AND(F8&gt;0,F8&lt;=11),OFFSET('Minion Tiers'!$S$262,F8,0),"N/A")</f>
        <v>27</v>
      </c>
      <c r="J8" s="469">
        <f t="shared" si="2"/>
        <v>21.6</v>
      </c>
      <c r="K8" s="122">
        <v>1.0</v>
      </c>
      <c r="L8" s="218">
        <f t="shared" si="3"/>
        <v>83.33333333</v>
      </c>
      <c r="M8" s="470" t="str">
        <f t="shared" si="4"/>
        <v>83.3 Acacia Wood/h</v>
      </c>
      <c r="N8" s="471">
        <f t="shared" si="5"/>
        <v>245.76</v>
      </c>
      <c r="O8" s="204">
        <f>IFERROR(Bazaar!$F$106*C8,"?")</f>
        <v>297532.928</v>
      </c>
    </row>
    <row r="9">
      <c r="B9" s="27" t="s">
        <v>476</v>
      </c>
      <c r="C9" s="187">
        <f>4*6*32*160</f>
        <v>122880</v>
      </c>
      <c r="D9" s="34" t="s">
        <v>144</v>
      </c>
      <c r="E9" s="180" t="s">
        <v>175</v>
      </c>
      <c r="F9" s="104">
        <f t="shared" si="1"/>
        <v>11</v>
      </c>
      <c r="G9" s="205">
        <v>1.0</v>
      </c>
      <c r="H9" s="181">
        <v>0.25</v>
      </c>
      <c r="I9" s="465">
        <f>IF(AND(F9&gt;0,F9&lt;=11),OFFSET('Minion Tiers'!$I$41,F9,0),"N/A")</f>
        <v>13</v>
      </c>
      <c r="J9" s="465">
        <f t="shared" si="2"/>
        <v>10.4</v>
      </c>
      <c r="K9" s="108">
        <v>1.0</v>
      </c>
      <c r="L9" s="219">
        <f t="shared" si="3"/>
        <v>173.0769231</v>
      </c>
      <c r="M9" s="466" t="str">
        <f t="shared" si="4"/>
        <v>173.1 Flint/h</v>
      </c>
      <c r="N9" s="467">
        <f t="shared" si="5"/>
        <v>709.9733333</v>
      </c>
      <c r="O9" s="191">
        <f>IFERROR(Bazaar!$F$59*C9,"?")</f>
        <v>5077555.2</v>
      </c>
    </row>
    <row r="10">
      <c r="B10" s="25" t="s">
        <v>477</v>
      </c>
      <c r="C10" s="200">
        <v>245760.0</v>
      </c>
      <c r="D10" s="37" t="s">
        <v>151</v>
      </c>
      <c r="E10" s="192" t="s">
        <v>175</v>
      </c>
      <c r="F10" s="118">
        <f t="shared" si="1"/>
        <v>11</v>
      </c>
      <c r="G10" s="118">
        <v>1.0</v>
      </c>
      <c r="H10" s="194">
        <v>0.25</v>
      </c>
      <c r="I10" s="469">
        <f>IF(AND(F10&gt;0,F10&lt;=11),OFFSET('Minion Tiers'!$S$67,F10,0),"N/A")</f>
        <v>13</v>
      </c>
      <c r="J10" s="469">
        <f t="shared" si="2"/>
        <v>10.4</v>
      </c>
      <c r="K10" s="122">
        <v>1.0</v>
      </c>
      <c r="L10" s="218">
        <f t="shared" si="3"/>
        <v>173.0769231</v>
      </c>
      <c r="M10" s="470" t="str">
        <f t="shared" si="4"/>
        <v>173.1 Spider Eye/h</v>
      </c>
      <c r="N10" s="471">
        <f t="shared" si="5"/>
        <v>1419.946667</v>
      </c>
      <c r="O10" s="204">
        <f>IFERROR(Bazaar!$F$91*C10,"?")</f>
        <v>2440934.4</v>
      </c>
    </row>
    <row r="11">
      <c r="B11" s="27" t="s">
        <v>478</v>
      </c>
      <c r="C11" s="187">
        <f>10*160*8*32</f>
        <v>409600</v>
      </c>
      <c r="D11" s="34" t="s">
        <v>147</v>
      </c>
      <c r="E11" s="180" t="s">
        <v>175</v>
      </c>
      <c r="F11" s="104">
        <f t="shared" si="1"/>
        <v>11</v>
      </c>
      <c r="G11" s="205">
        <v>1.0</v>
      </c>
      <c r="H11" s="181">
        <v>0.25</v>
      </c>
      <c r="I11" s="465">
        <f>IF(AND(F11&gt;0,F11&lt;=11),OFFSET('Minion Tiers'!$I$379,F11,0),"N/A")</f>
        <v>13</v>
      </c>
      <c r="J11" s="465">
        <f t="shared" si="2"/>
        <v>10.4</v>
      </c>
      <c r="K11" s="108">
        <v>1.0</v>
      </c>
      <c r="L11" s="219">
        <f t="shared" si="3"/>
        <v>173.0769231</v>
      </c>
      <c r="M11" s="466" t="str">
        <f t="shared" si="4"/>
        <v>173.1 Rotten Flesh/h</v>
      </c>
      <c r="N11" s="467">
        <f t="shared" si="5"/>
        <v>2366.577778</v>
      </c>
      <c r="O11" s="191">
        <f>IFERROR(Bazaar!$F$85*C11,"?")</f>
        <v>2303928.32</v>
      </c>
    </row>
    <row r="12">
      <c r="B12" s="25" t="s">
        <v>479</v>
      </c>
      <c r="C12" s="200">
        <v>1228800.0</v>
      </c>
      <c r="D12" s="37" t="s">
        <v>158</v>
      </c>
      <c r="E12" s="192" t="s">
        <v>175</v>
      </c>
      <c r="F12" s="118">
        <f t="shared" si="1"/>
        <v>11</v>
      </c>
      <c r="G12" s="118">
        <v>1.0</v>
      </c>
      <c r="H12" s="194">
        <v>0.25</v>
      </c>
      <c r="I12" s="469">
        <f>IF(AND(F12&gt;0,F12&lt;=11),OFFSET('Minion Tiers'!$S$158,F12,0),"N/A")</f>
        <v>13</v>
      </c>
      <c r="J12" s="469">
        <f t="shared" si="2"/>
        <v>10.4</v>
      </c>
      <c r="K12" s="122">
        <v>1.0</v>
      </c>
      <c r="L12" s="218">
        <f t="shared" si="3"/>
        <v>173.0769231</v>
      </c>
      <c r="M12" s="470" t="str">
        <f t="shared" si="4"/>
        <v>173.1 Raw Porkchop/h</v>
      </c>
      <c r="N12" s="471">
        <f t="shared" si="5"/>
        <v>7099.733333</v>
      </c>
      <c r="O12" s="204">
        <f>IFERROR(Bazaar!$F$98*C12,"?")</f>
        <v>52725918.72</v>
      </c>
    </row>
    <row r="13">
      <c r="B13" s="27" t="s">
        <v>480</v>
      </c>
      <c r="C13" s="187">
        <f>10*160*8*32*3</f>
        <v>1228800</v>
      </c>
      <c r="D13" s="34" t="s">
        <v>147</v>
      </c>
      <c r="E13" s="180" t="s">
        <v>175</v>
      </c>
      <c r="F13" s="104">
        <f t="shared" si="1"/>
        <v>11</v>
      </c>
      <c r="G13" s="104">
        <v>1.0</v>
      </c>
      <c r="H13" s="181">
        <v>0.25</v>
      </c>
      <c r="I13" s="465">
        <f>IF(AND(F13&gt;0,F13&lt;=11),OFFSET('Minion Tiers'!$I$379,F13,0),"N/A")</f>
        <v>13</v>
      </c>
      <c r="J13" s="465">
        <f t="shared" si="2"/>
        <v>10.4</v>
      </c>
      <c r="K13" s="108">
        <v>1.0</v>
      </c>
      <c r="L13" s="219">
        <f t="shared" si="3"/>
        <v>173.0769231</v>
      </c>
      <c r="M13" s="466" t="str">
        <f t="shared" si="4"/>
        <v>173.1 Rotten Flesh/h</v>
      </c>
      <c r="N13" s="467">
        <f t="shared" si="5"/>
        <v>7099.733333</v>
      </c>
      <c r="O13" s="191">
        <f>IFERROR(Bazaar!$F$85*C13,"?")</f>
        <v>6911784.96</v>
      </c>
    </row>
    <row r="14">
      <c r="B14" s="43" t="s">
        <v>481</v>
      </c>
      <c r="C14" s="225">
        <f>32*2*160*160</f>
        <v>1638400</v>
      </c>
      <c r="D14" s="44" t="s">
        <v>35</v>
      </c>
      <c r="E14" s="192" t="s">
        <v>175</v>
      </c>
      <c r="F14" s="118">
        <f t="shared" si="1"/>
        <v>11</v>
      </c>
      <c r="G14" s="118">
        <v>1.0</v>
      </c>
      <c r="H14" s="194">
        <v>0.25</v>
      </c>
      <c r="I14" s="472">
        <f>IF(AND(F14&gt;0,F14&lt;=11),OFFSET('Minion Tiers'!$I$80,F14,0),"N/A")</f>
        <v>7</v>
      </c>
      <c r="J14" s="472">
        <f t="shared" si="2"/>
        <v>5.6</v>
      </c>
      <c r="K14" s="222">
        <v>1.0</v>
      </c>
      <c r="L14" s="473">
        <f t="shared" si="3"/>
        <v>321.4285714</v>
      </c>
      <c r="M14" s="474" t="str">
        <f t="shared" si="4"/>
        <v>321.4 Ice/h</v>
      </c>
      <c r="N14" s="475">
        <f t="shared" si="5"/>
        <v>5097.244444</v>
      </c>
      <c r="O14" s="229">
        <f>IFERROR(Bazaar!$F$62*C14,"?")</f>
        <v>7222425.6</v>
      </c>
    </row>
    <row r="15">
      <c r="B15" s="27" t="s">
        <v>482</v>
      </c>
      <c r="C15" s="187">
        <f>2*64*160*160</f>
        <v>3276800</v>
      </c>
      <c r="D15" s="34" t="s">
        <v>35</v>
      </c>
      <c r="E15" s="180" t="s">
        <v>175</v>
      </c>
      <c r="F15" s="104">
        <f t="shared" si="1"/>
        <v>11</v>
      </c>
      <c r="G15" s="104">
        <v>1.0</v>
      </c>
      <c r="H15" s="181">
        <v>0.25</v>
      </c>
      <c r="I15" s="465">
        <f>IF(AND(F15&gt;0,F15&lt;=11),OFFSET('Minion Tiers'!$I$80,F15,0),"N/A")</f>
        <v>7</v>
      </c>
      <c r="J15" s="465">
        <f t="shared" si="2"/>
        <v>5.6</v>
      </c>
      <c r="K15" s="108">
        <v>1.0</v>
      </c>
      <c r="L15" s="219">
        <f t="shared" si="3"/>
        <v>321.4285714</v>
      </c>
      <c r="M15" s="466" t="str">
        <f t="shared" si="4"/>
        <v>321.4 Ice/h</v>
      </c>
      <c r="N15" s="467">
        <f t="shared" si="5"/>
        <v>10194.48889</v>
      </c>
      <c r="O15" s="191">
        <f>IFERROR(Bazaar!$F$62*C15,"?")</f>
        <v>14444851.2</v>
      </c>
    </row>
    <row r="16">
      <c r="B16" s="43" t="s">
        <v>483</v>
      </c>
      <c r="C16" s="225">
        <f>16*2*160*160</f>
        <v>819200</v>
      </c>
      <c r="D16" s="44" t="s">
        <v>38</v>
      </c>
      <c r="E16" s="192" t="s">
        <v>175</v>
      </c>
      <c r="F16" s="118">
        <f t="shared" si="1"/>
        <v>11</v>
      </c>
      <c r="G16" s="118">
        <v>1.0</v>
      </c>
      <c r="H16" s="194">
        <v>0.25</v>
      </c>
      <c r="I16" s="472">
        <f>IF(AND(F16&gt;0,F16&lt;=11),OFFSET('Minion Tiers'!$I$119,F16,0),"N/A")</f>
        <v>8</v>
      </c>
      <c r="J16" s="472">
        <f t="shared" si="2"/>
        <v>6.4</v>
      </c>
      <c r="K16" s="222">
        <v>1.0</v>
      </c>
      <c r="L16" s="473">
        <f t="shared" si="3"/>
        <v>281.25</v>
      </c>
      <c r="M16" s="474" t="str">
        <f t="shared" si="4"/>
        <v>281.3 Iron/h</v>
      </c>
      <c r="N16" s="475">
        <f t="shared" si="5"/>
        <v>2912.711111</v>
      </c>
      <c r="O16" s="229">
        <f>IFERROR(Bazaar!$F$65*C16,"?")</f>
        <v>8848640</v>
      </c>
    </row>
    <row r="17">
      <c r="B17" s="87" t="s">
        <v>484</v>
      </c>
      <c r="C17" s="476">
        <f>64*6*160*160</f>
        <v>9830400</v>
      </c>
      <c r="D17" s="88" t="s">
        <v>35</v>
      </c>
      <c r="E17" s="236" t="s">
        <v>175</v>
      </c>
      <c r="F17" s="477">
        <f t="shared" si="1"/>
        <v>11</v>
      </c>
      <c r="G17" s="477">
        <v>1.0</v>
      </c>
      <c r="H17" s="478">
        <v>0.25</v>
      </c>
      <c r="I17" s="479">
        <f>IF(AND(F17&gt;0,F17&lt;=11),OFFSET('Minion Tiers'!$I$80,F17,0),"N/A")</f>
        <v>7</v>
      </c>
      <c r="J17" s="479">
        <f t="shared" si="2"/>
        <v>5.6</v>
      </c>
      <c r="K17" s="480">
        <v>1.0</v>
      </c>
      <c r="L17" s="481">
        <f t="shared" si="3"/>
        <v>321.4285714</v>
      </c>
      <c r="M17" s="482" t="str">
        <f t="shared" si="4"/>
        <v>321.4 Ice/h</v>
      </c>
      <c r="N17" s="483">
        <f t="shared" si="5"/>
        <v>30583.46667</v>
      </c>
      <c r="O17" s="230">
        <f>IFERROR((VLOOKUP("Enchanted Packed Ice",Bazaar!$A$2:$B70,2)/160/160)*C17,"?")</f>
        <v>36673684.99</v>
      </c>
    </row>
    <row r="18" ht="7.5" customHeight="1">
      <c r="B18" s="484"/>
      <c r="C18" s="17"/>
      <c r="D18" s="17"/>
      <c r="E18" s="17"/>
      <c r="F18" s="17"/>
      <c r="G18" s="17"/>
      <c r="H18" s="17"/>
      <c r="I18" s="17"/>
      <c r="J18" s="17"/>
      <c r="K18" s="17"/>
      <c r="L18" s="17"/>
      <c r="M18" s="17"/>
      <c r="N18" s="17"/>
      <c r="O18" s="17"/>
    </row>
    <row r="19">
      <c r="B19" s="27" t="s">
        <v>485</v>
      </c>
      <c r="C19" s="187">
        <v>15360.0</v>
      </c>
      <c r="D19" s="34" t="s">
        <v>153</v>
      </c>
      <c r="E19" s="180" t="s">
        <v>175</v>
      </c>
      <c r="F19" s="104">
        <f t="shared" ref="F19:F24" si="6">IF(ISNUMBER(E19),E19,IFERROR(ARABIC(E19),0))</f>
        <v>11</v>
      </c>
      <c r="G19" s="205">
        <v>1.0</v>
      </c>
      <c r="H19" s="181">
        <v>0.25</v>
      </c>
      <c r="I19" s="465">
        <f>IF(AND(F19&gt;0,F19&lt;=11),OFFSET('Minion Tiers'!$S$93,F19,0),"N/A")</f>
        <v>18</v>
      </c>
      <c r="J19" s="465">
        <f t="shared" ref="J19:J24" si="7">IFERROR(I19/(1+H19),"N/A")</f>
        <v>14.4</v>
      </c>
      <c r="K19" s="108">
        <v>1.8</v>
      </c>
      <c r="L19" s="219">
        <f t="shared" ref="L19:L24" si="8">G19/J19*K19*3600/2</f>
        <v>225</v>
      </c>
      <c r="M19" s="466" t="str">
        <f t="shared" ref="M19:M24" si="9">IFERROR(ROUND(L19,1)&amp;" "&amp;D19&amp;"/h","N/A")</f>
        <v>225 Magma Cream/h</v>
      </c>
      <c r="N19" s="467">
        <f t="shared" ref="N19:N24" si="10">IFERROR(C19/L19,"N/A")</f>
        <v>68.26666667</v>
      </c>
      <c r="O19" s="485">
        <f>IFERROR(Bazaar!$F$93*C19,"?")</f>
        <v>383870.496</v>
      </c>
    </row>
    <row r="20">
      <c r="B20" s="25" t="s">
        <v>486</v>
      </c>
      <c r="C20" s="200">
        <v>15360.0</v>
      </c>
      <c r="D20" s="37" t="s">
        <v>148</v>
      </c>
      <c r="E20" s="192" t="s">
        <v>175</v>
      </c>
      <c r="F20" s="118">
        <f t="shared" si="6"/>
        <v>11</v>
      </c>
      <c r="G20" s="193">
        <v>1.0</v>
      </c>
      <c r="H20" s="194">
        <v>0.25</v>
      </c>
      <c r="I20" s="469">
        <f>IF(AND(F20&gt;0,F20&lt;=11),OFFSET('Minion Tiers'!$S$15,F20,0),"N/A")</f>
        <v>13</v>
      </c>
      <c r="J20" s="469">
        <f t="shared" si="7"/>
        <v>10.4</v>
      </c>
      <c r="K20" s="122">
        <v>1.0</v>
      </c>
      <c r="L20" s="218">
        <f t="shared" si="8"/>
        <v>173.0769231</v>
      </c>
      <c r="M20" s="470" t="str">
        <f t="shared" si="9"/>
        <v>173.1 Bone/h</v>
      </c>
      <c r="N20" s="471">
        <f t="shared" si="10"/>
        <v>88.74666667</v>
      </c>
      <c r="O20" s="204">
        <f>IFERROR(Bazaar!$F$87*C20,"?")</f>
        <v>90019.968</v>
      </c>
    </row>
    <row r="21">
      <c r="B21" s="27" t="s">
        <v>487</v>
      </c>
      <c r="C21" s="187">
        <v>30720.0</v>
      </c>
      <c r="D21" s="34" t="s">
        <v>149</v>
      </c>
      <c r="E21" s="180" t="s">
        <v>175</v>
      </c>
      <c r="F21" s="104">
        <f t="shared" si="6"/>
        <v>11</v>
      </c>
      <c r="G21" s="205">
        <v>1.0</v>
      </c>
      <c r="H21" s="181">
        <v>0.25</v>
      </c>
      <c r="I21" s="465">
        <f>IF(AND(F21&gt;0,F21&lt;=11),OFFSET('Minion Tiers'!$S$28,F21,0),"N/A")</f>
        <v>14</v>
      </c>
      <c r="J21" s="465">
        <f t="shared" si="7"/>
        <v>11.2</v>
      </c>
      <c r="K21" s="108">
        <v>1.0</v>
      </c>
      <c r="L21" s="219">
        <f t="shared" si="8"/>
        <v>160.7142857</v>
      </c>
      <c r="M21" s="466" t="str">
        <f t="shared" si="9"/>
        <v>160.7 Gunpowder/h</v>
      </c>
      <c r="N21" s="467">
        <f t="shared" si="10"/>
        <v>191.1466667</v>
      </c>
      <c r="O21" s="191">
        <f>IFERROR(Bazaar!$F$88*C21,"?")</f>
        <v>840057.6</v>
      </c>
    </row>
    <row r="22">
      <c r="B22" s="25" t="s">
        <v>488</v>
      </c>
      <c r="C22" s="200">
        <v>36864.0</v>
      </c>
      <c r="D22" s="37" t="s">
        <v>150</v>
      </c>
      <c r="E22" s="192" t="s">
        <v>175</v>
      </c>
      <c r="F22" s="118">
        <f t="shared" si="6"/>
        <v>11</v>
      </c>
      <c r="G22" s="193">
        <v>1.0</v>
      </c>
      <c r="H22" s="194">
        <v>0.25</v>
      </c>
      <c r="I22" s="469">
        <f>IF(AND(F22&gt;0,F22&lt;=11),OFFSET('Minion Tiers'!$S$41,F22,0),"N/A")</f>
        <v>13</v>
      </c>
      <c r="J22" s="469">
        <f t="shared" si="7"/>
        <v>10.4</v>
      </c>
      <c r="K22" s="122">
        <v>1.0</v>
      </c>
      <c r="L22" s="218">
        <f t="shared" si="8"/>
        <v>173.0769231</v>
      </c>
      <c r="M22" s="470" t="str">
        <f t="shared" si="9"/>
        <v>173.1 String/h</v>
      </c>
      <c r="N22" s="471">
        <f t="shared" si="10"/>
        <v>212.992</v>
      </c>
      <c r="O22" s="204">
        <f>IFERROR(Bazaar!$F$89*C22,"?")</f>
        <v>442931.52</v>
      </c>
    </row>
    <row r="23">
      <c r="B23" s="27" t="s">
        <v>489</v>
      </c>
      <c r="C23" s="187">
        <v>384000.0</v>
      </c>
      <c r="D23" s="34" t="s">
        <v>156</v>
      </c>
      <c r="E23" s="180" t="s">
        <v>175</v>
      </c>
      <c r="F23" s="104">
        <f t="shared" si="6"/>
        <v>11</v>
      </c>
      <c r="G23" s="205">
        <v>1.0</v>
      </c>
      <c r="H23" s="181">
        <v>0.25</v>
      </c>
      <c r="I23" s="465">
        <f>IF(AND(F23&gt;0,F23&lt;=11),OFFSET('Minion Tiers'!$S$132,F23,0),"N/A")</f>
        <v>12</v>
      </c>
      <c r="J23" s="465">
        <f t="shared" si="7"/>
        <v>9.6</v>
      </c>
      <c r="K23" s="108">
        <v>1.8</v>
      </c>
      <c r="L23" s="219">
        <f t="shared" si="8"/>
        <v>337.5</v>
      </c>
      <c r="M23" s="466" t="str">
        <f t="shared" si="9"/>
        <v>337.5 Slimeball/h</v>
      </c>
      <c r="N23" s="467">
        <f t="shared" si="10"/>
        <v>1137.777778</v>
      </c>
      <c r="O23" s="191">
        <f>IFERROR(Bazaar!$F$96*C23,"?")</f>
        <v>4675884</v>
      </c>
    </row>
    <row r="24">
      <c r="B24" s="25" t="s">
        <v>490</v>
      </c>
      <c r="C24" s="200">
        <f>3*64*32*160</f>
        <v>983040</v>
      </c>
      <c r="D24" s="37" t="s">
        <v>144</v>
      </c>
      <c r="E24" s="192" t="s">
        <v>175</v>
      </c>
      <c r="F24" s="118">
        <f t="shared" si="6"/>
        <v>11</v>
      </c>
      <c r="G24" s="193">
        <v>1.0</v>
      </c>
      <c r="H24" s="194">
        <v>0.25</v>
      </c>
      <c r="I24" s="469">
        <f>IF(AND(F24&gt;0,F24&lt;=11),OFFSET('Minion Tiers'!$I$41,F24,0),"N/A")</f>
        <v>13</v>
      </c>
      <c r="J24" s="469">
        <f t="shared" si="7"/>
        <v>10.4</v>
      </c>
      <c r="K24" s="122">
        <v>1.0</v>
      </c>
      <c r="L24" s="218">
        <f t="shared" si="8"/>
        <v>173.0769231</v>
      </c>
      <c r="M24" s="470" t="str">
        <f t="shared" si="9"/>
        <v>173.1 Flint/h</v>
      </c>
      <c r="N24" s="471">
        <f t="shared" si="10"/>
        <v>5679.786667</v>
      </c>
      <c r="O24" s="486">
        <f>IFERROR(Bazaar!$F$59*C24,"?")</f>
        <v>40620441.6</v>
      </c>
    </row>
    <row r="25" ht="7.5" customHeight="1">
      <c r="B25" s="174"/>
      <c r="C25" s="3"/>
      <c r="D25" s="3"/>
      <c r="E25" s="3"/>
      <c r="F25" s="3"/>
      <c r="G25" s="3"/>
      <c r="H25" s="3"/>
      <c r="I25" s="3"/>
      <c r="J25" s="3"/>
      <c r="K25" s="3"/>
      <c r="L25" s="3"/>
      <c r="M25" s="3"/>
      <c r="N25" s="3"/>
      <c r="O25" s="3"/>
    </row>
    <row r="26">
      <c r="B26" s="33" t="s">
        <v>491</v>
      </c>
      <c r="C26" s="487">
        <v>3840.0</v>
      </c>
      <c r="D26" s="488" t="s">
        <v>29</v>
      </c>
      <c r="E26" s="441" t="s">
        <v>175</v>
      </c>
      <c r="F26" s="447">
        <f t="shared" ref="F26:F45" si="11">IF(ISNUMBER(E26),E26,IFERROR(ARABIC(E26),0))</f>
        <v>11</v>
      </c>
      <c r="G26" s="489">
        <v>1.0</v>
      </c>
      <c r="H26" s="448">
        <v>0.25</v>
      </c>
      <c r="I26" s="490">
        <f>IF(AND(F26&gt;0,F26&lt;=11),OFFSET('Minion Tiers'!$I$2,F26,0),"N/A")</f>
        <v>7</v>
      </c>
      <c r="J26" s="490">
        <f t="shared" ref="J26:J45" si="12">IFERROR(I26/(1+H26),"N/A")</f>
        <v>5.6</v>
      </c>
      <c r="K26" s="491">
        <v>1.0</v>
      </c>
      <c r="L26" s="492">
        <f t="shared" ref="L26:L45" si="13">G26/J26*K26*3600/2</f>
        <v>321.4285714</v>
      </c>
      <c r="M26" s="493" t="str">
        <f t="shared" ref="M26:M45" si="14">IFERROR(ROUND(L26,1)&amp;" "&amp;D26&amp;"/h","N/A")</f>
        <v>321.4 Cobblestone/h</v>
      </c>
      <c r="N26" s="494">
        <f t="shared" ref="N26:N45" si="15">IFERROR(C26/L26,"N/A")</f>
        <v>11.94666667</v>
      </c>
      <c r="O26" s="485">
        <f>IFERROR(Bazaar!$F$56*C26,"?")</f>
        <v>19203.72</v>
      </c>
    </row>
    <row r="27">
      <c r="B27" s="25" t="s">
        <v>492</v>
      </c>
      <c r="C27" s="200">
        <v>3840.0</v>
      </c>
      <c r="D27" s="37" t="s">
        <v>40</v>
      </c>
      <c r="E27" s="192" t="s">
        <v>175</v>
      </c>
      <c r="F27" s="118">
        <f t="shared" si="11"/>
        <v>11</v>
      </c>
      <c r="G27" s="193">
        <v>1.0</v>
      </c>
      <c r="H27" s="194">
        <v>0.25</v>
      </c>
      <c r="I27" s="469">
        <f>IF(AND(F27&gt;0,F27&lt;=11),OFFSET('Minion Tiers'!$I$145,F27,0),"N/A")</f>
        <v>15</v>
      </c>
      <c r="J27" s="469">
        <f t="shared" si="12"/>
        <v>12</v>
      </c>
      <c r="K27" s="122">
        <v>1.0</v>
      </c>
      <c r="L27" s="218">
        <f t="shared" si="13"/>
        <v>150</v>
      </c>
      <c r="M27" s="470" t="str">
        <f t="shared" si="14"/>
        <v>150 Diamond/h</v>
      </c>
      <c r="N27" s="471">
        <f t="shared" si="15"/>
        <v>25.6</v>
      </c>
      <c r="O27" s="204">
        <f>IFERROR(Bazaar!$F$67*C27,"?")</f>
        <v>32904.072</v>
      </c>
    </row>
    <row r="28">
      <c r="B28" s="27" t="s">
        <v>493</v>
      </c>
      <c r="C28" s="187">
        <v>31104.0</v>
      </c>
      <c r="D28" s="34" t="s">
        <v>47</v>
      </c>
      <c r="E28" s="180" t="s">
        <v>175</v>
      </c>
      <c r="F28" s="104">
        <f t="shared" si="11"/>
        <v>11</v>
      </c>
      <c r="G28" s="205">
        <v>1.0</v>
      </c>
      <c r="H28" s="181">
        <v>0.25</v>
      </c>
      <c r="I28" s="465">
        <f>IF(AND(F28&gt;0,F28&lt;=11),OFFSET('Minion Tiers'!$I$223,F28,0),"N/A")</f>
        <v>8</v>
      </c>
      <c r="J28" s="465">
        <f t="shared" si="12"/>
        <v>6.4</v>
      </c>
      <c r="K28" s="108">
        <v>1.0</v>
      </c>
      <c r="L28" s="219">
        <f t="shared" si="13"/>
        <v>281.25</v>
      </c>
      <c r="M28" s="466" t="str">
        <f t="shared" si="14"/>
        <v>281.3 Wheat/h</v>
      </c>
      <c r="N28" s="467">
        <f t="shared" si="15"/>
        <v>110.592</v>
      </c>
      <c r="O28" s="191">
        <f>IFERROR(Bazaar!$F$73*C28,"?")</f>
        <v>155488.896</v>
      </c>
    </row>
    <row r="29">
      <c r="B29" s="25" t="s">
        <v>494</v>
      </c>
      <c r="C29" s="200">
        <v>35840.0</v>
      </c>
      <c r="D29" s="37" t="s">
        <v>149</v>
      </c>
      <c r="E29" s="192" t="s">
        <v>175</v>
      </c>
      <c r="F29" s="118">
        <f t="shared" si="11"/>
        <v>11</v>
      </c>
      <c r="G29" s="193">
        <v>1.0</v>
      </c>
      <c r="H29" s="194">
        <v>0.25</v>
      </c>
      <c r="I29" s="469">
        <f>IF(AND(F29&gt;0,F29&lt;=11),OFFSET('Minion Tiers'!$S$28,F29,0),"N/A")</f>
        <v>14</v>
      </c>
      <c r="J29" s="469">
        <f t="shared" si="12"/>
        <v>11.2</v>
      </c>
      <c r="K29" s="122">
        <v>1.0</v>
      </c>
      <c r="L29" s="218">
        <f t="shared" si="13"/>
        <v>160.7142857</v>
      </c>
      <c r="M29" s="470" t="str">
        <f t="shared" si="14"/>
        <v>160.7 Gunpowder/h</v>
      </c>
      <c r="N29" s="471">
        <f t="shared" si="15"/>
        <v>223.0044444</v>
      </c>
      <c r="O29" s="204">
        <f>IFERROR(Bazaar!$F$88*C29,"?")</f>
        <v>980067.2</v>
      </c>
    </row>
    <row r="30">
      <c r="B30" s="27" t="s">
        <v>495</v>
      </c>
      <c r="C30" s="187">
        <v>38400.0</v>
      </c>
      <c r="D30" s="34" t="s">
        <v>38</v>
      </c>
      <c r="E30" s="180" t="s">
        <v>175</v>
      </c>
      <c r="F30" s="104">
        <f t="shared" si="11"/>
        <v>11</v>
      </c>
      <c r="G30" s="205">
        <v>1.0</v>
      </c>
      <c r="H30" s="181">
        <v>0.25</v>
      </c>
      <c r="I30" s="465">
        <f>IF(AND(F30&gt;0,F30&lt;=11),OFFSET('Minion Tiers'!$I$119,F30,0),"N/A")</f>
        <v>8</v>
      </c>
      <c r="J30" s="465">
        <f t="shared" si="12"/>
        <v>6.4</v>
      </c>
      <c r="K30" s="108">
        <v>1.0</v>
      </c>
      <c r="L30" s="219">
        <f t="shared" si="13"/>
        <v>281.25</v>
      </c>
      <c r="M30" s="466" t="str">
        <f t="shared" si="14"/>
        <v>281.3 Iron/h</v>
      </c>
      <c r="N30" s="467">
        <f t="shared" si="15"/>
        <v>136.5333333</v>
      </c>
      <c r="O30" s="191">
        <f>IFERROR(Bazaar!$F$65*C30,"?")</f>
        <v>414780</v>
      </c>
    </row>
    <row r="31">
      <c r="B31" s="25" t="s">
        <v>496</v>
      </c>
      <c r="C31" s="200">
        <v>46080.0</v>
      </c>
      <c r="D31" s="37" t="s">
        <v>153</v>
      </c>
      <c r="E31" s="192" t="s">
        <v>175</v>
      </c>
      <c r="F31" s="118">
        <f t="shared" si="11"/>
        <v>11</v>
      </c>
      <c r="G31" s="193">
        <v>1.0</v>
      </c>
      <c r="H31" s="194">
        <v>0.25</v>
      </c>
      <c r="I31" s="469">
        <f>IF(AND(F31&gt;0,F31&lt;=11),OFFSET('Minion Tiers'!$S$93,F31,0),"N/A")</f>
        <v>18</v>
      </c>
      <c r="J31" s="469">
        <f t="shared" si="12"/>
        <v>14.4</v>
      </c>
      <c r="K31" s="122">
        <v>1.8</v>
      </c>
      <c r="L31" s="218">
        <f t="shared" si="13"/>
        <v>225</v>
      </c>
      <c r="M31" s="470" t="str">
        <f t="shared" si="14"/>
        <v>225 Magma Cream/h</v>
      </c>
      <c r="N31" s="471">
        <f t="shared" si="15"/>
        <v>204.8</v>
      </c>
      <c r="O31" s="204">
        <f>IFERROR(Bazaar!$F$93*C31,"?")</f>
        <v>1151611.488</v>
      </c>
    </row>
    <row r="32">
      <c r="B32" s="27" t="s">
        <v>497</v>
      </c>
      <c r="C32" s="187">
        <v>49152.0</v>
      </c>
      <c r="D32" s="34" t="s">
        <v>150</v>
      </c>
      <c r="E32" s="180" t="s">
        <v>175</v>
      </c>
      <c r="F32" s="104">
        <f t="shared" si="11"/>
        <v>11</v>
      </c>
      <c r="G32" s="205">
        <v>1.0</v>
      </c>
      <c r="H32" s="181">
        <v>0.25</v>
      </c>
      <c r="I32" s="465">
        <f>IF(AND(F32&gt;0,F32&lt;=11),OFFSET('Minion Tiers'!$S$41,F32,0),"N/A")</f>
        <v>13</v>
      </c>
      <c r="J32" s="465">
        <f t="shared" si="12"/>
        <v>10.4</v>
      </c>
      <c r="K32" s="108">
        <v>1.0</v>
      </c>
      <c r="L32" s="219">
        <f t="shared" si="13"/>
        <v>173.0769231</v>
      </c>
      <c r="M32" s="466" t="str">
        <f t="shared" si="14"/>
        <v>173.1 String/h</v>
      </c>
      <c r="N32" s="467">
        <f t="shared" si="15"/>
        <v>283.9893333</v>
      </c>
      <c r="O32" s="191">
        <f>IFERROR(Bazaar!$F$89*C32,"?")</f>
        <v>590575.36</v>
      </c>
    </row>
    <row r="33">
      <c r="B33" s="25" t="s">
        <v>498</v>
      </c>
      <c r="C33" s="200">
        <f t="shared" ref="C33:C34" si="16">12*32*160</f>
        <v>61440</v>
      </c>
      <c r="D33" s="37" t="s">
        <v>368</v>
      </c>
      <c r="E33" s="192" t="s">
        <v>175</v>
      </c>
      <c r="F33" s="118">
        <f t="shared" si="11"/>
        <v>11</v>
      </c>
      <c r="G33" s="193">
        <v>1.0</v>
      </c>
      <c r="H33" s="194">
        <v>0.25</v>
      </c>
      <c r="I33" s="469">
        <f>IF(AND(F33&gt;0,F33&lt;=11),OFFSET('Minion Tiers'!$S$184,F33,0),"N/A")</f>
        <v>12</v>
      </c>
      <c r="J33" s="469">
        <f t="shared" si="12"/>
        <v>9.6</v>
      </c>
      <c r="K33" s="122">
        <v>1.0</v>
      </c>
      <c r="L33" s="218">
        <f t="shared" si="13"/>
        <v>187.5</v>
      </c>
      <c r="M33" s="470" t="str">
        <f t="shared" si="14"/>
        <v>187.5 Mutton/h</v>
      </c>
      <c r="N33" s="471">
        <f t="shared" si="15"/>
        <v>327.68</v>
      </c>
      <c r="O33" s="204">
        <f>IFERROR(Bazaar!$F$100*C33,"?")</f>
        <v>1731196.032</v>
      </c>
    </row>
    <row r="34">
      <c r="B34" s="27" t="s">
        <v>499</v>
      </c>
      <c r="C34" s="187">
        <f t="shared" si="16"/>
        <v>61440</v>
      </c>
      <c r="D34" s="34" t="s">
        <v>39</v>
      </c>
      <c r="E34" s="180" t="s">
        <v>175</v>
      </c>
      <c r="F34" s="104">
        <f t="shared" si="11"/>
        <v>11</v>
      </c>
      <c r="G34" s="205">
        <v>1.0</v>
      </c>
      <c r="H34" s="181">
        <v>0.25</v>
      </c>
      <c r="I34" s="465">
        <f>IF(AND(F34&gt;0,F34&lt;=11),OFFSET('Minion Tiers'!$I$132,F34,0),"N/A")</f>
        <v>11</v>
      </c>
      <c r="J34" s="465">
        <f t="shared" si="12"/>
        <v>8.8</v>
      </c>
      <c r="K34" s="108">
        <v>1.0</v>
      </c>
      <c r="L34" s="219">
        <f t="shared" si="13"/>
        <v>204.5454545</v>
      </c>
      <c r="M34" s="466" t="str">
        <f t="shared" si="14"/>
        <v>204.5 Gold/h</v>
      </c>
      <c r="N34" s="467">
        <f t="shared" si="15"/>
        <v>300.3733333</v>
      </c>
      <c r="O34" s="191">
        <f>IFERROR(Bazaar!$F$66*C34,"?")</f>
        <v>244435.2</v>
      </c>
    </row>
    <row r="35">
      <c r="B35" s="25" t="s">
        <v>500</v>
      </c>
      <c r="C35" s="200">
        <f>14*32*160</f>
        <v>71680</v>
      </c>
      <c r="D35" s="37" t="s">
        <v>144</v>
      </c>
      <c r="E35" s="192" t="s">
        <v>175</v>
      </c>
      <c r="F35" s="118">
        <f t="shared" si="11"/>
        <v>11</v>
      </c>
      <c r="G35" s="193">
        <v>1.0</v>
      </c>
      <c r="H35" s="194">
        <v>0.25</v>
      </c>
      <c r="I35" s="469">
        <f>IF(AND(F35&gt;0,F35&lt;=11),OFFSET('Minion Tiers'!$I$41,F35,0),"N/A")</f>
        <v>13</v>
      </c>
      <c r="J35" s="469">
        <f t="shared" si="12"/>
        <v>10.4</v>
      </c>
      <c r="K35" s="122">
        <v>1.0</v>
      </c>
      <c r="L35" s="218">
        <f t="shared" si="13"/>
        <v>173.0769231</v>
      </c>
      <c r="M35" s="470" t="str">
        <f t="shared" si="14"/>
        <v>173.1 Flint/h</v>
      </c>
      <c r="N35" s="471">
        <f t="shared" si="15"/>
        <v>414.1511111</v>
      </c>
      <c r="O35" s="204">
        <f>IFERROR(Bazaar!$F$59*C35,"?")</f>
        <v>2961907.2</v>
      </c>
    </row>
    <row r="36">
      <c r="B36" s="27" t="s">
        <v>501</v>
      </c>
      <c r="C36" s="187">
        <f>13*64*160</f>
        <v>133120</v>
      </c>
      <c r="D36" s="34" t="s">
        <v>38</v>
      </c>
      <c r="E36" s="180" t="s">
        <v>175</v>
      </c>
      <c r="F36" s="104">
        <f t="shared" si="11"/>
        <v>11</v>
      </c>
      <c r="G36" s="205">
        <v>1.0</v>
      </c>
      <c r="H36" s="181">
        <v>0.25</v>
      </c>
      <c r="I36" s="465">
        <f>IF(AND(F36&gt;0,F36&lt;=11),OFFSET('Minion Tiers'!$I$119,F36,0),"N/A")</f>
        <v>8</v>
      </c>
      <c r="J36" s="465">
        <f t="shared" si="12"/>
        <v>6.4</v>
      </c>
      <c r="K36" s="108">
        <v>1.0</v>
      </c>
      <c r="L36" s="219">
        <f t="shared" si="13"/>
        <v>281.25</v>
      </c>
      <c r="M36" s="466" t="str">
        <f t="shared" si="14"/>
        <v>281.3 Iron/h</v>
      </c>
      <c r="N36" s="467">
        <f t="shared" si="15"/>
        <v>473.3155556</v>
      </c>
      <c r="O36" s="191">
        <f>IFERROR(Bazaar!$F$65*C36,"?")</f>
        <v>1437904</v>
      </c>
    </row>
    <row r="37">
      <c r="B37" s="25" t="s">
        <v>502</v>
      </c>
      <c r="C37" s="200">
        <v>245760.0</v>
      </c>
      <c r="D37" s="37" t="s">
        <v>165</v>
      </c>
      <c r="E37" s="192" t="s">
        <v>175</v>
      </c>
      <c r="F37" s="118">
        <f t="shared" si="11"/>
        <v>11</v>
      </c>
      <c r="G37" s="193">
        <v>1.0</v>
      </c>
      <c r="H37" s="194">
        <v>0.25</v>
      </c>
      <c r="I37" s="469">
        <f>IF(AND(F37&gt;0,F37&lt;=11),OFFSET('Minion Tiers'!$S$249,F37,0),"N/A")</f>
        <v>27</v>
      </c>
      <c r="J37" s="469">
        <f t="shared" si="12"/>
        <v>21.6</v>
      </c>
      <c r="K37" s="122">
        <v>4.0</v>
      </c>
      <c r="L37" s="218">
        <f t="shared" si="13"/>
        <v>333.3333333</v>
      </c>
      <c r="M37" s="470" t="str">
        <f t="shared" si="14"/>
        <v>333.3 Dark Oak Wood/h</v>
      </c>
      <c r="N37" s="471">
        <f t="shared" si="15"/>
        <v>737.28</v>
      </c>
      <c r="O37" s="204">
        <f>IFERROR(Bazaar!$F$105*C37,"?")</f>
        <v>2185115.136</v>
      </c>
    </row>
    <row r="38">
      <c r="B38" s="27" t="s">
        <v>503</v>
      </c>
      <c r="C38" s="187">
        <v>370240.0</v>
      </c>
      <c r="D38" s="34" t="s">
        <v>147</v>
      </c>
      <c r="E38" s="180" t="s">
        <v>175</v>
      </c>
      <c r="F38" s="104">
        <f t="shared" si="11"/>
        <v>11</v>
      </c>
      <c r="G38" s="205">
        <v>1.0</v>
      </c>
      <c r="H38" s="181">
        <v>0.25</v>
      </c>
      <c r="I38" s="465">
        <f>IF(AND(F38&gt;0,F38&lt;=11),OFFSET('Minion Tiers'!$I$379,F38,0),"N/A")</f>
        <v>13</v>
      </c>
      <c r="J38" s="465">
        <f t="shared" si="12"/>
        <v>10.4</v>
      </c>
      <c r="K38" s="108">
        <v>1.0</v>
      </c>
      <c r="L38" s="219">
        <f t="shared" si="13"/>
        <v>173.0769231</v>
      </c>
      <c r="M38" s="466" t="str">
        <f t="shared" si="14"/>
        <v>173.1 Rotten Flesh/h</v>
      </c>
      <c r="N38" s="467">
        <f t="shared" si="15"/>
        <v>2139.164444</v>
      </c>
      <c r="O38" s="191">
        <f>IFERROR(Bazaar!$F$85*C38,"?")</f>
        <v>2082535.208</v>
      </c>
    </row>
    <row r="39">
      <c r="B39" s="25" t="s">
        <v>504</v>
      </c>
      <c r="C39" s="200">
        <v>614400.0</v>
      </c>
      <c r="D39" s="37" t="s">
        <v>43</v>
      </c>
      <c r="E39" s="192" t="s">
        <v>175</v>
      </c>
      <c r="F39" s="118">
        <f t="shared" si="11"/>
        <v>11</v>
      </c>
      <c r="G39" s="193">
        <v>1.0</v>
      </c>
      <c r="H39" s="194">
        <v>0.25</v>
      </c>
      <c r="I39" s="469">
        <f>IF(AND(F39&gt;0,F39&lt;=11),OFFSET('Minion Tiers'!$I$184,F39,0),"N/A")</f>
        <v>14</v>
      </c>
      <c r="J39" s="469">
        <f t="shared" si="12"/>
        <v>11.2</v>
      </c>
      <c r="K39" s="122">
        <v>1.0</v>
      </c>
      <c r="L39" s="218">
        <f t="shared" si="13"/>
        <v>160.7142857</v>
      </c>
      <c r="M39" s="470" t="str">
        <f t="shared" si="14"/>
        <v>160.7 Emerald/h</v>
      </c>
      <c r="N39" s="471">
        <f t="shared" si="15"/>
        <v>3822.933333</v>
      </c>
      <c r="O39" s="204">
        <f>IFERROR(Bazaar!$F$70*C39,"?")</f>
        <v>4306621.44</v>
      </c>
    </row>
    <row r="40">
      <c r="B40" s="27" t="s">
        <v>505</v>
      </c>
      <c r="C40" s="187">
        <v>614400.0</v>
      </c>
      <c r="D40" s="34" t="s">
        <v>55</v>
      </c>
      <c r="E40" s="180" t="s">
        <v>175</v>
      </c>
      <c r="F40" s="104">
        <f t="shared" si="11"/>
        <v>11</v>
      </c>
      <c r="G40" s="205">
        <v>1.0</v>
      </c>
      <c r="H40" s="181">
        <v>0.25</v>
      </c>
      <c r="I40" s="465">
        <f>IF(AND(F40&gt;0,F40&lt;=11),OFFSET('Minion Tiers'!$I$327,F40,0),"N/A")</f>
        <v>12</v>
      </c>
      <c r="J40" s="465">
        <f t="shared" si="12"/>
        <v>9.6</v>
      </c>
      <c r="K40" s="108">
        <v>1.0</v>
      </c>
      <c r="L40" s="219">
        <f t="shared" si="13"/>
        <v>187.5</v>
      </c>
      <c r="M40" s="466" t="str">
        <f t="shared" si="14"/>
        <v>187.5 Sugar Cane/h</v>
      </c>
      <c r="N40" s="467">
        <f t="shared" si="15"/>
        <v>3276.8</v>
      </c>
      <c r="O40" s="191">
        <f>IFERROR(Bazaar!$F$81*C40,"?")</f>
        <v>2642695.68</v>
      </c>
    </row>
    <row r="41">
      <c r="B41" s="25" t="s">
        <v>506</v>
      </c>
      <c r="C41" s="200">
        <v>614400.0</v>
      </c>
      <c r="D41" s="37" t="s">
        <v>152</v>
      </c>
      <c r="E41" s="192" t="s">
        <v>175</v>
      </c>
      <c r="F41" s="118">
        <f t="shared" si="11"/>
        <v>11</v>
      </c>
      <c r="G41" s="193">
        <v>1.0</v>
      </c>
      <c r="H41" s="194">
        <v>0.25</v>
      </c>
      <c r="I41" s="469">
        <f>IF(AND(F41&gt;0,F41&lt;=11),OFFSET('Minion Tiers'!$S$80,F41,0),"N/A")</f>
        <v>16.5</v>
      </c>
      <c r="J41" s="469">
        <f t="shared" si="12"/>
        <v>13.2</v>
      </c>
      <c r="K41" s="122">
        <v>1.0</v>
      </c>
      <c r="L41" s="218">
        <f t="shared" si="13"/>
        <v>136.3636364</v>
      </c>
      <c r="M41" s="470" t="str">
        <f t="shared" si="14"/>
        <v>136.4 Blaze Rod/h</v>
      </c>
      <c r="N41" s="471">
        <f t="shared" si="15"/>
        <v>4505.6</v>
      </c>
      <c r="O41" s="204">
        <f>IFERROR(Bazaar!$F$92*C41,"?")</f>
        <v>9954804.48</v>
      </c>
    </row>
    <row r="42">
      <c r="B42" s="27" t="s">
        <v>507</v>
      </c>
      <c r="C42" s="187">
        <v>614400.0</v>
      </c>
      <c r="D42" s="34" t="s">
        <v>40</v>
      </c>
      <c r="E42" s="180" t="s">
        <v>175</v>
      </c>
      <c r="F42" s="104">
        <f t="shared" si="11"/>
        <v>11</v>
      </c>
      <c r="G42" s="205">
        <v>1.0</v>
      </c>
      <c r="H42" s="181">
        <v>0.25</v>
      </c>
      <c r="I42" s="465">
        <f>IF(AND(F42&gt;0,F42&lt;=11),OFFSET('Minion Tiers'!$I$145,F42,0),"N/A")</f>
        <v>15</v>
      </c>
      <c r="J42" s="465">
        <f t="shared" si="12"/>
        <v>12</v>
      </c>
      <c r="K42" s="108">
        <v>1.0</v>
      </c>
      <c r="L42" s="219">
        <f t="shared" si="13"/>
        <v>150</v>
      </c>
      <c r="M42" s="466" t="str">
        <f t="shared" si="14"/>
        <v>150 Diamond/h</v>
      </c>
      <c r="N42" s="467">
        <f t="shared" si="15"/>
        <v>4096</v>
      </c>
      <c r="O42" s="191">
        <f>IFERROR(Bazaar!$F$67*C42,"?")</f>
        <v>5264651.52</v>
      </c>
    </row>
    <row r="43">
      <c r="B43" s="25" t="s">
        <v>508</v>
      </c>
      <c r="C43" s="200">
        <f>(32*4+1)*32*160</f>
        <v>660480</v>
      </c>
      <c r="D43" s="37" t="s">
        <v>150</v>
      </c>
      <c r="E43" s="192" t="s">
        <v>175</v>
      </c>
      <c r="F43" s="118">
        <f t="shared" si="11"/>
        <v>11</v>
      </c>
      <c r="G43" s="193">
        <v>1.0</v>
      </c>
      <c r="H43" s="194">
        <v>0.25</v>
      </c>
      <c r="I43" s="469">
        <f>IF(AND(F43&gt;0,F43&lt;=11),OFFSET('Minion Tiers'!$S$41,F43,0),"N/A")</f>
        <v>13</v>
      </c>
      <c r="J43" s="469">
        <f t="shared" si="12"/>
        <v>10.4</v>
      </c>
      <c r="K43" s="122">
        <v>1.0</v>
      </c>
      <c r="L43" s="218">
        <f t="shared" si="13"/>
        <v>173.0769231</v>
      </c>
      <c r="M43" s="470" t="str">
        <f t="shared" si="14"/>
        <v>173.1 String/h</v>
      </c>
      <c r="N43" s="471">
        <f t="shared" si="15"/>
        <v>3816.106667</v>
      </c>
      <c r="O43" s="204">
        <f>IFERROR(Bazaar!$F$89*C43,"?")</f>
        <v>7935856.4</v>
      </c>
    </row>
    <row r="44">
      <c r="B44" s="27" t="s">
        <v>509</v>
      </c>
      <c r="C44" s="187">
        <f>24*160*160+(4*4*160*160*11)</f>
        <v>5120000</v>
      </c>
      <c r="D44" s="34" t="s">
        <v>40</v>
      </c>
      <c r="E44" s="180" t="s">
        <v>175</v>
      </c>
      <c r="F44" s="104">
        <f t="shared" si="11"/>
        <v>11</v>
      </c>
      <c r="G44" s="205">
        <v>1.0</v>
      </c>
      <c r="H44" s="181">
        <v>0.25</v>
      </c>
      <c r="I44" s="465">
        <f>IF(AND(F44&gt;0,F44&lt;=11),OFFSET('Minion Tiers'!$I$145,F44,0),"N/A")</f>
        <v>15</v>
      </c>
      <c r="J44" s="465">
        <f t="shared" si="12"/>
        <v>12</v>
      </c>
      <c r="K44" s="108">
        <v>1.0</v>
      </c>
      <c r="L44" s="219">
        <f t="shared" si="13"/>
        <v>150</v>
      </c>
      <c r="M44" s="466" t="str">
        <f t="shared" si="14"/>
        <v>150 Diamond/h</v>
      </c>
      <c r="N44" s="467">
        <f t="shared" si="15"/>
        <v>34133.33333</v>
      </c>
      <c r="O44" s="191">
        <f>IFERROR(Bazaar!$F$67*C44,"?")</f>
        <v>43872096</v>
      </c>
    </row>
    <row r="45">
      <c r="B45" s="25" t="s">
        <v>510</v>
      </c>
      <c r="C45" s="200">
        <f>4*8*8*160*160</f>
        <v>6553600</v>
      </c>
      <c r="D45" s="37" t="s">
        <v>35</v>
      </c>
      <c r="E45" s="192" t="s">
        <v>175</v>
      </c>
      <c r="F45" s="118">
        <f t="shared" si="11"/>
        <v>11</v>
      </c>
      <c r="G45" s="193">
        <v>1.0</v>
      </c>
      <c r="H45" s="194">
        <v>0.25</v>
      </c>
      <c r="I45" s="469">
        <f>IF(AND(F45&gt;0,F45&lt;=11),OFFSET('Minion Tiers'!$I$80,F45,0),"N/A")</f>
        <v>7</v>
      </c>
      <c r="J45" s="469">
        <f t="shared" si="12"/>
        <v>5.6</v>
      </c>
      <c r="K45" s="122">
        <v>1.0</v>
      </c>
      <c r="L45" s="218">
        <f t="shared" si="13"/>
        <v>321.4285714</v>
      </c>
      <c r="M45" s="470" t="str">
        <f t="shared" si="14"/>
        <v>321.4 Ice/h</v>
      </c>
      <c r="N45" s="471">
        <f t="shared" si="15"/>
        <v>20388.97778</v>
      </c>
      <c r="O45" s="486">
        <f>IFERROR((VLOOKUP("Enchanted Packed Ice",Bazaar!$A$2:$B70,2)/160/160)*C45,"?")</f>
        <v>24449123.33</v>
      </c>
    </row>
    <row r="46" ht="7.5" customHeight="1">
      <c r="B46" s="174"/>
      <c r="C46" s="3"/>
      <c r="D46" s="3"/>
      <c r="E46" s="3"/>
      <c r="F46" s="3"/>
      <c r="G46" s="3"/>
      <c r="H46" s="3"/>
      <c r="I46" s="3"/>
      <c r="J46" s="3"/>
      <c r="K46" s="3"/>
      <c r="L46" s="3"/>
      <c r="M46" s="3"/>
      <c r="N46" s="3"/>
      <c r="O46" s="3"/>
    </row>
    <row r="47">
      <c r="B47" s="33" t="s">
        <v>511</v>
      </c>
      <c r="C47" s="487">
        <v>512.0</v>
      </c>
      <c r="D47" s="488" t="s">
        <v>397</v>
      </c>
      <c r="E47" s="441" t="s">
        <v>175</v>
      </c>
      <c r="F47" s="447">
        <f t="shared" ref="F47:F69" si="17">IF(ISNUMBER(E47),E47,IFERROR(ARABIC(E47),0))</f>
        <v>11</v>
      </c>
      <c r="G47" s="447">
        <v>1.0</v>
      </c>
      <c r="H47" s="448">
        <v>0.25</v>
      </c>
      <c r="I47" s="490">
        <f>IF(AND(F47&gt;0,F47&lt;=11),OFFSET('Minion Tiers'!$S$145,F47,0),"N/A")</f>
        <v>13</v>
      </c>
      <c r="J47" s="490">
        <f t="shared" ref="J47:J69" si="18">IFERROR(I47/(1+H47),"N/A")</f>
        <v>10.4</v>
      </c>
      <c r="K47" s="491">
        <v>1.0</v>
      </c>
      <c r="L47" s="492">
        <f t="shared" ref="L47:L69" si="19">G47/J47*K47*3600/2</f>
        <v>173.0769231</v>
      </c>
      <c r="M47" s="493" t="str">
        <f t="shared" ref="M47:M69" si="20">IFERROR(ROUND(L47,1)&amp;" "&amp;D47&amp;"/h","N/A")</f>
        <v>173.1 Leather/h</v>
      </c>
      <c r="N47" s="494">
        <f t="shared" ref="N47:N69" si="21">IFERROR(C47/L47,"N/A")</f>
        <v>2.958222222</v>
      </c>
      <c r="O47" s="485">
        <f>IFERROR(Bazaar!$H$97*C47,"?")</f>
        <v>7767.758222</v>
      </c>
    </row>
    <row r="48">
      <c r="B48" s="25" t="s">
        <v>512</v>
      </c>
      <c r="C48" s="200">
        <f>6*160</f>
        <v>960</v>
      </c>
      <c r="D48" s="37" t="s">
        <v>41</v>
      </c>
      <c r="E48" s="192" t="s">
        <v>175</v>
      </c>
      <c r="F48" s="118">
        <f t="shared" si="17"/>
        <v>11</v>
      </c>
      <c r="G48" s="118">
        <v>1.0</v>
      </c>
      <c r="H48" s="194">
        <v>0.25</v>
      </c>
      <c r="I48" s="469">
        <f>IF(AND(F48&gt;0,F48&lt;=11),OFFSET('Minion Tiers'!$I$158,F48,0),"N/A")</f>
        <v>18</v>
      </c>
      <c r="J48" s="469">
        <f t="shared" si="18"/>
        <v>14.4</v>
      </c>
      <c r="K48" s="122">
        <v>6.0</v>
      </c>
      <c r="L48" s="218">
        <f t="shared" si="19"/>
        <v>750</v>
      </c>
      <c r="M48" s="470" t="str">
        <f t="shared" si="20"/>
        <v>750 Lapis/h</v>
      </c>
      <c r="N48" s="471">
        <f t="shared" si="21"/>
        <v>1.28</v>
      </c>
      <c r="O48" s="204">
        <f>IFERROR(Bazaar!$F$68*C48,"?")</f>
        <v>5298.378</v>
      </c>
    </row>
    <row r="49">
      <c r="B49" s="27" t="s">
        <v>513</v>
      </c>
      <c r="C49" s="187">
        <v>6400.0</v>
      </c>
      <c r="D49" s="34" t="s">
        <v>158</v>
      </c>
      <c r="E49" s="180" t="s">
        <v>175</v>
      </c>
      <c r="F49" s="104">
        <f t="shared" si="17"/>
        <v>11</v>
      </c>
      <c r="G49" s="205">
        <v>1.0</v>
      </c>
      <c r="H49" s="181">
        <v>0.25</v>
      </c>
      <c r="I49" s="465">
        <f>IF(AND(F49&gt;0,F49&lt;=11),OFFSET('Minion Tiers'!$S$158,F49,0),"N/A")</f>
        <v>13</v>
      </c>
      <c r="J49" s="465">
        <f t="shared" si="18"/>
        <v>10.4</v>
      </c>
      <c r="K49" s="108">
        <v>1.0</v>
      </c>
      <c r="L49" s="219">
        <f t="shared" si="19"/>
        <v>173.0769231</v>
      </c>
      <c r="M49" s="466" t="str">
        <f t="shared" si="20"/>
        <v>173.1 Raw Porkchop/h</v>
      </c>
      <c r="N49" s="467">
        <f t="shared" si="21"/>
        <v>36.97777778</v>
      </c>
      <c r="O49" s="191">
        <f>IFERROR(Bazaar!$F$98*C49,"?")</f>
        <v>274614.16</v>
      </c>
    </row>
    <row r="50">
      <c r="B50" s="25" t="s">
        <v>514</v>
      </c>
      <c r="C50" s="200">
        <f>9*64*8*2</f>
        <v>9216</v>
      </c>
      <c r="D50" s="37" t="s">
        <v>397</v>
      </c>
      <c r="E50" s="192" t="s">
        <v>175</v>
      </c>
      <c r="F50" s="118">
        <f t="shared" si="17"/>
        <v>11</v>
      </c>
      <c r="G50" s="193">
        <v>1.0</v>
      </c>
      <c r="H50" s="194">
        <v>0.25</v>
      </c>
      <c r="I50" s="469">
        <f>IF(AND(F50&gt;0,F50&lt;=11),OFFSET('Minion Tiers'!$S$145,F50,0),"N/A")</f>
        <v>13</v>
      </c>
      <c r="J50" s="469">
        <f t="shared" si="18"/>
        <v>10.4</v>
      </c>
      <c r="K50" s="122">
        <v>1.0</v>
      </c>
      <c r="L50" s="218">
        <f t="shared" si="19"/>
        <v>173.0769231</v>
      </c>
      <c r="M50" s="470" t="str">
        <f t="shared" si="20"/>
        <v>173.1 Leather/h</v>
      </c>
      <c r="N50" s="471">
        <f t="shared" si="21"/>
        <v>53.248</v>
      </c>
      <c r="O50" s="204">
        <f>IFERROR(Bazaar!$H$97*C50,"?")</f>
        <v>139819.648</v>
      </c>
    </row>
    <row r="51">
      <c r="B51" s="27" t="s">
        <v>515</v>
      </c>
      <c r="C51" s="187">
        <v>15360.0</v>
      </c>
      <c r="D51" s="34" t="s">
        <v>49</v>
      </c>
      <c r="E51" s="180" t="s">
        <v>175</v>
      </c>
      <c r="F51" s="104">
        <f t="shared" si="17"/>
        <v>11</v>
      </c>
      <c r="G51" s="205">
        <v>1.0</v>
      </c>
      <c r="H51" s="181">
        <v>0.25</v>
      </c>
      <c r="I51" s="465">
        <f>IF(AND(F51&gt;0,F51&lt;=11),OFFSET('Minion Tiers'!$I$249,F51,0),"N/A")</f>
        <v>16</v>
      </c>
      <c r="J51" s="465">
        <f t="shared" si="18"/>
        <v>12.8</v>
      </c>
      <c r="K51" s="108">
        <v>1.0</v>
      </c>
      <c r="L51" s="219">
        <f t="shared" si="19"/>
        <v>140.625</v>
      </c>
      <c r="M51" s="466" t="str">
        <f t="shared" si="20"/>
        <v>140.6 Pumpkin/h</v>
      </c>
      <c r="N51" s="467">
        <f t="shared" si="21"/>
        <v>109.2266667</v>
      </c>
      <c r="O51" s="191">
        <f>IFERROR(Bazaar!$F$75*C51,"?")</f>
        <v>152945.472</v>
      </c>
    </row>
    <row r="52">
      <c r="B52" s="25" t="s">
        <v>516</v>
      </c>
      <c r="C52" s="200">
        <f>9*64*8*4</f>
        <v>18432</v>
      </c>
      <c r="D52" s="37" t="s">
        <v>397</v>
      </c>
      <c r="E52" s="192" t="s">
        <v>175</v>
      </c>
      <c r="F52" s="118">
        <f t="shared" si="17"/>
        <v>11</v>
      </c>
      <c r="G52" s="193">
        <v>1.0</v>
      </c>
      <c r="H52" s="194">
        <v>0.25</v>
      </c>
      <c r="I52" s="469">
        <f>IF(AND(F52&gt;0,F52&lt;=11),OFFSET('Minion Tiers'!$S$145,F52,0),"N/A")</f>
        <v>13</v>
      </c>
      <c r="J52" s="469">
        <f t="shared" si="18"/>
        <v>10.4</v>
      </c>
      <c r="K52" s="122">
        <v>1.0</v>
      </c>
      <c r="L52" s="218">
        <f t="shared" si="19"/>
        <v>173.0769231</v>
      </c>
      <c r="M52" s="470" t="str">
        <f t="shared" si="20"/>
        <v>173.1 Leather/h</v>
      </c>
      <c r="N52" s="471">
        <f t="shared" si="21"/>
        <v>106.496</v>
      </c>
      <c r="O52" s="204">
        <f>IFERROR(Bazaar!$H$97*C52,"?")</f>
        <v>279639.296</v>
      </c>
    </row>
    <row r="53">
      <c r="B53" s="27" t="s">
        <v>517</v>
      </c>
      <c r="C53" s="187">
        <v>20480.0</v>
      </c>
      <c r="D53" s="34" t="s">
        <v>398</v>
      </c>
      <c r="E53" s="180" t="s">
        <v>175</v>
      </c>
      <c r="F53" s="104">
        <f t="shared" si="17"/>
        <v>11</v>
      </c>
      <c r="G53" s="205">
        <v>1.0</v>
      </c>
      <c r="H53" s="181">
        <v>0.25</v>
      </c>
      <c r="I53" s="465">
        <f>IF(AND(F53&gt;0,F53&lt;=11),OFFSET('Minion Tiers'!$S$171,F53,0),"N/A")</f>
        <v>15</v>
      </c>
      <c r="J53" s="465">
        <f t="shared" si="18"/>
        <v>12</v>
      </c>
      <c r="K53" s="108">
        <v>1.0</v>
      </c>
      <c r="L53" s="219">
        <f t="shared" si="19"/>
        <v>150</v>
      </c>
      <c r="M53" s="466" t="str">
        <f t="shared" si="20"/>
        <v>150 Feather/h</v>
      </c>
      <c r="N53" s="467">
        <f t="shared" si="21"/>
        <v>136.5333333</v>
      </c>
      <c r="O53" s="191">
        <f>IFERROR(Bazaar!$H$99*C53,"?")</f>
        <v>57164.8</v>
      </c>
    </row>
    <row r="54">
      <c r="B54" s="25" t="s">
        <v>518</v>
      </c>
      <c r="C54" s="200">
        <v>25600.0</v>
      </c>
      <c r="D54" s="37" t="s">
        <v>51</v>
      </c>
      <c r="E54" s="192" t="s">
        <v>175</v>
      </c>
      <c r="F54" s="118">
        <f t="shared" si="17"/>
        <v>11</v>
      </c>
      <c r="G54" s="193">
        <v>1.0</v>
      </c>
      <c r="H54" s="194">
        <v>0.25</v>
      </c>
      <c r="I54" s="469">
        <f>IF(AND(F54&gt;0,F54&lt;=11),OFFSET('Minion Tiers'!$I$275,F54,0),"N/A")</f>
        <v>10</v>
      </c>
      <c r="J54" s="469">
        <f t="shared" si="18"/>
        <v>8</v>
      </c>
      <c r="K54" s="122">
        <v>3.0</v>
      </c>
      <c r="L54" s="218">
        <f t="shared" si="19"/>
        <v>675</v>
      </c>
      <c r="M54" s="470" t="str">
        <f t="shared" si="20"/>
        <v>675 Potato/h</v>
      </c>
      <c r="N54" s="471">
        <f t="shared" si="21"/>
        <v>37.92592593</v>
      </c>
      <c r="O54" s="204">
        <f>IFERROR(Bazaar!$F$77*C54,"?")</f>
        <v>78137.28</v>
      </c>
    </row>
    <row r="55">
      <c r="B55" s="27" t="s">
        <v>209</v>
      </c>
      <c r="C55" s="187">
        <v>30720.0</v>
      </c>
      <c r="D55" s="34" t="s">
        <v>44</v>
      </c>
      <c r="E55" s="180" t="s">
        <v>175</v>
      </c>
      <c r="F55" s="104">
        <f t="shared" si="17"/>
        <v>11</v>
      </c>
      <c r="G55" s="205">
        <v>1.0</v>
      </c>
      <c r="H55" s="181">
        <v>0.25</v>
      </c>
      <c r="I55" s="465">
        <f>IF(AND(F55&gt;0,F55&lt;=11),OFFSET('Minion Tiers'!$I$197,F55,0),"N/A")</f>
        <v>11.5</v>
      </c>
      <c r="J55" s="465">
        <f t="shared" si="18"/>
        <v>9.2</v>
      </c>
      <c r="K55" s="108">
        <v>1.0</v>
      </c>
      <c r="L55" s="219">
        <f t="shared" si="19"/>
        <v>195.6521739</v>
      </c>
      <c r="M55" s="466" t="str">
        <f t="shared" si="20"/>
        <v>195.7 Quartz/h</v>
      </c>
      <c r="N55" s="467">
        <f t="shared" si="21"/>
        <v>157.0133333</v>
      </c>
      <c r="O55" s="191">
        <f>IFERROR(Bazaar!$F$71*C55,"?")</f>
        <v>760938.432</v>
      </c>
    </row>
    <row r="56">
      <c r="B56" s="25" t="s">
        <v>519</v>
      </c>
      <c r="C56" s="200">
        <v>40960.0</v>
      </c>
      <c r="D56" s="37" t="s">
        <v>116</v>
      </c>
      <c r="E56" s="192" t="s">
        <v>175</v>
      </c>
      <c r="F56" s="118">
        <f t="shared" si="17"/>
        <v>11</v>
      </c>
      <c r="G56" s="193">
        <v>1.0</v>
      </c>
      <c r="H56" s="194">
        <v>0.25</v>
      </c>
      <c r="I56" s="469">
        <f>IF(AND(F56&gt;0,F56&lt;=11),OFFSET('Minion Tiers'!$I$340,F56,0),"N/A")</f>
        <v>32</v>
      </c>
      <c r="J56" s="469">
        <f t="shared" si="18"/>
        <v>25.6</v>
      </c>
      <c r="K56" s="122">
        <v>3.0</v>
      </c>
      <c r="L56" s="218">
        <f t="shared" si="19"/>
        <v>210.9375</v>
      </c>
      <c r="M56" s="470" t="str">
        <f t="shared" si="20"/>
        <v>210.9 Nether Wart/h</v>
      </c>
      <c r="N56" s="471">
        <f t="shared" si="21"/>
        <v>194.1807407</v>
      </c>
      <c r="O56" s="204">
        <f>IFERROR(Bazaar!$F$82*C56,"?")</f>
        <v>162227.2</v>
      </c>
    </row>
    <row r="57">
      <c r="B57" s="27" t="s">
        <v>520</v>
      </c>
      <c r="C57" s="187">
        <v>40960.0</v>
      </c>
      <c r="D57" s="34" t="s">
        <v>162</v>
      </c>
      <c r="E57" s="180" t="s">
        <v>175</v>
      </c>
      <c r="F57" s="104">
        <f t="shared" si="17"/>
        <v>11</v>
      </c>
      <c r="G57" s="205">
        <v>1.0</v>
      </c>
      <c r="H57" s="181">
        <v>0.25</v>
      </c>
      <c r="I57" s="465">
        <f>IF(AND(F57&gt;0,F57&lt;=11),OFFSET('Minion Tiers'!$S$210,F57,0),"N/A")</f>
        <v>27</v>
      </c>
      <c r="J57" s="465">
        <f t="shared" si="18"/>
        <v>21.6</v>
      </c>
      <c r="K57" s="108">
        <v>4.0</v>
      </c>
      <c r="L57" s="219">
        <f t="shared" si="19"/>
        <v>333.3333333</v>
      </c>
      <c r="M57" s="466" t="str">
        <f t="shared" si="20"/>
        <v>333.3 Oak Wood/h</v>
      </c>
      <c r="N57" s="467">
        <f t="shared" si="21"/>
        <v>122.88</v>
      </c>
      <c r="O57" s="191">
        <f>IFERROR(Bazaar!$F$102*C57,"?")</f>
        <v>362265.6</v>
      </c>
    </row>
    <row r="58">
      <c r="B58" s="25" t="s">
        <v>521</v>
      </c>
      <c r="C58" s="200">
        <f>8*32*160</f>
        <v>40960</v>
      </c>
      <c r="D58" s="37" t="s">
        <v>40</v>
      </c>
      <c r="E58" s="192" t="s">
        <v>175</v>
      </c>
      <c r="F58" s="118">
        <f t="shared" si="17"/>
        <v>11</v>
      </c>
      <c r="G58" s="193">
        <v>1.0</v>
      </c>
      <c r="H58" s="194">
        <v>0.25</v>
      </c>
      <c r="I58" s="469">
        <f>IF(AND(F58&gt;0,F58&lt;=11),OFFSET('Minion Tiers'!$I$145,F58,0),"N/A")</f>
        <v>15</v>
      </c>
      <c r="J58" s="469">
        <f t="shared" si="18"/>
        <v>12</v>
      </c>
      <c r="K58" s="122">
        <v>1.0</v>
      </c>
      <c r="L58" s="218">
        <f t="shared" si="19"/>
        <v>150</v>
      </c>
      <c r="M58" s="470" t="str">
        <f t="shared" si="20"/>
        <v>150 Diamond/h</v>
      </c>
      <c r="N58" s="471">
        <f t="shared" si="21"/>
        <v>273.0666667</v>
      </c>
      <c r="O58" s="204">
        <f>IFERROR(Bazaar!$F$67*C58,"?")</f>
        <v>350976.768</v>
      </c>
    </row>
    <row r="59">
      <c r="B59" s="27" t="s">
        <v>522</v>
      </c>
      <c r="C59" s="187">
        <v>51200.0</v>
      </c>
      <c r="D59" s="34" t="s">
        <v>37</v>
      </c>
      <c r="E59" s="180" t="s">
        <v>175</v>
      </c>
      <c r="F59" s="104">
        <f t="shared" si="17"/>
        <v>11</v>
      </c>
      <c r="G59" s="205">
        <v>1.0</v>
      </c>
      <c r="H59" s="181">
        <v>0.25</v>
      </c>
      <c r="I59" s="465">
        <f>IF(AND(F59&gt;0,F59&lt;=11),OFFSET('Minion Tiers'!$I$106,F59,0),"N/A")</f>
        <v>7</v>
      </c>
      <c r="J59" s="465">
        <f t="shared" si="18"/>
        <v>5.6</v>
      </c>
      <c r="K59" s="108">
        <v>1.0</v>
      </c>
      <c r="L59" s="219">
        <f t="shared" si="19"/>
        <v>321.4285714</v>
      </c>
      <c r="M59" s="466" t="str">
        <f t="shared" si="20"/>
        <v>321.4 Coal/h</v>
      </c>
      <c r="N59" s="467">
        <f t="shared" si="21"/>
        <v>159.2888889</v>
      </c>
      <c r="O59" s="191">
        <f>IFERROR(Bazaar!$F$64*C59,"?")</f>
        <v>301621.76</v>
      </c>
    </row>
    <row r="60">
      <c r="B60" s="25" t="s">
        <v>523</v>
      </c>
      <c r="C60" s="200">
        <f>64*7*160</f>
        <v>71680</v>
      </c>
      <c r="D60" s="37" t="s">
        <v>29</v>
      </c>
      <c r="E60" s="192" t="s">
        <v>175</v>
      </c>
      <c r="F60" s="118">
        <f t="shared" si="17"/>
        <v>11</v>
      </c>
      <c r="G60" s="193">
        <v>1.0</v>
      </c>
      <c r="H60" s="194">
        <v>0.25</v>
      </c>
      <c r="I60" s="469">
        <f>IF(AND(F60&gt;0,F60&lt;=11),OFFSET('Minion Tiers'!$I$2,F60,0),"N/A")</f>
        <v>7</v>
      </c>
      <c r="J60" s="469">
        <f t="shared" si="18"/>
        <v>5.6</v>
      </c>
      <c r="K60" s="122">
        <v>1.0</v>
      </c>
      <c r="L60" s="218">
        <f t="shared" si="19"/>
        <v>321.4285714</v>
      </c>
      <c r="M60" s="470" t="str">
        <f t="shared" si="20"/>
        <v>321.4 Cobblestone/h</v>
      </c>
      <c r="N60" s="471">
        <f t="shared" si="21"/>
        <v>223.0044444</v>
      </c>
      <c r="O60" s="204">
        <f>IFERROR(Bazaar!$F$56*C60,"?")</f>
        <v>358469.44</v>
      </c>
    </row>
    <row r="61">
      <c r="B61" s="27" t="s">
        <v>524</v>
      </c>
      <c r="C61" s="187">
        <f>160*160</f>
        <v>25600</v>
      </c>
      <c r="D61" s="34" t="s">
        <v>42</v>
      </c>
      <c r="E61" s="180" t="s">
        <v>175</v>
      </c>
      <c r="F61" s="104">
        <f t="shared" si="17"/>
        <v>11</v>
      </c>
      <c r="G61" s="205">
        <v>1.0</v>
      </c>
      <c r="H61" s="181">
        <v>0.25</v>
      </c>
      <c r="I61" s="465">
        <f>IF(AND(F61&gt;0,F61&lt;=11),OFFSET('Minion Tiers'!$I$171,F61,0),"N/A")</f>
        <v>18</v>
      </c>
      <c r="J61" s="465">
        <f t="shared" si="18"/>
        <v>14.4</v>
      </c>
      <c r="K61" s="108">
        <v>4.5</v>
      </c>
      <c r="L61" s="219">
        <f t="shared" si="19"/>
        <v>562.5</v>
      </c>
      <c r="M61" s="466" t="str">
        <f t="shared" si="20"/>
        <v>562.5 Redstone/h</v>
      </c>
      <c r="N61" s="467">
        <f t="shared" si="21"/>
        <v>45.51111111</v>
      </c>
      <c r="O61" s="191">
        <f>IFERROR(Bazaar!$F$69*C61,"?")</f>
        <v>51976</v>
      </c>
    </row>
    <row r="62">
      <c r="B62" s="25" t="s">
        <v>525</v>
      </c>
      <c r="C62" s="200">
        <f>5*160*160</f>
        <v>128000</v>
      </c>
      <c r="D62" s="37" t="s">
        <v>38</v>
      </c>
      <c r="E62" s="192" t="s">
        <v>175</v>
      </c>
      <c r="F62" s="118">
        <f t="shared" si="17"/>
        <v>11</v>
      </c>
      <c r="G62" s="193">
        <v>1.0</v>
      </c>
      <c r="H62" s="194">
        <v>0.25</v>
      </c>
      <c r="I62" s="469">
        <f>IF(AND(F62&gt;0,F62&lt;=11),OFFSET('Minion Tiers'!$I$119,F62,0),"N/A")</f>
        <v>8</v>
      </c>
      <c r="J62" s="469">
        <f t="shared" si="18"/>
        <v>6.4</v>
      </c>
      <c r="K62" s="122">
        <v>1.0</v>
      </c>
      <c r="L62" s="218">
        <f t="shared" si="19"/>
        <v>281.25</v>
      </c>
      <c r="M62" s="470" t="str">
        <f t="shared" si="20"/>
        <v>281.3 Iron/h</v>
      </c>
      <c r="N62" s="471">
        <f t="shared" si="21"/>
        <v>455.1111111</v>
      </c>
      <c r="O62" s="204">
        <f>IFERROR(Bazaar!$F$65*C62,"?")</f>
        <v>1382600</v>
      </c>
    </row>
    <row r="63">
      <c r="B63" s="27" t="s">
        <v>526</v>
      </c>
      <c r="C63" s="187">
        <f>6*160*160</f>
        <v>153600</v>
      </c>
      <c r="D63" s="34" t="s">
        <v>41</v>
      </c>
      <c r="E63" s="180" t="s">
        <v>175</v>
      </c>
      <c r="F63" s="104">
        <f t="shared" si="17"/>
        <v>11</v>
      </c>
      <c r="G63" s="205">
        <v>1.0</v>
      </c>
      <c r="H63" s="181">
        <v>0.25</v>
      </c>
      <c r="I63" s="465">
        <f>IF(AND(F63&gt;0,F63&lt;=11),OFFSET('Minion Tiers'!$I$158,F63,0),"N/A")</f>
        <v>18</v>
      </c>
      <c r="J63" s="465">
        <f t="shared" si="18"/>
        <v>14.4</v>
      </c>
      <c r="K63" s="108">
        <v>6.0</v>
      </c>
      <c r="L63" s="219">
        <f t="shared" si="19"/>
        <v>750</v>
      </c>
      <c r="M63" s="466" t="str">
        <f t="shared" si="20"/>
        <v>750 Lapis/h</v>
      </c>
      <c r="N63" s="467">
        <f t="shared" si="21"/>
        <v>204.8</v>
      </c>
      <c r="O63" s="191">
        <f>IFERROR(Bazaar!$F$68*C63,"?")</f>
        <v>847740.48</v>
      </c>
    </row>
    <row r="64">
      <c r="B64" s="25" t="s">
        <v>527</v>
      </c>
      <c r="C64" s="200">
        <f>4*160*160</f>
        <v>102400</v>
      </c>
      <c r="D64" s="37" t="s">
        <v>41</v>
      </c>
      <c r="E64" s="192" t="s">
        <v>175</v>
      </c>
      <c r="F64" s="118">
        <f t="shared" si="17"/>
        <v>11</v>
      </c>
      <c r="G64" s="193">
        <v>1.0</v>
      </c>
      <c r="H64" s="194">
        <v>0.25</v>
      </c>
      <c r="I64" s="469">
        <f>IF(AND(F64&gt;0,F64&lt;=11),OFFSET('Minion Tiers'!$I$158,F64,0),"N/A")</f>
        <v>18</v>
      </c>
      <c r="J64" s="469">
        <f t="shared" si="18"/>
        <v>14.4</v>
      </c>
      <c r="K64" s="122">
        <v>6.0</v>
      </c>
      <c r="L64" s="218">
        <f t="shared" si="19"/>
        <v>750</v>
      </c>
      <c r="M64" s="470" t="str">
        <f t="shared" si="20"/>
        <v>750 Lapis/h</v>
      </c>
      <c r="N64" s="471">
        <f t="shared" si="21"/>
        <v>136.5333333</v>
      </c>
      <c r="O64" s="204">
        <f>IFERROR(Bazaar!$F$68*C64,"?")</f>
        <v>565160.32</v>
      </c>
    </row>
    <row r="65">
      <c r="B65" s="27" t="s">
        <v>528</v>
      </c>
      <c r="C65" s="187">
        <f t="shared" ref="C65:C66" si="22">8*4*32*160</f>
        <v>163840</v>
      </c>
      <c r="D65" s="34" t="s">
        <v>39</v>
      </c>
      <c r="E65" s="180" t="s">
        <v>175</v>
      </c>
      <c r="F65" s="104">
        <f t="shared" si="17"/>
        <v>11</v>
      </c>
      <c r="G65" s="205">
        <v>1.0</v>
      </c>
      <c r="H65" s="181">
        <v>0.25</v>
      </c>
      <c r="I65" s="465">
        <f>IF(AND(F65&gt;0,F65&lt;=11),OFFSET('Minion Tiers'!$I$132,F65,0),"N/A")</f>
        <v>11</v>
      </c>
      <c r="J65" s="465">
        <f t="shared" si="18"/>
        <v>8.8</v>
      </c>
      <c r="K65" s="108">
        <v>1.0</v>
      </c>
      <c r="L65" s="219">
        <f t="shared" si="19"/>
        <v>204.5454545</v>
      </c>
      <c r="M65" s="466" t="str">
        <f t="shared" si="20"/>
        <v>204.5 Gold/h</v>
      </c>
      <c r="N65" s="467">
        <f t="shared" si="21"/>
        <v>800.9955556</v>
      </c>
      <c r="O65" s="191">
        <f>IFERROR(Bazaar!$F$66*C65,"?")</f>
        <v>651827.2</v>
      </c>
    </row>
    <row r="66">
      <c r="B66" s="25" t="s">
        <v>529</v>
      </c>
      <c r="C66" s="200">
        <f t="shared" si="22"/>
        <v>163840</v>
      </c>
      <c r="D66" s="37" t="s">
        <v>144</v>
      </c>
      <c r="E66" s="192" t="s">
        <v>175</v>
      </c>
      <c r="F66" s="118">
        <f t="shared" si="17"/>
        <v>11</v>
      </c>
      <c r="G66" s="193">
        <v>1.0</v>
      </c>
      <c r="H66" s="194">
        <v>0.25</v>
      </c>
      <c r="I66" s="469">
        <f>IF(AND(F66&gt;0,F66&lt;=11),OFFSET('Minion Tiers'!$I$41,F66,0),"N/A")</f>
        <v>13</v>
      </c>
      <c r="J66" s="469">
        <f t="shared" si="18"/>
        <v>10.4</v>
      </c>
      <c r="K66" s="122">
        <v>1.0</v>
      </c>
      <c r="L66" s="218">
        <f t="shared" si="19"/>
        <v>173.0769231</v>
      </c>
      <c r="M66" s="470" t="str">
        <f t="shared" si="20"/>
        <v>173.1 Flint/h</v>
      </c>
      <c r="N66" s="471">
        <f t="shared" si="21"/>
        <v>946.6311111</v>
      </c>
      <c r="O66" s="204">
        <f>IFERROR(Bazaar!$F$59*C66,"?")</f>
        <v>6770073.6</v>
      </c>
    </row>
    <row r="67">
      <c r="B67" s="27" t="s">
        <v>530</v>
      </c>
      <c r="C67" s="187">
        <f>39*32*160</f>
        <v>199680</v>
      </c>
      <c r="D67" s="34" t="s">
        <v>150</v>
      </c>
      <c r="E67" s="180" t="s">
        <v>175</v>
      </c>
      <c r="F67" s="104">
        <f t="shared" si="17"/>
        <v>11</v>
      </c>
      <c r="G67" s="205">
        <v>1.0</v>
      </c>
      <c r="H67" s="181">
        <v>0.25</v>
      </c>
      <c r="I67" s="465">
        <f>IF(AND(F67&gt;0,F67&lt;=11),OFFSET('Minion Tiers'!$S$41,F67,0),"N/A")</f>
        <v>13</v>
      </c>
      <c r="J67" s="465">
        <f t="shared" si="18"/>
        <v>10.4</v>
      </c>
      <c r="K67" s="108">
        <v>1.0</v>
      </c>
      <c r="L67" s="219">
        <f t="shared" si="19"/>
        <v>173.0769231</v>
      </c>
      <c r="M67" s="466" t="str">
        <f t="shared" si="20"/>
        <v>173.1 String/h</v>
      </c>
      <c r="N67" s="467">
        <f t="shared" si="21"/>
        <v>1153.706667</v>
      </c>
      <c r="O67" s="191">
        <f>IFERROR(Bazaar!$F$89*C67,"?")</f>
        <v>2399212.4</v>
      </c>
    </row>
    <row r="68">
      <c r="B68" s="25" t="s">
        <v>531</v>
      </c>
      <c r="C68" s="200">
        <f>9*160*160</f>
        <v>230400</v>
      </c>
      <c r="D68" s="37" t="s">
        <v>41</v>
      </c>
      <c r="E68" s="192" t="s">
        <v>175</v>
      </c>
      <c r="F68" s="118">
        <f t="shared" si="17"/>
        <v>11</v>
      </c>
      <c r="G68" s="193">
        <v>1.0</v>
      </c>
      <c r="H68" s="194">
        <v>0.25</v>
      </c>
      <c r="I68" s="469">
        <f>IF(AND(F68&gt;0,F68&lt;=11),OFFSET('Minion Tiers'!$I$158,F68,0),"N/A")</f>
        <v>18</v>
      </c>
      <c r="J68" s="469">
        <f t="shared" si="18"/>
        <v>14.4</v>
      </c>
      <c r="K68" s="122">
        <v>6.0</v>
      </c>
      <c r="L68" s="218">
        <f t="shared" si="19"/>
        <v>750</v>
      </c>
      <c r="M68" s="470" t="str">
        <f t="shared" si="20"/>
        <v>750 Lapis/h</v>
      </c>
      <c r="N68" s="471">
        <f t="shared" si="21"/>
        <v>307.2</v>
      </c>
      <c r="O68" s="204">
        <f>IFERROR(Bazaar!$F$68*C68,"?")</f>
        <v>1271610.72</v>
      </c>
    </row>
    <row r="69">
      <c r="B69" s="87" t="s">
        <v>532</v>
      </c>
      <c r="C69" s="476">
        <f>9*32*8*160</f>
        <v>368640</v>
      </c>
      <c r="D69" s="88" t="s">
        <v>147</v>
      </c>
      <c r="E69" s="236" t="s">
        <v>175</v>
      </c>
      <c r="F69" s="477">
        <f t="shared" si="17"/>
        <v>11</v>
      </c>
      <c r="G69" s="495">
        <v>1.0</v>
      </c>
      <c r="H69" s="478">
        <v>0.25</v>
      </c>
      <c r="I69" s="479">
        <f>IF(AND(F69&gt;0,F69&lt;=11),OFFSET('Minion Tiers'!$I$379,F69,0),"N/A")</f>
        <v>13</v>
      </c>
      <c r="J69" s="479">
        <f t="shared" si="18"/>
        <v>10.4</v>
      </c>
      <c r="K69" s="480">
        <v>1.0</v>
      </c>
      <c r="L69" s="481">
        <f t="shared" si="19"/>
        <v>173.0769231</v>
      </c>
      <c r="M69" s="482" t="str">
        <f t="shared" si="20"/>
        <v>173.1 Rotten Flesh/h</v>
      </c>
      <c r="N69" s="483">
        <f t="shared" si="21"/>
        <v>2129.92</v>
      </c>
      <c r="O69" s="230">
        <f>IFERROR(Bazaar!$F$85*C69,"?")</f>
        <v>2073535.488</v>
      </c>
    </row>
    <row r="70">
      <c r="B70" s="40"/>
    </row>
  </sheetData>
  <mergeCells count="8">
    <mergeCell ref="A1:A70"/>
    <mergeCell ref="B1:N1"/>
    <mergeCell ref="P1:P70"/>
    <mergeCell ref="C2:D2"/>
    <mergeCell ref="B18:O18"/>
    <mergeCell ref="B25:O25"/>
    <mergeCell ref="B46:O46"/>
    <mergeCell ref="B70:O70"/>
  </mergeCells>
  <dataValidations>
    <dataValidation type="list" allowBlank="1" sqref="E47:E69">
      <formula1>"∅,I,II,III,IV,V,VI,VII,VIII,IX,X,XI,XII"</formula1>
    </dataValidation>
    <dataValidation type="list" allowBlank="1" sqref="E3:E17 E19:E24 E26:E45">
      <formula1>"∅,I,II,III,IV,V,VI,VII,VIII,IX,X,XI"</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33BB"/>
    <outlinePr summaryBelow="0" summaryRight="0"/>
  </sheetPr>
  <sheetViews>
    <sheetView workbookViewId="0"/>
  </sheetViews>
  <sheetFormatPr customHeight="1" defaultColWidth="12.63" defaultRowHeight="15.75"/>
  <cols>
    <col customWidth="1" min="1" max="1" width="6.38"/>
    <col customWidth="1" min="2" max="2" width="3.25"/>
    <col customWidth="1" min="3" max="3" width="11.38"/>
    <col customWidth="1" hidden="1" min="4" max="4" width="12.38"/>
    <col customWidth="1" min="5" max="5" width="15.75"/>
    <col customWidth="1" hidden="1" min="6" max="6" width="15.75"/>
    <col customWidth="1" min="7" max="7" width="13.88"/>
    <col customWidth="1" min="8" max="8" width="10.75"/>
    <col customWidth="1" min="9" max="9" width="9.5"/>
    <col customWidth="1" hidden="1" min="10" max="10" width="10.13"/>
    <col customWidth="1" min="11" max="11" width="10.75"/>
    <col customWidth="1" min="12" max="12" width="8.25"/>
    <col customWidth="1" hidden="1" min="13" max="22" width="6.38"/>
    <col customWidth="1" hidden="1" min="23" max="24" width="7.63"/>
    <col customWidth="1" min="25" max="26" width="7.0"/>
    <col customWidth="1" hidden="1" min="27" max="28" width="7.0"/>
    <col customWidth="1" min="29" max="30" width="15.13"/>
    <col customWidth="1" min="31" max="32" width="16.38"/>
    <col customWidth="1" min="33" max="34" width="3.25"/>
    <col customWidth="1" min="35" max="36" width="17.63"/>
    <col customWidth="1" min="37" max="37" width="6.38"/>
  </cols>
  <sheetData>
    <row r="1">
      <c r="A1" s="80"/>
      <c r="B1" s="496"/>
      <c r="AG1" s="496"/>
      <c r="AH1" s="175"/>
      <c r="AK1" s="80"/>
    </row>
    <row r="2">
      <c r="B2" s="317" t="s">
        <v>533</v>
      </c>
      <c r="C2" s="17"/>
      <c r="D2" s="17"/>
      <c r="E2" s="497">
        <v>0.2</v>
      </c>
      <c r="F2" s="40"/>
      <c r="G2" s="317" t="s">
        <v>534</v>
      </c>
      <c r="H2" s="497">
        <v>0.2</v>
      </c>
      <c r="I2" s="317" t="s">
        <v>535</v>
      </c>
      <c r="J2" s="17"/>
      <c r="K2" s="17"/>
      <c r="L2" s="498">
        <v>0.0</v>
      </c>
      <c r="M2" s="40"/>
      <c r="N2" s="40"/>
      <c r="O2" s="40"/>
      <c r="P2" s="40"/>
      <c r="Q2" s="40"/>
      <c r="R2" s="40"/>
      <c r="S2" s="40"/>
      <c r="T2" s="40"/>
      <c r="U2" s="40"/>
      <c r="V2" s="40"/>
      <c r="W2" s="40"/>
      <c r="X2" s="40"/>
      <c r="Y2" s="16" t="s">
        <v>536</v>
      </c>
      <c r="Z2" s="17"/>
      <c r="AA2" s="40"/>
      <c r="AB2" s="40"/>
      <c r="AC2" s="499">
        <f>1*(1+$E$2)*(1+$H$2)*(1+$L$2)</f>
        <v>1.44</v>
      </c>
      <c r="AD2" s="40"/>
    </row>
    <row r="3">
      <c r="B3" s="99" t="s">
        <v>101</v>
      </c>
      <c r="C3" s="17"/>
      <c r="D3" s="18" t="s">
        <v>121</v>
      </c>
      <c r="E3" s="16" t="s">
        <v>122</v>
      </c>
      <c r="F3" s="18" t="s">
        <v>103</v>
      </c>
      <c r="G3" s="18" t="s">
        <v>123</v>
      </c>
      <c r="H3" s="18" t="s">
        <v>102</v>
      </c>
      <c r="I3" s="18" t="s">
        <v>124</v>
      </c>
      <c r="J3" s="18" t="s">
        <v>125</v>
      </c>
      <c r="K3" s="16" t="s">
        <v>126</v>
      </c>
      <c r="L3" s="18" t="s">
        <v>137</v>
      </c>
      <c r="M3" s="235" t="s">
        <v>127</v>
      </c>
      <c r="N3" s="234" t="s">
        <v>128</v>
      </c>
      <c r="O3" s="234" t="s">
        <v>129</v>
      </c>
      <c r="P3" s="500" t="s">
        <v>537</v>
      </c>
      <c r="Q3" s="235" t="s">
        <v>538</v>
      </c>
      <c r="R3" s="234"/>
      <c r="S3" s="234" t="s">
        <v>539</v>
      </c>
      <c r="T3" s="234"/>
      <c r="U3" s="501" t="s">
        <v>540</v>
      </c>
      <c r="V3" s="234"/>
      <c r="W3" s="16" t="s">
        <v>541</v>
      </c>
      <c r="X3" s="22"/>
      <c r="Y3" s="16" t="s">
        <v>542</v>
      </c>
      <c r="Z3" s="17"/>
      <c r="AA3" s="18" t="s">
        <v>543</v>
      </c>
      <c r="AB3" s="22"/>
      <c r="AC3" s="99" t="s">
        <v>544</v>
      </c>
      <c r="AD3" s="22"/>
      <c r="AE3" s="99" t="s">
        <v>545</v>
      </c>
      <c r="AF3" s="22"/>
      <c r="AH3" s="99" t="s">
        <v>546</v>
      </c>
      <c r="AI3" s="17"/>
      <c r="AJ3" s="502" t="s">
        <v>547</v>
      </c>
    </row>
    <row r="4">
      <c r="B4" s="27" t="str">
        <f>'Minion Checker'!D7</f>
        <v/>
      </c>
      <c r="C4" s="34" t="str">
        <f>'Minion Checker'!E7</f>
        <v>Cobblestone</v>
      </c>
      <c r="D4" s="34" t="str">
        <f>'Minion Sales'!D3</f>
        <v>Cobblestone</v>
      </c>
      <c r="E4" s="180">
        <f>IFERROR(ROMAN('Minion Checker'!H7),0)</f>
        <v>0</v>
      </c>
      <c r="F4" s="104">
        <f t="shared" ref="F4:F56" si="4">IF(ISNUMBER(E4),E4,IFERROR(ARABIC(E4),0))</f>
        <v>0</v>
      </c>
      <c r="G4" s="104">
        <v>1.0</v>
      </c>
      <c r="H4" s="181">
        <v>0.25</v>
      </c>
      <c r="I4" s="182" t="b">
        <v>1</v>
      </c>
      <c r="J4" s="183" t="str">
        <f>IF(AND(F4&lt;=11,F4&gt;0),OFFSET('Minion Tiers'!$I$2,F4,0),"")</f>
        <v/>
      </c>
      <c r="K4" s="184" t="str">
        <f t="shared" ref="K4:K56" si="5">IFERROR(IF(J4/(1+H4)&gt;0,J4/(1+H4),"N/A"),"N/A")</f>
        <v>N/A</v>
      </c>
      <c r="L4" s="187">
        <f t="shared" ref="L4:L56" si="6">IFERROR(G4/K4/2*3600,0)</f>
        <v>0</v>
      </c>
      <c r="M4" s="503">
        <f t="array" ref="M4:O57">'Minion Sales'!L3:N57</f>
        <v>1</v>
      </c>
      <c r="N4" s="108"/>
      <c r="O4" s="108"/>
      <c r="P4" s="416">
        <f t="shared" ref="P4:P56" si="7">I4*SUM(M4:O4)/10</f>
        <v>0.1</v>
      </c>
      <c r="Q4" s="504">
        <f>0.1*$AC$2</f>
        <v>0.144</v>
      </c>
      <c r="R4" s="505" t="str">
        <f t="shared" ref="R4:R56" si="8">IF(W4&lt;&gt;"",W4,X4)</f>
        <v>Mining</v>
      </c>
      <c r="S4" s="506"/>
      <c r="T4" s="505" t="str">
        <f t="shared" ref="T4:T33" si="9">IF(W4&lt;&gt;"",W4,X4)</f>
        <v>Mining</v>
      </c>
      <c r="U4" s="507"/>
      <c r="V4" s="505" t="str">
        <f t="shared" ref="V4:V37" si="10">IF(W4&lt;&gt;"",W4,X4)</f>
        <v>Mining</v>
      </c>
      <c r="W4" s="503"/>
      <c r="X4" s="416" t="s">
        <v>547</v>
      </c>
      <c r="Y4" s="508">
        <f t="array" ref="Y4">SUM(IF({R4,T4,V4}&lt;&gt;"Mining",{Q4*M4,S4*N4,U4*O4},0))</f>
        <v>0</v>
      </c>
      <c r="Z4" s="185">
        <f t="array" ref="Z4">SUM(IF({R4,T4,V4}="Mining",{Q4*M4,S4*N4,U4*O4},0))+(P4*0.4*$AC$2)</f>
        <v>0.2016</v>
      </c>
      <c r="AA4" s="185">
        <f t="shared" ref="AA4:AB4" si="1">Y4*$L4</f>
        <v>0</v>
      </c>
      <c r="AB4" s="509">
        <f t="shared" si="1"/>
        <v>0</v>
      </c>
      <c r="AC4" s="510" t="str">
        <f t="shared" ref="AC4:AD4" si="2">IF(Y4&gt;0,TEXT(Y4*$L4,"#,##0.0#")&amp;" "&amp;W4&amp;" XP","")</f>
        <v/>
      </c>
      <c r="AD4" s="511" t="str">
        <f t="shared" si="2"/>
        <v>0.0 Mining XP</v>
      </c>
      <c r="AE4" s="510" t="str">
        <f t="shared" ref="AE4:AF4" si="3">IF(Y4&gt;0,TEXT(Y4*$L4*24,"#,##0.0#")&amp;" "&amp;W4&amp;" XP","")</f>
        <v/>
      </c>
      <c r="AF4" s="511" t="str">
        <f t="shared" si="3"/>
        <v>0.0 Mining XP</v>
      </c>
      <c r="AH4" s="503" t="str">
        <f t="array" ref="AH4:AJ57">IF($AJ$3="Mining",
SORT({$B$4:$C57,$AB$4:$AB57},3,FALSE),
SORT(IF($W$4:$W57=$AJ$3,{$B$4:$C57,$AA$4:$AA57},),3,FALSE
))</f>
        <v/>
      </c>
      <c r="AI4" s="108" t="s">
        <v>29</v>
      </c>
      <c r="AJ4" s="512">
        <v>0.0</v>
      </c>
    </row>
    <row r="5">
      <c r="B5" s="25" t="str">
        <f>'Minion Checker'!D8</f>
        <v/>
      </c>
      <c r="C5" s="37" t="str">
        <f>'Minion Checker'!E8</f>
        <v>Obsidian</v>
      </c>
      <c r="D5" s="37" t="str">
        <f>'Minion Sales'!D4</f>
        <v>Obsidian</v>
      </c>
      <c r="E5" s="192">
        <f>IFERROR(ROMAN('Minion Checker'!H8),0)</f>
        <v>0</v>
      </c>
      <c r="F5" s="118">
        <f t="shared" si="4"/>
        <v>0</v>
      </c>
      <c r="G5" s="193">
        <v>1.0</v>
      </c>
      <c r="H5" s="194">
        <v>0.25</v>
      </c>
      <c r="I5" s="195" t="b">
        <v>1</v>
      </c>
      <c r="J5" s="196" t="str">
        <f>IF(AND(F5&lt;=11,F5&gt;0),OFFSET('Minion Tiers'!$I$15,F5,0),"")</f>
        <v/>
      </c>
      <c r="K5" s="197" t="str">
        <f t="shared" si="5"/>
        <v>N/A</v>
      </c>
      <c r="L5" s="200">
        <f t="shared" si="6"/>
        <v>0</v>
      </c>
      <c r="M5" s="513">
        <v>1.0</v>
      </c>
      <c r="N5" s="122"/>
      <c r="O5" s="122"/>
      <c r="P5" s="514">
        <f t="shared" si="7"/>
        <v>0.1</v>
      </c>
      <c r="Q5" s="515">
        <f>0.4*$AC$2</f>
        <v>0.576</v>
      </c>
      <c r="R5" s="516" t="str">
        <f t="shared" si="8"/>
        <v>Mining</v>
      </c>
      <c r="S5" s="517"/>
      <c r="T5" s="516" t="str">
        <f t="shared" si="9"/>
        <v>Mining</v>
      </c>
      <c r="U5" s="518"/>
      <c r="V5" s="516" t="str">
        <f t="shared" si="10"/>
        <v>Mining</v>
      </c>
      <c r="W5" s="513"/>
      <c r="X5" s="514" t="s">
        <v>547</v>
      </c>
      <c r="Y5" s="216">
        <f t="array" ref="Y5">SUM(IF({R5,T5,V5}&lt;&gt;"Mining",{Q5*M5,S5*N5,U5*O5},0))</f>
        <v>0</v>
      </c>
      <c r="Z5" s="198">
        <f t="array" ref="Z5">SUM(IF({R5,T5,V5}="Mining",{Q5*M5,S5*N5,U5*O5},0))+(P5*0.4*$AC$2)</f>
        <v>0.6336</v>
      </c>
      <c r="AA5" s="198">
        <f t="shared" ref="AA5:AB5" si="11">Y5*$L5</f>
        <v>0</v>
      </c>
      <c r="AB5" s="519">
        <f t="shared" si="11"/>
        <v>0</v>
      </c>
      <c r="AC5" s="520" t="str">
        <f t="shared" ref="AC5:AD5" si="12">IF(Y5&gt;0,TEXT(Y5*$L5,"#,##0.0#")&amp;" "&amp;W5&amp;" XP","")</f>
        <v/>
      </c>
      <c r="AD5" s="521" t="str">
        <f t="shared" si="12"/>
        <v>0.0 Mining XP</v>
      </c>
      <c r="AE5" s="520" t="str">
        <f t="shared" ref="AE5:AF5" si="13">IF(Y5&gt;0,TEXT(Y5*$L5*24,"#,##0.0#")&amp;" "&amp;W5&amp;" XP","")</f>
        <v/>
      </c>
      <c r="AF5" s="521" t="str">
        <f t="shared" si="13"/>
        <v>0.0 Mining XP</v>
      </c>
      <c r="AH5" s="513"/>
      <c r="AI5" s="122" t="s">
        <v>30</v>
      </c>
      <c r="AJ5" s="522">
        <v>0.0</v>
      </c>
    </row>
    <row r="6">
      <c r="B6" s="27" t="str">
        <f>'Minion Checker'!D9</f>
        <v/>
      </c>
      <c r="C6" s="34" t="str">
        <f>'Minion Checker'!E9</f>
        <v>Glowstone</v>
      </c>
      <c r="D6" s="34" t="str">
        <f>'Minion Sales'!D5</f>
        <v>Glowstone Dust</v>
      </c>
      <c r="E6" s="180">
        <f>IFERROR(ROMAN('Minion Checker'!H9),0)</f>
        <v>0</v>
      </c>
      <c r="F6" s="104">
        <f t="shared" si="4"/>
        <v>0</v>
      </c>
      <c r="G6" s="205">
        <v>1.0</v>
      </c>
      <c r="H6" s="181">
        <v>0.25</v>
      </c>
      <c r="I6" s="206" t="b">
        <v>1</v>
      </c>
      <c r="J6" s="207" t="str">
        <f>IF(AND(F6&lt;=11,F6&gt;0),OFFSET('Minion Tiers'!$I$28,F6,0),"")</f>
        <v/>
      </c>
      <c r="K6" s="184" t="str">
        <f t="shared" si="5"/>
        <v>N/A</v>
      </c>
      <c r="L6" s="187">
        <f t="shared" si="6"/>
        <v>0</v>
      </c>
      <c r="M6" s="503">
        <v>3.0</v>
      </c>
      <c r="N6" s="108"/>
      <c r="O6" s="108"/>
      <c r="P6" s="416">
        <f t="shared" si="7"/>
        <v>0.3</v>
      </c>
      <c r="Q6" s="504">
        <f t="shared" ref="Q6:Q8" si="17">0.2*$AC$2</f>
        <v>0.288</v>
      </c>
      <c r="R6" s="505" t="str">
        <f t="shared" si="8"/>
        <v>Mining</v>
      </c>
      <c r="S6" s="506"/>
      <c r="T6" s="505" t="str">
        <f t="shared" si="9"/>
        <v>Mining</v>
      </c>
      <c r="U6" s="507"/>
      <c r="V6" s="505" t="str">
        <f t="shared" si="10"/>
        <v>Mining</v>
      </c>
      <c r="W6" s="503"/>
      <c r="X6" s="416" t="s">
        <v>547</v>
      </c>
      <c r="Y6" s="508">
        <f t="array" ref="Y6">SUM(IF({R6,T6,V6}&lt;&gt;"Mining",{Q6*M6,S6*N6,U6*O6},0))</f>
        <v>0</v>
      </c>
      <c r="Z6" s="185">
        <f t="array" ref="Z6">SUM(IF({R6,T6,V6}="Mining",{Q6*M6,S6*N6,U6*O6},0))+(P6*0.4*$AC$2)</f>
        <v>1.0368</v>
      </c>
      <c r="AA6" s="185">
        <f t="shared" ref="AA6:AB6" si="14">Y6*$L6</f>
        <v>0</v>
      </c>
      <c r="AB6" s="509">
        <f t="shared" si="14"/>
        <v>0</v>
      </c>
      <c r="AC6" s="510" t="str">
        <f t="shared" ref="AC6:AD6" si="15">IF(Y6&gt;0,TEXT(Y6*$L6,"#,##0.0#")&amp;" "&amp;W6&amp;" XP","")</f>
        <v/>
      </c>
      <c r="AD6" s="511" t="str">
        <f t="shared" si="15"/>
        <v>0.0 Mining XP</v>
      </c>
      <c r="AE6" s="510" t="str">
        <f t="shared" ref="AE6:AF6" si="16">IF(Y6&gt;0,TEXT(Y6*$L6*24,"#,##0.0#")&amp;" "&amp;W6&amp;" XP","")</f>
        <v/>
      </c>
      <c r="AF6" s="511" t="str">
        <f t="shared" si="16"/>
        <v>0.0 Mining XP</v>
      </c>
      <c r="AH6" s="503"/>
      <c r="AI6" s="108" t="s">
        <v>31</v>
      </c>
      <c r="AJ6" s="512">
        <v>0.0</v>
      </c>
    </row>
    <row r="7">
      <c r="B7" s="25" t="str">
        <f>'Minion Checker'!D10</f>
        <v/>
      </c>
      <c r="C7" s="37" t="str">
        <f>'Minion Checker'!E10</f>
        <v>Gravel</v>
      </c>
      <c r="D7" s="37" t="str">
        <f>'Minion Sales'!D6</f>
        <v>Flint</v>
      </c>
      <c r="E7" s="192">
        <f>IFERROR(ROMAN('Minion Checker'!H10),0)</f>
        <v>0</v>
      </c>
      <c r="F7" s="118">
        <f t="shared" si="4"/>
        <v>0</v>
      </c>
      <c r="G7" s="193">
        <v>1.0</v>
      </c>
      <c r="H7" s="194">
        <v>0.25</v>
      </c>
      <c r="I7" s="208" t="b">
        <v>1</v>
      </c>
      <c r="J7" s="196" t="str">
        <f>IF(AND(F7&lt;=11,F7&gt;0),OFFSET('Minion Tiers'!$I$41,F7,0),"")</f>
        <v/>
      </c>
      <c r="K7" s="197" t="str">
        <f t="shared" si="5"/>
        <v>N/A</v>
      </c>
      <c r="L7" s="200">
        <f t="shared" si="6"/>
        <v>0</v>
      </c>
      <c r="M7" s="513">
        <v>1.0</v>
      </c>
      <c r="N7" s="122"/>
      <c r="O7" s="122"/>
      <c r="P7" s="514">
        <f t="shared" si="7"/>
        <v>0.1</v>
      </c>
      <c r="Q7" s="515">
        <f t="shared" si="17"/>
        <v>0.288</v>
      </c>
      <c r="R7" s="516" t="str">
        <f t="shared" si="8"/>
        <v>Mining</v>
      </c>
      <c r="S7" s="517"/>
      <c r="T7" s="516" t="str">
        <f t="shared" si="9"/>
        <v>Mining</v>
      </c>
      <c r="U7" s="518"/>
      <c r="V7" s="516" t="str">
        <f t="shared" si="10"/>
        <v>Mining</v>
      </c>
      <c r="W7" s="513"/>
      <c r="X7" s="514" t="s">
        <v>547</v>
      </c>
      <c r="Y7" s="216">
        <f t="array" ref="Y7">SUM(IF({R7,T7,V7}&lt;&gt;"Mining",{Q7*M7,S7*N7,U7*O7},0))</f>
        <v>0</v>
      </c>
      <c r="Z7" s="198">
        <f t="array" ref="Z7">SUM(IF({R7,T7,V7}="Mining",{Q7*M7,S7*N7,U7*O7},0))+(P7*0.4*$AC$2)</f>
        <v>0.3456</v>
      </c>
      <c r="AA7" s="198">
        <f t="shared" ref="AA7:AB7" si="18">Y7*$L7</f>
        <v>0</v>
      </c>
      <c r="AB7" s="519">
        <f t="shared" si="18"/>
        <v>0</v>
      </c>
      <c r="AC7" s="520" t="str">
        <f t="shared" ref="AC7:AD7" si="19">IF(Y7&gt;0,TEXT(Y7*$L7,"#,##0.0#")&amp;" "&amp;W7&amp;" XP","")</f>
        <v/>
      </c>
      <c r="AD7" s="521" t="str">
        <f t="shared" si="19"/>
        <v>0.0 Mining XP</v>
      </c>
      <c r="AE7" s="520" t="str">
        <f t="shared" ref="AE7:AF7" si="20">IF(Y7&gt;0,TEXT(Y7*$L7*24,"#,##0.0#")&amp;" "&amp;W7&amp;" XP","")</f>
        <v/>
      </c>
      <c r="AF7" s="521" t="str">
        <f t="shared" si="20"/>
        <v>0.0 Mining XP</v>
      </c>
      <c r="AH7" s="513"/>
      <c r="AI7" s="122" t="s">
        <v>32</v>
      </c>
      <c r="AJ7" s="522">
        <v>0.0</v>
      </c>
    </row>
    <row r="8">
      <c r="B8" s="27" t="str">
        <f>'Minion Checker'!D11</f>
        <v/>
      </c>
      <c r="C8" s="34" t="str">
        <f>'Minion Checker'!E11</f>
        <v>Sand</v>
      </c>
      <c r="D8" s="34" t="str">
        <f>'Minion Sales'!D7</f>
        <v>Sand</v>
      </c>
      <c r="E8" s="180">
        <f>IFERROR(ROMAN('Minion Checker'!H11),0)</f>
        <v>0</v>
      </c>
      <c r="F8" s="104">
        <f t="shared" si="4"/>
        <v>0</v>
      </c>
      <c r="G8" s="205">
        <v>1.0</v>
      </c>
      <c r="H8" s="181">
        <v>0.25</v>
      </c>
      <c r="I8" s="206" t="b">
        <v>1</v>
      </c>
      <c r="J8" s="207" t="str">
        <f>IF(AND(F8&lt;=11,F8&gt;0),OFFSET('Minion Tiers'!$I$54,F8,0),"")</f>
        <v/>
      </c>
      <c r="K8" s="184" t="str">
        <f t="shared" si="5"/>
        <v>N/A</v>
      </c>
      <c r="L8" s="187">
        <f t="shared" si="6"/>
        <v>0</v>
      </c>
      <c r="M8" s="503">
        <v>1.0</v>
      </c>
      <c r="N8" s="108"/>
      <c r="O8" s="108"/>
      <c r="P8" s="416">
        <f t="shared" si="7"/>
        <v>0.1</v>
      </c>
      <c r="Q8" s="504">
        <f t="shared" si="17"/>
        <v>0.288</v>
      </c>
      <c r="R8" s="505" t="str">
        <f t="shared" si="8"/>
        <v>Mining</v>
      </c>
      <c r="S8" s="506"/>
      <c r="T8" s="505" t="str">
        <f t="shared" si="9"/>
        <v>Mining</v>
      </c>
      <c r="U8" s="507"/>
      <c r="V8" s="505" t="str">
        <f t="shared" si="10"/>
        <v>Mining</v>
      </c>
      <c r="W8" s="503"/>
      <c r="X8" s="416" t="s">
        <v>547</v>
      </c>
      <c r="Y8" s="508">
        <f t="array" ref="Y8">SUM(IF({R8,T8,V8}&lt;&gt;"Mining",{Q8*M8,S8*N8,U8*O8},0))</f>
        <v>0</v>
      </c>
      <c r="Z8" s="185">
        <f t="array" ref="Z8">SUM(IF({R8,T8,V8}="Mining",{Q8*M8,S8*N8,U8*O8},0))+(P8*0.4*$AC$2)</f>
        <v>0.3456</v>
      </c>
      <c r="AA8" s="185">
        <f t="shared" ref="AA8:AB8" si="21">Y8*$L8</f>
        <v>0</v>
      </c>
      <c r="AB8" s="509">
        <f t="shared" si="21"/>
        <v>0</v>
      </c>
      <c r="AC8" s="510" t="str">
        <f t="shared" ref="AC8:AD8" si="22">IF(Y8&gt;0,TEXT(Y8*$L8,"#,##0.0#")&amp;" "&amp;W8&amp;" XP","")</f>
        <v/>
      </c>
      <c r="AD8" s="511" t="str">
        <f t="shared" si="22"/>
        <v>0.0 Mining XP</v>
      </c>
      <c r="AE8" s="510" t="str">
        <f t="shared" ref="AE8:AF8" si="23">IF(Y8&gt;0,TEXT(Y8*$L8*24,"#,##0.0#")&amp;" "&amp;W8&amp;" XP","")</f>
        <v/>
      </c>
      <c r="AF8" s="511" t="str">
        <f t="shared" si="23"/>
        <v>0.0 Mining XP</v>
      </c>
      <c r="AH8" s="503"/>
      <c r="AI8" s="108" t="s">
        <v>33</v>
      </c>
      <c r="AJ8" s="512">
        <v>0.0</v>
      </c>
    </row>
    <row r="9">
      <c r="B9" s="25" t="str">
        <f>'Minion Checker'!D12</f>
        <v/>
      </c>
      <c r="C9" s="37" t="str">
        <f>'Minion Checker'!E12</f>
        <v>Clay</v>
      </c>
      <c r="D9" s="37" t="str">
        <f>'Minion Sales'!D8</f>
        <v>Clay</v>
      </c>
      <c r="E9" s="192">
        <f>IFERROR(ROMAN('Minion Checker'!H12),0)</f>
        <v>0</v>
      </c>
      <c r="F9" s="118">
        <f t="shared" si="4"/>
        <v>0</v>
      </c>
      <c r="G9" s="193">
        <v>1.0</v>
      </c>
      <c r="H9" s="194">
        <v>0.25</v>
      </c>
      <c r="I9" s="208" t="b">
        <v>1</v>
      </c>
      <c r="J9" s="196" t="str">
        <f>IF(AND(F9&lt;=11,F9&gt;0),OFFSET('Minion Tiers'!$I$67,F9,0),"")</f>
        <v/>
      </c>
      <c r="K9" s="197" t="str">
        <f t="shared" si="5"/>
        <v>N/A</v>
      </c>
      <c r="L9" s="200">
        <f t="shared" si="6"/>
        <v>0</v>
      </c>
      <c r="M9" s="513">
        <v>4.0</v>
      </c>
      <c r="N9" s="122"/>
      <c r="O9" s="122"/>
      <c r="P9" s="514">
        <f t="shared" si="7"/>
        <v>0.4</v>
      </c>
      <c r="Q9" s="515">
        <f>0.1*$AC$2</f>
        <v>0.144</v>
      </c>
      <c r="R9" s="516" t="str">
        <f t="shared" si="8"/>
        <v>Fishing</v>
      </c>
      <c r="S9" s="517"/>
      <c r="T9" s="516" t="str">
        <f t="shared" si="9"/>
        <v>Fishing</v>
      </c>
      <c r="U9" s="518"/>
      <c r="V9" s="516" t="str">
        <f t="shared" si="10"/>
        <v>Fishing</v>
      </c>
      <c r="W9" s="513" t="s">
        <v>60</v>
      </c>
      <c r="X9" s="514" t="s">
        <v>547</v>
      </c>
      <c r="Y9" s="216">
        <f t="array" ref="Y9">SUM(IF({R9,T9,V9}&lt;&gt;"Mining",{Q9*M9,S9*N9,U9*O9},0))</f>
        <v>0.576</v>
      </c>
      <c r="Z9" s="198">
        <f t="array" ref="Z9">SUM(IF({R9,T9,V9}="Mining",{Q9*M9,S9*N9,U9*O9},0))+(P9*0.4*$AC$2)</f>
        <v>0.2304</v>
      </c>
      <c r="AA9" s="198">
        <f t="shared" ref="AA9:AB9" si="24">Y9*$L9</f>
        <v>0</v>
      </c>
      <c r="AB9" s="519">
        <f t="shared" si="24"/>
        <v>0</v>
      </c>
      <c r="AC9" s="520" t="str">
        <f t="shared" ref="AC9:AD9" si="25">IF(Y9&gt;0,TEXT(Y9*$L9,"#,##0.0#")&amp;" "&amp;W9&amp;" XP","")</f>
        <v>0.0 Fishing XP</v>
      </c>
      <c r="AD9" s="521" t="str">
        <f t="shared" si="25"/>
        <v>0.0 Mining XP</v>
      </c>
      <c r="AE9" s="520" t="str">
        <f t="shared" ref="AE9:AF9" si="26">IF(Y9&gt;0,TEXT(Y9*$L9*24,"#,##0.0#")&amp;" "&amp;W9&amp;" XP","")</f>
        <v>0.0 Fishing XP</v>
      </c>
      <c r="AF9" s="521" t="str">
        <f t="shared" si="26"/>
        <v>0.0 Mining XP</v>
      </c>
      <c r="AH9" s="513"/>
      <c r="AI9" s="122" t="s">
        <v>34</v>
      </c>
      <c r="AJ9" s="522">
        <v>0.0</v>
      </c>
    </row>
    <row r="10">
      <c r="B10" s="27" t="str">
        <f>'Minion Checker'!D13</f>
        <v/>
      </c>
      <c r="C10" s="34" t="str">
        <f>'Minion Checker'!E13</f>
        <v>Ice</v>
      </c>
      <c r="D10" s="34" t="str">
        <f>'Minion Sales'!D9</f>
        <v>Ice</v>
      </c>
      <c r="E10" s="180">
        <f>IFERROR(ROMAN('Minion Checker'!H13),0)</f>
        <v>0</v>
      </c>
      <c r="F10" s="104">
        <f t="shared" si="4"/>
        <v>0</v>
      </c>
      <c r="G10" s="205">
        <v>1.0</v>
      </c>
      <c r="H10" s="181">
        <v>0.25</v>
      </c>
      <c r="I10" s="206" t="b">
        <v>1</v>
      </c>
      <c r="J10" s="207" t="str">
        <f>IF(AND(F10&lt;=11,F10&gt;0),OFFSET('Minion Tiers'!$I$80,F10,0),"")</f>
        <v/>
      </c>
      <c r="K10" s="184" t="str">
        <f t="shared" si="5"/>
        <v>N/A</v>
      </c>
      <c r="L10" s="187">
        <f t="shared" si="6"/>
        <v>0</v>
      </c>
      <c r="M10" s="503">
        <v>1.0</v>
      </c>
      <c r="N10" s="108"/>
      <c r="O10" s="108"/>
      <c r="P10" s="416">
        <f t="shared" si="7"/>
        <v>0.1</v>
      </c>
      <c r="Q10" s="504">
        <f>0.5*$AC$2</f>
        <v>0.72</v>
      </c>
      <c r="R10" s="505" t="str">
        <f t="shared" si="8"/>
        <v>Mining</v>
      </c>
      <c r="S10" s="506"/>
      <c r="T10" s="505" t="str">
        <f t="shared" si="9"/>
        <v>Mining</v>
      </c>
      <c r="U10" s="507"/>
      <c r="V10" s="505" t="str">
        <f t="shared" si="10"/>
        <v>Mining</v>
      </c>
      <c r="W10" s="503"/>
      <c r="X10" s="416" t="s">
        <v>547</v>
      </c>
      <c r="Y10" s="508">
        <f t="array" ref="Y10">SUM(IF({R10,T10,V10}&lt;&gt;"Mining",{Q10*M10,S10*N10,U10*O10},0))</f>
        <v>0</v>
      </c>
      <c r="Z10" s="185">
        <f t="array" ref="Z10">SUM(IF({R10,T10,V10}="Mining",{Q10*M10,S10*N10,U10*O10},0))+(P10*0.4*$AC$2)</f>
        <v>0.7776</v>
      </c>
      <c r="AA10" s="185">
        <f t="shared" ref="AA10:AB10" si="27">Y10*$L10</f>
        <v>0</v>
      </c>
      <c r="AB10" s="509">
        <f t="shared" si="27"/>
        <v>0</v>
      </c>
      <c r="AC10" s="510" t="str">
        <f t="shared" ref="AC10:AD10" si="28">IF(Y10&gt;0,TEXT(Y10*$L10,"#,##0.0#")&amp;" "&amp;W10&amp;" XP","")</f>
        <v/>
      </c>
      <c r="AD10" s="511" t="str">
        <f t="shared" si="28"/>
        <v>0.0 Mining XP</v>
      </c>
      <c r="AE10" s="510" t="str">
        <f t="shared" ref="AE10:AF10" si="29">IF(Y10&gt;0,TEXT(Y10*$L10*24,"#,##0.0#")&amp;" "&amp;W10&amp;" XP","")</f>
        <v/>
      </c>
      <c r="AF10" s="511" t="str">
        <f t="shared" si="29"/>
        <v>0.0 Mining XP</v>
      </c>
      <c r="AH10" s="503"/>
      <c r="AI10" s="108" t="s">
        <v>35</v>
      </c>
      <c r="AJ10" s="512">
        <v>0.0</v>
      </c>
    </row>
    <row r="11">
      <c r="B11" s="25" t="str">
        <f>'Minion Checker'!D14</f>
        <v/>
      </c>
      <c r="C11" s="37" t="str">
        <f>'Minion Checker'!E14</f>
        <v>Snow</v>
      </c>
      <c r="D11" s="37" t="str">
        <f>'Minion Sales'!D10</f>
        <v>Snowballs</v>
      </c>
      <c r="E11" s="192">
        <f>IFERROR(ROMAN('Minion Checker'!H14),0)</f>
        <v>0</v>
      </c>
      <c r="F11" s="118">
        <f t="shared" si="4"/>
        <v>0</v>
      </c>
      <c r="G11" s="193">
        <v>1.0</v>
      </c>
      <c r="H11" s="194">
        <v>0.25</v>
      </c>
      <c r="I11" s="208" t="b">
        <v>1</v>
      </c>
      <c r="J11" s="196" t="str">
        <f>IF(AND(F11&lt;=11,F11&gt;0),OFFSET('Minion Tiers'!$I$93,F11,0),"")</f>
        <v/>
      </c>
      <c r="K11" s="197" t="str">
        <f t="shared" si="5"/>
        <v>N/A</v>
      </c>
      <c r="L11" s="200">
        <f t="shared" si="6"/>
        <v>0</v>
      </c>
      <c r="M11" s="513">
        <v>4.0</v>
      </c>
      <c r="N11" s="122"/>
      <c r="O11" s="122"/>
      <c r="P11" s="514">
        <f t="shared" si="7"/>
        <v>0.4</v>
      </c>
      <c r="Q11" s="515">
        <f>0.1*$AC$2</f>
        <v>0.144</v>
      </c>
      <c r="R11" s="516" t="str">
        <f t="shared" si="8"/>
        <v>Mining</v>
      </c>
      <c r="S11" s="517"/>
      <c r="T11" s="516" t="str">
        <f t="shared" si="9"/>
        <v>Mining</v>
      </c>
      <c r="U11" s="518"/>
      <c r="V11" s="516" t="str">
        <f t="shared" si="10"/>
        <v>Mining</v>
      </c>
      <c r="W11" s="513"/>
      <c r="X11" s="514" t="s">
        <v>547</v>
      </c>
      <c r="Y11" s="216">
        <f t="array" ref="Y11">SUM(IF({R11,T11,V11}&lt;&gt;"Mining",{Q11*M11,S11*N11,U11*O11},0))</f>
        <v>0</v>
      </c>
      <c r="Z11" s="198">
        <f t="array" ref="Z11">SUM(IF({R11,T11,V11}="Mining",{Q11*M11,S11*N11,U11*O11},0))+(P11*0.4*$AC$2)</f>
        <v>0.8064</v>
      </c>
      <c r="AA11" s="198">
        <f t="shared" ref="AA11:AB11" si="30">Y11*$L11</f>
        <v>0</v>
      </c>
      <c r="AB11" s="519">
        <f t="shared" si="30"/>
        <v>0</v>
      </c>
      <c r="AC11" s="520" t="str">
        <f t="shared" ref="AC11:AD11" si="31">IF(Y11&gt;0,TEXT(Y11*$L11,"#,##0.0#")&amp;" "&amp;W11&amp;" XP","")</f>
        <v/>
      </c>
      <c r="AD11" s="521" t="str">
        <f t="shared" si="31"/>
        <v>0.0 Mining XP</v>
      </c>
      <c r="AE11" s="520" t="str">
        <f t="shared" ref="AE11:AF11" si="32">IF(Y11&gt;0,TEXT(Y11*$L11*24,"#,##0.0#")&amp;" "&amp;W11&amp;" XP","")</f>
        <v/>
      </c>
      <c r="AF11" s="521" t="str">
        <f t="shared" si="32"/>
        <v>0.0 Mining XP</v>
      </c>
      <c r="AH11" s="513"/>
      <c r="AI11" s="122" t="s">
        <v>36</v>
      </c>
      <c r="AJ11" s="522">
        <v>0.0</v>
      </c>
    </row>
    <row r="12">
      <c r="B12" s="27" t="str">
        <f>'Minion Checker'!D15</f>
        <v/>
      </c>
      <c r="C12" s="34" t="str">
        <f>'Minion Checker'!E15</f>
        <v>Coal</v>
      </c>
      <c r="D12" s="34" t="str">
        <f>'Minion Sales'!D11</f>
        <v>Coal</v>
      </c>
      <c r="E12" s="180">
        <f>IFERROR(ROMAN('Minion Checker'!H15),0)</f>
        <v>0</v>
      </c>
      <c r="F12" s="104">
        <f t="shared" si="4"/>
        <v>0</v>
      </c>
      <c r="G12" s="205">
        <v>1.0</v>
      </c>
      <c r="H12" s="181">
        <v>0.25</v>
      </c>
      <c r="I12" s="206" t="b">
        <v>1</v>
      </c>
      <c r="J12" s="207" t="str">
        <f>IF(AND(F12&lt;=11,F12&gt;0),OFFSET('Minion Tiers'!$I$106,F12,0),"")</f>
        <v/>
      </c>
      <c r="K12" s="184" t="str">
        <f t="shared" si="5"/>
        <v>N/A</v>
      </c>
      <c r="L12" s="187">
        <f t="shared" si="6"/>
        <v>0</v>
      </c>
      <c r="M12" s="503">
        <v>1.0</v>
      </c>
      <c r="N12" s="108"/>
      <c r="O12" s="108"/>
      <c r="P12" s="416">
        <f t="shared" si="7"/>
        <v>0.1</v>
      </c>
      <c r="Q12" s="504">
        <f t="shared" ref="Q12:Q13" si="36">0.3*$AC$2</f>
        <v>0.432</v>
      </c>
      <c r="R12" s="505" t="str">
        <f t="shared" si="8"/>
        <v>Mining</v>
      </c>
      <c r="S12" s="506"/>
      <c r="T12" s="505" t="str">
        <f t="shared" si="9"/>
        <v>Mining</v>
      </c>
      <c r="U12" s="507"/>
      <c r="V12" s="505" t="str">
        <f t="shared" si="10"/>
        <v>Mining</v>
      </c>
      <c r="W12" s="503"/>
      <c r="X12" s="416" t="s">
        <v>547</v>
      </c>
      <c r="Y12" s="508">
        <f t="array" ref="Y12">SUM(IF({R12,T12,V12}&lt;&gt;"Mining",{Q12*M12,S12*N12,U12*O12},0))</f>
        <v>0</v>
      </c>
      <c r="Z12" s="185">
        <f t="array" ref="Z12">SUM(IF({R12,T12,V12}="Mining",{Q12*M12,S12*N12,U12*O12},0))+(P12*0.4*$AC$2)</f>
        <v>0.4896</v>
      </c>
      <c r="AA12" s="185">
        <f t="shared" ref="AA12:AB12" si="33">Y12*$L12</f>
        <v>0</v>
      </c>
      <c r="AB12" s="509">
        <f t="shared" si="33"/>
        <v>0</v>
      </c>
      <c r="AC12" s="510" t="str">
        <f t="shared" ref="AC12:AD12" si="34">IF(Y12&gt;0,TEXT(Y12*$L12,"#,##0.0#")&amp;" "&amp;W12&amp;" XP","")</f>
        <v/>
      </c>
      <c r="AD12" s="511" t="str">
        <f t="shared" si="34"/>
        <v>0.0 Mining XP</v>
      </c>
      <c r="AE12" s="510" t="str">
        <f t="shared" ref="AE12:AF12" si="35">IF(Y12&gt;0,TEXT(Y12*$L12*24,"#,##0.0#")&amp;" "&amp;W12&amp;" XP","")</f>
        <v/>
      </c>
      <c r="AF12" s="511" t="str">
        <f t="shared" si="35"/>
        <v>0.0 Mining XP</v>
      </c>
      <c r="AH12" s="503"/>
      <c r="AI12" s="108" t="s">
        <v>37</v>
      </c>
      <c r="AJ12" s="512">
        <v>0.0</v>
      </c>
    </row>
    <row r="13">
      <c r="B13" s="25" t="str">
        <f>'Minion Checker'!D16</f>
        <v/>
      </c>
      <c r="C13" s="37" t="str">
        <f>'Minion Checker'!E16</f>
        <v>Iron</v>
      </c>
      <c r="D13" s="37" t="str">
        <f>'Minion Sales'!D12</f>
        <v>Iron</v>
      </c>
      <c r="E13" s="192">
        <f>IFERROR(ROMAN('Minion Checker'!H16),0)</f>
        <v>0</v>
      </c>
      <c r="F13" s="118">
        <f t="shared" si="4"/>
        <v>0</v>
      </c>
      <c r="G13" s="193">
        <v>1.0</v>
      </c>
      <c r="H13" s="194">
        <v>0.25</v>
      </c>
      <c r="I13" s="195" t="b">
        <v>1</v>
      </c>
      <c r="J13" s="196" t="str">
        <f>IF(AND(F13&lt;=11,F13&gt;0),OFFSET('Minion Tiers'!$I$119,F13,0),"")</f>
        <v/>
      </c>
      <c r="K13" s="197" t="str">
        <f t="shared" si="5"/>
        <v>N/A</v>
      </c>
      <c r="L13" s="200">
        <f t="shared" si="6"/>
        <v>0</v>
      </c>
      <c r="M13" s="513">
        <v>1.0</v>
      </c>
      <c r="N13" s="122"/>
      <c r="O13" s="122"/>
      <c r="P13" s="514">
        <f t="shared" si="7"/>
        <v>0.1</v>
      </c>
      <c r="Q13" s="515">
        <f t="shared" si="36"/>
        <v>0.432</v>
      </c>
      <c r="R13" s="516" t="str">
        <f t="shared" si="8"/>
        <v>Mining</v>
      </c>
      <c r="S13" s="517"/>
      <c r="T13" s="516" t="str">
        <f t="shared" si="9"/>
        <v>Mining</v>
      </c>
      <c r="U13" s="518"/>
      <c r="V13" s="516" t="str">
        <f t="shared" si="10"/>
        <v>Mining</v>
      </c>
      <c r="W13" s="513"/>
      <c r="X13" s="514" t="s">
        <v>547</v>
      </c>
      <c r="Y13" s="216">
        <f t="array" ref="Y13">SUM(IF({R13,T13,V13}&lt;&gt;"Mining",{Q13*M13,S13*N13,U13*O13},0))</f>
        <v>0</v>
      </c>
      <c r="Z13" s="198">
        <f t="array" ref="Z13">SUM(IF({R13,T13,V13}="Mining",{Q13*M13,S13*N13,U13*O13},0))+(P13*0.4*$AC$2)</f>
        <v>0.4896</v>
      </c>
      <c r="AA13" s="198">
        <f t="shared" ref="AA13:AB13" si="37">Y13*$L13</f>
        <v>0</v>
      </c>
      <c r="AB13" s="519">
        <f t="shared" si="37"/>
        <v>0</v>
      </c>
      <c r="AC13" s="520" t="str">
        <f t="shared" ref="AC13:AD13" si="38">IF(Y13&gt;0,TEXT(Y13*$L13,"#,##0.0#")&amp;" "&amp;W13&amp;" XP","")</f>
        <v/>
      </c>
      <c r="AD13" s="521" t="str">
        <f t="shared" si="38"/>
        <v>0.0 Mining XP</v>
      </c>
      <c r="AE13" s="520" t="str">
        <f t="shared" ref="AE13:AF13" si="39">IF(Y13&gt;0,TEXT(Y13*$L13*24,"#,##0.0#")&amp;" "&amp;W13&amp;" XP","")</f>
        <v/>
      </c>
      <c r="AF13" s="521" t="str">
        <f t="shared" si="39"/>
        <v>0.0 Mining XP</v>
      </c>
      <c r="AH13" s="513"/>
      <c r="AI13" s="122" t="s">
        <v>38</v>
      </c>
      <c r="AJ13" s="522">
        <v>0.0</v>
      </c>
    </row>
    <row r="14">
      <c r="B14" s="27" t="str">
        <f>'Minion Checker'!D17</f>
        <v/>
      </c>
      <c r="C14" s="34" t="str">
        <f>'Minion Checker'!E17</f>
        <v>Gold</v>
      </c>
      <c r="D14" s="34" t="str">
        <f>'Minion Sales'!D13</f>
        <v>Gold</v>
      </c>
      <c r="E14" s="180">
        <f>IFERROR(ROMAN('Minion Checker'!H17),0)</f>
        <v>0</v>
      </c>
      <c r="F14" s="104">
        <f t="shared" si="4"/>
        <v>0</v>
      </c>
      <c r="G14" s="205">
        <v>1.0</v>
      </c>
      <c r="H14" s="181">
        <v>0.25</v>
      </c>
      <c r="I14" s="206" t="b">
        <v>1</v>
      </c>
      <c r="J14" s="207" t="str">
        <f>IF(AND(F14&lt;=11,F14&gt;0),OFFSET('Minion Tiers'!$I$132,F14,0),"")</f>
        <v/>
      </c>
      <c r="K14" s="184" t="str">
        <f t="shared" si="5"/>
        <v>N/A</v>
      </c>
      <c r="L14" s="187">
        <f t="shared" si="6"/>
        <v>0</v>
      </c>
      <c r="M14" s="503">
        <v>1.0</v>
      </c>
      <c r="N14" s="108"/>
      <c r="O14" s="108"/>
      <c r="P14" s="416">
        <f t="shared" si="7"/>
        <v>0.1</v>
      </c>
      <c r="Q14" s="504">
        <f t="shared" ref="Q14:Q15" si="43">0.4*$AC$2</f>
        <v>0.576</v>
      </c>
      <c r="R14" s="505" t="str">
        <f t="shared" si="8"/>
        <v>Mining</v>
      </c>
      <c r="S14" s="506"/>
      <c r="T14" s="505" t="str">
        <f t="shared" si="9"/>
        <v>Mining</v>
      </c>
      <c r="U14" s="507"/>
      <c r="V14" s="505" t="str">
        <f t="shared" si="10"/>
        <v>Mining</v>
      </c>
      <c r="W14" s="503"/>
      <c r="X14" s="416" t="s">
        <v>547</v>
      </c>
      <c r="Y14" s="508">
        <f t="array" ref="Y14">SUM(IF({R14,T14,V14}&lt;&gt;"Mining",{Q14*M14,S14*N14,U14*O14},0))</f>
        <v>0</v>
      </c>
      <c r="Z14" s="185">
        <f t="array" ref="Z14">SUM(IF({R14,T14,V14}="Mining",{Q14*M14,S14*N14,U14*O14},0))+(P14*0.4*$AC$2)</f>
        <v>0.6336</v>
      </c>
      <c r="AA14" s="185">
        <f t="shared" ref="AA14:AB14" si="40">Y14*$L14</f>
        <v>0</v>
      </c>
      <c r="AB14" s="509">
        <f t="shared" si="40"/>
        <v>0</v>
      </c>
      <c r="AC14" s="510" t="str">
        <f t="shared" ref="AC14:AD14" si="41">IF(Y14&gt;0,TEXT(Y14*$L14,"#,##0.0#")&amp;" "&amp;W14&amp;" XP","")</f>
        <v/>
      </c>
      <c r="AD14" s="511" t="str">
        <f t="shared" si="41"/>
        <v>0.0 Mining XP</v>
      </c>
      <c r="AE14" s="510" t="str">
        <f t="shared" ref="AE14:AF14" si="42">IF(Y14&gt;0,TEXT(Y14*$L14*24,"#,##0.0#")&amp;" "&amp;W14&amp;" XP","")</f>
        <v/>
      </c>
      <c r="AF14" s="511" t="str">
        <f t="shared" si="42"/>
        <v>0.0 Mining XP</v>
      </c>
      <c r="AH14" s="503"/>
      <c r="AI14" s="108" t="s">
        <v>39</v>
      </c>
      <c r="AJ14" s="512">
        <v>0.0</v>
      </c>
    </row>
    <row r="15">
      <c r="B15" s="25" t="str">
        <f>'Minion Checker'!D18</f>
        <v/>
      </c>
      <c r="C15" s="37" t="str">
        <f>'Minion Checker'!E18</f>
        <v>Diamond</v>
      </c>
      <c r="D15" s="37" t="str">
        <f>'Minion Sales'!D14</f>
        <v>Diamond</v>
      </c>
      <c r="E15" s="192">
        <f>IFERROR(ROMAN('Minion Checker'!H18),0)</f>
        <v>0</v>
      </c>
      <c r="F15" s="118">
        <f t="shared" si="4"/>
        <v>0</v>
      </c>
      <c r="G15" s="193">
        <v>1.0</v>
      </c>
      <c r="H15" s="194">
        <v>0.25</v>
      </c>
      <c r="I15" s="208" t="b">
        <v>1</v>
      </c>
      <c r="J15" s="196" t="str">
        <f>IF(AND(F15&lt;=11,F15&gt;0),OFFSET('Minion Tiers'!$I$145,F15,0),"")</f>
        <v/>
      </c>
      <c r="K15" s="197" t="str">
        <f t="shared" si="5"/>
        <v>N/A</v>
      </c>
      <c r="L15" s="200">
        <f t="shared" si="6"/>
        <v>0</v>
      </c>
      <c r="M15" s="513">
        <v>1.0</v>
      </c>
      <c r="N15" s="122"/>
      <c r="O15" s="122"/>
      <c r="P15" s="514">
        <f t="shared" si="7"/>
        <v>0.1</v>
      </c>
      <c r="Q15" s="515">
        <f t="shared" si="43"/>
        <v>0.576</v>
      </c>
      <c r="R15" s="516" t="str">
        <f t="shared" si="8"/>
        <v>Mining</v>
      </c>
      <c r="S15" s="517"/>
      <c r="T15" s="516" t="str">
        <f t="shared" si="9"/>
        <v>Mining</v>
      </c>
      <c r="U15" s="518"/>
      <c r="V15" s="516" t="str">
        <f t="shared" si="10"/>
        <v>Mining</v>
      </c>
      <c r="W15" s="513"/>
      <c r="X15" s="514" t="s">
        <v>547</v>
      </c>
      <c r="Y15" s="216">
        <f t="array" ref="Y15">SUM(IF({R15,T15,V15}&lt;&gt;"Mining",{Q15*M15,S15*N15,U15*O15},0))</f>
        <v>0</v>
      </c>
      <c r="Z15" s="198">
        <f t="array" ref="Z15">SUM(IF({R15,T15,V15}="Mining",{Q15*M15,S15*N15,U15*O15},0))+(P15*0.4*$AC$2)</f>
        <v>0.6336</v>
      </c>
      <c r="AA15" s="198">
        <f t="shared" ref="AA15:AB15" si="44">Y15*$L15</f>
        <v>0</v>
      </c>
      <c r="AB15" s="519">
        <f t="shared" si="44"/>
        <v>0</v>
      </c>
      <c r="AC15" s="520" t="str">
        <f t="shared" ref="AC15:AD15" si="45">IF(Y15&gt;0,TEXT(Y15*$L15,"#,##0.0#")&amp;" "&amp;W15&amp;" XP","")</f>
        <v/>
      </c>
      <c r="AD15" s="521" t="str">
        <f t="shared" si="45"/>
        <v>0.0 Mining XP</v>
      </c>
      <c r="AE15" s="520" t="str">
        <f t="shared" ref="AE15:AF15" si="46">IF(Y15&gt;0,TEXT(Y15*$L15*24,"#,##0.0#")&amp;" "&amp;W15&amp;" XP","")</f>
        <v/>
      </c>
      <c r="AF15" s="521" t="str">
        <f t="shared" si="46"/>
        <v>0.0 Mining XP</v>
      </c>
      <c r="AH15" s="513"/>
      <c r="AI15" s="122" t="s">
        <v>40</v>
      </c>
      <c r="AJ15" s="522">
        <v>0.0</v>
      </c>
    </row>
    <row r="16">
      <c r="B16" s="27" t="str">
        <f>'Minion Checker'!D19</f>
        <v/>
      </c>
      <c r="C16" s="34" t="str">
        <f>'Minion Checker'!E19</f>
        <v>Lapis</v>
      </c>
      <c r="D16" s="34" t="str">
        <f>'Minion Sales'!D15</f>
        <v>Lapis</v>
      </c>
      <c r="E16" s="180">
        <f>IFERROR(ROMAN('Minion Checker'!H19),0)</f>
        <v>0</v>
      </c>
      <c r="F16" s="104">
        <f t="shared" si="4"/>
        <v>0</v>
      </c>
      <c r="G16" s="205">
        <v>1.0</v>
      </c>
      <c r="H16" s="181">
        <v>0.25</v>
      </c>
      <c r="I16" s="206" t="b">
        <v>1</v>
      </c>
      <c r="J16" s="207" t="str">
        <f>IF(AND(F16&lt;=11,F16&gt;0),OFFSET('Minion Tiers'!$I$158,F16,0),"")</f>
        <v/>
      </c>
      <c r="K16" s="184" t="str">
        <f t="shared" si="5"/>
        <v>N/A</v>
      </c>
      <c r="L16" s="187">
        <f t="shared" si="6"/>
        <v>0</v>
      </c>
      <c r="M16" s="503">
        <v>6.0</v>
      </c>
      <c r="N16" s="108"/>
      <c r="O16" s="108"/>
      <c r="P16" s="416">
        <f t="shared" si="7"/>
        <v>0.6</v>
      </c>
      <c r="Q16" s="504">
        <f>0.1*$AC$2</f>
        <v>0.144</v>
      </c>
      <c r="R16" s="505" t="str">
        <f t="shared" si="8"/>
        <v>Mining</v>
      </c>
      <c r="S16" s="506"/>
      <c r="T16" s="505" t="str">
        <f t="shared" si="9"/>
        <v>Mining</v>
      </c>
      <c r="U16" s="507"/>
      <c r="V16" s="505" t="str">
        <f t="shared" si="10"/>
        <v>Mining</v>
      </c>
      <c r="W16" s="503"/>
      <c r="X16" s="416" t="s">
        <v>547</v>
      </c>
      <c r="Y16" s="508">
        <f t="array" ref="Y16">SUM(IF({R16,T16,V16}&lt;&gt;"Mining",{Q16*M16,S16*N16,U16*O16},0))</f>
        <v>0</v>
      </c>
      <c r="Z16" s="185">
        <f t="array" ref="Z16">SUM(IF({R16,T16,V16}="Mining",{Q16*M16,S16*N16,U16*O16},0))+(P16*0.4*$AC$2)</f>
        <v>1.2096</v>
      </c>
      <c r="AA16" s="185">
        <f t="shared" ref="AA16:AB16" si="47">Y16*$L16</f>
        <v>0</v>
      </c>
      <c r="AB16" s="509">
        <f t="shared" si="47"/>
        <v>0</v>
      </c>
      <c r="AC16" s="510" t="str">
        <f t="shared" ref="AC16:AD16" si="48">IF(Y16&gt;0,TEXT(Y16*$L16,"#,##0.0#")&amp;" "&amp;W16&amp;" XP","")</f>
        <v/>
      </c>
      <c r="AD16" s="511" t="str">
        <f t="shared" si="48"/>
        <v>0.0 Mining XP</v>
      </c>
      <c r="AE16" s="510" t="str">
        <f t="shared" ref="AE16:AF16" si="49">IF(Y16&gt;0,TEXT(Y16*$L16*24,"#,##0.0#")&amp;" "&amp;W16&amp;" XP","")</f>
        <v/>
      </c>
      <c r="AF16" s="511" t="str">
        <f t="shared" si="49"/>
        <v>0.0 Mining XP</v>
      </c>
      <c r="AH16" s="503"/>
      <c r="AI16" s="108" t="s">
        <v>41</v>
      </c>
      <c r="AJ16" s="512">
        <v>0.0</v>
      </c>
    </row>
    <row r="17">
      <c r="B17" s="25" t="str">
        <f>'Minion Checker'!D20</f>
        <v/>
      </c>
      <c r="C17" s="37" t="str">
        <f>'Minion Checker'!E20</f>
        <v>Redstone</v>
      </c>
      <c r="D17" s="37" t="str">
        <f>'Minion Sales'!D16</f>
        <v>Redstone</v>
      </c>
      <c r="E17" s="192">
        <f>IFERROR(ROMAN('Minion Checker'!H20),0)</f>
        <v>0</v>
      </c>
      <c r="F17" s="118">
        <f t="shared" si="4"/>
        <v>0</v>
      </c>
      <c r="G17" s="193">
        <v>1.0</v>
      </c>
      <c r="H17" s="194">
        <v>0.25</v>
      </c>
      <c r="I17" s="208" t="b">
        <v>1</v>
      </c>
      <c r="J17" s="196" t="str">
        <f>IF(AND(F17&lt;=11,F17&gt;0),OFFSET('Minion Tiers'!$I$171,F17,0),"")</f>
        <v/>
      </c>
      <c r="K17" s="197" t="str">
        <f t="shared" si="5"/>
        <v>N/A</v>
      </c>
      <c r="L17" s="200">
        <f t="shared" si="6"/>
        <v>0</v>
      </c>
      <c r="M17" s="513">
        <v>4.5</v>
      </c>
      <c r="N17" s="122"/>
      <c r="O17" s="122"/>
      <c r="P17" s="514">
        <f t="shared" si="7"/>
        <v>0.45</v>
      </c>
      <c r="Q17" s="515">
        <f>0.2*$AC$2</f>
        <v>0.288</v>
      </c>
      <c r="R17" s="516" t="str">
        <f t="shared" si="8"/>
        <v>Mining</v>
      </c>
      <c r="S17" s="517"/>
      <c r="T17" s="516" t="str">
        <f t="shared" si="9"/>
        <v>Mining</v>
      </c>
      <c r="U17" s="518"/>
      <c r="V17" s="516" t="str">
        <f t="shared" si="10"/>
        <v>Mining</v>
      </c>
      <c r="W17" s="513"/>
      <c r="X17" s="514" t="s">
        <v>547</v>
      </c>
      <c r="Y17" s="216">
        <f t="array" ref="Y17">SUM(IF({R17,T17,V17}&lt;&gt;"Mining",{Q17*M17,S17*N17,U17*O17},0))</f>
        <v>0</v>
      </c>
      <c r="Z17" s="198">
        <f t="array" ref="Z17">SUM(IF({R17,T17,V17}="Mining",{Q17*M17,S17*N17,U17*O17},0))+(P17*0.4*$AC$2)</f>
        <v>1.5552</v>
      </c>
      <c r="AA17" s="198">
        <f t="shared" ref="AA17:AB17" si="50">Y17*$L17</f>
        <v>0</v>
      </c>
      <c r="AB17" s="519">
        <f t="shared" si="50"/>
        <v>0</v>
      </c>
      <c r="AC17" s="520" t="str">
        <f t="shared" ref="AC17:AD17" si="51">IF(Y17&gt;0,TEXT(Y17*$L17,"#,##0.0#")&amp;" "&amp;W17&amp;" XP","")</f>
        <v/>
      </c>
      <c r="AD17" s="521" t="str">
        <f t="shared" si="51"/>
        <v>0.0 Mining XP</v>
      </c>
      <c r="AE17" s="520" t="str">
        <f t="shared" ref="AE17:AF17" si="52">IF(Y17&gt;0,TEXT(Y17*$L17*24,"#,##0.0#")&amp;" "&amp;W17&amp;" XP","")</f>
        <v/>
      </c>
      <c r="AF17" s="521" t="str">
        <f t="shared" si="52"/>
        <v>0.0 Mining XP</v>
      </c>
      <c r="AH17" s="513"/>
      <c r="AI17" s="122" t="s">
        <v>42</v>
      </c>
      <c r="AJ17" s="522">
        <v>0.0</v>
      </c>
    </row>
    <row r="18">
      <c r="B18" s="27" t="str">
        <f>'Minion Checker'!D21</f>
        <v/>
      </c>
      <c r="C18" s="34" t="str">
        <f>'Minion Checker'!E21</f>
        <v>Emerald</v>
      </c>
      <c r="D18" s="34" t="str">
        <f>'Minion Sales'!D17</f>
        <v>Emerald</v>
      </c>
      <c r="E18" s="180">
        <f>IFERROR(ROMAN('Minion Checker'!H21),0)</f>
        <v>0</v>
      </c>
      <c r="F18" s="104">
        <f t="shared" si="4"/>
        <v>0</v>
      </c>
      <c r="G18" s="205">
        <v>1.0</v>
      </c>
      <c r="H18" s="181">
        <v>0.25</v>
      </c>
      <c r="I18" s="206" t="b">
        <v>1</v>
      </c>
      <c r="J18" s="207" t="str">
        <f>IF(AND(F18&lt;=11,F18&gt;0),OFFSET('Minion Tiers'!$I$184,F18,0),"")</f>
        <v/>
      </c>
      <c r="K18" s="184" t="str">
        <f t="shared" si="5"/>
        <v>N/A</v>
      </c>
      <c r="L18" s="187">
        <f t="shared" si="6"/>
        <v>0</v>
      </c>
      <c r="M18" s="503">
        <v>1.0</v>
      </c>
      <c r="N18" s="108"/>
      <c r="O18" s="108"/>
      <c r="P18" s="416">
        <f t="shared" si="7"/>
        <v>0.1</v>
      </c>
      <c r="Q18" s="504">
        <f>0.4*$AC$2</f>
        <v>0.576</v>
      </c>
      <c r="R18" s="505" t="str">
        <f t="shared" si="8"/>
        <v>Mining</v>
      </c>
      <c r="S18" s="506"/>
      <c r="T18" s="505" t="str">
        <f t="shared" si="9"/>
        <v>Mining</v>
      </c>
      <c r="U18" s="507"/>
      <c r="V18" s="505" t="str">
        <f t="shared" si="10"/>
        <v>Mining</v>
      </c>
      <c r="W18" s="503"/>
      <c r="X18" s="416" t="s">
        <v>547</v>
      </c>
      <c r="Y18" s="508">
        <f t="array" ref="Y18">SUM(IF({R18,T18,V18}&lt;&gt;"Mining",{Q18*M18,S18*N18,U18*O18},0))</f>
        <v>0</v>
      </c>
      <c r="Z18" s="185">
        <f t="array" ref="Z18">SUM(IF({R18,T18,V18}="Mining",{Q18*M18,S18*N18,U18*O18},0))+(P18*0.4*$AC$2)</f>
        <v>0.6336</v>
      </c>
      <c r="AA18" s="185">
        <f t="shared" ref="AA18:AB18" si="53">Y18*$L18</f>
        <v>0</v>
      </c>
      <c r="AB18" s="509">
        <f t="shared" si="53"/>
        <v>0</v>
      </c>
      <c r="AC18" s="510" t="str">
        <f t="shared" ref="AC18:AD18" si="54">IF(Y18&gt;0,TEXT(Y18*$L18,"#,##0.0#")&amp;" "&amp;W18&amp;" XP","")</f>
        <v/>
      </c>
      <c r="AD18" s="511" t="str">
        <f t="shared" si="54"/>
        <v>0.0 Mining XP</v>
      </c>
      <c r="AE18" s="510" t="str">
        <f t="shared" ref="AE18:AF18" si="55">IF(Y18&gt;0,TEXT(Y18*$L18*24,"#,##0.0#")&amp;" "&amp;W18&amp;" XP","")</f>
        <v/>
      </c>
      <c r="AF18" s="511" t="str">
        <f t="shared" si="55"/>
        <v>0.0 Mining XP</v>
      </c>
      <c r="AH18" s="503"/>
      <c r="AI18" s="108" t="s">
        <v>43</v>
      </c>
      <c r="AJ18" s="512">
        <v>0.0</v>
      </c>
    </row>
    <row r="19">
      <c r="B19" s="25" t="str">
        <f>'Minion Checker'!D22</f>
        <v/>
      </c>
      <c r="C19" s="37" t="str">
        <f>'Minion Checker'!E22</f>
        <v>Quartz</v>
      </c>
      <c r="D19" s="37" t="str">
        <f>'Minion Sales'!D18</f>
        <v>Quartz</v>
      </c>
      <c r="E19" s="192">
        <f>IFERROR(ROMAN('Minion Checker'!H22),0)</f>
        <v>0</v>
      </c>
      <c r="F19" s="118">
        <f t="shared" si="4"/>
        <v>0</v>
      </c>
      <c r="G19" s="193">
        <v>1.0</v>
      </c>
      <c r="H19" s="194">
        <v>0.25</v>
      </c>
      <c r="I19" s="208" t="b">
        <v>1</v>
      </c>
      <c r="J19" s="196" t="str">
        <f>IF(AND(F19&lt;=11,F19&gt;0),OFFSET('Minion Tiers'!$I$197,F19,0),"")</f>
        <v/>
      </c>
      <c r="K19" s="197" t="str">
        <f t="shared" si="5"/>
        <v>N/A</v>
      </c>
      <c r="L19" s="200">
        <f t="shared" si="6"/>
        <v>0</v>
      </c>
      <c r="M19" s="513">
        <v>1.0</v>
      </c>
      <c r="N19" s="122"/>
      <c r="O19" s="122"/>
      <c r="P19" s="514">
        <f t="shared" si="7"/>
        <v>0.1</v>
      </c>
      <c r="Q19" s="515">
        <f>0.3*$AC$2</f>
        <v>0.432</v>
      </c>
      <c r="R19" s="516" t="str">
        <f t="shared" si="8"/>
        <v>Mining</v>
      </c>
      <c r="S19" s="517"/>
      <c r="T19" s="516" t="str">
        <f t="shared" si="9"/>
        <v>Mining</v>
      </c>
      <c r="U19" s="518"/>
      <c r="V19" s="516" t="str">
        <f t="shared" si="10"/>
        <v>Mining</v>
      </c>
      <c r="W19" s="513"/>
      <c r="X19" s="514" t="s">
        <v>547</v>
      </c>
      <c r="Y19" s="216">
        <f t="array" ref="Y19">SUM(IF({R19,T19,V19}&lt;&gt;"Mining",{Q19*M19,S19*N19,U19*O19},0))</f>
        <v>0</v>
      </c>
      <c r="Z19" s="198">
        <f t="array" ref="Z19">SUM(IF({R19,T19,V19}="Mining",{Q19*M19,S19*N19,U19*O19},0))+(P19*0.4*$AC$2)</f>
        <v>0.4896</v>
      </c>
      <c r="AA19" s="198">
        <f t="shared" ref="AA19:AB19" si="56">Y19*$L19</f>
        <v>0</v>
      </c>
      <c r="AB19" s="519">
        <f t="shared" si="56"/>
        <v>0</v>
      </c>
      <c r="AC19" s="520" t="str">
        <f t="shared" ref="AC19:AD19" si="57">IF(Y19&gt;0,TEXT(Y19*$L19,"#,##0.0#")&amp;" "&amp;W19&amp;" XP","")</f>
        <v/>
      </c>
      <c r="AD19" s="521" t="str">
        <f t="shared" si="57"/>
        <v>0.0 Mining XP</v>
      </c>
      <c r="AE19" s="520" t="str">
        <f t="shared" ref="AE19:AF19" si="58">IF(Y19&gt;0,TEXT(Y19*$L19*24,"#,##0.0#")&amp;" "&amp;W19&amp;" XP","")</f>
        <v/>
      </c>
      <c r="AF19" s="521" t="str">
        <f t="shared" si="58"/>
        <v>0.0 Mining XP</v>
      </c>
      <c r="AH19" s="513"/>
      <c r="AI19" s="122" t="s">
        <v>44</v>
      </c>
      <c r="AJ19" s="522">
        <v>0.0</v>
      </c>
    </row>
    <row r="20">
      <c r="B20" s="27" t="str">
        <f>'Minion Checker'!D23</f>
        <v/>
      </c>
      <c r="C20" s="34" t="str">
        <f>'Minion Checker'!E23</f>
        <v>End Stone</v>
      </c>
      <c r="D20" s="34" t="str">
        <f>'Minion Sales'!D19</f>
        <v>End Stone</v>
      </c>
      <c r="E20" s="180">
        <f>IFERROR(ROMAN('Minion Checker'!H23),0)</f>
        <v>0</v>
      </c>
      <c r="F20" s="104">
        <f t="shared" si="4"/>
        <v>0</v>
      </c>
      <c r="G20" s="205">
        <v>1.0</v>
      </c>
      <c r="H20" s="181">
        <v>0.25</v>
      </c>
      <c r="I20" s="206" t="b">
        <v>1</v>
      </c>
      <c r="J20" s="207" t="str">
        <f>IF(AND(F20&lt;=11,F20&gt;0),OFFSET('Minion Tiers'!$I$210,F20,0),"")</f>
        <v/>
      </c>
      <c r="K20" s="184" t="str">
        <f t="shared" si="5"/>
        <v>N/A</v>
      </c>
      <c r="L20" s="187">
        <f t="shared" si="6"/>
        <v>0</v>
      </c>
      <c r="M20" s="503">
        <v>1.0</v>
      </c>
      <c r="N20" s="108"/>
      <c r="O20" s="108"/>
      <c r="P20" s="416">
        <f t="shared" si="7"/>
        <v>0.1</v>
      </c>
      <c r="Q20" s="504">
        <f>0.4*$AC$2</f>
        <v>0.576</v>
      </c>
      <c r="R20" s="505" t="str">
        <f t="shared" si="8"/>
        <v>Mining</v>
      </c>
      <c r="S20" s="506"/>
      <c r="T20" s="505" t="str">
        <f t="shared" si="9"/>
        <v>Mining</v>
      </c>
      <c r="U20" s="507"/>
      <c r="V20" s="505" t="str">
        <f t="shared" si="10"/>
        <v>Mining</v>
      </c>
      <c r="W20" s="503"/>
      <c r="X20" s="416" t="s">
        <v>547</v>
      </c>
      <c r="Y20" s="508">
        <f t="array" ref="Y20">SUM(IF({R20,T20,V20}&lt;&gt;"Mining",{Q20*M20,S20*N20,U20*O20},0))</f>
        <v>0</v>
      </c>
      <c r="Z20" s="185">
        <f t="array" ref="Z20">SUM(IF({R20,T20,V20}="Mining",{Q20*M20,S20*N20,U20*O20},0))+(P20*0.4*$AC$2)</f>
        <v>0.6336</v>
      </c>
      <c r="AA20" s="185">
        <f t="shared" ref="AA20:AB20" si="59">Y20*$L20</f>
        <v>0</v>
      </c>
      <c r="AB20" s="509">
        <f t="shared" si="59"/>
        <v>0</v>
      </c>
      <c r="AC20" s="510" t="str">
        <f t="shared" ref="AC20:AD20" si="60">IF(Y20&gt;0,TEXT(Y20*$L20,"#,##0.0#")&amp;" "&amp;W20&amp;" XP","")</f>
        <v/>
      </c>
      <c r="AD20" s="511" t="str">
        <f t="shared" si="60"/>
        <v>0.0 Mining XP</v>
      </c>
      <c r="AE20" s="510" t="str">
        <f t="shared" ref="AE20:AF20" si="61">IF(Y20&gt;0,TEXT(Y20*$L20*24,"#,##0.0#")&amp;" "&amp;W20&amp;" XP","")</f>
        <v/>
      </c>
      <c r="AF20" s="511" t="str">
        <f t="shared" si="61"/>
        <v>0.0 Mining XP</v>
      </c>
      <c r="AH20" s="503"/>
      <c r="AI20" s="108" t="s">
        <v>117</v>
      </c>
      <c r="AJ20" s="512">
        <v>0.0</v>
      </c>
    </row>
    <row r="21">
      <c r="B21" s="25" t="str">
        <f>'Minion Checker'!D24</f>
        <v/>
      </c>
      <c r="C21" s="37" t="str">
        <f>'Minion Checker'!E24</f>
        <v>Wheat</v>
      </c>
      <c r="D21" s="37" t="str">
        <f>'Minion Sales'!D20</f>
        <v>Wheat</v>
      </c>
      <c r="E21" s="192">
        <f>IFERROR(ROMAN('Minion Checker'!H24),0)</f>
        <v>0</v>
      </c>
      <c r="F21" s="118">
        <f t="shared" si="4"/>
        <v>0</v>
      </c>
      <c r="G21" s="193">
        <v>1.0</v>
      </c>
      <c r="H21" s="194">
        <v>0.25</v>
      </c>
      <c r="I21" s="195" t="b">
        <v>1</v>
      </c>
      <c r="J21" s="196" t="str">
        <f>IF(AND(F21&lt;=11,F21&gt;0),OFFSET('Minion Tiers'!$I$223,F21,0),"")</f>
        <v/>
      </c>
      <c r="K21" s="197" t="str">
        <f t="shared" si="5"/>
        <v>N/A</v>
      </c>
      <c r="L21" s="200">
        <f t="shared" si="6"/>
        <v>0</v>
      </c>
      <c r="M21" s="513">
        <v>1.0</v>
      </c>
      <c r="N21" s="122">
        <v>1.0</v>
      </c>
      <c r="O21" s="122"/>
      <c r="P21" s="514">
        <f t="shared" si="7"/>
        <v>0.2</v>
      </c>
      <c r="Q21" s="515">
        <f>0.2*$AC$2</f>
        <v>0.288</v>
      </c>
      <c r="R21" s="516" t="str">
        <f t="shared" si="8"/>
        <v>Farming</v>
      </c>
      <c r="S21" s="517">
        <f>0.1*$AC$2</f>
        <v>0.144</v>
      </c>
      <c r="T21" s="516" t="str">
        <f t="shared" si="9"/>
        <v>Farming</v>
      </c>
      <c r="U21" s="518"/>
      <c r="V21" s="516" t="str">
        <f t="shared" si="10"/>
        <v>Farming</v>
      </c>
      <c r="W21" s="513" t="s">
        <v>548</v>
      </c>
      <c r="X21" s="514" t="s">
        <v>547</v>
      </c>
      <c r="Y21" s="216">
        <f t="array" ref="Y21">SUM(IF({R21,T21,V21}&lt;&gt;"Mining",{Q21*M21,S21*N21,U21*O21},0))</f>
        <v>0.432</v>
      </c>
      <c r="Z21" s="198">
        <f t="array" ref="Z21">SUM(IF({R21,T21,V21}="Mining",{Q21*M21,S21*N21,U21*O21},0))+(P21*0.4*$AC$2)</f>
        <v>0.1152</v>
      </c>
      <c r="AA21" s="198">
        <f t="shared" ref="AA21:AB21" si="62">Y21*$L21</f>
        <v>0</v>
      </c>
      <c r="AB21" s="519">
        <f t="shared" si="62"/>
        <v>0</v>
      </c>
      <c r="AC21" s="520" t="str">
        <f t="shared" ref="AC21:AD21" si="63">IF(Y21&gt;0,TEXT(Y21*$L21,"#,##0.0#")&amp;" "&amp;W21&amp;" XP","")</f>
        <v>0.0 Farming XP</v>
      </c>
      <c r="AD21" s="521" t="str">
        <f t="shared" si="63"/>
        <v>0.0 Mining XP</v>
      </c>
      <c r="AE21" s="520" t="str">
        <f t="shared" ref="AE21:AF21" si="64">IF(Y21&gt;0,TEXT(Y21*$L21*24,"#,##0.0#")&amp;" "&amp;W21&amp;" XP","")</f>
        <v>0.0 Farming XP</v>
      </c>
      <c r="AF21" s="521" t="str">
        <f t="shared" si="64"/>
        <v>0.0 Mining XP</v>
      </c>
      <c r="AH21" s="513"/>
      <c r="AI21" s="122" t="s">
        <v>47</v>
      </c>
      <c r="AJ21" s="522">
        <v>0.0</v>
      </c>
    </row>
    <row r="22">
      <c r="B22" s="27" t="str">
        <f>'Minion Checker'!D25</f>
        <v/>
      </c>
      <c r="C22" s="34" t="str">
        <f>'Minion Checker'!E25</f>
        <v>Melon</v>
      </c>
      <c r="D22" s="34" t="str">
        <f>'Minion Sales'!D21</f>
        <v>Melon Slice</v>
      </c>
      <c r="E22" s="180">
        <f>IFERROR(ROMAN('Minion Checker'!H25),0)</f>
        <v>0</v>
      </c>
      <c r="F22" s="104">
        <f t="shared" si="4"/>
        <v>0</v>
      </c>
      <c r="G22" s="205">
        <v>1.0</v>
      </c>
      <c r="H22" s="181">
        <v>0.25</v>
      </c>
      <c r="I22" s="206" t="b">
        <v>1</v>
      </c>
      <c r="J22" s="207" t="str">
        <f>IF(AND(F22&lt;=11,F22&gt;0),OFFSET('Minion Tiers'!$I$236,F22,0),"")</f>
        <v/>
      </c>
      <c r="K22" s="184" t="str">
        <f t="shared" si="5"/>
        <v>N/A</v>
      </c>
      <c r="L22" s="187">
        <f t="shared" si="6"/>
        <v>0</v>
      </c>
      <c r="M22" s="503">
        <v>6.0</v>
      </c>
      <c r="N22" s="108"/>
      <c r="O22" s="108"/>
      <c r="P22" s="416">
        <f t="shared" si="7"/>
        <v>0.6</v>
      </c>
      <c r="Q22" s="504">
        <f>0.1*$AC$2</f>
        <v>0.144</v>
      </c>
      <c r="R22" s="505" t="str">
        <f t="shared" si="8"/>
        <v>Farming</v>
      </c>
      <c r="S22" s="506"/>
      <c r="T22" s="505" t="str">
        <f t="shared" si="9"/>
        <v>Farming</v>
      </c>
      <c r="U22" s="507"/>
      <c r="V22" s="505" t="str">
        <f t="shared" si="10"/>
        <v>Farming</v>
      </c>
      <c r="W22" s="503" t="s">
        <v>548</v>
      </c>
      <c r="X22" s="416" t="s">
        <v>547</v>
      </c>
      <c r="Y22" s="508">
        <f t="array" ref="Y22">SUM(IF({R22,T22,V22}&lt;&gt;"Mining",{Q22*M22,S22*N22,U22*O22},0))</f>
        <v>0.864</v>
      </c>
      <c r="Z22" s="185">
        <f t="array" ref="Z22">SUM(IF({R22,T22,V22}="Mining",{Q22*M22,S22*N22,U22*O22},0))+(P22*0.4*$AC$2)</f>
        <v>0.3456</v>
      </c>
      <c r="AA22" s="185">
        <f t="shared" ref="AA22:AB22" si="65">Y22*$L22</f>
        <v>0</v>
      </c>
      <c r="AB22" s="509">
        <f t="shared" si="65"/>
        <v>0</v>
      </c>
      <c r="AC22" s="510" t="str">
        <f t="shared" ref="AC22:AD22" si="66">IF(Y22&gt;0,TEXT(Y22*$L22,"#,##0.0#")&amp;" "&amp;W22&amp;" XP","")</f>
        <v>0.0 Farming XP</v>
      </c>
      <c r="AD22" s="511" t="str">
        <f t="shared" si="66"/>
        <v>0.0 Mining XP</v>
      </c>
      <c r="AE22" s="510" t="str">
        <f t="shared" ref="AE22:AF22" si="67">IF(Y22&gt;0,TEXT(Y22*$L22*24,"#,##0.0#")&amp;" "&amp;W22&amp;" XP","")</f>
        <v>0.0 Farming XP</v>
      </c>
      <c r="AF22" s="511" t="str">
        <f t="shared" si="67"/>
        <v>0.0 Mining XP</v>
      </c>
      <c r="AH22" s="503"/>
      <c r="AI22" s="108" t="s">
        <v>48</v>
      </c>
      <c r="AJ22" s="512">
        <v>0.0</v>
      </c>
    </row>
    <row r="23">
      <c r="B23" s="25" t="str">
        <f>'Minion Checker'!D26</f>
        <v/>
      </c>
      <c r="C23" s="37" t="str">
        <f>'Minion Checker'!E26</f>
        <v>Pumpkin</v>
      </c>
      <c r="D23" s="37" t="str">
        <f>'Minion Sales'!D22</f>
        <v>Pumpkin</v>
      </c>
      <c r="E23" s="192">
        <f>IFERROR(ROMAN('Minion Checker'!H26),0)</f>
        <v>0</v>
      </c>
      <c r="F23" s="118">
        <f t="shared" si="4"/>
        <v>0</v>
      </c>
      <c r="G23" s="193">
        <v>1.0</v>
      </c>
      <c r="H23" s="194">
        <v>0.25</v>
      </c>
      <c r="I23" s="208" t="b">
        <v>1</v>
      </c>
      <c r="J23" s="196" t="str">
        <f>IF(AND(F23&lt;=11,F23&gt;0),OFFSET('Minion Tiers'!$I$249,F23,0),"")</f>
        <v/>
      </c>
      <c r="K23" s="197" t="str">
        <f t="shared" si="5"/>
        <v>N/A</v>
      </c>
      <c r="L23" s="200">
        <f t="shared" si="6"/>
        <v>0</v>
      </c>
      <c r="M23" s="513">
        <v>1.0</v>
      </c>
      <c r="N23" s="122"/>
      <c r="O23" s="122"/>
      <c r="P23" s="514">
        <f t="shared" si="7"/>
        <v>0.1</v>
      </c>
      <c r="Q23" s="515">
        <f>0.3*$AC$2</f>
        <v>0.432</v>
      </c>
      <c r="R23" s="516" t="str">
        <f t="shared" si="8"/>
        <v>Farming</v>
      </c>
      <c r="S23" s="517"/>
      <c r="T23" s="516" t="str">
        <f t="shared" si="9"/>
        <v>Farming</v>
      </c>
      <c r="U23" s="518"/>
      <c r="V23" s="516" t="str">
        <f t="shared" si="10"/>
        <v>Farming</v>
      </c>
      <c r="W23" s="513" t="s">
        <v>548</v>
      </c>
      <c r="X23" s="514" t="s">
        <v>547</v>
      </c>
      <c r="Y23" s="216">
        <f t="array" ref="Y23">SUM(IF({R23,T23,V23}&lt;&gt;"Mining",{Q23*M23,S23*N23,U23*O23},0))</f>
        <v>0.432</v>
      </c>
      <c r="Z23" s="198">
        <f t="array" ref="Z23">SUM(IF({R23,T23,V23}="Mining",{Q23*M23,S23*N23,U23*O23},0))+(P23*0.4*$AC$2)</f>
        <v>0.0576</v>
      </c>
      <c r="AA23" s="198">
        <f t="shared" ref="AA23:AB23" si="68">Y23*$L23</f>
        <v>0</v>
      </c>
      <c r="AB23" s="519">
        <f t="shared" si="68"/>
        <v>0</v>
      </c>
      <c r="AC23" s="520" t="str">
        <f t="shared" ref="AC23:AD23" si="69">IF(Y23&gt;0,TEXT(Y23*$L23,"#,##0.0#")&amp;" "&amp;W23&amp;" XP","")</f>
        <v>0.0 Farming XP</v>
      </c>
      <c r="AD23" s="521" t="str">
        <f t="shared" si="69"/>
        <v>0.0 Mining XP</v>
      </c>
      <c r="AE23" s="520" t="str">
        <f t="shared" ref="AE23:AF23" si="70">IF(Y23&gt;0,TEXT(Y23*$L23*24,"#,##0.0#")&amp;" "&amp;W23&amp;" XP","")</f>
        <v>0.0 Farming XP</v>
      </c>
      <c r="AF23" s="521" t="str">
        <f t="shared" si="70"/>
        <v>0.0 Mining XP</v>
      </c>
      <c r="AH23" s="513"/>
      <c r="AI23" s="122" t="s">
        <v>49</v>
      </c>
      <c r="AJ23" s="522">
        <v>0.0</v>
      </c>
    </row>
    <row r="24">
      <c r="B24" s="27" t="str">
        <f>'Minion Checker'!D27</f>
        <v/>
      </c>
      <c r="C24" s="34" t="str">
        <f>'Minion Checker'!E27</f>
        <v>Carrot</v>
      </c>
      <c r="D24" s="34" t="str">
        <f>'Minion Sales'!D23</f>
        <v>Carrot</v>
      </c>
      <c r="E24" s="180">
        <f>IFERROR(ROMAN('Minion Checker'!H27),0)</f>
        <v>0</v>
      </c>
      <c r="F24" s="104">
        <f t="shared" si="4"/>
        <v>0</v>
      </c>
      <c r="G24" s="205">
        <v>1.0</v>
      </c>
      <c r="H24" s="181">
        <v>0.25</v>
      </c>
      <c r="I24" s="206" t="b">
        <v>1</v>
      </c>
      <c r="J24" s="207" t="str">
        <f>IF(AND(F24&lt;=11,F24&gt;0),OFFSET('Minion Tiers'!$I$262,F24,0),"")</f>
        <v/>
      </c>
      <c r="K24" s="184" t="str">
        <f t="shared" si="5"/>
        <v>N/A</v>
      </c>
      <c r="L24" s="187">
        <f t="shared" si="6"/>
        <v>0</v>
      </c>
      <c r="M24" s="503">
        <v>3.0</v>
      </c>
      <c r="N24" s="108"/>
      <c r="O24" s="108"/>
      <c r="P24" s="416">
        <f t="shared" si="7"/>
        <v>0.3</v>
      </c>
      <c r="Q24" s="504">
        <f t="shared" ref="Q24:Q25" si="74">0.1*$AC$2</f>
        <v>0.144</v>
      </c>
      <c r="R24" s="505" t="str">
        <f t="shared" si="8"/>
        <v>Farming</v>
      </c>
      <c r="S24" s="506"/>
      <c r="T24" s="505" t="str">
        <f t="shared" si="9"/>
        <v>Farming</v>
      </c>
      <c r="U24" s="507"/>
      <c r="V24" s="505" t="str">
        <f t="shared" si="10"/>
        <v>Farming</v>
      </c>
      <c r="W24" s="503" t="s">
        <v>548</v>
      </c>
      <c r="X24" s="416" t="s">
        <v>547</v>
      </c>
      <c r="Y24" s="508">
        <f t="array" ref="Y24">SUM(IF({R24,T24,V24}&lt;&gt;"Mining",{Q24*M24,S24*N24,U24*O24},0))</f>
        <v>0.432</v>
      </c>
      <c r="Z24" s="185">
        <f t="array" ref="Z24">SUM(IF({R24,T24,V24}="Mining",{Q24*M24,S24*N24,U24*O24},0))+(P24*0.4*$AC$2)</f>
        <v>0.1728</v>
      </c>
      <c r="AA24" s="185">
        <f t="shared" ref="AA24:AB24" si="71">Y24*$L24</f>
        <v>0</v>
      </c>
      <c r="AB24" s="509">
        <f t="shared" si="71"/>
        <v>0</v>
      </c>
      <c r="AC24" s="510" t="str">
        <f t="shared" ref="AC24:AD24" si="72">IF(Y24&gt;0,TEXT(Y24*$L24,"#,##0.0#")&amp;" "&amp;W24&amp;" XP","")</f>
        <v>0.0 Farming XP</v>
      </c>
      <c r="AD24" s="511" t="str">
        <f t="shared" si="72"/>
        <v>0.0 Mining XP</v>
      </c>
      <c r="AE24" s="510" t="str">
        <f t="shared" ref="AE24:AF24" si="73">IF(Y24&gt;0,TEXT(Y24*$L24*24,"#,##0.0#")&amp;" "&amp;W24&amp;" XP","")</f>
        <v>0.0 Farming XP</v>
      </c>
      <c r="AF24" s="511" t="str">
        <f t="shared" si="73"/>
        <v>0.0 Mining XP</v>
      </c>
      <c r="AH24" s="503"/>
      <c r="AI24" s="108" t="s">
        <v>50</v>
      </c>
      <c r="AJ24" s="512">
        <v>0.0</v>
      </c>
    </row>
    <row r="25">
      <c r="B25" s="25" t="str">
        <f>'Minion Checker'!D28</f>
        <v/>
      </c>
      <c r="C25" s="37" t="str">
        <f>'Minion Checker'!E28</f>
        <v>Potato</v>
      </c>
      <c r="D25" s="37" t="str">
        <f>'Minion Sales'!D24</f>
        <v>Potato</v>
      </c>
      <c r="E25" s="192">
        <f>IFERROR(ROMAN('Minion Checker'!H28),0)</f>
        <v>0</v>
      </c>
      <c r="F25" s="118">
        <f t="shared" si="4"/>
        <v>0</v>
      </c>
      <c r="G25" s="193">
        <v>1.0</v>
      </c>
      <c r="H25" s="194">
        <v>0.25</v>
      </c>
      <c r="I25" s="208" t="b">
        <v>1</v>
      </c>
      <c r="J25" s="196" t="str">
        <f>IF(AND(F25&lt;=11,F25&gt;0),OFFSET('Minion Tiers'!$I$275,F25,0),"")</f>
        <v/>
      </c>
      <c r="K25" s="197" t="str">
        <f t="shared" si="5"/>
        <v>N/A</v>
      </c>
      <c r="L25" s="200">
        <f t="shared" si="6"/>
        <v>0</v>
      </c>
      <c r="M25" s="513">
        <v>3.0</v>
      </c>
      <c r="N25" s="122"/>
      <c r="O25" s="122"/>
      <c r="P25" s="514">
        <f t="shared" si="7"/>
        <v>0.3</v>
      </c>
      <c r="Q25" s="515">
        <f t="shared" si="74"/>
        <v>0.144</v>
      </c>
      <c r="R25" s="516" t="str">
        <f t="shared" si="8"/>
        <v>Farming</v>
      </c>
      <c r="S25" s="517"/>
      <c r="T25" s="516" t="str">
        <f t="shared" si="9"/>
        <v>Farming</v>
      </c>
      <c r="U25" s="518"/>
      <c r="V25" s="516" t="str">
        <f t="shared" si="10"/>
        <v>Farming</v>
      </c>
      <c r="W25" s="513" t="s">
        <v>548</v>
      </c>
      <c r="X25" s="514" t="s">
        <v>547</v>
      </c>
      <c r="Y25" s="216">
        <f t="array" ref="Y25">SUM(IF({R25,T25,V25}&lt;&gt;"Mining",{Q25*M25,S25*N25,U25*O25},0))</f>
        <v>0.432</v>
      </c>
      <c r="Z25" s="198">
        <f t="array" ref="Z25">SUM(IF({R25,T25,V25}="Mining",{Q25*M25,S25*N25,U25*O25},0))+(P25*0.4*$AC$2)</f>
        <v>0.1728</v>
      </c>
      <c r="AA25" s="198">
        <f t="shared" ref="AA25:AB25" si="75">Y25*$L25</f>
        <v>0</v>
      </c>
      <c r="AB25" s="519">
        <f t="shared" si="75"/>
        <v>0</v>
      </c>
      <c r="AC25" s="520" t="str">
        <f t="shared" ref="AC25:AD25" si="76">IF(Y25&gt;0,TEXT(Y25*$L25,"#,##0.0#")&amp;" "&amp;W25&amp;" XP","")</f>
        <v>0.0 Farming XP</v>
      </c>
      <c r="AD25" s="521" t="str">
        <f t="shared" si="76"/>
        <v>0.0 Mining XP</v>
      </c>
      <c r="AE25" s="520" t="str">
        <f t="shared" ref="AE25:AF25" si="77">IF(Y25&gt;0,TEXT(Y25*$L25*24,"#,##0.0#")&amp;" "&amp;W25&amp;" XP","")</f>
        <v>0.0 Farming XP</v>
      </c>
      <c r="AF25" s="521" t="str">
        <f t="shared" si="77"/>
        <v>0.0 Mining XP</v>
      </c>
      <c r="AH25" s="513"/>
      <c r="AI25" s="122" t="s">
        <v>51</v>
      </c>
      <c r="AJ25" s="522">
        <v>0.0</v>
      </c>
    </row>
    <row r="26">
      <c r="B26" s="27" t="str">
        <f>'Minion Checker'!D29</f>
        <v/>
      </c>
      <c r="C26" s="34" t="str">
        <f>'Minion Checker'!E29</f>
        <v>Mushroom</v>
      </c>
      <c r="D26" s="34" t="str">
        <f>'Minion Sales'!D25</f>
        <v>Mushroom</v>
      </c>
      <c r="E26" s="180">
        <f>IFERROR(ROMAN('Minion Checker'!H29),0)</f>
        <v>0</v>
      </c>
      <c r="F26" s="104">
        <f t="shared" si="4"/>
        <v>0</v>
      </c>
      <c r="G26" s="205">
        <v>1.0</v>
      </c>
      <c r="H26" s="181">
        <v>0.25</v>
      </c>
      <c r="I26" s="206" t="b">
        <v>1</v>
      </c>
      <c r="J26" s="207" t="str">
        <f>IF(AND(F26&lt;=11,F26&gt;0),OFFSET('Minion Tiers'!$I$288,F26,0),"")</f>
        <v/>
      </c>
      <c r="K26" s="184" t="str">
        <f t="shared" si="5"/>
        <v>N/A</v>
      </c>
      <c r="L26" s="187">
        <f t="shared" si="6"/>
        <v>0</v>
      </c>
      <c r="M26" s="503">
        <v>0.5</v>
      </c>
      <c r="N26" s="108">
        <v>0.5</v>
      </c>
      <c r="O26" s="108"/>
      <c r="P26" s="416">
        <f t="shared" si="7"/>
        <v>0.1</v>
      </c>
      <c r="Q26" s="504">
        <f>0.3*$AC$2</f>
        <v>0.432</v>
      </c>
      <c r="R26" s="505" t="str">
        <f t="shared" si="8"/>
        <v>Farming</v>
      </c>
      <c r="S26" s="506"/>
      <c r="T26" s="505" t="str">
        <f t="shared" si="9"/>
        <v>Farming</v>
      </c>
      <c r="U26" s="507"/>
      <c r="V26" s="505" t="str">
        <f t="shared" si="10"/>
        <v>Farming</v>
      </c>
      <c r="W26" s="503" t="s">
        <v>548</v>
      </c>
      <c r="X26" s="416" t="s">
        <v>547</v>
      </c>
      <c r="Y26" s="508">
        <f t="array" ref="Y26">SUM(IF({R26,T26,V26}&lt;&gt;"Mining",{Q26*M26,S26*N26,U26*O26},0))</f>
        <v>0.216</v>
      </c>
      <c r="Z26" s="185">
        <f t="array" ref="Z26">SUM(IF({R26,T26,V26}="Mining",{Q26*M26,S26*N26,U26*O26},0))+(P26*0.4*$AC$2)</f>
        <v>0.0576</v>
      </c>
      <c r="AA26" s="185">
        <f t="shared" ref="AA26:AB26" si="78">Y26*$L26</f>
        <v>0</v>
      </c>
      <c r="AB26" s="509">
        <f t="shared" si="78"/>
        <v>0</v>
      </c>
      <c r="AC26" s="510" t="str">
        <f t="shared" ref="AC26:AD26" si="79">IF(Y26&gt;0,TEXT(Y26*$L26,"#,##0.0#")&amp;" "&amp;W26&amp;" XP","")</f>
        <v>0.0 Farming XP</v>
      </c>
      <c r="AD26" s="511" t="str">
        <f t="shared" si="79"/>
        <v>0.0 Mining XP</v>
      </c>
      <c r="AE26" s="510" t="str">
        <f t="shared" ref="AE26:AF26" si="80">IF(Y26&gt;0,TEXT(Y26*$L26*24,"#,##0.0#")&amp;" "&amp;W26&amp;" XP","")</f>
        <v>0.0 Farming XP</v>
      </c>
      <c r="AF26" s="511" t="str">
        <f t="shared" si="80"/>
        <v>0.0 Mining XP</v>
      </c>
      <c r="AH26" s="503"/>
      <c r="AI26" s="108" t="s">
        <v>52</v>
      </c>
      <c r="AJ26" s="512">
        <v>0.0</v>
      </c>
    </row>
    <row r="27">
      <c r="B27" s="25" t="str">
        <f>'Minion Checker'!D30</f>
        <v/>
      </c>
      <c r="C27" s="37" t="str">
        <f>'Minion Checker'!E30</f>
        <v>Cactus</v>
      </c>
      <c r="D27" s="37" t="str">
        <f>'Minion Sales'!D26</f>
        <v>Cactus</v>
      </c>
      <c r="E27" s="192">
        <f>IFERROR(ROMAN('Minion Checker'!H30),0)</f>
        <v>0</v>
      </c>
      <c r="F27" s="118">
        <f t="shared" si="4"/>
        <v>0</v>
      </c>
      <c r="G27" s="193">
        <v>1.0</v>
      </c>
      <c r="H27" s="194">
        <v>0.25</v>
      </c>
      <c r="I27" s="195" t="b">
        <v>1</v>
      </c>
      <c r="J27" s="196" t="str">
        <f>IF(AND(F27&lt;=11,F27&gt;0),OFFSET('Minion Tiers'!$I$301,F27,0),"")</f>
        <v/>
      </c>
      <c r="K27" s="197" t="str">
        <f t="shared" si="5"/>
        <v>N/A</v>
      </c>
      <c r="L27" s="200">
        <f t="shared" si="6"/>
        <v>0</v>
      </c>
      <c r="M27" s="513">
        <v>1.0</v>
      </c>
      <c r="N27" s="122"/>
      <c r="O27" s="122"/>
      <c r="P27" s="514">
        <f t="shared" si="7"/>
        <v>0.1</v>
      </c>
      <c r="Q27" s="515">
        <f t="shared" ref="Q27:Q28" si="84">0.2*$AC$2</f>
        <v>0.288</v>
      </c>
      <c r="R27" s="516" t="str">
        <f t="shared" si="8"/>
        <v>Farming</v>
      </c>
      <c r="S27" s="517"/>
      <c r="T27" s="516" t="str">
        <f t="shared" si="9"/>
        <v>Farming</v>
      </c>
      <c r="U27" s="518"/>
      <c r="V27" s="516" t="str">
        <f t="shared" si="10"/>
        <v>Farming</v>
      </c>
      <c r="W27" s="513" t="s">
        <v>548</v>
      </c>
      <c r="X27" s="514" t="s">
        <v>547</v>
      </c>
      <c r="Y27" s="216">
        <f t="array" ref="Y27">SUM(IF({R27,T27,V27}&lt;&gt;"Mining",{Q27*M27,S27*N27,U27*O27},0))</f>
        <v>0.288</v>
      </c>
      <c r="Z27" s="198">
        <f t="array" ref="Z27">SUM(IF({R27,T27,V27}="Mining",{Q27*M27,S27*N27,U27*O27},0))+(P27*0.4*$AC$2)</f>
        <v>0.0576</v>
      </c>
      <c r="AA27" s="198">
        <f t="shared" ref="AA27:AB27" si="81">Y27*$L27</f>
        <v>0</v>
      </c>
      <c r="AB27" s="519">
        <f t="shared" si="81"/>
        <v>0</v>
      </c>
      <c r="AC27" s="520" t="str">
        <f t="shared" ref="AC27:AD27" si="82">IF(Y27&gt;0,TEXT(Y27*$L27,"#,##0.0#")&amp;" "&amp;W27&amp;" XP","")</f>
        <v>0.0 Farming XP</v>
      </c>
      <c r="AD27" s="521" t="str">
        <f t="shared" si="82"/>
        <v>0.0 Mining XP</v>
      </c>
      <c r="AE27" s="520" t="str">
        <f t="shared" ref="AE27:AF27" si="83">IF(Y27&gt;0,TEXT(Y27*$L27*24,"#,##0.0#")&amp;" "&amp;W27&amp;" XP","")</f>
        <v>0.0 Farming XP</v>
      </c>
      <c r="AF27" s="521" t="str">
        <f t="shared" si="83"/>
        <v>0.0 Mining XP</v>
      </c>
      <c r="AH27" s="513"/>
      <c r="AI27" s="122" t="s">
        <v>53</v>
      </c>
      <c r="AJ27" s="522">
        <v>0.0</v>
      </c>
    </row>
    <row r="28">
      <c r="B28" s="27" t="str">
        <f>'Minion Checker'!D31</f>
        <v/>
      </c>
      <c r="C28" s="34" t="str">
        <f>'Minion Checker'!E31</f>
        <v>Cocoa Beans</v>
      </c>
      <c r="D28" s="34" t="str">
        <f>'Minion Sales'!D27</f>
        <v>Cocoa Beans</v>
      </c>
      <c r="E28" s="180">
        <f>IFERROR(ROMAN('Minion Checker'!H31),0)</f>
        <v>0</v>
      </c>
      <c r="F28" s="104">
        <f t="shared" si="4"/>
        <v>0</v>
      </c>
      <c r="G28" s="205">
        <v>1.0</v>
      </c>
      <c r="H28" s="181">
        <v>0.25</v>
      </c>
      <c r="I28" s="206" t="b">
        <v>1</v>
      </c>
      <c r="J28" s="207" t="str">
        <f>IF(AND(F28&lt;=11,F28&gt;0),OFFSET('Minion Tiers'!$I$314,F28,0),"")</f>
        <v/>
      </c>
      <c r="K28" s="184" t="str">
        <f t="shared" si="5"/>
        <v>N/A</v>
      </c>
      <c r="L28" s="187">
        <f t="shared" si="6"/>
        <v>0</v>
      </c>
      <c r="M28" s="503">
        <v>3.0</v>
      </c>
      <c r="N28" s="108"/>
      <c r="O28" s="108"/>
      <c r="P28" s="416">
        <f t="shared" si="7"/>
        <v>0.3</v>
      </c>
      <c r="Q28" s="504">
        <f t="shared" si="84"/>
        <v>0.288</v>
      </c>
      <c r="R28" s="505" t="str">
        <f t="shared" si="8"/>
        <v>Farming</v>
      </c>
      <c r="S28" s="506"/>
      <c r="T28" s="505" t="str">
        <f t="shared" si="9"/>
        <v>Farming</v>
      </c>
      <c r="U28" s="507"/>
      <c r="V28" s="505" t="str">
        <f t="shared" si="10"/>
        <v>Farming</v>
      </c>
      <c r="W28" s="503" t="s">
        <v>548</v>
      </c>
      <c r="X28" s="416" t="s">
        <v>547</v>
      </c>
      <c r="Y28" s="508">
        <f t="array" ref="Y28">SUM(IF({R28,T28,V28}&lt;&gt;"Mining",{Q28*M28,S28*N28,U28*O28},0))</f>
        <v>0.864</v>
      </c>
      <c r="Z28" s="185">
        <f t="array" ref="Z28">SUM(IF({R28,T28,V28}="Mining",{Q28*M28,S28*N28,U28*O28},0))+(P28*0.4*$AC$2)</f>
        <v>0.1728</v>
      </c>
      <c r="AA28" s="185">
        <f t="shared" ref="AA28:AB28" si="85">Y28*$L28</f>
        <v>0</v>
      </c>
      <c r="AB28" s="509">
        <f t="shared" si="85"/>
        <v>0</v>
      </c>
      <c r="AC28" s="510" t="str">
        <f t="shared" ref="AC28:AD28" si="86">IF(Y28&gt;0,TEXT(Y28*$L28,"#,##0.0#")&amp;" "&amp;W28&amp;" XP","")</f>
        <v>0.0 Farming XP</v>
      </c>
      <c r="AD28" s="511" t="str">
        <f t="shared" si="86"/>
        <v>0.0 Mining XP</v>
      </c>
      <c r="AE28" s="510" t="str">
        <f t="shared" ref="AE28:AF28" si="87">IF(Y28&gt;0,TEXT(Y28*$L28*24,"#,##0.0#")&amp;" "&amp;W28&amp;" XP","")</f>
        <v>0.0 Farming XP</v>
      </c>
      <c r="AF28" s="511" t="str">
        <f t="shared" si="87"/>
        <v>0.0 Mining XP</v>
      </c>
      <c r="AH28" s="503"/>
      <c r="AI28" s="108" t="s">
        <v>115</v>
      </c>
      <c r="AJ28" s="512">
        <v>0.0</v>
      </c>
    </row>
    <row r="29">
      <c r="B29" s="25" t="str">
        <f>'Minion Checker'!D32</f>
        <v/>
      </c>
      <c r="C29" s="37" t="str">
        <f>'Minion Checker'!E32</f>
        <v>Sugar Cane</v>
      </c>
      <c r="D29" s="37" t="str">
        <f>'Minion Sales'!D28</f>
        <v>Sugar Cane</v>
      </c>
      <c r="E29" s="192">
        <f>IFERROR(ROMAN('Minion Checker'!H32),0)</f>
        <v>0</v>
      </c>
      <c r="F29" s="118">
        <f t="shared" si="4"/>
        <v>0</v>
      </c>
      <c r="G29" s="193">
        <v>1.0</v>
      </c>
      <c r="H29" s="194">
        <v>0.25</v>
      </c>
      <c r="I29" s="208" t="b">
        <v>1</v>
      </c>
      <c r="J29" s="196" t="str">
        <f>IF(AND(F29&lt;=11,F29&gt;0),OFFSET('Minion Tiers'!$I$327,F29,0),"")</f>
        <v/>
      </c>
      <c r="K29" s="197" t="str">
        <f t="shared" si="5"/>
        <v>N/A</v>
      </c>
      <c r="L29" s="200">
        <f t="shared" si="6"/>
        <v>0</v>
      </c>
      <c r="M29" s="513">
        <v>1.0</v>
      </c>
      <c r="N29" s="122"/>
      <c r="O29" s="122"/>
      <c r="P29" s="514">
        <f t="shared" si="7"/>
        <v>0.1</v>
      </c>
      <c r="Q29" s="504">
        <f>0.1*$AC$2</f>
        <v>0.144</v>
      </c>
      <c r="R29" s="516" t="str">
        <f t="shared" si="8"/>
        <v>Farming</v>
      </c>
      <c r="S29" s="517"/>
      <c r="T29" s="516" t="str">
        <f t="shared" si="9"/>
        <v>Farming</v>
      </c>
      <c r="U29" s="518"/>
      <c r="V29" s="516" t="str">
        <f t="shared" si="10"/>
        <v>Farming</v>
      </c>
      <c r="W29" s="513" t="s">
        <v>548</v>
      </c>
      <c r="X29" s="514" t="s">
        <v>547</v>
      </c>
      <c r="Y29" s="216">
        <f t="array" ref="Y29">SUM(IF({R29,T29,V29}&lt;&gt;"Mining",{Q29*M29,S29*N29,U29*O29},0))</f>
        <v>0.144</v>
      </c>
      <c r="Z29" s="198">
        <f t="array" ref="Z29">SUM(IF({R29,T29,V29}="Mining",{Q29*M29,S29*N29,U29*O29},0))+(P29*0.4*$AC$2)</f>
        <v>0.0576</v>
      </c>
      <c r="AA29" s="198">
        <f t="shared" ref="AA29:AB29" si="88">Y29*$L29</f>
        <v>0</v>
      </c>
      <c r="AB29" s="519">
        <f t="shared" si="88"/>
        <v>0</v>
      </c>
      <c r="AC29" s="520" t="str">
        <f t="shared" ref="AC29:AD29" si="89">IF(Y29&gt;0,TEXT(Y29*$L29,"#,##0.0#")&amp;" "&amp;W29&amp;" XP","")</f>
        <v>0.0 Farming XP</v>
      </c>
      <c r="AD29" s="521" t="str">
        <f t="shared" si="89"/>
        <v>0.0 Mining XP</v>
      </c>
      <c r="AE29" s="520" t="str">
        <f t="shared" ref="AE29:AF29" si="90">IF(Y29&gt;0,TEXT(Y29*$L29*24,"#,##0.0#")&amp;" "&amp;W29&amp;" XP","")</f>
        <v>0.0 Farming XP</v>
      </c>
      <c r="AF29" s="521" t="str">
        <f t="shared" si="90"/>
        <v>0.0 Mining XP</v>
      </c>
      <c r="AH29" s="513"/>
      <c r="AI29" s="122" t="s">
        <v>55</v>
      </c>
      <c r="AJ29" s="522">
        <v>0.0</v>
      </c>
    </row>
    <row r="30">
      <c r="B30" s="27" t="str">
        <f>'Minion Checker'!D33</f>
        <v/>
      </c>
      <c r="C30" s="34" t="str">
        <f>'Minion Checker'!E33</f>
        <v>Nether Wart</v>
      </c>
      <c r="D30" s="34" t="str">
        <f>'Minion Sales'!D29</f>
        <v>Nether Wart</v>
      </c>
      <c r="E30" s="180">
        <f>IFERROR(ROMAN('Minion Checker'!H33),0)</f>
        <v>0</v>
      </c>
      <c r="F30" s="104">
        <f t="shared" si="4"/>
        <v>0</v>
      </c>
      <c r="G30" s="205">
        <v>1.0</v>
      </c>
      <c r="H30" s="181">
        <v>0.25</v>
      </c>
      <c r="I30" s="206" t="b">
        <v>1</v>
      </c>
      <c r="J30" s="207" t="str">
        <f>IF(AND(F30&lt;=11,F30&gt;0),OFFSET('Minion Tiers'!$I$340,F30,0),"")</f>
        <v/>
      </c>
      <c r="K30" s="184" t="str">
        <f t="shared" si="5"/>
        <v>N/A</v>
      </c>
      <c r="L30" s="187">
        <f t="shared" si="6"/>
        <v>0</v>
      </c>
      <c r="M30" s="503">
        <v>1.0</v>
      </c>
      <c r="N30" s="108"/>
      <c r="O30" s="108"/>
      <c r="P30" s="416">
        <f t="shared" si="7"/>
        <v>0.1</v>
      </c>
      <c r="Q30" s="504">
        <f>0.2*$AC$2</f>
        <v>0.288</v>
      </c>
      <c r="R30" s="505" t="str">
        <f t="shared" si="8"/>
        <v>Alchemy</v>
      </c>
      <c r="S30" s="506"/>
      <c r="T30" s="505" t="str">
        <f t="shared" si="9"/>
        <v>Alchemy</v>
      </c>
      <c r="U30" s="507"/>
      <c r="V30" s="505" t="str">
        <f t="shared" si="10"/>
        <v>Alchemy</v>
      </c>
      <c r="W30" s="503" t="s">
        <v>549</v>
      </c>
      <c r="X30" s="416" t="s">
        <v>547</v>
      </c>
      <c r="Y30" s="508">
        <f t="array" ref="Y30">SUM(IF({R30,T30,V30}&lt;&gt;"Mining",{Q30*M30,S30*N30,U30*O30},0))</f>
        <v>0.288</v>
      </c>
      <c r="Z30" s="185">
        <f t="array" ref="Z30">SUM(IF({R30,T30,V30}="Mining",{Q30*M30,S30*N30,U30*O30},0))+(P30*0.4*$AC$2)</f>
        <v>0.0576</v>
      </c>
      <c r="AA30" s="185">
        <f t="shared" ref="AA30:AB30" si="91">Y30*$L30</f>
        <v>0</v>
      </c>
      <c r="AB30" s="509">
        <f t="shared" si="91"/>
        <v>0</v>
      </c>
      <c r="AC30" s="510" t="str">
        <f t="shared" ref="AC30:AD30" si="92">IF(Y30&gt;0,TEXT(Y30*$L30,"#,##0.0#")&amp;" "&amp;W30&amp;" XP","")</f>
        <v>0.0 Alchemy XP</v>
      </c>
      <c r="AD30" s="511" t="str">
        <f t="shared" si="92"/>
        <v>0.0 Mining XP</v>
      </c>
      <c r="AE30" s="510" t="str">
        <f t="shared" ref="AE30:AF30" si="93">IF(Y30&gt;0,TEXT(Y30*$L30*24,"#,##0.0#")&amp;" "&amp;W30&amp;" XP","")</f>
        <v>0.0 Alchemy XP</v>
      </c>
      <c r="AF30" s="511" t="str">
        <f t="shared" si="93"/>
        <v>0.0 Mining XP</v>
      </c>
      <c r="AH30" s="503"/>
      <c r="AI30" s="108" t="s">
        <v>116</v>
      </c>
      <c r="AJ30" s="512">
        <v>0.0</v>
      </c>
    </row>
    <row r="31">
      <c r="B31" s="25" t="str">
        <f>'Minion Checker'!D34</f>
        <v/>
      </c>
      <c r="C31" s="37" t="str">
        <f>'Minion Checker'!E34</f>
        <v>Flower</v>
      </c>
      <c r="D31" s="37" t="str">
        <f>'Minion Sales'!D30</f>
        <v>Flower</v>
      </c>
      <c r="E31" s="192">
        <f>IFERROR(ROMAN('Minion Checker'!H34),0)</f>
        <v>0</v>
      </c>
      <c r="F31" s="118">
        <f t="shared" si="4"/>
        <v>0</v>
      </c>
      <c r="G31" s="193">
        <v>1.0</v>
      </c>
      <c r="H31" s="194">
        <v>0.25</v>
      </c>
      <c r="I31" s="208" t="b">
        <v>1</v>
      </c>
      <c r="J31" s="196" t="str">
        <f>IF(AND(F31&lt;=11,F31&gt;0),OFFSET('Minion Tiers'!$I$353,F31,0),"")</f>
        <v/>
      </c>
      <c r="K31" s="197" t="str">
        <f t="shared" si="5"/>
        <v>N/A</v>
      </c>
      <c r="L31" s="200">
        <f t="shared" si="6"/>
        <v>0</v>
      </c>
      <c r="M31" s="513">
        <v>0.8</v>
      </c>
      <c r="N31" s="122">
        <v>0.2</v>
      </c>
      <c r="O31" s="122"/>
      <c r="P31" s="514">
        <f t="shared" si="7"/>
        <v>0.1</v>
      </c>
      <c r="Q31" s="515">
        <f>0.1*$AC$2</f>
        <v>0.144</v>
      </c>
      <c r="R31" s="516" t="str">
        <f t="shared" si="8"/>
        <v>Foraging</v>
      </c>
      <c r="S31" s="517">
        <f>0.2*$AC$2</f>
        <v>0.288</v>
      </c>
      <c r="T31" s="516" t="str">
        <f t="shared" si="9"/>
        <v>Foraging</v>
      </c>
      <c r="U31" s="518"/>
      <c r="V31" s="516" t="str">
        <f t="shared" si="10"/>
        <v>Foraging</v>
      </c>
      <c r="W31" s="513" t="s">
        <v>550</v>
      </c>
      <c r="X31" s="514" t="s">
        <v>547</v>
      </c>
      <c r="Y31" s="216">
        <f t="array" ref="Y31">SUM(IF({R31,T31,V31}&lt;&gt;"Mining",{Q31*M31,S31*N31,U31*O31},0))</f>
        <v>0.1728</v>
      </c>
      <c r="Z31" s="198">
        <f t="array" ref="Z31">SUM(IF({R31,T31,V31}="Mining",{Q31*M31,S31*N31,U31*O31},0))+(P31*0.4*$AC$2)</f>
        <v>0.0576</v>
      </c>
      <c r="AA31" s="198">
        <f t="shared" ref="AA31:AB31" si="94">Y31*$L31</f>
        <v>0</v>
      </c>
      <c r="AB31" s="519">
        <f t="shared" si="94"/>
        <v>0</v>
      </c>
      <c r="AC31" s="520" t="str">
        <f t="shared" ref="AC31:AD31" si="95">IF(Y31&gt;0,TEXT(Y31*$L31,"#,##0.0#")&amp;" "&amp;W31&amp;" XP","")</f>
        <v>0.0 Foraging XP</v>
      </c>
      <c r="AD31" s="521" t="str">
        <f t="shared" si="95"/>
        <v>0.0 Mining XP</v>
      </c>
      <c r="AE31" s="520" t="str">
        <f t="shared" ref="AE31:AF31" si="96">IF(Y31&gt;0,TEXT(Y31*$L31*24,"#,##0.0#")&amp;" "&amp;W31&amp;" XP","")</f>
        <v>0.0 Foraging XP</v>
      </c>
      <c r="AF31" s="521" t="str">
        <f t="shared" si="96"/>
        <v>0.0 Mining XP</v>
      </c>
      <c r="AH31" s="513"/>
      <c r="AI31" s="122" t="s">
        <v>59</v>
      </c>
      <c r="AJ31" s="522">
        <v>0.0</v>
      </c>
    </row>
    <row r="32">
      <c r="B32" s="27" t="str">
        <f>'Minion Checker'!D35</f>
        <v/>
      </c>
      <c r="C32" s="34" t="str">
        <f>'Minion Checker'!E35</f>
        <v>Fish</v>
      </c>
      <c r="D32" s="34" t="str">
        <f>'Minion Sales'!D31</f>
        <v>Fish</v>
      </c>
      <c r="E32" s="180">
        <f>IFERROR(ROMAN('Minion Checker'!H35),0)</f>
        <v>0</v>
      </c>
      <c r="F32" s="104">
        <f t="shared" si="4"/>
        <v>0</v>
      </c>
      <c r="G32" s="205">
        <v>1.0</v>
      </c>
      <c r="H32" s="181">
        <v>0.25</v>
      </c>
      <c r="I32" s="206" t="b">
        <v>1</v>
      </c>
      <c r="J32" s="207" t="str">
        <f>IF(AND(F32&lt;=11,F32&gt;0),OFFSET('Minion Tiers'!$I$366,F32,0),"")</f>
        <v/>
      </c>
      <c r="K32" s="184" t="str">
        <f t="shared" si="5"/>
        <v>N/A</v>
      </c>
      <c r="L32" s="187">
        <f t="shared" si="6"/>
        <v>0</v>
      </c>
      <c r="M32" s="503">
        <v>1.0</v>
      </c>
      <c r="N32" s="108"/>
      <c r="O32" s="108"/>
      <c r="P32" s="416">
        <f t="shared" si="7"/>
        <v>0.1</v>
      </c>
      <c r="Q32" s="504">
        <f>0.75*$AC$2</f>
        <v>1.08</v>
      </c>
      <c r="R32" s="505" t="str">
        <f t="shared" si="8"/>
        <v>Fishing</v>
      </c>
      <c r="S32" s="506"/>
      <c r="T32" s="505" t="str">
        <f t="shared" si="9"/>
        <v>Fishing</v>
      </c>
      <c r="U32" s="507"/>
      <c r="V32" s="505" t="str">
        <f t="shared" si="10"/>
        <v>Fishing</v>
      </c>
      <c r="W32" s="503" t="s">
        <v>60</v>
      </c>
      <c r="X32" s="416" t="s">
        <v>547</v>
      </c>
      <c r="Y32" s="508">
        <f t="array" ref="Y32">SUM(IF({R32,T32,V32}&lt;&gt;"Mining",{Q32*M32,S32*N32,U32*O32},0))</f>
        <v>1.08</v>
      </c>
      <c r="Z32" s="185">
        <f t="array" ref="Z32">SUM(IF({R32,T32,V32}="Mining",{Q32*M32,S32*N32,U32*O32},0))+(P32*0.4*$AC$2)</f>
        <v>0.0576</v>
      </c>
      <c r="AA32" s="185">
        <f t="shared" ref="AA32:AB32" si="97">Y32*$L32</f>
        <v>0</v>
      </c>
      <c r="AB32" s="509">
        <f t="shared" si="97"/>
        <v>0</v>
      </c>
      <c r="AC32" s="510" t="str">
        <f t="shared" ref="AC32:AD32" si="98">IF(Y32&gt;0,TEXT(Y32*$L32,"#,##0.0#")&amp;" "&amp;W32&amp;" XP","")</f>
        <v>0.0 Fishing XP</v>
      </c>
      <c r="AD32" s="511" t="str">
        <f t="shared" si="98"/>
        <v>0.0 Mining XP</v>
      </c>
      <c r="AE32" s="510" t="str">
        <f t="shared" ref="AE32:AF32" si="99">IF(Y32&gt;0,TEXT(Y32*$L32*24,"#,##0.0#")&amp;" "&amp;W32&amp;" XP","")</f>
        <v>0.0 Fishing XP</v>
      </c>
      <c r="AF32" s="511" t="str">
        <f t="shared" si="99"/>
        <v>0.0 Mining XP</v>
      </c>
      <c r="AH32" s="503"/>
      <c r="AI32" s="108" t="s">
        <v>119</v>
      </c>
      <c r="AJ32" s="512">
        <v>0.0</v>
      </c>
    </row>
    <row r="33">
      <c r="B33" s="25" t="str">
        <f>'Minion Checker'!D36</f>
        <v/>
      </c>
      <c r="C33" s="37" t="str">
        <f>'Minion Checker'!E36</f>
        <v>Zombie</v>
      </c>
      <c r="D33" s="37" t="str">
        <f>'Minion Sales'!D32</f>
        <v>Rotten Flesh</v>
      </c>
      <c r="E33" s="192">
        <f>IFERROR(ROMAN('Minion Checker'!H36),0)</f>
        <v>0</v>
      </c>
      <c r="F33" s="118">
        <f t="shared" si="4"/>
        <v>0</v>
      </c>
      <c r="G33" s="193">
        <v>1.0</v>
      </c>
      <c r="H33" s="194">
        <v>0.25</v>
      </c>
      <c r="I33" s="208" t="b">
        <v>1</v>
      </c>
      <c r="J33" s="207" t="str">
        <f>IF(AND(F33&lt;=11,F33&gt;0),OFFSET('Minion Tiers'!$I$379,F33,0),"")</f>
        <v/>
      </c>
      <c r="K33" s="197" t="str">
        <f t="shared" si="5"/>
        <v>N/A</v>
      </c>
      <c r="L33" s="200">
        <f t="shared" si="6"/>
        <v>0</v>
      </c>
      <c r="M33" s="513">
        <v>1.0</v>
      </c>
      <c r="N33" s="122"/>
      <c r="O33" s="122"/>
      <c r="P33" s="514">
        <f t="shared" si="7"/>
        <v>0.1</v>
      </c>
      <c r="Q33" s="515">
        <f t="shared" ref="Q33:Q34" si="103">0.3*$AC$2</f>
        <v>0.432</v>
      </c>
      <c r="R33" s="516" t="str">
        <f t="shared" si="8"/>
        <v>Combat</v>
      </c>
      <c r="S33" s="517"/>
      <c r="T33" s="516" t="str">
        <f t="shared" si="9"/>
        <v>Combat</v>
      </c>
      <c r="U33" s="518"/>
      <c r="V33" s="516" t="str">
        <f t="shared" si="10"/>
        <v>Combat</v>
      </c>
      <c r="W33" s="513" t="s">
        <v>551</v>
      </c>
      <c r="X33" s="514" t="s">
        <v>547</v>
      </c>
      <c r="Y33" s="216">
        <f t="array" ref="Y33">SUM(IF({R33,T33,V33}&lt;&gt;"Mining",{Q33*M33,S33*N33,U33*O33},0))</f>
        <v>0.432</v>
      </c>
      <c r="Z33" s="198">
        <f t="array" ref="Z33">SUM(IF({R33,T33,V33}="Mining",{Q33*M33,S33*N33,U33*O33},0))+(P33*0.4*$AC$2)</f>
        <v>0.0576</v>
      </c>
      <c r="AA33" s="198">
        <f t="shared" ref="AA33:AB33" si="100">Y33*$L33</f>
        <v>0</v>
      </c>
      <c r="AB33" s="519">
        <f t="shared" si="100"/>
        <v>0</v>
      </c>
      <c r="AC33" s="520" t="str">
        <f t="shared" ref="AC33:AD33" si="101">IF(Y33&gt;0,TEXT(Y33*$L33,"#,##0.0#")&amp;" "&amp;W33&amp;" XP","")</f>
        <v>0.0 Combat XP</v>
      </c>
      <c r="AD33" s="521" t="str">
        <f t="shared" si="101"/>
        <v>0.0 Mining XP</v>
      </c>
      <c r="AE33" s="520" t="str">
        <f t="shared" ref="AE33:AF33" si="102">IF(Y33&gt;0,TEXT(Y33*$L33*24,"#,##0.0#")&amp;" "&amp;W33&amp;" XP","")</f>
        <v>0.0 Combat XP</v>
      </c>
      <c r="AF33" s="521" t="str">
        <f t="shared" si="102"/>
        <v>0.0 Mining XP</v>
      </c>
      <c r="AH33" s="513"/>
      <c r="AI33" s="122" t="s">
        <v>61</v>
      </c>
      <c r="AJ33" s="522">
        <v>0.0</v>
      </c>
    </row>
    <row r="34">
      <c r="B34" s="27" t="str">
        <f>'Minion Checker'!D37</f>
        <v/>
      </c>
      <c r="C34" s="34" t="str">
        <f>'Minion Checker'!E37</f>
        <v>Revenant</v>
      </c>
      <c r="D34" s="34" t="str">
        <f>'Minion Sales'!D33</f>
        <v>Rotten Flesh</v>
      </c>
      <c r="E34" s="180">
        <f>IFERROR(ROMAN('Minion Checker'!H37),0)</f>
        <v>0</v>
      </c>
      <c r="F34" s="104">
        <f t="shared" si="4"/>
        <v>0</v>
      </c>
      <c r="G34" s="205">
        <v>1.0</v>
      </c>
      <c r="H34" s="181">
        <v>0.25</v>
      </c>
      <c r="I34" s="206" t="b">
        <v>1</v>
      </c>
      <c r="J34" s="207" t="str">
        <f>IF(AND(F34&lt;=11,F34&gt;0),OFFSET('Minion Tiers'!$S$2,F34,0),"")</f>
        <v/>
      </c>
      <c r="K34" s="184" t="str">
        <f t="shared" si="5"/>
        <v>N/A</v>
      </c>
      <c r="L34" s="187">
        <f t="shared" si="6"/>
        <v>0</v>
      </c>
      <c r="M34" s="503">
        <v>3.0</v>
      </c>
      <c r="N34" s="108">
        <v>0.2</v>
      </c>
      <c r="O34" s="108"/>
      <c r="P34" s="416">
        <f t="shared" si="7"/>
        <v>0.32</v>
      </c>
      <c r="Q34" s="504">
        <f t="shared" si="103"/>
        <v>0.432</v>
      </c>
      <c r="R34" s="505" t="str">
        <f t="shared" si="8"/>
        <v>Combat</v>
      </c>
      <c r="S34" s="506">
        <v>0.4</v>
      </c>
      <c r="T34" s="505" t="s">
        <v>547</v>
      </c>
      <c r="U34" s="507"/>
      <c r="V34" s="505" t="str">
        <f t="shared" si="10"/>
        <v>Combat</v>
      </c>
      <c r="W34" s="503" t="s">
        <v>551</v>
      </c>
      <c r="X34" s="416" t="s">
        <v>547</v>
      </c>
      <c r="Y34" s="508">
        <f t="array" ref="Y34">SUM(IF({R34,T34,V34}&lt;&gt;"Mining",{Q34*M34,S34*N34,U34*O34},0))</f>
        <v>1.296</v>
      </c>
      <c r="Z34" s="185">
        <f t="array" ref="Z34">SUM(IF({R34,T34,V34}="Mining",{Q34*M34,S34*N34,U34*O34},0))+(P34*0.4*$AC$2)</f>
        <v>0.26432</v>
      </c>
      <c r="AA34" s="185">
        <f t="shared" ref="AA34:AB34" si="104">Y34*$L34</f>
        <v>0</v>
      </c>
      <c r="AB34" s="509">
        <f t="shared" si="104"/>
        <v>0</v>
      </c>
      <c r="AC34" s="510" t="str">
        <f t="shared" ref="AC34:AD34" si="105">IF(Y34&gt;0,TEXT(Y34*$L34,"#,##0.0#")&amp;" "&amp;W34&amp;" XP","")</f>
        <v>0.0 Combat XP</v>
      </c>
      <c r="AD34" s="511" t="str">
        <f t="shared" si="105"/>
        <v>0.0 Mining XP</v>
      </c>
      <c r="AE34" s="510" t="str">
        <f t="shared" ref="AE34:AF34" si="106">IF(Y34&gt;0,TEXT(Y34*$L34*24,"#,##0.0#")&amp;" "&amp;W34&amp;" XP","")</f>
        <v>0.0 Combat XP</v>
      </c>
      <c r="AF34" s="511" t="str">
        <f t="shared" si="106"/>
        <v>0.0 Mining XP</v>
      </c>
      <c r="AH34" s="503"/>
      <c r="AI34" s="108" t="s">
        <v>62</v>
      </c>
      <c r="AJ34" s="512">
        <v>0.0</v>
      </c>
    </row>
    <row r="35">
      <c r="B35" s="25" t="str">
        <f>'Minion Checker'!D38</f>
        <v/>
      </c>
      <c r="C35" s="37" t="str">
        <f>'Minion Checker'!E38</f>
        <v>Skeleton</v>
      </c>
      <c r="D35" s="37" t="str">
        <f>'Minion Sales'!D34</f>
        <v>Bone</v>
      </c>
      <c r="E35" s="192">
        <f>IFERROR(ROMAN('Minion Checker'!H38),0)</f>
        <v>0</v>
      </c>
      <c r="F35" s="118">
        <f t="shared" si="4"/>
        <v>0</v>
      </c>
      <c r="G35" s="193">
        <v>1.0</v>
      </c>
      <c r="H35" s="194">
        <v>0.25</v>
      </c>
      <c r="I35" s="195" t="b">
        <v>1</v>
      </c>
      <c r="J35" s="196" t="str">
        <f>IF(AND(F35&lt;=11,F35&gt;0),OFFSET('Minion Tiers'!$S$15,F35,0),"")</f>
        <v/>
      </c>
      <c r="K35" s="197" t="str">
        <f t="shared" si="5"/>
        <v>N/A</v>
      </c>
      <c r="L35" s="200">
        <f t="shared" si="6"/>
        <v>0</v>
      </c>
      <c r="M35" s="513">
        <v>1.0</v>
      </c>
      <c r="N35" s="122"/>
      <c r="O35" s="122"/>
      <c r="P35" s="514">
        <f t="shared" si="7"/>
        <v>0.1</v>
      </c>
      <c r="Q35" s="515">
        <f>0.2*$AC$2</f>
        <v>0.288</v>
      </c>
      <c r="R35" s="516" t="str">
        <f t="shared" si="8"/>
        <v>Combat</v>
      </c>
      <c r="S35" s="517"/>
      <c r="T35" s="516" t="str">
        <f t="shared" ref="T35:T56" si="110">IF(W35&lt;&gt;"",W35,X35)</f>
        <v>Combat</v>
      </c>
      <c r="U35" s="518"/>
      <c r="V35" s="516" t="str">
        <f t="shared" si="10"/>
        <v>Combat</v>
      </c>
      <c r="W35" s="513" t="s">
        <v>551</v>
      </c>
      <c r="X35" s="514" t="s">
        <v>547</v>
      </c>
      <c r="Y35" s="216">
        <f t="array" ref="Y35">SUM(IF({R35,T35,V35}&lt;&gt;"Mining",{Q35*M35,S35*N35,U35*O35},0))</f>
        <v>0.288</v>
      </c>
      <c r="Z35" s="198">
        <f t="array" ref="Z35">SUM(IF({R35,T35,V35}="Mining",{Q35*M35,S35*N35,U35*O35},0))+(P35*0.4*$AC$2)</f>
        <v>0.0576</v>
      </c>
      <c r="AA35" s="198">
        <f t="shared" ref="AA35:AB35" si="107">Y35*$L35</f>
        <v>0</v>
      </c>
      <c r="AB35" s="519">
        <f t="shared" si="107"/>
        <v>0</v>
      </c>
      <c r="AC35" s="520" t="str">
        <f t="shared" ref="AC35:AD35" si="108">IF(Y35&gt;0,TEXT(Y35*$L35,"#,##0.0#")&amp;" "&amp;W35&amp;" XP","")</f>
        <v>0.0 Combat XP</v>
      </c>
      <c r="AD35" s="521" t="str">
        <f t="shared" si="108"/>
        <v>0.0 Mining XP</v>
      </c>
      <c r="AE35" s="520" t="str">
        <f t="shared" ref="AE35:AF35" si="109">IF(Y35&gt;0,TEXT(Y35*$L35*24,"#,##0.0#")&amp;" "&amp;W35&amp;" XP","")</f>
        <v>0.0 Combat XP</v>
      </c>
      <c r="AF35" s="521" t="str">
        <f t="shared" si="109"/>
        <v>0.0 Mining XP</v>
      </c>
      <c r="AH35" s="513"/>
      <c r="AI35" s="122" t="s">
        <v>63</v>
      </c>
      <c r="AJ35" s="522">
        <v>0.0</v>
      </c>
    </row>
    <row r="36">
      <c r="B36" s="27" t="str">
        <f>'Minion Checker'!D39</f>
        <v/>
      </c>
      <c r="C36" s="34" t="str">
        <f>'Minion Checker'!E39</f>
        <v>Creeper</v>
      </c>
      <c r="D36" s="34" t="str">
        <f>'Minion Sales'!D35</f>
        <v>Gunpowder</v>
      </c>
      <c r="E36" s="180">
        <f>IFERROR(ROMAN('Minion Checker'!H39),0)</f>
        <v>0</v>
      </c>
      <c r="F36" s="104">
        <f t="shared" si="4"/>
        <v>0</v>
      </c>
      <c r="G36" s="205">
        <v>1.0</v>
      </c>
      <c r="H36" s="181">
        <v>0.25</v>
      </c>
      <c r="I36" s="206" t="b">
        <v>1</v>
      </c>
      <c r="J36" s="207" t="str">
        <f>IF(AND(F36&lt;=11,F36&gt;0),OFFSET('Minion Tiers'!$S$28,F36,0),"")</f>
        <v/>
      </c>
      <c r="K36" s="184" t="str">
        <f t="shared" si="5"/>
        <v>N/A</v>
      </c>
      <c r="L36" s="187">
        <f t="shared" si="6"/>
        <v>0</v>
      </c>
      <c r="M36" s="503">
        <v>1.0</v>
      </c>
      <c r="N36" s="108"/>
      <c r="O36" s="108"/>
      <c r="P36" s="416">
        <f t="shared" si="7"/>
        <v>0.1</v>
      </c>
      <c r="Q36" s="504">
        <f>0.3*$AC$2</f>
        <v>0.432</v>
      </c>
      <c r="R36" s="505" t="str">
        <f t="shared" si="8"/>
        <v>Combat</v>
      </c>
      <c r="S36" s="506"/>
      <c r="T36" s="505" t="str">
        <f t="shared" si="110"/>
        <v>Combat</v>
      </c>
      <c r="U36" s="507"/>
      <c r="V36" s="505" t="str">
        <f t="shared" si="10"/>
        <v>Combat</v>
      </c>
      <c r="W36" s="503" t="s">
        <v>551</v>
      </c>
      <c r="X36" s="416" t="s">
        <v>547</v>
      </c>
      <c r="Y36" s="508">
        <f t="array" ref="Y36">SUM(IF({R36,T36,V36}&lt;&gt;"Mining",{Q36*M36,S36*N36,U36*O36},0))</f>
        <v>0.432</v>
      </c>
      <c r="Z36" s="185">
        <f t="array" ref="Z36">SUM(IF({R36,T36,V36}="Mining",{Q36*M36,S36*N36,U36*O36},0))+(P36*0.4*$AC$2)</f>
        <v>0.0576</v>
      </c>
      <c r="AA36" s="185">
        <f t="shared" ref="AA36:AB36" si="111">Y36*$L36</f>
        <v>0</v>
      </c>
      <c r="AB36" s="509">
        <f t="shared" si="111"/>
        <v>0</v>
      </c>
      <c r="AC36" s="510" t="str">
        <f t="shared" ref="AC36:AD36" si="112">IF(Y36&gt;0,TEXT(Y36*$L36,"#,##0.0#")&amp;" "&amp;W36&amp;" XP","")</f>
        <v>0.0 Combat XP</v>
      </c>
      <c r="AD36" s="511" t="str">
        <f t="shared" si="112"/>
        <v>0.0 Mining XP</v>
      </c>
      <c r="AE36" s="510" t="str">
        <f t="shared" ref="AE36:AF36" si="113">IF(Y36&gt;0,TEXT(Y36*$L36*24,"#,##0.0#")&amp;" "&amp;W36&amp;" XP","")</f>
        <v>0.0 Combat XP</v>
      </c>
      <c r="AF36" s="511" t="str">
        <f t="shared" si="113"/>
        <v>0.0 Mining XP</v>
      </c>
      <c r="AH36" s="503"/>
      <c r="AI36" s="108" t="s">
        <v>64</v>
      </c>
      <c r="AJ36" s="512">
        <v>0.0</v>
      </c>
    </row>
    <row r="37">
      <c r="B37" s="25" t="str">
        <f>'Minion Checker'!D40</f>
        <v/>
      </c>
      <c r="C37" s="37" t="str">
        <f>'Minion Checker'!E40</f>
        <v>Spider</v>
      </c>
      <c r="D37" s="37" t="str">
        <f>'Minion Sales'!D36</f>
        <v>String</v>
      </c>
      <c r="E37" s="192">
        <f>IFERROR(ROMAN('Minion Checker'!H40),0)</f>
        <v>0</v>
      </c>
      <c r="F37" s="118">
        <f t="shared" si="4"/>
        <v>0</v>
      </c>
      <c r="G37" s="193">
        <v>1.0</v>
      </c>
      <c r="H37" s="194">
        <v>0.25</v>
      </c>
      <c r="I37" s="208" t="b">
        <v>1</v>
      </c>
      <c r="J37" s="196" t="str">
        <f>IF(AND(F37&lt;=11,F37&gt;0),OFFSET('Minion Tiers'!$S$41,F37,0),"")</f>
        <v/>
      </c>
      <c r="K37" s="197" t="str">
        <f t="shared" si="5"/>
        <v>N/A</v>
      </c>
      <c r="L37" s="200">
        <f t="shared" si="6"/>
        <v>0</v>
      </c>
      <c r="M37" s="523">
        <v>1.0</v>
      </c>
      <c r="N37" s="218">
        <v>0.5</v>
      </c>
      <c r="O37" s="218"/>
      <c r="P37" s="215">
        <f t="shared" si="7"/>
        <v>0.15</v>
      </c>
      <c r="Q37" s="515">
        <f t="shared" ref="Q37:Q38" si="117">0.2*$AC$2</f>
        <v>0.288</v>
      </c>
      <c r="R37" s="516" t="str">
        <f t="shared" si="8"/>
        <v>Combat</v>
      </c>
      <c r="S37" s="517">
        <f t="shared" ref="S37:S38" si="118">0.3*$AC$2</f>
        <v>0.432</v>
      </c>
      <c r="T37" s="516" t="str">
        <f t="shared" si="110"/>
        <v>Combat</v>
      </c>
      <c r="U37" s="518"/>
      <c r="V37" s="516" t="str">
        <f t="shared" si="10"/>
        <v>Combat</v>
      </c>
      <c r="W37" s="523" t="s">
        <v>551</v>
      </c>
      <c r="X37" s="215" t="s">
        <v>547</v>
      </c>
      <c r="Y37" s="216">
        <f t="array" ref="Y37">SUM(IF({R37,T37,V37}&lt;&gt;"Mining",{Q37*M37,S37*N37,U37*O37},0))</f>
        <v>0.504</v>
      </c>
      <c r="Z37" s="198">
        <f t="array" ref="Z37">SUM(IF({R37,T37,V37}="Mining",{Q37*M37,S37*N37,U37*O37},0))+(P37*0.4*$AC$2)</f>
        <v>0.0864</v>
      </c>
      <c r="AA37" s="198">
        <f t="shared" ref="AA37:AB37" si="114">Y37*$L37</f>
        <v>0</v>
      </c>
      <c r="AB37" s="519">
        <f t="shared" si="114"/>
        <v>0</v>
      </c>
      <c r="AC37" s="524" t="str">
        <f t="shared" ref="AC37:AD37" si="115">IF(Y37&gt;0,TEXT(Y37*$L37,"#,##0.0#")&amp;" "&amp;W37&amp;" XP","")</f>
        <v>0.0 Combat XP</v>
      </c>
      <c r="AD37" s="525" t="str">
        <f t="shared" si="115"/>
        <v>0.0 Mining XP</v>
      </c>
      <c r="AE37" s="524" t="str">
        <f t="shared" ref="AE37:AF37" si="116">IF(Y37&gt;0,TEXT(Y37*$L37*24,"#,##0.0#")&amp;" "&amp;W37&amp;" XP","")</f>
        <v>0.0 Combat XP</v>
      </c>
      <c r="AF37" s="525" t="str">
        <f t="shared" si="116"/>
        <v>0.0 Mining XP</v>
      </c>
      <c r="AH37" s="523"/>
      <c r="AI37" s="218" t="s">
        <v>65</v>
      </c>
      <c r="AJ37" s="522">
        <v>0.0</v>
      </c>
    </row>
    <row r="38">
      <c r="B38" s="27" t="str">
        <f>'Minion Checker'!D41</f>
        <v/>
      </c>
      <c r="C38" s="34" t="str">
        <f>'Minion Checker'!E41</f>
        <v>Tarantula</v>
      </c>
      <c r="D38" s="34" t="str">
        <f>'Minion Sales'!D37</f>
        <v>String</v>
      </c>
      <c r="E38" s="180">
        <f>IFERROR(ROMAN('Minion Checker'!H41),0)</f>
        <v>0</v>
      </c>
      <c r="F38" s="104">
        <f t="shared" si="4"/>
        <v>0</v>
      </c>
      <c r="G38" s="205">
        <v>1.0</v>
      </c>
      <c r="H38" s="181">
        <v>0.25</v>
      </c>
      <c r="I38" s="206" t="b">
        <v>1</v>
      </c>
      <c r="J38" s="207" t="str">
        <f>IF(AND(F38&lt;=11,F38&gt;0),OFFSET('Minion Tiers'!$S$54,F38,0),"")</f>
        <v/>
      </c>
      <c r="K38" s="184" t="str">
        <f t="shared" si="5"/>
        <v>N/A</v>
      </c>
      <c r="L38" s="187">
        <f t="shared" si="6"/>
        <v>0</v>
      </c>
      <c r="M38" s="526">
        <v>3.16</v>
      </c>
      <c r="N38" s="108">
        <v>1.0</v>
      </c>
      <c r="O38" s="108">
        <v>0.2</v>
      </c>
      <c r="P38" s="416">
        <f t="shared" si="7"/>
        <v>0.436</v>
      </c>
      <c r="Q38" s="504">
        <f t="shared" si="117"/>
        <v>0.288</v>
      </c>
      <c r="R38" s="505" t="str">
        <f t="shared" si="8"/>
        <v>Combat</v>
      </c>
      <c r="S38" s="506">
        <f t="shared" si="118"/>
        <v>0.432</v>
      </c>
      <c r="T38" s="505" t="str">
        <f t="shared" si="110"/>
        <v>Combat</v>
      </c>
      <c r="U38" s="507">
        <f>0.3*$AC$2</f>
        <v>0.432</v>
      </c>
      <c r="V38" s="505" t="s">
        <v>547</v>
      </c>
      <c r="W38" s="503" t="s">
        <v>551</v>
      </c>
      <c r="X38" s="416" t="s">
        <v>547</v>
      </c>
      <c r="Y38" s="508">
        <f t="array" ref="Y38">SUM(IF({R38,T38,V38}&lt;&gt;"Mining",{Q38*M38,S38*N38,U38*O38},0))</f>
        <v>1.34208</v>
      </c>
      <c r="Z38" s="185">
        <f t="array" ref="Z38">SUM(IF({R38,T38,V38}="Mining",{Q38*M38,S38*N38,U38*O38},0))+(P38*0.4*$AC$2)</f>
        <v>0.337536</v>
      </c>
      <c r="AA38" s="185">
        <f t="shared" ref="AA38:AB38" si="119">Y38*$L38</f>
        <v>0</v>
      </c>
      <c r="AB38" s="509">
        <f t="shared" si="119"/>
        <v>0</v>
      </c>
      <c r="AC38" s="510" t="str">
        <f t="shared" ref="AC38:AD38" si="120">IF(Y38&gt;0,TEXT(Y38*$L38,"#,##0.0#")&amp;" "&amp;W38&amp;" XP","")</f>
        <v>0.0 Combat XP</v>
      </c>
      <c r="AD38" s="511" t="str">
        <f t="shared" si="120"/>
        <v>0.0 Mining XP</v>
      </c>
      <c r="AE38" s="510" t="str">
        <f t="shared" ref="AE38:AF38" si="121">IF(Y38&gt;0,TEXT(Y38*$L38*24,"#,##0.0#")&amp;" "&amp;W38&amp;" XP","")</f>
        <v>0.0 Combat XP</v>
      </c>
      <c r="AF38" s="511" t="str">
        <f t="shared" si="121"/>
        <v>0.0 Mining XP</v>
      </c>
      <c r="AH38" s="503"/>
      <c r="AI38" s="108" t="s">
        <v>66</v>
      </c>
      <c r="AJ38" s="512">
        <v>0.0</v>
      </c>
    </row>
    <row r="39">
      <c r="B39" s="25" t="str">
        <f>'Minion Checker'!D42</f>
        <v/>
      </c>
      <c r="C39" s="37" t="str">
        <f>'Minion Checker'!E42</f>
        <v>Cave Spider</v>
      </c>
      <c r="D39" s="37" t="str">
        <f>'Minion Sales'!D38</f>
        <v>Spider Eye</v>
      </c>
      <c r="E39" s="192">
        <f>IFERROR(ROMAN('Minion Checker'!H42),0)</f>
        <v>0</v>
      </c>
      <c r="F39" s="118">
        <f t="shared" si="4"/>
        <v>0</v>
      </c>
      <c r="G39" s="193">
        <v>1.0</v>
      </c>
      <c r="H39" s="194">
        <v>0.25</v>
      </c>
      <c r="I39" s="208" t="b">
        <v>1</v>
      </c>
      <c r="J39" s="196" t="str">
        <f>IF(AND(F39&lt;=11,F39&gt;0),OFFSET('Minion Tiers'!$S$67,F39,0),"")</f>
        <v/>
      </c>
      <c r="K39" s="197" t="str">
        <f t="shared" si="5"/>
        <v>N/A</v>
      </c>
      <c r="L39" s="200">
        <f t="shared" si="6"/>
        <v>0</v>
      </c>
      <c r="M39" s="513">
        <v>0.5</v>
      </c>
      <c r="N39" s="122">
        <v>1.0</v>
      </c>
      <c r="O39" s="122"/>
      <c r="P39" s="514">
        <f t="shared" si="7"/>
        <v>0.15</v>
      </c>
      <c r="Q39" s="515">
        <f t="shared" ref="Q39:Q40" si="125">0.3*$AC$2</f>
        <v>0.432</v>
      </c>
      <c r="R39" s="516" t="str">
        <f t="shared" si="8"/>
        <v>Combat</v>
      </c>
      <c r="S39" s="517">
        <f>0.2*$AC$2</f>
        <v>0.288</v>
      </c>
      <c r="T39" s="516" t="str">
        <f t="shared" si="110"/>
        <v>Combat</v>
      </c>
      <c r="U39" s="518"/>
      <c r="V39" s="516" t="str">
        <f t="shared" ref="V39:V56" si="126">IF(W39&lt;&gt;"",W39,X39)</f>
        <v>Combat</v>
      </c>
      <c r="W39" s="513" t="s">
        <v>551</v>
      </c>
      <c r="X39" s="514" t="s">
        <v>547</v>
      </c>
      <c r="Y39" s="216">
        <f t="array" ref="Y39">SUM(IF({R39,T39,V39}&lt;&gt;"Mining",{Q39*M39,S39*N39,U39*O39},0))</f>
        <v>0.504</v>
      </c>
      <c r="Z39" s="198">
        <f t="array" ref="Z39">SUM(IF({R39,T39,V39}="Mining",{Q39*M39,S39*N39,U39*O39},0))+(P39*0.4*$AC$2)</f>
        <v>0.0864</v>
      </c>
      <c r="AA39" s="198">
        <f t="shared" ref="AA39:AB39" si="122">Y39*$L39</f>
        <v>0</v>
      </c>
      <c r="AB39" s="519">
        <f t="shared" si="122"/>
        <v>0</v>
      </c>
      <c r="AC39" s="520" t="str">
        <f t="shared" ref="AC39:AD39" si="123">IF(Y39&gt;0,TEXT(Y39*$L39,"#,##0.0#")&amp;" "&amp;W39&amp;" XP","")</f>
        <v>0.0 Combat XP</v>
      </c>
      <c r="AD39" s="521" t="str">
        <f t="shared" si="123"/>
        <v>0.0 Mining XP</v>
      </c>
      <c r="AE39" s="520" t="str">
        <f t="shared" ref="AE39:AF39" si="124">IF(Y39&gt;0,TEXT(Y39*$L39*24,"#,##0.0#")&amp;" "&amp;W39&amp;" XP","")</f>
        <v>0.0 Combat XP</v>
      </c>
      <c r="AF39" s="521" t="str">
        <f t="shared" si="124"/>
        <v>0.0 Mining XP</v>
      </c>
      <c r="AH39" s="513"/>
      <c r="AI39" s="122" t="s">
        <v>118</v>
      </c>
      <c r="AJ39" s="522">
        <v>0.0</v>
      </c>
    </row>
    <row r="40">
      <c r="B40" s="27" t="str">
        <f>'Minion Checker'!D43</f>
        <v/>
      </c>
      <c r="C40" s="34" t="str">
        <f>'Minion Checker'!E43</f>
        <v>Blaze</v>
      </c>
      <c r="D40" s="34" t="str">
        <f>'Minion Sales'!D39</f>
        <v>Blaze Rod</v>
      </c>
      <c r="E40" s="180">
        <f>IFERROR(ROMAN('Minion Checker'!H43),0)</f>
        <v>0</v>
      </c>
      <c r="F40" s="104">
        <f t="shared" si="4"/>
        <v>0</v>
      </c>
      <c r="G40" s="205">
        <v>1.0</v>
      </c>
      <c r="H40" s="181">
        <v>0.25</v>
      </c>
      <c r="I40" s="206" t="b">
        <v>1</v>
      </c>
      <c r="J40" s="207" t="str">
        <f>IF(AND(F40&lt;=11,F40&gt;0),OFFSET('Minion Tiers'!$S$80,F40,0),"")</f>
        <v/>
      </c>
      <c r="K40" s="184" t="str">
        <f t="shared" si="5"/>
        <v>N/A</v>
      </c>
      <c r="L40" s="187">
        <f t="shared" si="6"/>
        <v>0</v>
      </c>
      <c r="M40" s="503">
        <v>1.0</v>
      </c>
      <c r="N40" s="108"/>
      <c r="O40" s="108"/>
      <c r="P40" s="416">
        <f t="shared" si="7"/>
        <v>0.1</v>
      </c>
      <c r="Q40" s="504">
        <f t="shared" si="125"/>
        <v>0.432</v>
      </c>
      <c r="R40" s="505" t="str">
        <f t="shared" si="8"/>
        <v>Combat</v>
      </c>
      <c r="S40" s="506"/>
      <c r="T40" s="505" t="str">
        <f t="shared" si="110"/>
        <v>Combat</v>
      </c>
      <c r="U40" s="507"/>
      <c r="V40" s="505" t="str">
        <f t="shared" si="126"/>
        <v>Combat</v>
      </c>
      <c r="W40" s="503" t="s">
        <v>551</v>
      </c>
      <c r="X40" s="416" t="s">
        <v>547</v>
      </c>
      <c r="Y40" s="508">
        <f t="array" ref="Y40">SUM(IF({R40,T40,V40}&lt;&gt;"Mining",{Q40*M40,S40*N40,U40*O40},0))</f>
        <v>0.432</v>
      </c>
      <c r="Z40" s="185">
        <f t="array" ref="Z40">SUM(IF({R40,T40,V40}="Mining",{Q40*M40,S40*N40,U40*O40},0))+(P40*0.4*$AC$2)</f>
        <v>0.0576</v>
      </c>
      <c r="AA40" s="185">
        <f t="shared" ref="AA40:AB40" si="127">Y40*$L40</f>
        <v>0</v>
      </c>
      <c r="AB40" s="509">
        <f t="shared" si="127"/>
        <v>0</v>
      </c>
      <c r="AC40" s="510" t="str">
        <f t="shared" ref="AC40:AD40" si="128">IF(Y40&gt;0,TEXT(Y40*$L40,"#,##0.0#")&amp;" "&amp;W40&amp;" XP","")</f>
        <v>0.0 Combat XP</v>
      </c>
      <c r="AD40" s="511" t="str">
        <f t="shared" si="128"/>
        <v>0.0 Mining XP</v>
      </c>
      <c r="AE40" s="510" t="str">
        <f t="shared" ref="AE40:AF40" si="129">IF(Y40&gt;0,TEXT(Y40*$L40*24,"#,##0.0#")&amp;" "&amp;W40&amp;" XP","")</f>
        <v>0.0 Combat XP</v>
      </c>
      <c r="AF40" s="511" t="str">
        <f t="shared" si="129"/>
        <v>0.0 Mining XP</v>
      </c>
      <c r="AH40" s="503"/>
      <c r="AI40" s="108" t="s">
        <v>68</v>
      </c>
      <c r="AJ40" s="512">
        <v>0.0</v>
      </c>
    </row>
    <row r="41">
      <c r="B41" s="25" t="str">
        <f>'Minion Checker'!D44</f>
        <v/>
      </c>
      <c r="C41" s="37" t="str">
        <f>'Minion Checker'!E44</f>
        <v>Magma Cube</v>
      </c>
      <c r="D41" s="37" t="str">
        <f>'Minion Sales'!D40</f>
        <v>Magma Cream</v>
      </c>
      <c r="E41" s="192">
        <f>IFERROR(ROMAN('Minion Checker'!H44),0)</f>
        <v>0</v>
      </c>
      <c r="F41" s="118">
        <f t="shared" si="4"/>
        <v>0</v>
      </c>
      <c r="G41" s="193">
        <v>1.0</v>
      </c>
      <c r="H41" s="194">
        <v>0.25</v>
      </c>
      <c r="I41" s="195" t="b">
        <v>1</v>
      </c>
      <c r="J41" s="196" t="str">
        <f>IF(AND(F41&lt;=11,F41&gt;0),OFFSET('Minion Tiers'!$S$93,F41,0),"")</f>
        <v/>
      </c>
      <c r="K41" s="197" t="str">
        <f t="shared" si="5"/>
        <v>N/A</v>
      </c>
      <c r="L41" s="200">
        <f t="shared" si="6"/>
        <v>0</v>
      </c>
      <c r="M41" s="513">
        <v>1.8</v>
      </c>
      <c r="N41" s="122"/>
      <c r="O41" s="122"/>
      <c r="P41" s="514">
        <f t="shared" si="7"/>
        <v>0.18</v>
      </c>
      <c r="Q41" s="515">
        <f>0.2*$AC$2</f>
        <v>0.288</v>
      </c>
      <c r="R41" s="516" t="str">
        <f t="shared" si="8"/>
        <v>Combat</v>
      </c>
      <c r="S41" s="517"/>
      <c r="T41" s="516" t="str">
        <f t="shared" si="110"/>
        <v>Combat</v>
      </c>
      <c r="U41" s="518"/>
      <c r="V41" s="516" t="str">
        <f t="shared" si="126"/>
        <v>Combat</v>
      </c>
      <c r="W41" s="513" t="s">
        <v>551</v>
      </c>
      <c r="X41" s="514" t="s">
        <v>547</v>
      </c>
      <c r="Y41" s="216">
        <f t="array" ref="Y41">SUM(IF({R41,T41,V41}&lt;&gt;"Mining",{Q41*M41,S41*N41,U41*O41},0))</f>
        <v>0.5184</v>
      </c>
      <c r="Z41" s="198">
        <f t="array" ref="Z41">SUM(IF({R41,T41,V41}="Mining",{Q41*M41,S41*N41,U41*O41},0))+(P41*0.4*$AC$2)</f>
        <v>0.10368</v>
      </c>
      <c r="AA41" s="198">
        <f t="shared" ref="AA41:AB41" si="130">Y41*$L41</f>
        <v>0</v>
      </c>
      <c r="AB41" s="519">
        <f t="shared" si="130"/>
        <v>0</v>
      </c>
      <c r="AC41" s="520" t="str">
        <f t="shared" ref="AC41:AD41" si="131">IF(Y41&gt;0,TEXT(Y41*$L41,"#,##0.0#")&amp;" "&amp;W41&amp;" XP","")</f>
        <v>0.0 Combat XP</v>
      </c>
      <c r="AD41" s="521" t="str">
        <f t="shared" si="131"/>
        <v>0.0 Mining XP</v>
      </c>
      <c r="AE41" s="520" t="str">
        <f t="shared" ref="AE41:AF41" si="132">IF(Y41&gt;0,TEXT(Y41*$L41*24,"#,##0.0#")&amp;" "&amp;W41&amp;" XP","")</f>
        <v>0.0 Combat XP</v>
      </c>
      <c r="AF41" s="521" t="str">
        <f t="shared" si="132"/>
        <v>0.0 Mining XP</v>
      </c>
      <c r="AH41" s="513"/>
      <c r="AI41" s="122" t="s">
        <v>69</v>
      </c>
      <c r="AJ41" s="522">
        <v>0.0</v>
      </c>
    </row>
    <row r="42">
      <c r="B42" s="27" t="str">
        <f>'Minion Checker'!D45</f>
        <v/>
      </c>
      <c r="C42" s="34" t="str">
        <f>'Minion Checker'!E45</f>
        <v>Enderman</v>
      </c>
      <c r="D42" s="34" t="str">
        <f>'Minion Sales'!D41</f>
        <v>Ender Pearl</v>
      </c>
      <c r="E42" s="180">
        <f>IFERROR(ROMAN('Minion Checker'!H45),0)</f>
        <v>0</v>
      </c>
      <c r="F42" s="104">
        <f t="shared" si="4"/>
        <v>0</v>
      </c>
      <c r="G42" s="205">
        <v>1.0</v>
      </c>
      <c r="H42" s="181">
        <v>0.25</v>
      </c>
      <c r="I42" s="206" t="b">
        <v>1</v>
      </c>
      <c r="J42" s="207" t="str">
        <f>IF(AND(F42&lt;=11,F42&gt;0),OFFSET('Minion Tiers'!$S$106,F42,0),"")</f>
        <v/>
      </c>
      <c r="K42" s="184" t="str">
        <f t="shared" si="5"/>
        <v>N/A</v>
      </c>
      <c r="L42" s="187">
        <f t="shared" si="6"/>
        <v>0</v>
      </c>
      <c r="M42" s="503">
        <v>1.0</v>
      </c>
      <c r="N42" s="108"/>
      <c r="O42" s="108"/>
      <c r="P42" s="416">
        <f t="shared" si="7"/>
        <v>0.1</v>
      </c>
      <c r="Q42" s="504">
        <f>0.3*$AC$2</f>
        <v>0.432</v>
      </c>
      <c r="R42" s="505" t="str">
        <f t="shared" si="8"/>
        <v>Combat</v>
      </c>
      <c r="S42" s="506"/>
      <c r="T42" s="505" t="str">
        <f t="shared" si="110"/>
        <v>Combat</v>
      </c>
      <c r="U42" s="507"/>
      <c r="V42" s="505" t="str">
        <f t="shared" si="126"/>
        <v>Combat</v>
      </c>
      <c r="W42" s="503" t="s">
        <v>551</v>
      </c>
      <c r="X42" s="416" t="s">
        <v>547</v>
      </c>
      <c r="Y42" s="508">
        <f t="array" ref="Y42">SUM(IF({R42,T42,V42}&lt;&gt;"Mining",{Q42*M42,S42*N42,U42*O42},0))</f>
        <v>0.432</v>
      </c>
      <c r="Z42" s="185">
        <f t="array" ref="Z42">SUM(IF({R42,T42,V42}="Mining",{Q42*M42,S42*N42,U42*O42},0))+(P42*0.4*$AC$2)</f>
        <v>0.0576</v>
      </c>
      <c r="AA42" s="185">
        <f t="shared" ref="AA42:AB42" si="133">Y42*$L42</f>
        <v>0</v>
      </c>
      <c r="AB42" s="509">
        <f t="shared" si="133"/>
        <v>0</v>
      </c>
      <c r="AC42" s="510" t="str">
        <f t="shared" ref="AC42:AD42" si="134">IF(Y42&gt;0,TEXT(Y42*$L42,"#,##0.0#")&amp;" "&amp;W42&amp;" XP","")</f>
        <v>0.0 Combat XP</v>
      </c>
      <c r="AD42" s="511" t="str">
        <f t="shared" si="134"/>
        <v>0.0 Mining XP</v>
      </c>
      <c r="AE42" s="510" t="str">
        <f t="shared" ref="AE42:AF42" si="135">IF(Y42&gt;0,TEXT(Y42*$L42*24,"#,##0.0#")&amp;" "&amp;W42&amp;" XP","")</f>
        <v>0.0 Combat XP</v>
      </c>
      <c r="AF42" s="511" t="str">
        <f t="shared" si="135"/>
        <v>0.0 Mining XP</v>
      </c>
      <c r="AH42" s="503"/>
      <c r="AI42" s="108" t="s">
        <v>71</v>
      </c>
      <c r="AJ42" s="512">
        <v>0.0</v>
      </c>
    </row>
    <row r="43">
      <c r="B43" s="25" t="str">
        <f>'Minion Checker'!D46</f>
        <v/>
      </c>
      <c r="C43" s="37" t="str">
        <f>'Minion Checker'!E46</f>
        <v>Ghast</v>
      </c>
      <c r="D43" s="37" t="str">
        <f>'Minion Sales'!D42</f>
        <v>Ghast Tear</v>
      </c>
      <c r="E43" s="192">
        <f>IFERROR(ROMAN('Minion Checker'!H46),0)</f>
        <v>0</v>
      </c>
      <c r="F43" s="118">
        <f t="shared" si="4"/>
        <v>0</v>
      </c>
      <c r="G43" s="193">
        <v>1.0</v>
      </c>
      <c r="H43" s="194">
        <v>0.25</v>
      </c>
      <c r="I43" s="208" t="b">
        <v>1</v>
      </c>
      <c r="J43" s="196" t="str">
        <f>IF(AND(F43&lt;=11,F43&gt;0),OFFSET('Minion Tiers'!$S$119,F43,0),"")</f>
        <v/>
      </c>
      <c r="K43" s="197" t="str">
        <f t="shared" si="5"/>
        <v>N/A</v>
      </c>
      <c r="L43" s="200">
        <f t="shared" si="6"/>
        <v>0</v>
      </c>
      <c r="M43" s="513">
        <v>1.0</v>
      </c>
      <c r="N43" s="122"/>
      <c r="O43" s="122"/>
      <c r="P43" s="514">
        <f t="shared" si="7"/>
        <v>0.1</v>
      </c>
      <c r="Q43" s="515">
        <f>0.5*$AC$2</f>
        <v>0.72</v>
      </c>
      <c r="R43" s="516" t="str">
        <f t="shared" si="8"/>
        <v>Combat</v>
      </c>
      <c r="S43" s="517"/>
      <c r="T43" s="516" t="str">
        <f t="shared" si="110"/>
        <v>Combat</v>
      </c>
      <c r="U43" s="518"/>
      <c r="V43" s="516" t="str">
        <f t="shared" si="126"/>
        <v>Combat</v>
      </c>
      <c r="W43" s="513" t="s">
        <v>551</v>
      </c>
      <c r="X43" s="514" t="s">
        <v>547</v>
      </c>
      <c r="Y43" s="216">
        <f t="array" ref="Y43">SUM(IF({R43,T43,V43}&lt;&gt;"Mining",{Q43*M43,S43*N43,U43*O43},0))</f>
        <v>0.72</v>
      </c>
      <c r="Z43" s="198">
        <f t="array" ref="Z43">SUM(IF({R43,T43,V43}="Mining",{Q43*M43,S43*N43,U43*O43},0))+(P43*0.4*$AC$2)</f>
        <v>0.0576</v>
      </c>
      <c r="AA43" s="198">
        <f t="shared" ref="AA43:AB43" si="136">Y43*$L43</f>
        <v>0</v>
      </c>
      <c r="AB43" s="519">
        <f t="shared" si="136"/>
        <v>0</v>
      </c>
      <c r="AC43" s="520" t="str">
        <f t="shared" ref="AC43:AD43" si="137">IF(Y43&gt;0,TEXT(Y43*$L43,"#,##0.0#")&amp;" "&amp;W43&amp;" XP","")</f>
        <v>0.0 Combat XP</v>
      </c>
      <c r="AD43" s="521" t="str">
        <f t="shared" si="137"/>
        <v>0.0 Mining XP</v>
      </c>
      <c r="AE43" s="520" t="str">
        <f t="shared" ref="AE43:AF43" si="138">IF(Y43&gt;0,TEXT(Y43*$L43*24,"#,##0.0#")&amp;" "&amp;W43&amp;" XP","")</f>
        <v>0.0 Combat XP</v>
      </c>
      <c r="AF43" s="521" t="str">
        <f t="shared" si="138"/>
        <v>0.0 Mining XP</v>
      </c>
      <c r="AH43" s="513"/>
      <c r="AI43" s="122" t="s">
        <v>72</v>
      </c>
      <c r="AJ43" s="522">
        <v>0.0</v>
      </c>
    </row>
    <row r="44">
      <c r="B44" s="27" t="str">
        <f>'Minion Checker'!D47</f>
        <v/>
      </c>
      <c r="C44" s="34" t="str">
        <f>'Minion Checker'!E47</f>
        <v>Slime</v>
      </c>
      <c r="D44" s="34" t="str">
        <f>'Minion Sales'!D43</f>
        <v>Slimeball</v>
      </c>
      <c r="E44" s="180">
        <f>IFERROR(ROMAN('Minion Checker'!H47),0)</f>
        <v>0</v>
      </c>
      <c r="F44" s="104">
        <f t="shared" si="4"/>
        <v>0</v>
      </c>
      <c r="G44" s="205">
        <v>1.0</v>
      </c>
      <c r="H44" s="181">
        <v>0.25</v>
      </c>
      <c r="I44" s="206" t="b">
        <v>1</v>
      </c>
      <c r="J44" s="207" t="str">
        <f>IF(AND(F44&lt;=11,F44&gt;0),OFFSET('Minion Tiers'!$S$132,F44,0),"")</f>
        <v/>
      </c>
      <c r="K44" s="184" t="str">
        <f t="shared" si="5"/>
        <v>N/A</v>
      </c>
      <c r="L44" s="187">
        <f t="shared" si="6"/>
        <v>0</v>
      </c>
      <c r="M44" s="503">
        <v>1.8</v>
      </c>
      <c r="N44" s="108"/>
      <c r="O44" s="108"/>
      <c r="P44" s="416">
        <f t="shared" si="7"/>
        <v>0.18</v>
      </c>
      <c r="Q44" s="504">
        <f>0.2*$AC$2</f>
        <v>0.288</v>
      </c>
      <c r="R44" s="505" t="str">
        <f t="shared" si="8"/>
        <v>Combat</v>
      </c>
      <c r="S44" s="506"/>
      <c r="T44" s="505" t="str">
        <f t="shared" si="110"/>
        <v>Combat</v>
      </c>
      <c r="U44" s="507"/>
      <c r="V44" s="505" t="str">
        <f t="shared" si="126"/>
        <v>Combat</v>
      </c>
      <c r="W44" s="503" t="s">
        <v>551</v>
      </c>
      <c r="X44" s="416" t="s">
        <v>547</v>
      </c>
      <c r="Y44" s="508">
        <f t="array" ref="Y44">SUM(IF({R44,T44,V44}&lt;&gt;"Mining",{Q44*M44,S44*N44,U44*O44},0))</f>
        <v>0.5184</v>
      </c>
      <c r="Z44" s="185">
        <f t="array" ref="Z44">SUM(IF({R44,T44,V44}="Mining",{Q44*M44,S44*N44,U44*O44},0))+(P44*0.4*$AC$2)</f>
        <v>0.10368</v>
      </c>
      <c r="AA44" s="185">
        <f t="shared" ref="AA44:AB44" si="139">Y44*$L44</f>
        <v>0</v>
      </c>
      <c r="AB44" s="509">
        <f t="shared" si="139"/>
        <v>0</v>
      </c>
      <c r="AC44" s="510" t="str">
        <f t="shared" ref="AC44:AD44" si="140">IF(Y44&gt;0,TEXT(Y44*$L44,"#,##0.0#")&amp;" "&amp;W44&amp;" XP","")</f>
        <v>0.0 Combat XP</v>
      </c>
      <c r="AD44" s="511" t="str">
        <f t="shared" si="140"/>
        <v>0.0 Mining XP</v>
      </c>
      <c r="AE44" s="510" t="str">
        <f t="shared" ref="AE44:AF44" si="141">IF(Y44&gt;0,TEXT(Y44*$L44*24,"#,##0.0#")&amp;" "&amp;W44&amp;" XP","")</f>
        <v>0.0 Combat XP</v>
      </c>
      <c r="AF44" s="511" t="str">
        <f t="shared" si="141"/>
        <v>0.0 Mining XP</v>
      </c>
      <c r="AH44" s="503"/>
      <c r="AI44" s="108" t="s">
        <v>73</v>
      </c>
      <c r="AJ44" s="512">
        <v>0.0</v>
      </c>
    </row>
    <row r="45">
      <c r="B45" s="25" t="str">
        <f>'Minion Checker'!D48</f>
        <v/>
      </c>
      <c r="C45" s="37" t="str">
        <f>'Minion Checker'!E48</f>
        <v>Cow</v>
      </c>
      <c r="D45" s="37" t="str">
        <f>'Minion Sales'!D44</f>
        <v>Raw Beef</v>
      </c>
      <c r="E45" s="192">
        <f>IFERROR(ROMAN('Minion Checker'!H48),0)</f>
        <v>0</v>
      </c>
      <c r="F45" s="118">
        <f t="shared" si="4"/>
        <v>0</v>
      </c>
      <c r="G45" s="193">
        <v>1.0</v>
      </c>
      <c r="H45" s="194">
        <v>0.25</v>
      </c>
      <c r="I45" s="208" t="b">
        <v>1</v>
      </c>
      <c r="J45" s="196" t="str">
        <f>IF(AND(F45&lt;=11,F45&gt;0),OFFSET('Minion Tiers'!$S$145,F45,0),"")</f>
        <v/>
      </c>
      <c r="K45" s="197" t="str">
        <f t="shared" si="5"/>
        <v>N/A</v>
      </c>
      <c r="L45" s="200">
        <f t="shared" si="6"/>
        <v>0</v>
      </c>
      <c r="M45" s="513">
        <v>1.0</v>
      </c>
      <c r="N45" s="122">
        <v>1.0</v>
      </c>
      <c r="O45" s="122"/>
      <c r="P45" s="514">
        <f t="shared" si="7"/>
        <v>0.2</v>
      </c>
      <c r="Q45" s="515">
        <f>0.1*$AC$2</f>
        <v>0.144</v>
      </c>
      <c r="R45" s="516" t="str">
        <f t="shared" si="8"/>
        <v>Farming</v>
      </c>
      <c r="S45" s="517">
        <f>0.2*$AC$2</f>
        <v>0.288</v>
      </c>
      <c r="T45" s="516" t="str">
        <f t="shared" si="110"/>
        <v>Farming</v>
      </c>
      <c r="U45" s="518"/>
      <c r="V45" s="516" t="str">
        <f t="shared" si="126"/>
        <v>Farming</v>
      </c>
      <c r="W45" s="513" t="s">
        <v>548</v>
      </c>
      <c r="X45" s="514" t="s">
        <v>547</v>
      </c>
      <c r="Y45" s="216">
        <f t="array" ref="Y45">SUM(IF({R45,T45,V45}&lt;&gt;"Mining",{Q45*M45,S45*N45,U45*O45},0))</f>
        <v>0.432</v>
      </c>
      <c r="Z45" s="198">
        <f t="array" ref="Z45">SUM(IF({R45,T45,V45}="Mining",{Q45*M45,S45*N45,U45*O45},0))+(P45*0.4*$AC$2)</f>
        <v>0.1152</v>
      </c>
      <c r="AA45" s="198">
        <f t="shared" ref="AA45:AB45" si="142">Y45*$L45</f>
        <v>0</v>
      </c>
      <c r="AB45" s="519">
        <f t="shared" si="142"/>
        <v>0</v>
      </c>
      <c r="AC45" s="520" t="str">
        <f t="shared" ref="AC45:AD45" si="143">IF(Y45&gt;0,TEXT(Y45*$L45,"#,##0.0#")&amp;" "&amp;W45&amp;" XP","")</f>
        <v>0.0 Farming XP</v>
      </c>
      <c r="AD45" s="521" t="str">
        <f t="shared" si="143"/>
        <v>0.0 Mining XP</v>
      </c>
      <c r="AE45" s="520" t="str">
        <f t="shared" ref="AE45:AF45" si="144">IF(Y45&gt;0,TEXT(Y45*$L45*24,"#,##0.0#")&amp;" "&amp;W45&amp;" XP","")</f>
        <v>0.0 Farming XP</v>
      </c>
      <c r="AF45" s="521" t="str">
        <f t="shared" si="144"/>
        <v>0.0 Mining XP</v>
      </c>
      <c r="AH45" s="513"/>
      <c r="AI45" s="122" t="s">
        <v>74</v>
      </c>
      <c r="AJ45" s="522">
        <v>0.0</v>
      </c>
    </row>
    <row r="46">
      <c r="B46" s="27" t="str">
        <f>'Minion Checker'!D49</f>
        <v/>
      </c>
      <c r="C46" s="34" t="str">
        <f>'Minion Checker'!E49</f>
        <v>Pig</v>
      </c>
      <c r="D46" s="34" t="str">
        <f>'Minion Sales'!D45</f>
        <v>Raw Porkchop</v>
      </c>
      <c r="E46" s="180">
        <f>IFERROR(ROMAN('Minion Checker'!H49),0)</f>
        <v>0</v>
      </c>
      <c r="F46" s="104">
        <f t="shared" si="4"/>
        <v>0</v>
      </c>
      <c r="G46" s="205">
        <v>1.0</v>
      </c>
      <c r="H46" s="181">
        <v>0.25</v>
      </c>
      <c r="I46" s="206" t="b">
        <v>1</v>
      </c>
      <c r="J46" s="207" t="str">
        <f>IF(AND(F46&lt;=11,F46&gt;0),OFFSET('Minion Tiers'!$S$158,F46,0),"")</f>
        <v/>
      </c>
      <c r="K46" s="184" t="str">
        <f t="shared" si="5"/>
        <v>N/A</v>
      </c>
      <c r="L46" s="187">
        <f t="shared" si="6"/>
        <v>0</v>
      </c>
      <c r="M46" s="503">
        <v>1.0</v>
      </c>
      <c r="N46" s="108"/>
      <c r="O46" s="108"/>
      <c r="P46" s="416">
        <f t="shared" si="7"/>
        <v>0.1</v>
      </c>
      <c r="Q46" s="504">
        <f>0.2*$AC$2</f>
        <v>0.288</v>
      </c>
      <c r="R46" s="505" t="str">
        <f t="shared" si="8"/>
        <v>Farming</v>
      </c>
      <c r="S46" s="506"/>
      <c r="T46" s="505" t="str">
        <f t="shared" si="110"/>
        <v>Farming</v>
      </c>
      <c r="U46" s="507"/>
      <c r="V46" s="505" t="str">
        <f t="shared" si="126"/>
        <v>Farming</v>
      </c>
      <c r="W46" s="503" t="s">
        <v>548</v>
      </c>
      <c r="X46" s="416" t="s">
        <v>547</v>
      </c>
      <c r="Y46" s="508">
        <f t="array" ref="Y46">SUM(IF({R46,T46,V46}&lt;&gt;"Mining",{Q46*M46,S46*N46,U46*O46},0))</f>
        <v>0.288</v>
      </c>
      <c r="Z46" s="185">
        <f t="array" ref="Z46">SUM(IF({R46,T46,V46}="Mining",{Q46*M46,S46*N46,U46*O46},0))+(P46*0.4*$AC$2)</f>
        <v>0.0576</v>
      </c>
      <c r="AA46" s="185">
        <f t="shared" ref="AA46:AB46" si="145">Y46*$L46</f>
        <v>0</v>
      </c>
      <c r="AB46" s="509">
        <f t="shared" si="145"/>
        <v>0</v>
      </c>
      <c r="AC46" s="510" t="str">
        <f t="shared" ref="AC46:AD46" si="146">IF(Y46&gt;0,TEXT(Y46*$L46,"#,##0.0#")&amp;" "&amp;W46&amp;" XP","")</f>
        <v>0.0 Farming XP</v>
      </c>
      <c r="AD46" s="511" t="str">
        <f t="shared" si="146"/>
        <v>0.0 Mining XP</v>
      </c>
      <c r="AE46" s="510" t="str">
        <f t="shared" ref="AE46:AF46" si="147">IF(Y46&gt;0,TEXT(Y46*$L46*24,"#,##0.0#")&amp;" "&amp;W46&amp;" XP","")</f>
        <v>0.0 Farming XP</v>
      </c>
      <c r="AF46" s="511" t="str">
        <f t="shared" si="147"/>
        <v>0.0 Mining XP</v>
      </c>
      <c r="AH46" s="503"/>
      <c r="AI46" s="108" t="s">
        <v>75</v>
      </c>
      <c r="AJ46" s="512">
        <v>0.0</v>
      </c>
    </row>
    <row r="47">
      <c r="B47" s="25" t="str">
        <f>'Minion Checker'!D50</f>
        <v/>
      </c>
      <c r="C47" s="37" t="str">
        <f>'Minion Checker'!E50</f>
        <v>Chicken</v>
      </c>
      <c r="D47" s="37" t="str">
        <f>'Minion Sales'!D46</f>
        <v>Raw Chicken</v>
      </c>
      <c r="E47" s="192">
        <f>IFERROR(ROMAN('Minion Checker'!H50),0)</f>
        <v>0</v>
      </c>
      <c r="F47" s="118">
        <f t="shared" si="4"/>
        <v>0</v>
      </c>
      <c r="G47" s="193">
        <v>1.0</v>
      </c>
      <c r="H47" s="194">
        <v>0.25</v>
      </c>
      <c r="I47" s="208" t="b">
        <v>1</v>
      </c>
      <c r="J47" s="196" t="str">
        <f>IF(AND(F47&lt;=11,F47&gt;0),OFFSET('Minion Tiers'!$S$171,F47,0),"")</f>
        <v/>
      </c>
      <c r="K47" s="197" t="str">
        <f t="shared" si="5"/>
        <v>N/A</v>
      </c>
      <c r="L47" s="200">
        <f t="shared" si="6"/>
        <v>0</v>
      </c>
      <c r="M47" s="513">
        <v>1.0</v>
      </c>
      <c r="N47" s="122">
        <v>1.0</v>
      </c>
      <c r="O47" s="122">
        <v>1.0</v>
      </c>
      <c r="P47" s="514">
        <f t="shared" si="7"/>
        <v>0.3</v>
      </c>
      <c r="Q47" s="515">
        <f t="shared" ref="Q47:Q55" si="151">0.1*$AC$2</f>
        <v>0.144</v>
      </c>
      <c r="R47" s="516" t="str">
        <f t="shared" si="8"/>
        <v>Farming</v>
      </c>
      <c r="S47" s="517">
        <f>0.2*$AC$2</f>
        <v>0.288</v>
      </c>
      <c r="T47" s="516" t="str">
        <f t="shared" si="110"/>
        <v>Farming</v>
      </c>
      <c r="U47" s="518">
        <f>0.2*$AC$2</f>
        <v>0.288</v>
      </c>
      <c r="V47" s="516" t="str">
        <f t="shared" si="126"/>
        <v>Farming</v>
      </c>
      <c r="W47" s="513" t="s">
        <v>548</v>
      </c>
      <c r="X47" s="514" t="s">
        <v>547</v>
      </c>
      <c r="Y47" s="216">
        <f t="array" ref="Y47">SUM(IF({R47,T47,V47}&lt;&gt;"Mining",{Q47*M47,S47*N47,U47*O47},0))</f>
        <v>0.72</v>
      </c>
      <c r="Z47" s="198">
        <f t="array" ref="Z47">SUM(IF({R47,T47,V47}="Mining",{Q47*M47,S47*N47,U47*O47},0))+(P47*0.4*$AC$2)</f>
        <v>0.1728</v>
      </c>
      <c r="AA47" s="198">
        <f t="shared" ref="AA47:AB47" si="148">Y47*$L47</f>
        <v>0</v>
      </c>
      <c r="AB47" s="519">
        <f t="shared" si="148"/>
        <v>0</v>
      </c>
      <c r="AC47" s="520" t="str">
        <f t="shared" ref="AC47:AD47" si="149">IF(Y47&gt;0,TEXT(Y47*$L47,"#,##0.0#")&amp;" "&amp;W47&amp;" XP","")</f>
        <v>0.0 Farming XP</v>
      </c>
      <c r="AD47" s="521" t="str">
        <f t="shared" si="149"/>
        <v>0.0 Mining XP</v>
      </c>
      <c r="AE47" s="520" t="str">
        <f t="shared" ref="AE47:AF47" si="150">IF(Y47&gt;0,TEXT(Y47*$L47*24,"#,##0.0#")&amp;" "&amp;W47&amp;" XP","")</f>
        <v>0.0 Farming XP</v>
      </c>
      <c r="AF47" s="521" t="str">
        <f t="shared" si="150"/>
        <v>0.0 Mining XP</v>
      </c>
      <c r="AH47" s="513"/>
      <c r="AI47" s="122" t="s">
        <v>76</v>
      </c>
      <c r="AJ47" s="522">
        <v>0.0</v>
      </c>
    </row>
    <row r="48">
      <c r="B48" s="27" t="str">
        <f>'Minion Checker'!D51</f>
        <v/>
      </c>
      <c r="C48" s="34" t="str">
        <f>'Minion Checker'!E51</f>
        <v>Sheep</v>
      </c>
      <c r="D48" s="34" t="str">
        <f>'Minion Sales'!D47</f>
        <v>Raw Mutton</v>
      </c>
      <c r="E48" s="180">
        <f>IFERROR(ROMAN('Minion Checker'!H51),0)</f>
        <v>0</v>
      </c>
      <c r="F48" s="104">
        <f t="shared" si="4"/>
        <v>0</v>
      </c>
      <c r="G48" s="205">
        <v>1.0</v>
      </c>
      <c r="H48" s="181">
        <v>0.25</v>
      </c>
      <c r="I48" s="206" t="b">
        <v>1</v>
      </c>
      <c r="J48" s="207" t="str">
        <f>IF(AND(F48&lt;=11,F48&gt;0),OFFSET('Minion Tiers'!$S$184,F48,0),"")</f>
        <v/>
      </c>
      <c r="K48" s="184" t="str">
        <f t="shared" si="5"/>
        <v>N/A</v>
      </c>
      <c r="L48" s="187">
        <f t="shared" si="6"/>
        <v>0</v>
      </c>
      <c r="M48" s="503">
        <v>1.0</v>
      </c>
      <c r="N48" s="108">
        <v>1.0</v>
      </c>
      <c r="O48" s="108"/>
      <c r="P48" s="416">
        <f t="shared" si="7"/>
        <v>0.2</v>
      </c>
      <c r="Q48" s="504">
        <f t="shared" si="151"/>
        <v>0.144</v>
      </c>
      <c r="R48" s="505" t="str">
        <f t="shared" si="8"/>
        <v>Farming</v>
      </c>
      <c r="S48" s="506">
        <f>0.1*$AC$2</f>
        <v>0.144</v>
      </c>
      <c r="T48" s="505" t="str">
        <f t="shared" si="110"/>
        <v>Farming</v>
      </c>
      <c r="U48" s="507"/>
      <c r="V48" s="505" t="str">
        <f t="shared" si="126"/>
        <v>Farming</v>
      </c>
      <c r="W48" s="503" t="s">
        <v>548</v>
      </c>
      <c r="X48" s="416" t="s">
        <v>547</v>
      </c>
      <c r="Y48" s="508">
        <f t="array" ref="Y48">SUM(IF({R48,T48,V48}&lt;&gt;"Mining",{Q48*M48,S48*N48,U48*O48},0))</f>
        <v>0.288</v>
      </c>
      <c r="Z48" s="185">
        <f t="array" ref="Z48">SUM(IF({R48,T48,V48}="Mining",{Q48*M48,S48*N48,U48*O48},0))+(P48*0.4*$AC$2)</f>
        <v>0.1152</v>
      </c>
      <c r="AA48" s="185">
        <f t="shared" ref="AA48:AB48" si="152">Y48*$L48</f>
        <v>0</v>
      </c>
      <c r="AB48" s="509">
        <f t="shared" si="152"/>
        <v>0</v>
      </c>
      <c r="AC48" s="510" t="str">
        <f t="shared" ref="AC48:AD48" si="153">IF(Y48&gt;0,TEXT(Y48*$L48,"#,##0.0#")&amp;" "&amp;W48&amp;" XP","")</f>
        <v>0.0 Farming XP</v>
      </c>
      <c r="AD48" s="511" t="str">
        <f t="shared" si="153"/>
        <v>0.0 Mining XP</v>
      </c>
      <c r="AE48" s="510" t="str">
        <f t="shared" ref="AE48:AF48" si="154">IF(Y48&gt;0,TEXT(Y48*$L48*24,"#,##0.0#")&amp;" "&amp;W48&amp;" XP","")</f>
        <v>0.0 Farming XP</v>
      </c>
      <c r="AF48" s="511" t="str">
        <f t="shared" si="154"/>
        <v>0.0 Mining XP</v>
      </c>
      <c r="AH48" s="503"/>
      <c r="AI48" s="108" t="s">
        <v>77</v>
      </c>
      <c r="AJ48" s="512">
        <v>0.0</v>
      </c>
    </row>
    <row r="49">
      <c r="B49" s="25" t="str">
        <f>'Minion Checker'!D52</f>
        <v/>
      </c>
      <c r="C49" s="37" t="str">
        <f>'Minion Checker'!E52</f>
        <v>Rabbit</v>
      </c>
      <c r="D49" s="37" t="str">
        <f>'Minion Sales'!D48</f>
        <v>Raw Rabbit</v>
      </c>
      <c r="E49" s="192">
        <f>IFERROR(ROMAN('Minion Checker'!H52),0)</f>
        <v>0</v>
      </c>
      <c r="F49" s="118">
        <f t="shared" si="4"/>
        <v>0</v>
      </c>
      <c r="G49" s="193">
        <v>1.0</v>
      </c>
      <c r="H49" s="194">
        <v>0.25</v>
      </c>
      <c r="I49" s="195" t="b">
        <v>1</v>
      </c>
      <c r="J49" s="196" t="str">
        <f>IF(AND(F49&lt;=11,F49&gt;0),OFFSET('Minion Tiers'!$S$197,F49,0),"")</f>
        <v/>
      </c>
      <c r="K49" s="197" t="str">
        <f t="shared" si="5"/>
        <v>N/A</v>
      </c>
      <c r="L49" s="200">
        <f t="shared" si="6"/>
        <v>0</v>
      </c>
      <c r="M49" s="513">
        <v>1.0</v>
      </c>
      <c r="N49" s="218">
        <v>0.35</v>
      </c>
      <c r="O49" s="218">
        <v>0.35</v>
      </c>
      <c r="P49" s="215">
        <f t="shared" si="7"/>
        <v>0.17</v>
      </c>
      <c r="Q49" s="515">
        <f t="shared" si="151"/>
        <v>0.144</v>
      </c>
      <c r="R49" s="516" t="str">
        <f t="shared" si="8"/>
        <v>Farming</v>
      </c>
      <c r="S49" s="517">
        <f>0.2*$AC$2</f>
        <v>0.288</v>
      </c>
      <c r="T49" s="516" t="str">
        <f t="shared" si="110"/>
        <v>Farming</v>
      </c>
      <c r="U49" s="518">
        <f>0.2*$AC$2</f>
        <v>0.288</v>
      </c>
      <c r="V49" s="516" t="str">
        <f t="shared" si="126"/>
        <v>Farming</v>
      </c>
      <c r="W49" s="523" t="s">
        <v>548</v>
      </c>
      <c r="X49" s="215" t="s">
        <v>547</v>
      </c>
      <c r="Y49" s="216">
        <f t="array" ref="Y49">SUM(IF({R49,T49,V49}&lt;&gt;"Mining",{Q49*M49,S49*N49,U49*O49},0))</f>
        <v>0.3456</v>
      </c>
      <c r="Z49" s="198">
        <f t="array" ref="Z49">SUM(IF({R49,T49,V49}="Mining",{Q49*M49,S49*N49,U49*O49},0))+(P49*0.4*$AC$2)</f>
        <v>0.09792</v>
      </c>
      <c r="AA49" s="198">
        <f t="shared" ref="AA49:AB49" si="155">Y49*$L49</f>
        <v>0</v>
      </c>
      <c r="AB49" s="519">
        <f t="shared" si="155"/>
        <v>0</v>
      </c>
      <c r="AC49" s="524" t="str">
        <f t="shared" ref="AC49:AD49" si="156">IF(Y49&gt;0,TEXT(Y49*$L49,"#,##0.0#")&amp;" "&amp;W49&amp;" XP","")</f>
        <v>0.0 Farming XP</v>
      </c>
      <c r="AD49" s="525" t="str">
        <f t="shared" si="156"/>
        <v>0.0 Mining XP</v>
      </c>
      <c r="AE49" s="524" t="str">
        <f t="shared" ref="AE49:AF49" si="157">IF(Y49&gt;0,TEXT(Y49*$L49*24,"#,##0.0#")&amp;" "&amp;W49&amp;" XP","")</f>
        <v>0.0 Farming XP</v>
      </c>
      <c r="AF49" s="525" t="str">
        <f t="shared" si="157"/>
        <v>0.0 Mining XP</v>
      </c>
      <c r="AH49" s="523"/>
      <c r="AI49" s="218" t="s">
        <v>78</v>
      </c>
      <c r="AJ49" s="522">
        <v>0.0</v>
      </c>
    </row>
    <row r="50">
      <c r="B50" s="27" t="str">
        <f>'Minion Checker'!D53</f>
        <v/>
      </c>
      <c r="C50" s="34" t="str">
        <f>'Minion Checker'!E53</f>
        <v>Oak</v>
      </c>
      <c r="D50" s="34" t="str">
        <f>'Minion Sales'!D49</f>
        <v>Oak Wood</v>
      </c>
      <c r="E50" s="180">
        <f>IFERROR(ROMAN('Minion Checker'!H53),0)</f>
        <v>0</v>
      </c>
      <c r="F50" s="104">
        <f t="shared" si="4"/>
        <v>0</v>
      </c>
      <c r="G50" s="205">
        <v>1.0</v>
      </c>
      <c r="H50" s="181">
        <v>0.25</v>
      </c>
      <c r="I50" s="206" t="b">
        <v>1</v>
      </c>
      <c r="J50" s="207" t="str">
        <f>IF(AND(F50&lt;=11,F50&gt;0),OFFSET('Minion Tiers'!$S$210,F50,0),"")</f>
        <v/>
      </c>
      <c r="K50" s="184" t="str">
        <f t="shared" si="5"/>
        <v>N/A</v>
      </c>
      <c r="L50" s="187">
        <f t="shared" si="6"/>
        <v>0</v>
      </c>
      <c r="M50" s="503">
        <v>4.0</v>
      </c>
      <c r="N50" s="108"/>
      <c r="O50" s="108"/>
      <c r="P50" s="416">
        <f t="shared" si="7"/>
        <v>0.4</v>
      </c>
      <c r="Q50" s="504">
        <f t="shared" si="151"/>
        <v>0.144</v>
      </c>
      <c r="R50" s="505" t="str">
        <f t="shared" si="8"/>
        <v>Foraging</v>
      </c>
      <c r="S50" s="506"/>
      <c r="T50" s="505" t="str">
        <f t="shared" si="110"/>
        <v>Foraging</v>
      </c>
      <c r="U50" s="507"/>
      <c r="V50" s="505" t="str">
        <f t="shared" si="126"/>
        <v>Foraging</v>
      </c>
      <c r="W50" s="503" t="s">
        <v>550</v>
      </c>
      <c r="X50" s="416" t="s">
        <v>547</v>
      </c>
      <c r="Y50" s="508">
        <f t="array" ref="Y50">SUM(IF({R50,T50,V50}&lt;&gt;"Mining",{Q50*M50,S50*N50,U50*O50},0))</f>
        <v>0.576</v>
      </c>
      <c r="Z50" s="185">
        <f t="array" ref="Z50">SUM(IF({R50,T50,V50}="Mining",{Q50*M50,S50*N50,U50*O50},0))+(P50*0.4*$AC$2)</f>
        <v>0.2304</v>
      </c>
      <c r="AA50" s="185">
        <f t="shared" ref="AA50:AB50" si="158">Y50*$L50</f>
        <v>0</v>
      </c>
      <c r="AB50" s="509">
        <f t="shared" si="158"/>
        <v>0</v>
      </c>
      <c r="AC50" s="510" t="str">
        <f t="shared" ref="AC50:AD50" si="159">IF(Y50&gt;0,TEXT(Y50*$L50,"#,##0.0#")&amp;" "&amp;W50&amp;" XP","")</f>
        <v>0.0 Foraging XP</v>
      </c>
      <c r="AD50" s="511" t="str">
        <f t="shared" si="159"/>
        <v>0.0 Mining XP</v>
      </c>
      <c r="AE50" s="510" t="str">
        <f t="shared" ref="AE50:AF50" si="160">IF(Y50&gt;0,TEXT(Y50*$L50*24,"#,##0.0#")&amp;" "&amp;W50&amp;" XP","")</f>
        <v>0.0 Foraging XP</v>
      </c>
      <c r="AF50" s="511" t="str">
        <f t="shared" si="160"/>
        <v>0.0 Mining XP</v>
      </c>
      <c r="AH50" s="503"/>
      <c r="AI50" s="108" t="s">
        <v>79</v>
      </c>
      <c r="AJ50" s="512">
        <v>0.0</v>
      </c>
    </row>
    <row r="51">
      <c r="B51" s="25" t="str">
        <f>'Minion Checker'!D54</f>
        <v/>
      </c>
      <c r="C51" s="37" t="str">
        <f>'Minion Checker'!E54</f>
        <v>Spruce</v>
      </c>
      <c r="D51" s="37" t="str">
        <f>'Minion Sales'!D50</f>
        <v>Spruce Wood</v>
      </c>
      <c r="E51" s="192">
        <f>IFERROR(ROMAN('Minion Checker'!H54),0)</f>
        <v>0</v>
      </c>
      <c r="F51" s="118">
        <f t="shared" si="4"/>
        <v>0</v>
      </c>
      <c r="G51" s="193">
        <v>1.0</v>
      </c>
      <c r="H51" s="194">
        <v>0.25</v>
      </c>
      <c r="I51" s="208" t="b">
        <v>1</v>
      </c>
      <c r="J51" s="196" t="str">
        <f>IF(AND(F51&lt;=11,F51&gt;0),OFFSET('Minion Tiers'!$S$223,F51,0),"")</f>
        <v/>
      </c>
      <c r="K51" s="197" t="str">
        <f t="shared" si="5"/>
        <v>N/A</v>
      </c>
      <c r="L51" s="200">
        <f t="shared" si="6"/>
        <v>0</v>
      </c>
      <c r="M51" s="513">
        <v>4.0</v>
      </c>
      <c r="N51" s="122"/>
      <c r="O51" s="122"/>
      <c r="P51" s="514">
        <f t="shared" si="7"/>
        <v>0.4</v>
      </c>
      <c r="Q51" s="515">
        <f t="shared" si="151"/>
        <v>0.144</v>
      </c>
      <c r="R51" s="516" t="str">
        <f t="shared" si="8"/>
        <v>Foraging</v>
      </c>
      <c r="S51" s="517"/>
      <c r="T51" s="516" t="str">
        <f t="shared" si="110"/>
        <v>Foraging</v>
      </c>
      <c r="U51" s="518"/>
      <c r="V51" s="516" t="str">
        <f t="shared" si="126"/>
        <v>Foraging</v>
      </c>
      <c r="W51" s="513" t="s">
        <v>550</v>
      </c>
      <c r="X51" s="514" t="s">
        <v>547</v>
      </c>
      <c r="Y51" s="216">
        <f t="array" ref="Y51">SUM(IF({R51,T51,V51}&lt;&gt;"Mining",{Q51*M51,S51*N51,U51*O51},0))</f>
        <v>0.576</v>
      </c>
      <c r="Z51" s="198">
        <f t="array" ref="Z51">SUM(IF({R51,T51,V51}="Mining",{Q51*M51,S51*N51,U51*O51},0))+(P51*0.4*$AC$2)</f>
        <v>0.2304</v>
      </c>
      <c r="AA51" s="198">
        <f t="shared" ref="AA51:AB51" si="161">Y51*$L51</f>
        <v>0</v>
      </c>
      <c r="AB51" s="519">
        <f t="shared" si="161"/>
        <v>0</v>
      </c>
      <c r="AC51" s="520" t="str">
        <f t="shared" ref="AC51:AD51" si="162">IF(Y51&gt;0,TEXT(Y51*$L51,"#,##0.0#")&amp;" "&amp;W51&amp;" XP","")</f>
        <v>0.0 Foraging XP</v>
      </c>
      <c r="AD51" s="521" t="str">
        <f t="shared" si="162"/>
        <v>0.0 Mining XP</v>
      </c>
      <c r="AE51" s="520" t="str">
        <f t="shared" ref="AE51:AF51" si="163">IF(Y51&gt;0,TEXT(Y51*$L51*24,"#,##0.0#")&amp;" "&amp;W51&amp;" XP","")</f>
        <v>0.0 Foraging XP</v>
      </c>
      <c r="AF51" s="521" t="str">
        <f t="shared" si="163"/>
        <v>0.0 Mining XP</v>
      </c>
      <c r="AH51" s="513"/>
      <c r="AI51" s="122" t="s">
        <v>80</v>
      </c>
      <c r="AJ51" s="522">
        <v>0.0</v>
      </c>
    </row>
    <row r="52">
      <c r="B52" s="27" t="str">
        <f>'Minion Checker'!D55</f>
        <v/>
      </c>
      <c r="C52" s="34" t="str">
        <f>'Minion Checker'!E55</f>
        <v>Birch</v>
      </c>
      <c r="D52" s="34" t="str">
        <f>'Minion Sales'!D51</f>
        <v>Birch Wood</v>
      </c>
      <c r="E52" s="180">
        <f>IFERROR(ROMAN('Minion Checker'!H55),0)</f>
        <v>0</v>
      </c>
      <c r="F52" s="104">
        <f t="shared" si="4"/>
        <v>0</v>
      </c>
      <c r="G52" s="205">
        <v>1.0</v>
      </c>
      <c r="H52" s="181">
        <v>0.25</v>
      </c>
      <c r="I52" s="206" t="b">
        <v>1</v>
      </c>
      <c r="J52" s="207" t="str">
        <f>IF(AND(F52&lt;=11,F52&gt;0),OFFSET('Minion Tiers'!$S$236,F52,0),"")</f>
        <v/>
      </c>
      <c r="K52" s="184" t="str">
        <f t="shared" si="5"/>
        <v>N/A</v>
      </c>
      <c r="L52" s="187">
        <f t="shared" si="6"/>
        <v>0</v>
      </c>
      <c r="M52" s="503">
        <v>4.0</v>
      </c>
      <c r="N52" s="108"/>
      <c r="O52" s="108"/>
      <c r="P52" s="416">
        <f t="shared" si="7"/>
        <v>0.4</v>
      </c>
      <c r="Q52" s="504">
        <f t="shared" si="151"/>
        <v>0.144</v>
      </c>
      <c r="R52" s="505" t="str">
        <f t="shared" si="8"/>
        <v>Foraging</v>
      </c>
      <c r="S52" s="506"/>
      <c r="T52" s="505" t="str">
        <f t="shared" si="110"/>
        <v>Foraging</v>
      </c>
      <c r="U52" s="507"/>
      <c r="V52" s="505" t="str">
        <f t="shared" si="126"/>
        <v>Foraging</v>
      </c>
      <c r="W52" s="503" t="s">
        <v>550</v>
      </c>
      <c r="X52" s="416" t="s">
        <v>547</v>
      </c>
      <c r="Y52" s="508">
        <f t="array" ref="Y52">SUM(IF({R52,T52,V52}&lt;&gt;"Mining",{Q52*M52,S52*N52,U52*O52},0))</f>
        <v>0.576</v>
      </c>
      <c r="Z52" s="185">
        <f t="array" ref="Z52">SUM(IF({R52,T52,V52}="Mining",{Q52*M52,S52*N52,U52*O52},0))+(P52*0.4*$AC$2)</f>
        <v>0.2304</v>
      </c>
      <c r="AA52" s="185">
        <f t="shared" ref="AA52:AB52" si="164">Y52*$L52</f>
        <v>0</v>
      </c>
      <c r="AB52" s="509">
        <f t="shared" si="164"/>
        <v>0</v>
      </c>
      <c r="AC52" s="510" t="str">
        <f t="shared" ref="AC52:AD52" si="165">IF(Y52&gt;0,TEXT(Y52*$L52,"#,##0.0#")&amp;" "&amp;W52&amp;" XP","")</f>
        <v>0.0 Foraging XP</v>
      </c>
      <c r="AD52" s="511" t="str">
        <f t="shared" si="165"/>
        <v>0.0 Mining XP</v>
      </c>
      <c r="AE52" s="510" t="str">
        <f t="shared" ref="AE52:AF52" si="166">IF(Y52&gt;0,TEXT(Y52*$L52*24,"#,##0.0#")&amp;" "&amp;W52&amp;" XP","")</f>
        <v>0.0 Foraging XP</v>
      </c>
      <c r="AF52" s="511" t="str">
        <f t="shared" si="166"/>
        <v>0.0 Mining XP</v>
      </c>
      <c r="AH52" s="503"/>
      <c r="AI52" s="108" t="s">
        <v>81</v>
      </c>
      <c r="AJ52" s="512">
        <v>0.0</v>
      </c>
    </row>
    <row r="53">
      <c r="B53" s="25" t="str">
        <f>'Minion Checker'!D56</f>
        <v/>
      </c>
      <c r="C53" s="37" t="str">
        <f>'Minion Checker'!E56</f>
        <v>Dark Oak</v>
      </c>
      <c r="D53" s="37" t="str">
        <f>'Minion Sales'!D52</f>
        <v>Dark Oak Wood</v>
      </c>
      <c r="E53" s="192">
        <f>IFERROR(ROMAN('Minion Checker'!H56),0)</f>
        <v>0</v>
      </c>
      <c r="F53" s="118">
        <f t="shared" si="4"/>
        <v>0</v>
      </c>
      <c r="G53" s="193">
        <v>1.0</v>
      </c>
      <c r="H53" s="194">
        <v>0.25</v>
      </c>
      <c r="I53" s="208" t="b">
        <v>1</v>
      </c>
      <c r="J53" s="196" t="str">
        <f>IF(AND(F53&lt;=11,F53&gt;0),OFFSET('Minion Tiers'!$S$249,F53,0),"")</f>
        <v/>
      </c>
      <c r="K53" s="197" t="str">
        <f t="shared" si="5"/>
        <v>N/A</v>
      </c>
      <c r="L53" s="200">
        <f t="shared" si="6"/>
        <v>0</v>
      </c>
      <c r="M53" s="513">
        <v>4.0</v>
      </c>
      <c r="N53" s="122"/>
      <c r="O53" s="122"/>
      <c r="P53" s="514">
        <f t="shared" si="7"/>
        <v>0.4</v>
      </c>
      <c r="Q53" s="515">
        <f t="shared" si="151"/>
        <v>0.144</v>
      </c>
      <c r="R53" s="516" t="str">
        <f t="shared" si="8"/>
        <v>Foraging</v>
      </c>
      <c r="S53" s="517"/>
      <c r="T53" s="516" t="str">
        <f t="shared" si="110"/>
        <v>Foraging</v>
      </c>
      <c r="U53" s="518"/>
      <c r="V53" s="516" t="str">
        <f t="shared" si="126"/>
        <v>Foraging</v>
      </c>
      <c r="W53" s="513" t="s">
        <v>550</v>
      </c>
      <c r="X53" s="514" t="s">
        <v>547</v>
      </c>
      <c r="Y53" s="216">
        <f t="array" ref="Y53">SUM(IF({R53,T53,V53}&lt;&gt;"Mining",{Q53*M53,S53*N53,U53*O53},0))</f>
        <v>0.576</v>
      </c>
      <c r="Z53" s="198">
        <f t="array" ref="Z53">SUM(IF({R53,T53,V53}="Mining",{Q53*M53,S53*N53,U53*O53},0))+(P53*0.4*$AC$2)</f>
        <v>0.2304</v>
      </c>
      <c r="AA53" s="198">
        <f t="shared" ref="AA53:AB53" si="167">Y53*$L53</f>
        <v>0</v>
      </c>
      <c r="AB53" s="519">
        <f t="shared" si="167"/>
        <v>0</v>
      </c>
      <c r="AC53" s="520" t="str">
        <f t="shared" ref="AC53:AD53" si="168">IF(Y53&gt;0,TEXT(Y53*$L53,"#,##0.0#")&amp;" "&amp;W53&amp;" XP","")</f>
        <v>0.0 Foraging XP</v>
      </c>
      <c r="AD53" s="521" t="str">
        <f t="shared" si="168"/>
        <v>0.0 Mining XP</v>
      </c>
      <c r="AE53" s="520" t="str">
        <f t="shared" ref="AE53:AF53" si="169">IF(Y53&gt;0,TEXT(Y53*$L53*24,"#,##0.0#")&amp;" "&amp;W53&amp;" XP","")</f>
        <v>0.0 Foraging XP</v>
      </c>
      <c r="AF53" s="521" t="str">
        <f t="shared" si="169"/>
        <v>0.0 Mining XP</v>
      </c>
      <c r="AH53" s="513"/>
      <c r="AI53" s="122" t="s">
        <v>82</v>
      </c>
      <c r="AJ53" s="522">
        <v>0.0</v>
      </c>
    </row>
    <row r="54">
      <c r="B54" s="27" t="str">
        <f>'Minion Checker'!D57</f>
        <v/>
      </c>
      <c r="C54" s="34" t="str">
        <f>'Minion Checker'!E57</f>
        <v>Acacia</v>
      </c>
      <c r="D54" s="34" t="str">
        <f>'Minion Sales'!D53</f>
        <v>Acacia Wood</v>
      </c>
      <c r="E54" s="180">
        <f>IFERROR(ROMAN('Minion Checker'!H57),0)</f>
        <v>0</v>
      </c>
      <c r="F54" s="104">
        <f t="shared" si="4"/>
        <v>0</v>
      </c>
      <c r="G54" s="205">
        <v>1.0</v>
      </c>
      <c r="H54" s="181">
        <v>0.25</v>
      </c>
      <c r="I54" s="206" t="b">
        <v>1</v>
      </c>
      <c r="J54" s="207" t="str">
        <f>IF(AND(F54&lt;=11,F54&gt;0),OFFSET('Minion Tiers'!$S$262,F54,0),"")</f>
        <v/>
      </c>
      <c r="K54" s="184" t="str">
        <f t="shared" si="5"/>
        <v>N/A</v>
      </c>
      <c r="L54" s="187">
        <f t="shared" si="6"/>
        <v>0</v>
      </c>
      <c r="M54" s="503">
        <v>4.0</v>
      </c>
      <c r="N54" s="108"/>
      <c r="O54" s="108"/>
      <c r="P54" s="416">
        <f t="shared" si="7"/>
        <v>0.4</v>
      </c>
      <c r="Q54" s="504">
        <f t="shared" si="151"/>
        <v>0.144</v>
      </c>
      <c r="R54" s="505" t="str">
        <f t="shared" si="8"/>
        <v>Foraging</v>
      </c>
      <c r="S54" s="506"/>
      <c r="T54" s="505" t="str">
        <f t="shared" si="110"/>
        <v>Foraging</v>
      </c>
      <c r="U54" s="507"/>
      <c r="V54" s="505" t="str">
        <f t="shared" si="126"/>
        <v>Foraging</v>
      </c>
      <c r="W54" s="503" t="s">
        <v>550</v>
      </c>
      <c r="X54" s="416" t="s">
        <v>547</v>
      </c>
      <c r="Y54" s="508">
        <f t="array" ref="Y54">SUM(IF({R54,T54,V54}&lt;&gt;"Mining",{Q54*M54,S54*N54,U54*O54},0))</f>
        <v>0.576</v>
      </c>
      <c r="Z54" s="185">
        <f t="array" ref="Z54">SUM(IF({R54,T54,V54}="Mining",{Q54*M54,S54*N54,U54*O54},0))+(P54*0.4*$AC$2)</f>
        <v>0.2304</v>
      </c>
      <c r="AA54" s="185">
        <f t="shared" ref="AA54:AB54" si="170">Y54*$L54</f>
        <v>0</v>
      </c>
      <c r="AB54" s="509">
        <f t="shared" si="170"/>
        <v>0</v>
      </c>
      <c r="AC54" s="510" t="str">
        <f t="shared" ref="AC54:AD54" si="171">IF(Y54&gt;0,TEXT(Y54*$L54,"#,##0.0#")&amp;" "&amp;W54&amp;" XP","")</f>
        <v>0.0 Foraging XP</v>
      </c>
      <c r="AD54" s="511" t="str">
        <f t="shared" si="171"/>
        <v>0.0 Mining XP</v>
      </c>
      <c r="AE54" s="510" t="str">
        <f t="shared" ref="AE54:AF54" si="172">IF(Y54&gt;0,TEXT(Y54*$L54*24,"#,##0.0#")&amp;" "&amp;W54&amp;" XP","")</f>
        <v>0.0 Foraging XP</v>
      </c>
      <c r="AF54" s="511" t="str">
        <f t="shared" si="172"/>
        <v>0.0 Mining XP</v>
      </c>
      <c r="AH54" s="503"/>
      <c r="AI54" s="108" t="s">
        <v>84</v>
      </c>
      <c r="AJ54" s="512">
        <v>0.0</v>
      </c>
    </row>
    <row r="55">
      <c r="B55" s="43" t="str">
        <f>'Minion Checker'!D58</f>
        <v/>
      </c>
      <c r="C55" s="44" t="str">
        <f>'Minion Checker'!E58</f>
        <v>Jungle</v>
      </c>
      <c r="D55" s="44" t="str">
        <f>'Minion Sales'!D54</f>
        <v>Jungle Wood</v>
      </c>
      <c r="E55" s="192">
        <f>IFERROR(ROMAN('Minion Checker'!H58),0)</f>
        <v>0</v>
      </c>
      <c r="F55" s="118">
        <f t="shared" si="4"/>
        <v>0</v>
      </c>
      <c r="G55" s="193">
        <v>1.0</v>
      </c>
      <c r="H55" s="194">
        <v>0.25</v>
      </c>
      <c r="I55" s="208" t="b">
        <v>1</v>
      </c>
      <c r="J55" s="220" t="str">
        <f>IF(AND(F55&lt;=11,F55&gt;0),OFFSET('Minion Tiers'!$S$275,F55,0),"")</f>
        <v/>
      </c>
      <c r="K55" s="221" t="str">
        <f t="shared" si="5"/>
        <v>N/A</v>
      </c>
      <c r="L55" s="225">
        <f t="shared" si="6"/>
        <v>0</v>
      </c>
      <c r="M55" s="527">
        <v>4.0</v>
      </c>
      <c r="N55" s="222"/>
      <c r="O55" s="222"/>
      <c r="P55" s="528">
        <f t="shared" si="7"/>
        <v>0.4</v>
      </c>
      <c r="Q55" s="529">
        <f t="shared" si="151"/>
        <v>0.144</v>
      </c>
      <c r="R55" s="530" t="str">
        <f t="shared" si="8"/>
        <v>Foraging</v>
      </c>
      <c r="S55" s="531"/>
      <c r="T55" s="530" t="str">
        <f t="shared" si="110"/>
        <v>Foraging</v>
      </c>
      <c r="U55" s="532"/>
      <c r="V55" s="530" t="str">
        <f t="shared" si="126"/>
        <v>Foraging</v>
      </c>
      <c r="W55" s="527" t="s">
        <v>550</v>
      </c>
      <c r="X55" s="528" t="s">
        <v>547</v>
      </c>
      <c r="Y55" s="533">
        <f t="array" ref="Y55">SUM(IF({R55,T55,V55}&lt;&gt;"Mining",{Q55*M55,S55*N55,U55*O55},0))</f>
        <v>0.576</v>
      </c>
      <c r="Z55" s="223">
        <f t="array" ref="Z55">SUM(IF({R55,T55,V55}="Mining",{Q55*M55,S55*N55,U55*O55},0))+(P55*0.4*$AC$2)</f>
        <v>0.2304</v>
      </c>
      <c r="AA55" s="223">
        <f t="shared" ref="AA55:AB55" si="173">Y55*$L55</f>
        <v>0</v>
      </c>
      <c r="AB55" s="534">
        <f t="shared" si="173"/>
        <v>0</v>
      </c>
      <c r="AC55" s="535" t="str">
        <f t="shared" ref="AC55:AD55" si="174">IF(Y55&gt;0,TEXT(Y55*$L55,"#,##0.0#")&amp;" "&amp;W55&amp;" XP","")</f>
        <v>0.0 Foraging XP</v>
      </c>
      <c r="AD55" s="536" t="str">
        <f t="shared" si="174"/>
        <v>0.0 Mining XP</v>
      </c>
      <c r="AE55" s="535" t="str">
        <f t="shared" ref="AE55:AF55" si="175">IF(Y55&gt;0,TEXT(Y55*$L55*24,"#,##0.0#")&amp;" "&amp;W55&amp;" XP","")</f>
        <v>0.0 Foraging XP</v>
      </c>
      <c r="AF55" s="536" t="str">
        <f t="shared" si="175"/>
        <v>0.0 Mining XP</v>
      </c>
      <c r="AH55" s="527"/>
      <c r="AI55" s="222" t="s">
        <v>85</v>
      </c>
      <c r="AJ55" s="537">
        <v>0.0</v>
      </c>
    </row>
    <row r="56">
      <c r="B56" s="27" t="str">
        <f>'Minion Checker'!D59</f>
        <v/>
      </c>
      <c r="C56" s="34" t="str">
        <f>'Minion Checker'!E59</f>
        <v>Mithril</v>
      </c>
      <c r="D56" s="34" t="str">
        <f>'Minion Sales'!D55</f>
        <v>Mithril</v>
      </c>
      <c r="E56" s="180">
        <f>IFERROR(ROMAN('Minion Checker'!H59),0)</f>
        <v>0</v>
      </c>
      <c r="F56" s="104">
        <f t="shared" si="4"/>
        <v>0</v>
      </c>
      <c r="G56" s="205">
        <v>1.0</v>
      </c>
      <c r="H56" s="181">
        <v>0.25</v>
      </c>
      <c r="I56" s="206" t="b">
        <v>1</v>
      </c>
      <c r="J56" s="207" t="str">
        <f>IF(AND(F56&lt;=11,F56&gt;0),OFFSET('Minion Tiers'!$S$288,F56,0),"")</f>
        <v/>
      </c>
      <c r="K56" s="184" t="str">
        <f t="shared" si="5"/>
        <v>N/A</v>
      </c>
      <c r="L56" s="187">
        <f t="shared" si="6"/>
        <v>0</v>
      </c>
      <c r="M56" s="503">
        <v>2.0</v>
      </c>
      <c r="N56" s="108"/>
      <c r="O56" s="108"/>
      <c r="P56" s="416">
        <f t="shared" si="7"/>
        <v>0.2</v>
      </c>
      <c r="Q56" s="504">
        <f>0.4*$AC$2</f>
        <v>0.576</v>
      </c>
      <c r="R56" s="505" t="str">
        <f t="shared" si="8"/>
        <v>Mining</v>
      </c>
      <c r="S56" s="506"/>
      <c r="T56" s="505" t="str">
        <f t="shared" si="110"/>
        <v>Mining</v>
      </c>
      <c r="U56" s="507"/>
      <c r="V56" s="505" t="str">
        <f t="shared" si="126"/>
        <v>Mining</v>
      </c>
      <c r="W56" s="503" t="s">
        <v>547</v>
      </c>
      <c r="X56" s="416" t="s">
        <v>547</v>
      </c>
      <c r="Y56" s="508">
        <f t="array" ref="Y56">SUM(IF({R56,T56,V56}&lt;&gt;"Mining",{Q56*M56,S56*N56,U56*O56},0))</f>
        <v>0</v>
      </c>
      <c r="Z56" s="185">
        <f t="array" ref="Z56">SUM(IF({R56,T56,V56}="Mining",{Q56*M56,S56*N56,U56*O56},0))+(P56*0.4*$AC$2)</f>
        <v>1.2672</v>
      </c>
      <c r="AA56" s="185">
        <f t="shared" ref="AA56:AB56" si="176">Y56*$L56</f>
        <v>0</v>
      </c>
      <c r="AB56" s="509">
        <f t="shared" si="176"/>
        <v>0</v>
      </c>
      <c r="AC56" s="510" t="str">
        <f t="shared" ref="AC56:AD56" si="177">IF(Y56&gt;0,TEXT(Y56*$L56,"#,##0.0#")&amp;" "&amp;W56&amp;" XP","")</f>
        <v/>
      </c>
      <c r="AD56" s="511" t="str">
        <f t="shared" si="177"/>
        <v>0.0 Mining XP</v>
      </c>
      <c r="AE56" s="510" t="str">
        <f t="shared" ref="AE56:AF56" si="178">IF(Y56&gt;0,TEXT(Y56*$L56*24,"#,##0.0#")&amp;" "&amp;W56&amp;" XP","")</f>
        <v/>
      </c>
      <c r="AF56" s="511" t="str">
        <f t="shared" si="178"/>
        <v>0.0 Mining XP</v>
      </c>
      <c r="AH56" s="538"/>
      <c r="AI56" s="539" t="s">
        <v>86</v>
      </c>
      <c r="AJ56" s="540">
        <v>0.0</v>
      </c>
    </row>
    <row r="57">
      <c r="B57" s="541"/>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H57" s="542"/>
    </row>
  </sheetData>
  <mergeCells count="18">
    <mergeCell ref="Y2:Z2"/>
    <mergeCell ref="AD2:AF2"/>
    <mergeCell ref="B3:C3"/>
    <mergeCell ref="W3:X3"/>
    <mergeCell ref="Y3:Z3"/>
    <mergeCell ref="AA3:AB3"/>
    <mergeCell ref="AC3:AD3"/>
    <mergeCell ref="AE3:AF3"/>
    <mergeCell ref="I2:K2"/>
    <mergeCell ref="B57:AF57"/>
    <mergeCell ref="A1:A57"/>
    <mergeCell ref="B1:AF1"/>
    <mergeCell ref="AG1:AG57"/>
    <mergeCell ref="AH1:AJ2"/>
    <mergeCell ref="AK1:AK57"/>
    <mergeCell ref="B2:D2"/>
    <mergeCell ref="AH3:AI3"/>
    <mergeCell ref="AH57:AJ57"/>
  </mergeCells>
  <dataValidations>
    <dataValidation type="list" allowBlank="1" showErrorMessage="1" sqref="AJ3">
      <formula1>"Farming,Mining,Combat,Foraging,Fishing,Alchemy"</formula1>
    </dataValidation>
    <dataValidation type="list" allowBlank="1" sqref="E4:E56">
      <formula1>"∅,I,II,III,IV,V,VI,VII,VIII,IX,X,XI,XII"</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83F04"/>
    <outlinePr summaryBelow="0" summaryRight="0"/>
  </sheetPr>
  <sheetViews>
    <sheetView workbookViewId="0"/>
  </sheetViews>
  <sheetFormatPr customHeight="1" defaultColWidth="12.63" defaultRowHeight="15.75"/>
  <cols>
    <col customWidth="1" min="1" max="1" width="18.88"/>
    <col customWidth="1" min="2" max="2" width="3.25"/>
    <col customWidth="1" min="3" max="3" width="12.63"/>
    <col customWidth="1" min="4" max="4" width="13.88"/>
    <col customWidth="1" hidden="1" min="5" max="5" width="15.75"/>
    <col customWidth="1" min="6" max="6" width="10.75"/>
    <col customWidth="1" min="7" max="7" width="9.5"/>
    <col customWidth="1" hidden="1" min="8" max="8" width="10.75"/>
    <col customWidth="1" min="9" max="11" width="10.13"/>
    <col customWidth="1" min="12" max="12" width="10.75"/>
    <col customWidth="1" hidden="1" min="13" max="13" width="10.75"/>
    <col customWidth="1" min="14" max="14" width="10.75"/>
    <col customWidth="1" hidden="1" min="15" max="15" width="10.75"/>
    <col customWidth="1" min="17" max="17" width="21.38"/>
    <col customWidth="1" min="18" max="18" width="18.88"/>
  </cols>
  <sheetData>
    <row r="1">
      <c r="A1" s="80"/>
      <c r="B1" s="40"/>
      <c r="Q1" s="40"/>
      <c r="R1" s="40"/>
    </row>
    <row r="2">
      <c r="B2" s="99" t="s">
        <v>101</v>
      </c>
      <c r="C2" s="17"/>
      <c r="D2" s="178" t="str">
        <f>'Minion Checker'!F6</f>
        <v>Now Using API Values</v>
      </c>
      <c r="E2" s="18" t="s">
        <v>103</v>
      </c>
      <c r="F2" s="18" t="s">
        <v>102</v>
      </c>
      <c r="G2" s="18" t="s">
        <v>552</v>
      </c>
      <c r="H2" s="18" t="s">
        <v>553</v>
      </c>
      <c r="I2" s="18" t="s">
        <v>554</v>
      </c>
      <c r="J2" s="543" t="s">
        <v>124</v>
      </c>
      <c r="K2" s="18" t="s">
        <v>125</v>
      </c>
      <c r="L2" s="18" t="s">
        <v>126</v>
      </c>
      <c r="M2" s="18" t="s">
        <v>555</v>
      </c>
      <c r="N2" s="544" t="s">
        <v>556</v>
      </c>
      <c r="O2" s="18" t="s">
        <v>449</v>
      </c>
      <c r="P2" s="18" t="s">
        <v>557</v>
      </c>
      <c r="Q2" s="19" t="s">
        <v>558</v>
      </c>
    </row>
    <row r="3">
      <c r="B3" s="27" t="str">
        <f>'Minion Checker'!D7</f>
        <v/>
      </c>
      <c r="C3" s="34" t="str">
        <f>'Minion Checker'!E7</f>
        <v>Cobblestone</v>
      </c>
      <c r="D3" s="180">
        <f>IFERROR(ROMAN('Minion Checker'!H7),0)</f>
        <v>0</v>
      </c>
      <c r="E3" s="104">
        <f t="shared" ref="E3:E55" si="1">IF(ISNUMBER(D3),D3,IFERROR(ARABIC(D3),0))</f>
        <v>0</v>
      </c>
      <c r="F3" s="181">
        <v>0.25</v>
      </c>
      <c r="G3" s="545" t="s">
        <v>559</v>
      </c>
      <c r="H3" s="546">
        <f t="shared" ref="H3:H9" si="2">IFS(G3="Small",3*64,G3="Medium",9*64,G3="Large",15*64,1=1,0)</f>
        <v>576</v>
      </c>
      <c r="I3" s="547"/>
      <c r="J3" s="548" t="b">
        <v>0</v>
      </c>
      <c r="K3" s="549" t="str">
        <f>IF(AND(E3&lt;=11,E3&gt;0),OFFSET('Minion Tiers'!$I$2,E3,0),"")</f>
        <v/>
      </c>
      <c r="L3" s="465">
        <f t="shared" ref="L3:L55" si="3">IFERROR(K3/(1+F3),"N/A")</f>
        <v>0</v>
      </c>
      <c r="M3" s="187">
        <f t="shared" ref="M3:M9" si="4">IFS(
E3&gt;=10,960,
E3&gt;=8,768,
E3&gt;=6,576,
E3&gt;=4,384,
E3&gt;=2,192,
1=1,64
)</f>
        <v>64</v>
      </c>
      <c r="N3" s="550">
        <f t="shared" ref="N3:N4" si="5">MAX(0,M3+H3)</f>
        <v>640</v>
      </c>
      <c r="O3" s="108">
        <f>'Minion Sales'!L3+'Minion Sales'!M3+'Minion Sales'!N3</f>
        <v>1</v>
      </c>
      <c r="P3" s="551">
        <f t="shared" ref="P3:P30" si="6">N3*L3*2/O3/3600</f>
        <v>0</v>
      </c>
      <c r="Q3" s="552">
        <f t="shared" ref="Q3:Q4" si="7">MAX(0,(M3+H3-159-159*J3-IF(H3&gt;0,159+IF(J3,159,0),0))*160*L3*2/O3/3600/24)</f>
        <v>0</v>
      </c>
    </row>
    <row r="4">
      <c r="B4" s="25" t="str">
        <f>'Minion Checker'!D8</f>
        <v/>
      </c>
      <c r="C4" s="37" t="str">
        <f>'Minion Checker'!E8</f>
        <v>Obsidian</v>
      </c>
      <c r="D4" s="192">
        <f>IFERROR(ROMAN('Minion Checker'!H8),0)</f>
        <v>0</v>
      </c>
      <c r="E4" s="118">
        <f t="shared" si="1"/>
        <v>0</v>
      </c>
      <c r="F4" s="194">
        <v>0.25</v>
      </c>
      <c r="G4" s="553" t="s">
        <v>559</v>
      </c>
      <c r="H4" s="554">
        <f t="shared" si="2"/>
        <v>576</v>
      </c>
      <c r="I4" s="555"/>
      <c r="J4" s="556" t="b">
        <v>0</v>
      </c>
      <c r="K4" s="557" t="str">
        <f>IF(AND(E4&lt;=11,E4&gt;0),OFFSET('Minion Tiers'!$I$15,E4,0),"")</f>
        <v/>
      </c>
      <c r="L4" s="469">
        <f t="shared" si="3"/>
        <v>0</v>
      </c>
      <c r="M4" s="200">
        <f t="shared" si="4"/>
        <v>64</v>
      </c>
      <c r="N4" s="558">
        <f t="shared" si="5"/>
        <v>640</v>
      </c>
      <c r="O4" s="122">
        <f>'Minion Sales'!L4+'Minion Sales'!M4+'Minion Sales'!N4</f>
        <v>1</v>
      </c>
      <c r="P4" s="559">
        <f t="shared" si="6"/>
        <v>0</v>
      </c>
      <c r="Q4" s="560">
        <f t="shared" si="7"/>
        <v>0</v>
      </c>
    </row>
    <row r="5">
      <c r="B5" s="27" t="str">
        <f>'Minion Checker'!D9</f>
        <v/>
      </c>
      <c r="C5" s="34" t="str">
        <f>'Minion Checker'!E9</f>
        <v>Glowstone</v>
      </c>
      <c r="D5" s="180">
        <f>IFERROR(ROMAN('Minion Checker'!H9),0)</f>
        <v>0</v>
      </c>
      <c r="E5" s="104">
        <f t="shared" si="1"/>
        <v>0</v>
      </c>
      <c r="F5" s="181">
        <v>0.25</v>
      </c>
      <c r="G5" s="545" t="s">
        <v>559</v>
      </c>
      <c r="H5" s="546">
        <f t="shared" si="2"/>
        <v>576</v>
      </c>
      <c r="I5" s="547" t="b">
        <v>0</v>
      </c>
      <c r="J5" s="548" t="b">
        <v>0</v>
      </c>
      <c r="K5" s="561" t="str">
        <f>IF(AND(E5&lt;=11,E5&gt;0),OFFSET('Minion Tiers'!$I$28,E5,0),"")</f>
        <v/>
      </c>
      <c r="L5" s="465">
        <f t="shared" si="3"/>
        <v>0</v>
      </c>
      <c r="M5" s="187">
        <f t="shared" si="4"/>
        <v>64</v>
      </c>
      <c r="N5" s="562">
        <f>MAX(0,(M5+H5-63*I5-63*J5-IF(H5&gt;0,IF(I5,63,0)+IF(J5,63),0))*IF(I5,4,1))</f>
        <v>640</v>
      </c>
      <c r="O5" s="108">
        <f>'Minion Sales'!L5+'Minion Sales'!M5+'Minion Sales'!N5</f>
        <v>3</v>
      </c>
      <c r="P5" s="551">
        <f t="shared" si="6"/>
        <v>0</v>
      </c>
      <c r="Q5" s="552">
        <f>MAX(0,(M5+H5-191-159*J5-IF(H5&gt;0,191+IF(J5,159,0),0))*160*L5*2/O5/3600/24)</f>
        <v>0</v>
      </c>
    </row>
    <row r="6">
      <c r="B6" s="25" t="str">
        <f>'Minion Checker'!D10</f>
        <v/>
      </c>
      <c r="C6" s="37" t="str">
        <f>'Minion Checker'!E10</f>
        <v>Gravel</v>
      </c>
      <c r="D6" s="192">
        <f>IFERROR(ROMAN('Minion Checker'!H10),0)</f>
        <v>0</v>
      </c>
      <c r="E6" s="118">
        <f t="shared" si="1"/>
        <v>0</v>
      </c>
      <c r="F6" s="194">
        <v>0.25</v>
      </c>
      <c r="G6" s="553" t="s">
        <v>559</v>
      </c>
      <c r="H6" s="554">
        <f t="shared" si="2"/>
        <v>576</v>
      </c>
      <c r="I6" s="555"/>
      <c r="J6" s="556" t="b">
        <v>0</v>
      </c>
      <c r="K6" s="557" t="str">
        <f>IF(AND(E6&lt;=11,E6&gt;0),OFFSET('Minion Tiers'!$I$41,E6,0),"")</f>
        <v/>
      </c>
      <c r="L6" s="469">
        <f t="shared" si="3"/>
        <v>0</v>
      </c>
      <c r="M6" s="200">
        <f t="shared" si="4"/>
        <v>64</v>
      </c>
      <c r="N6" s="558">
        <f t="shared" ref="N6:N7" si="8">MAX(0,M6+H6)</f>
        <v>640</v>
      </c>
      <c r="O6" s="122">
        <f>'Minion Sales'!L6+'Minion Sales'!M6+'Minion Sales'!N6</f>
        <v>1</v>
      </c>
      <c r="P6" s="559">
        <f t="shared" si="6"/>
        <v>0</v>
      </c>
      <c r="Q6" s="560">
        <f t="shared" ref="Q6:Q9" si="9">MAX(0,(M6+H6-159-159*J6-IF(H6&gt;0,159+IF(J6,159,0),0))*160*L6*2/O6/3600/24)</f>
        <v>0</v>
      </c>
    </row>
    <row r="7">
      <c r="B7" s="27" t="str">
        <f>'Minion Checker'!D11</f>
        <v/>
      </c>
      <c r="C7" s="34" t="str">
        <f>'Minion Checker'!E11</f>
        <v>Sand</v>
      </c>
      <c r="D7" s="180">
        <f>IFERROR(ROMAN('Minion Checker'!H11),0)</f>
        <v>0</v>
      </c>
      <c r="E7" s="104">
        <f t="shared" si="1"/>
        <v>0</v>
      </c>
      <c r="F7" s="181">
        <v>0.25</v>
      </c>
      <c r="G7" s="545" t="s">
        <v>559</v>
      </c>
      <c r="H7" s="546">
        <f t="shared" si="2"/>
        <v>576</v>
      </c>
      <c r="I7" s="547"/>
      <c r="J7" s="548" t="b">
        <v>0</v>
      </c>
      <c r="K7" s="561" t="str">
        <f>IF(AND(E7&lt;=11,E7&gt;0),OFFSET('Minion Tiers'!$I$54,E7,0),"")</f>
        <v/>
      </c>
      <c r="L7" s="465">
        <f t="shared" si="3"/>
        <v>0</v>
      </c>
      <c r="M7" s="187">
        <f t="shared" si="4"/>
        <v>64</v>
      </c>
      <c r="N7" s="562">
        <f t="shared" si="8"/>
        <v>640</v>
      </c>
      <c r="O7" s="108">
        <f>'Minion Sales'!L7+'Minion Sales'!M7+'Minion Sales'!N7</f>
        <v>1</v>
      </c>
      <c r="P7" s="551">
        <f t="shared" si="6"/>
        <v>0</v>
      </c>
      <c r="Q7" s="552">
        <f t="shared" si="9"/>
        <v>0</v>
      </c>
    </row>
    <row r="8">
      <c r="B8" s="25" t="str">
        <f>'Minion Checker'!D12</f>
        <v/>
      </c>
      <c r="C8" s="37" t="str">
        <f>'Minion Checker'!E12</f>
        <v>Clay</v>
      </c>
      <c r="D8" s="192">
        <f>IFERROR(ROMAN('Minion Checker'!H12),0)</f>
        <v>0</v>
      </c>
      <c r="E8" s="118">
        <f t="shared" si="1"/>
        <v>0</v>
      </c>
      <c r="F8" s="194">
        <v>0.25</v>
      </c>
      <c r="G8" s="553" t="s">
        <v>559</v>
      </c>
      <c r="H8" s="554">
        <f t="shared" si="2"/>
        <v>576</v>
      </c>
      <c r="I8" s="555" t="b">
        <v>0</v>
      </c>
      <c r="J8" s="556" t="b">
        <v>0</v>
      </c>
      <c r="K8" s="557" t="str">
        <f>IF(AND(E8&lt;=11,E8&gt;0),OFFSET('Minion Tiers'!$I$67,E8,0),"")</f>
        <v/>
      </c>
      <c r="L8" s="469">
        <f t="shared" si="3"/>
        <v>0</v>
      </c>
      <c r="M8" s="200">
        <f t="shared" si="4"/>
        <v>64</v>
      </c>
      <c r="N8" s="558">
        <f>MAX(0,(M8+H8-63*I8-63*J8-IF(H8&gt;0,IF(I8,63,0)+IF(J8,63),0))*IF(I8,4,1))</f>
        <v>640</v>
      </c>
      <c r="O8" s="122">
        <f>'Minion Sales'!L8+'Minion Sales'!M8+'Minion Sales'!N8</f>
        <v>4</v>
      </c>
      <c r="P8" s="559">
        <f t="shared" si="6"/>
        <v>0</v>
      </c>
      <c r="Q8" s="560">
        <f t="shared" si="9"/>
        <v>0</v>
      </c>
    </row>
    <row r="9">
      <c r="B9" s="27" t="str">
        <f>'Minion Checker'!D13</f>
        <v/>
      </c>
      <c r="C9" s="34" t="str">
        <f>'Minion Checker'!E13</f>
        <v>Ice</v>
      </c>
      <c r="D9" s="180">
        <f>IFERROR(ROMAN('Minion Checker'!H13),0)</f>
        <v>0</v>
      </c>
      <c r="E9" s="104">
        <f t="shared" si="1"/>
        <v>0</v>
      </c>
      <c r="F9" s="181">
        <v>0.25</v>
      </c>
      <c r="G9" s="545" t="s">
        <v>559</v>
      </c>
      <c r="H9" s="546">
        <f t="shared" si="2"/>
        <v>576</v>
      </c>
      <c r="I9" s="547" t="b">
        <v>0</v>
      </c>
      <c r="J9" s="548" t="b">
        <v>0</v>
      </c>
      <c r="K9" s="561" t="str">
        <f>IF(AND(E9&lt;=11,E9&gt;0),OFFSET('Minion Tiers'!$I$80,E9,0),"")</f>
        <v/>
      </c>
      <c r="L9" s="465">
        <f t="shared" si="3"/>
        <v>0</v>
      </c>
      <c r="M9" s="187">
        <f t="shared" si="4"/>
        <v>64</v>
      </c>
      <c r="N9" s="562">
        <f>MAX(0,(M9+H9-63*I9-63*J9-IF(H9&gt;0,IF(I9,63,0)+IF(J9,63),0))*IF(I9,9,1))</f>
        <v>640</v>
      </c>
      <c r="O9" s="108">
        <f>'Minion Sales'!L9+'Minion Sales'!M9+'Minion Sales'!N9</f>
        <v>1</v>
      </c>
      <c r="P9" s="551">
        <f t="shared" si="6"/>
        <v>0</v>
      </c>
      <c r="Q9" s="552">
        <f t="shared" si="9"/>
        <v>0</v>
      </c>
    </row>
    <row r="10">
      <c r="B10" s="25" t="str">
        <f>'Minion Checker'!D14</f>
        <v/>
      </c>
      <c r="C10" s="37" t="str">
        <f>'Minion Checker'!E14</f>
        <v>Snow</v>
      </c>
      <c r="D10" s="192">
        <f>IFERROR(ROMAN('Minion Checker'!H14),0)</f>
        <v>0</v>
      </c>
      <c r="E10" s="118">
        <f t="shared" si="1"/>
        <v>0</v>
      </c>
      <c r="F10" s="194">
        <v>0.25</v>
      </c>
      <c r="G10" s="553" t="s">
        <v>559</v>
      </c>
      <c r="H10" s="554">
        <f>IFS(G10="Small",3*64,G10="Medium",9*64,G10="Large",15*64,1=1,0)/IF($I10,1, 4)</f>
        <v>144</v>
      </c>
      <c r="I10" s="555" t="b">
        <v>0</v>
      </c>
      <c r="J10" s="556" t="b">
        <v>0</v>
      </c>
      <c r="K10" s="557" t="str">
        <f>IF(AND(E10&lt;=11,E10&gt;0),OFFSET('Minion Tiers'!$I$93,E10,0),"")</f>
        <v/>
      </c>
      <c r="L10" s="469">
        <f t="shared" si="3"/>
        <v>0</v>
      </c>
      <c r="M10" s="200">
        <f>IFS(
E10&gt;=10,960,
E10&gt;=8,768,
E10&gt;=6,576,
E10&gt;=4,384,
E10&gt;=2,192,
1=1,64
)/IF($I10,1,4)</f>
        <v>16</v>
      </c>
      <c r="N10" s="558">
        <f>MAX(0,(M10+H10-63*I10-63*J10-IF(H10&gt;0,IF(I10,63,0)+IF(J10,63),0))*IF(I10,4,1))</f>
        <v>160</v>
      </c>
      <c r="O10" s="122">
        <f>'Minion Sales'!L10+'Minion Sales'!M10+'Minion Sales'!N10</f>
        <v>4</v>
      </c>
      <c r="P10" s="559">
        <f t="shared" si="6"/>
        <v>0</v>
      </c>
      <c r="Q10" s="560">
        <f>MAX(0,((M10+H10)*4-639-159*J10-IF(H10&gt;0,639+IF(J10,159,0),0))*160*L10*2/O10/3600/24)</f>
        <v>0</v>
      </c>
    </row>
    <row r="11">
      <c r="B11" s="27" t="str">
        <f>'Minion Checker'!D15</f>
        <v/>
      </c>
      <c r="C11" s="34" t="str">
        <f>'Minion Checker'!E15</f>
        <v>Coal</v>
      </c>
      <c r="D11" s="180">
        <f>IFERROR(ROMAN('Minion Checker'!H15),0)</f>
        <v>0</v>
      </c>
      <c r="E11" s="104">
        <f t="shared" si="1"/>
        <v>0</v>
      </c>
      <c r="F11" s="181">
        <v>0.25</v>
      </c>
      <c r="G11" s="545" t="s">
        <v>559</v>
      </c>
      <c r="H11" s="546">
        <f t="shared" ref="H11:H40" si="10">IFS(G11="Small",3*64,G11="Medium",9*64,G11="Large",15*64,1=1,0)</f>
        <v>576</v>
      </c>
      <c r="I11" s="547" t="b">
        <v>0</v>
      </c>
      <c r="J11" s="548" t="b">
        <v>0</v>
      </c>
      <c r="K11" s="561" t="str">
        <f>IF(AND(E11&lt;=11,E11&gt;0),OFFSET('Minion Tiers'!$I$106,E11,0),"")</f>
        <v/>
      </c>
      <c r="L11" s="465">
        <f t="shared" si="3"/>
        <v>0</v>
      </c>
      <c r="M11" s="187">
        <f t="shared" ref="M11:M19" si="11">IFS(
E11&gt;=10,960,
E11&gt;=8,768,
E11&gt;=6,576,
E11&gt;=4,384,
E11&gt;=2,192,
1=1,64
)</f>
        <v>64</v>
      </c>
      <c r="N11" s="562">
        <f t="shared" ref="N11:N17" si="12">MAX(0,(M11+H11-63*I11-63*J11-IF(H11&gt;0,IF(I11,63,0)+IF(J11,63),0))*IF(I11,9,1))</f>
        <v>640</v>
      </c>
      <c r="O11" s="108">
        <f>'Minion Sales'!L11+'Minion Sales'!M11+'Minion Sales'!N11</f>
        <v>1</v>
      </c>
      <c r="P11" s="551">
        <f t="shared" si="6"/>
        <v>0</v>
      </c>
      <c r="Q11" s="552">
        <f t="shared" ref="Q11:Q19" si="13">MAX(0,(M11+H11-159-159*J11-IF(H11&gt;0,159+IF(J11,159,0),0))*160*L11*2/O11/3600/24)</f>
        <v>0</v>
      </c>
    </row>
    <row r="12">
      <c r="B12" s="25" t="str">
        <f>'Minion Checker'!D16</f>
        <v/>
      </c>
      <c r="C12" s="37" t="str">
        <f>'Minion Checker'!E16</f>
        <v>Iron</v>
      </c>
      <c r="D12" s="192">
        <f>IFERROR(ROMAN('Minion Checker'!H16),0)</f>
        <v>0</v>
      </c>
      <c r="E12" s="118">
        <f t="shared" si="1"/>
        <v>0</v>
      </c>
      <c r="F12" s="194">
        <v>0.25</v>
      </c>
      <c r="G12" s="553" t="s">
        <v>559</v>
      </c>
      <c r="H12" s="554">
        <f t="shared" si="10"/>
        <v>576</v>
      </c>
      <c r="I12" s="555" t="b">
        <v>0</v>
      </c>
      <c r="J12" s="556" t="b">
        <v>0</v>
      </c>
      <c r="K12" s="557" t="str">
        <f>IF(AND(E12&lt;=11,E12&gt;0),OFFSET('Minion Tiers'!$I$119,E12,0),"")</f>
        <v/>
      </c>
      <c r="L12" s="469">
        <f t="shared" si="3"/>
        <v>0</v>
      </c>
      <c r="M12" s="200">
        <f t="shared" si="11"/>
        <v>64</v>
      </c>
      <c r="N12" s="558">
        <f t="shared" si="12"/>
        <v>640</v>
      </c>
      <c r="O12" s="122">
        <f>'Minion Sales'!L12+'Minion Sales'!M12+'Minion Sales'!N12</f>
        <v>1</v>
      </c>
      <c r="P12" s="559">
        <f t="shared" si="6"/>
        <v>0</v>
      </c>
      <c r="Q12" s="560">
        <f t="shared" si="13"/>
        <v>0</v>
      </c>
    </row>
    <row r="13">
      <c r="B13" s="27" t="str">
        <f>'Minion Checker'!D17</f>
        <v/>
      </c>
      <c r="C13" s="34" t="str">
        <f>'Minion Checker'!E17</f>
        <v>Gold</v>
      </c>
      <c r="D13" s="180">
        <f>IFERROR(ROMAN('Minion Checker'!H17),0)</f>
        <v>0</v>
      </c>
      <c r="E13" s="104">
        <f t="shared" si="1"/>
        <v>0</v>
      </c>
      <c r="F13" s="181">
        <v>0.25</v>
      </c>
      <c r="G13" s="545" t="s">
        <v>559</v>
      </c>
      <c r="H13" s="546">
        <f t="shared" si="10"/>
        <v>576</v>
      </c>
      <c r="I13" s="547" t="b">
        <v>0</v>
      </c>
      <c r="J13" s="548" t="b">
        <v>0</v>
      </c>
      <c r="K13" s="561" t="str">
        <f>IF(AND(E13&lt;=11,E13&gt;0),OFFSET('Minion Tiers'!$I$132,E13,0),"")</f>
        <v/>
      </c>
      <c r="L13" s="465">
        <f t="shared" si="3"/>
        <v>0</v>
      </c>
      <c r="M13" s="187">
        <f t="shared" si="11"/>
        <v>64</v>
      </c>
      <c r="N13" s="562">
        <f t="shared" si="12"/>
        <v>640</v>
      </c>
      <c r="O13" s="108">
        <f>'Minion Sales'!L13+'Minion Sales'!M13+'Minion Sales'!N13</f>
        <v>1</v>
      </c>
      <c r="P13" s="551">
        <f t="shared" si="6"/>
        <v>0</v>
      </c>
      <c r="Q13" s="552">
        <f t="shared" si="13"/>
        <v>0</v>
      </c>
    </row>
    <row r="14">
      <c r="B14" s="25" t="str">
        <f>'Minion Checker'!D18</f>
        <v/>
      </c>
      <c r="C14" s="37" t="str">
        <f>'Minion Checker'!E18</f>
        <v>Diamond</v>
      </c>
      <c r="D14" s="192">
        <f>IFERROR(ROMAN('Minion Checker'!H18),0)</f>
        <v>0</v>
      </c>
      <c r="E14" s="118">
        <f t="shared" si="1"/>
        <v>0</v>
      </c>
      <c r="F14" s="194">
        <v>0.25</v>
      </c>
      <c r="G14" s="553" t="s">
        <v>559</v>
      </c>
      <c r="H14" s="554">
        <f t="shared" si="10"/>
        <v>576</v>
      </c>
      <c r="I14" s="555" t="b">
        <v>0</v>
      </c>
      <c r="J14" s="556" t="b">
        <v>0</v>
      </c>
      <c r="K14" s="557" t="str">
        <f>IF(AND(E14&lt;=11,E14&gt;0),OFFSET('Minion Tiers'!$I$145,E14,0),"")</f>
        <v/>
      </c>
      <c r="L14" s="469">
        <f t="shared" si="3"/>
        <v>0</v>
      </c>
      <c r="M14" s="200">
        <f t="shared" si="11"/>
        <v>64</v>
      </c>
      <c r="N14" s="558">
        <f t="shared" si="12"/>
        <v>640</v>
      </c>
      <c r="O14" s="122">
        <f>'Minion Sales'!L14+'Minion Sales'!M14+'Minion Sales'!N14</f>
        <v>1</v>
      </c>
      <c r="P14" s="559">
        <f t="shared" si="6"/>
        <v>0</v>
      </c>
      <c r="Q14" s="560">
        <f t="shared" si="13"/>
        <v>0</v>
      </c>
    </row>
    <row r="15">
      <c r="B15" s="27" t="str">
        <f>'Minion Checker'!D19</f>
        <v/>
      </c>
      <c r="C15" s="34" t="str">
        <f>'Minion Checker'!E19</f>
        <v>Lapis</v>
      </c>
      <c r="D15" s="180">
        <f>IFERROR(ROMAN('Minion Checker'!H19),0)</f>
        <v>0</v>
      </c>
      <c r="E15" s="104">
        <f t="shared" si="1"/>
        <v>0</v>
      </c>
      <c r="F15" s="181">
        <v>0.25</v>
      </c>
      <c r="G15" s="545" t="s">
        <v>559</v>
      </c>
      <c r="H15" s="546">
        <f t="shared" si="10"/>
        <v>576</v>
      </c>
      <c r="I15" s="547" t="b">
        <v>0</v>
      </c>
      <c r="J15" s="548" t="b">
        <v>0</v>
      </c>
      <c r="K15" s="561" t="str">
        <f>IF(AND(E15&lt;=11,E15&gt;0),OFFSET('Minion Tiers'!$I$158,E15,0),"")</f>
        <v/>
      </c>
      <c r="L15" s="465">
        <f t="shared" si="3"/>
        <v>0</v>
      </c>
      <c r="M15" s="187">
        <f t="shared" si="11"/>
        <v>64</v>
      </c>
      <c r="N15" s="562">
        <f t="shared" si="12"/>
        <v>640</v>
      </c>
      <c r="O15" s="108">
        <f>'Minion Sales'!L15+'Minion Sales'!M15+'Minion Sales'!N15</f>
        <v>6</v>
      </c>
      <c r="P15" s="551">
        <f t="shared" si="6"/>
        <v>0</v>
      </c>
      <c r="Q15" s="552">
        <f t="shared" si="13"/>
        <v>0</v>
      </c>
    </row>
    <row r="16">
      <c r="B16" s="25" t="str">
        <f>'Minion Checker'!D20</f>
        <v/>
      </c>
      <c r="C16" s="37" t="str">
        <f>'Minion Checker'!E20</f>
        <v>Redstone</v>
      </c>
      <c r="D16" s="192">
        <f>IFERROR(ROMAN('Minion Checker'!H20),0)</f>
        <v>0</v>
      </c>
      <c r="E16" s="118">
        <f t="shared" si="1"/>
        <v>0</v>
      </c>
      <c r="F16" s="194">
        <v>0.25</v>
      </c>
      <c r="G16" s="553" t="s">
        <v>559</v>
      </c>
      <c r="H16" s="554">
        <f t="shared" si="10"/>
        <v>576</v>
      </c>
      <c r="I16" s="555" t="b">
        <v>0</v>
      </c>
      <c r="J16" s="556" t="b">
        <v>0</v>
      </c>
      <c r="K16" s="557" t="str">
        <f>IF(AND(E16&lt;=11,E16&gt;0),OFFSET('Minion Tiers'!$I$171,E16,0),"")</f>
        <v/>
      </c>
      <c r="L16" s="469">
        <f t="shared" si="3"/>
        <v>0</v>
      </c>
      <c r="M16" s="200">
        <f t="shared" si="11"/>
        <v>64</v>
      </c>
      <c r="N16" s="558">
        <f t="shared" si="12"/>
        <v>640</v>
      </c>
      <c r="O16" s="122">
        <f>'Minion Sales'!L16+'Minion Sales'!M16+'Minion Sales'!N16</f>
        <v>4.5</v>
      </c>
      <c r="P16" s="559">
        <f t="shared" si="6"/>
        <v>0</v>
      </c>
      <c r="Q16" s="560">
        <f t="shared" si="13"/>
        <v>0</v>
      </c>
    </row>
    <row r="17">
      <c r="B17" s="27" t="str">
        <f>'Minion Checker'!D21</f>
        <v/>
      </c>
      <c r="C17" s="34" t="str">
        <f>'Minion Checker'!E21</f>
        <v>Emerald</v>
      </c>
      <c r="D17" s="180">
        <f>IFERROR(ROMAN('Minion Checker'!H21),0)</f>
        <v>0</v>
      </c>
      <c r="E17" s="104">
        <f t="shared" si="1"/>
        <v>0</v>
      </c>
      <c r="F17" s="181">
        <v>0.25</v>
      </c>
      <c r="G17" s="545" t="s">
        <v>559</v>
      </c>
      <c r="H17" s="546">
        <f t="shared" si="10"/>
        <v>576</v>
      </c>
      <c r="I17" s="547" t="b">
        <v>0</v>
      </c>
      <c r="J17" s="548" t="b">
        <v>0</v>
      </c>
      <c r="K17" s="561" t="str">
        <f>IF(AND(E17&lt;=11,E17&gt;0),OFFSET('Minion Tiers'!$I$184,E17,0),"")</f>
        <v/>
      </c>
      <c r="L17" s="465">
        <f t="shared" si="3"/>
        <v>0</v>
      </c>
      <c r="M17" s="187">
        <f t="shared" si="11"/>
        <v>64</v>
      </c>
      <c r="N17" s="562">
        <f t="shared" si="12"/>
        <v>640</v>
      </c>
      <c r="O17" s="108">
        <f>'Minion Sales'!L17+'Minion Sales'!M17+'Minion Sales'!N17</f>
        <v>1</v>
      </c>
      <c r="P17" s="551">
        <f t="shared" si="6"/>
        <v>0</v>
      </c>
      <c r="Q17" s="552">
        <f t="shared" si="13"/>
        <v>0</v>
      </c>
    </row>
    <row r="18">
      <c r="B18" s="25" t="str">
        <f>'Minion Checker'!D22</f>
        <v/>
      </c>
      <c r="C18" s="37" t="str">
        <f>'Minion Checker'!E22</f>
        <v>Quartz</v>
      </c>
      <c r="D18" s="192">
        <f>IFERROR(ROMAN('Minion Checker'!H22),0)</f>
        <v>0</v>
      </c>
      <c r="E18" s="118">
        <f t="shared" si="1"/>
        <v>0</v>
      </c>
      <c r="F18" s="194">
        <v>0.25</v>
      </c>
      <c r="G18" s="553" t="s">
        <v>559</v>
      </c>
      <c r="H18" s="554">
        <f t="shared" si="10"/>
        <v>576</v>
      </c>
      <c r="I18" s="555" t="b">
        <v>0</v>
      </c>
      <c r="J18" s="556" t="b">
        <v>0</v>
      </c>
      <c r="K18" s="557" t="str">
        <f>IF(AND(E18&lt;=11,E18&gt;0),OFFSET('Minion Tiers'!$I$197,E18,0),"")</f>
        <v/>
      </c>
      <c r="L18" s="469">
        <f t="shared" si="3"/>
        <v>0</v>
      </c>
      <c r="M18" s="200">
        <f t="shared" si="11"/>
        <v>64</v>
      </c>
      <c r="N18" s="558">
        <f>MAX(0,(M18+H18-63*I18-63*J18-IF(H18&gt;0,IF(I18,63,0)+IF(J18,63),0))*IF(I18,4,1))</f>
        <v>640</v>
      </c>
      <c r="O18" s="122">
        <f>'Minion Sales'!L18+'Minion Sales'!M18+'Minion Sales'!N18</f>
        <v>1</v>
      </c>
      <c r="P18" s="559">
        <f t="shared" si="6"/>
        <v>0</v>
      </c>
      <c r="Q18" s="560">
        <f t="shared" si="13"/>
        <v>0</v>
      </c>
    </row>
    <row r="19">
      <c r="B19" s="27" t="str">
        <f>'Minion Checker'!D23</f>
        <v/>
      </c>
      <c r="C19" s="34" t="str">
        <f>'Minion Checker'!E23</f>
        <v>End Stone</v>
      </c>
      <c r="D19" s="180">
        <f>IFERROR(ROMAN('Minion Checker'!H23),0)</f>
        <v>0</v>
      </c>
      <c r="E19" s="104">
        <f t="shared" si="1"/>
        <v>0</v>
      </c>
      <c r="F19" s="181">
        <v>0.25</v>
      </c>
      <c r="G19" s="545" t="s">
        <v>559</v>
      </c>
      <c r="H19" s="546">
        <f t="shared" si="10"/>
        <v>576</v>
      </c>
      <c r="I19" s="547"/>
      <c r="J19" s="548" t="b">
        <v>0</v>
      </c>
      <c r="K19" s="561" t="str">
        <f>IF(AND(E19&lt;=11,E19&gt;0),OFFSET('Minion Tiers'!$I$210,E19,0),"")</f>
        <v/>
      </c>
      <c r="L19" s="465">
        <f t="shared" si="3"/>
        <v>0</v>
      </c>
      <c r="M19" s="187">
        <f t="shared" si="11"/>
        <v>64</v>
      </c>
      <c r="N19" s="562">
        <f>MAX(0,M19+H19)</f>
        <v>640</v>
      </c>
      <c r="O19" s="108">
        <f>'Minion Sales'!L19+'Minion Sales'!M19+'Minion Sales'!N19</f>
        <v>1</v>
      </c>
      <c r="P19" s="551">
        <f t="shared" si="6"/>
        <v>0</v>
      </c>
      <c r="Q19" s="552">
        <f t="shared" si="13"/>
        <v>0</v>
      </c>
    </row>
    <row r="20">
      <c r="B20" s="25" t="str">
        <f>'Minion Checker'!D24</f>
        <v/>
      </c>
      <c r="C20" s="37" t="str">
        <f>'Minion Checker'!E24</f>
        <v>Wheat</v>
      </c>
      <c r="D20" s="192">
        <f>IFERROR(ROMAN('Minion Checker'!H24),0)</f>
        <v>0</v>
      </c>
      <c r="E20" s="118">
        <f t="shared" si="1"/>
        <v>0</v>
      </c>
      <c r="F20" s="194">
        <v>0.25</v>
      </c>
      <c r="G20" s="553" t="s">
        <v>559</v>
      </c>
      <c r="H20" s="554">
        <f t="shared" si="10"/>
        <v>576</v>
      </c>
      <c r="I20" s="555" t="b">
        <v>0</v>
      </c>
      <c r="J20" s="556" t="b">
        <v>0</v>
      </c>
      <c r="K20" s="557" t="str">
        <f>IF(AND(E20&lt;=11,E20&gt;0),OFFSET('Minion Tiers'!$I$223,E20,0),"")</f>
        <v/>
      </c>
      <c r="L20" s="469">
        <f t="shared" si="3"/>
        <v>0</v>
      </c>
      <c r="M20" s="200">
        <f>IFS(
E20&gt;=10,960,
E20&gt;=8,768,
E20&gt;=6,576,
E20&gt;=4,384,
E20&gt;=2,256,
1=1,128
)</f>
        <v>128</v>
      </c>
      <c r="N20" s="558">
        <f>MAX(0,(M20+H20-63*I20-63*J20-IF(H20&gt;0,IF(I20,63,0)+IF(J20,63),0))*IF(I20,4.5,1))</f>
        <v>704</v>
      </c>
      <c r="O20" s="122">
        <f>'Minion Sales'!L20+'Minion Sales'!M20+'Minion Sales'!N20</f>
        <v>2</v>
      </c>
      <c r="P20" s="559">
        <f t="shared" si="6"/>
        <v>0</v>
      </c>
      <c r="Q20" s="560">
        <f>MAX(0,(M20+H20-239-159*J20-IF(H20&gt;0,239+IF(J20,159,0),0))*160*L20*2/O20/3600/24)</f>
        <v>0</v>
      </c>
    </row>
    <row r="21">
      <c r="B21" s="27" t="str">
        <f>'Minion Checker'!D25</f>
        <v/>
      </c>
      <c r="C21" s="34" t="str">
        <f>'Minion Checker'!E25</f>
        <v>Melon</v>
      </c>
      <c r="D21" s="180">
        <f>IFERROR(ROMAN('Minion Checker'!H25),0)</f>
        <v>0</v>
      </c>
      <c r="E21" s="104">
        <f t="shared" si="1"/>
        <v>0</v>
      </c>
      <c r="F21" s="181">
        <v>0.25</v>
      </c>
      <c r="G21" s="545" t="s">
        <v>559</v>
      </c>
      <c r="H21" s="546">
        <f t="shared" si="10"/>
        <v>576</v>
      </c>
      <c r="I21" s="547" t="b">
        <v>0</v>
      </c>
      <c r="J21" s="548" t="b">
        <v>0</v>
      </c>
      <c r="K21" s="561" t="str">
        <f>IF(AND(E21&lt;=11,E21&gt;0),OFFSET('Minion Tiers'!$I$236,E21,0),"")</f>
        <v/>
      </c>
      <c r="L21" s="465">
        <f t="shared" si="3"/>
        <v>0</v>
      </c>
      <c r="M21" s="187">
        <f t="shared" ref="M21:M29" si="14">IFS(
E21&gt;=10,960,
E21&gt;=8,768,
E21&gt;=6,576,
E21&gt;=4,384,
E21&gt;=2,192,
1=1,64
)</f>
        <v>64</v>
      </c>
      <c r="N21" s="562">
        <f>MAX(0,(M21+H21-63*I21-63*J21-IF(H21&gt;0,IF(I21,63,0)+IF(J21,63),0))*IF(I21,9,1))</f>
        <v>640</v>
      </c>
      <c r="O21" s="108">
        <f>'Minion Sales'!L21+'Minion Sales'!M21+'Minion Sales'!N21</f>
        <v>6</v>
      </c>
      <c r="P21" s="551">
        <f t="shared" si="6"/>
        <v>0</v>
      </c>
      <c r="Q21" s="552">
        <f t="shared" ref="Q21:Q29" si="15">MAX(0,(M21+H21-159-159*J21-IF(H21&gt;0,159+IF(J21,159,0),0))*160*L21*2/O21/3600/24)</f>
        <v>0</v>
      </c>
    </row>
    <row r="22">
      <c r="B22" s="25" t="str">
        <f>'Minion Checker'!D26</f>
        <v/>
      </c>
      <c r="C22" s="37" t="str">
        <f>'Minion Checker'!E26</f>
        <v>Pumpkin</v>
      </c>
      <c r="D22" s="192">
        <f>IFERROR(ROMAN('Minion Checker'!H26),0)</f>
        <v>0</v>
      </c>
      <c r="E22" s="118">
        <f t="shared" si="1"/>
        <v>0</v>
      </c>
      <c r="F22" s="194">
        <v>0.25</v>
      </c>
      <c r="G22" s="553" t="s">
        <v>559</v>
      </c>
      <c r="H22" s="554">
        <f t="shared" si="10"/>
        <v>576</v>
      </c>
      <c r="I22" s="555"/>
      <c r="J22" s="556" t="b">
        <v>0</v>
      </c>
      <c r="K22" s="557" t="str">
        <f>IF(AND(E22&lt;=11,E22&gt;0),OFFSET('Minion Tiers'!$I$249,E22,0),"")</f>
        <v/>
      </c>
      <c r="L22" s="469">
        <f t="shared" si="3"/>
        <v>0</v>
      </c>
      <c r="M22" s="200">
        <f t="shared" si="14"/>
        <v>64</v>
      </c>
      <c r="N22" s="558">
        <f t="shared" ref="N22:N42" si="16">MAX(0,M22+H22)</f>
        <v>640</v>
      </c>
      <c r="O22" s="122">
        <f>'Minion Sales'!L22+'Minion Sales'!M22+'Minion Sales'!N22</f>
        <v>1</v>
      </c>
      <c r="P22" s="559">
        <f t="shared" si="6"/>
        <v>0</v>
      </c>
      <c r="Q22" s="560">
        <f t="shared" si="15"/>
        <v>0</v>
      </c>
    </row>
    <row r="23">
      <c r="B23" s="27" t="str">
        <f>'Minion Checker'!D27</f>
        <v/>
      </c>
      <c r="C23" s="34" t="str">
        <f>'Minion Checker'!E27</f>
        <v>Carrot</v>
      </c>
      <c r="D23" s="180">
        <f>IFERROR(ROMAN('Minion Checker'!H27),0)</f>
        <v>0</v>
      </c>
      <c r="E23" s="104">
        <f t="shared" si="1"/>
        <v>0</v>
      </c>
      <c r="F23" s="181">
        <v>0.25</v>
      </c>
      <c r="G23" s="545" t="s">
        <v>559</v>
      </c>
      <c r="H23" s="546">
        <f t="shared" si="10"/>
        <v>576</v>
      </c>
      <c r="I23" s="547"/>
      <c r="J23" s="548" t="b">
        <v>0</v>
      </c>
      <c r="K23" s="561" t="str">
        <f>IF(AND(E23&lt;=11,E23&gt;0),OFFSET('Minion Tiers'!$I$262,E23,0),"")</f>
        <v/>
      </c>
      <c r="L23" s="465">
        <f t="shared" si="3"/>
        <v>0</v>
      </c>
      <c r="M23" s="187">
        <f t="shared" si="14"/>
        <v>64</v>
      </c>
      <c r="N23" s="562">
        <f t="shared" si="16"/>
        <v>640</v>
      </c>
      <c r="O23" s="108">
        <f>'Minion Sales'!L23+'Minion Sales'!M23+'Minion Sales'!N23</f>
        <v>3</v>
      </c>
      <c r="P23" s="551">
        <f t="shared" si="6"/>
        <v>0</v>
      </c>
      <c r="Q23" s="552">
        <f t="shared" si="15"/>
        <v>0</v>
      </c>
    </row>
    <row r="24">
      <c r="B24" s="25" t="str">
        <f>'Minion Checker'!D28</f>
        <v/>
      </c>
      <c r="C24" s="37" t="str">
        <f>'Minion Checker'!E28</f>
        <v>Potato</v>
      </c>
      <c r="D24" s="192">
        <f>IFERROR(ROMAN('Minion Checker'!H28),0)</f>
        <v>0</v>
      </c>
      <c r="E24" s="118">
        <f t="shared" si="1"/>
        <v>0</v>
      </c>
      <c r="F24" s="194">
        <v>0.25</v>
      </c>
      <c r="G24" s="553" t="s">
        <v>559</v>
      </c>
      <c r="H24" s="554">
        <f t="shared" si="10"/>
        <v>576</v>
      </c>
      <c r="I24" s="555"/>
      <c r="J24" s="556" t="b">
        <v>0</v>
      </c>
      <c r="K24" s="557" t="str">
        <f>IF(AND(E24&lt;=11,E24&gt;0),OFFSET('Minion Tiers'!$I$275,E24,0),"")</f>
        <v/>
      </c>
      <c r="L24" s="469">
        <f t="shared" si="3"/>
        <v>0</v>
      </c>
      <c r="M24" s="200">
        <f t="shared" si="14"/>
        <v>64</v>
      </c>
      <c r="N24" s="558">
        <f t="shared" si="16"/>
        <v>640</v>
      </c>
      <c r="O24" s="122">
        <f>'Minion Sales'!L24+'Minion Sales'!M24+'Minion Sales'!N24</f>
        <v>3</v>
      </c>
      <c r="P24" s="559">
        <f t="shared" si="6"/>
        <v>0</v>
      </c>
      <c r="Q24" s="560">
        <f t="shared" si="15"/>
        <v>0</v>
      </c>
    </row>
    <row r="25">
      <c r="B25" s="27" t="str">
        <f>'Minion Checker'!D29</f>
        <v/>
      </c>
      <c r="C25" s="34" t="str">
        <f>'Minion Checker'!E29</f>
        <v>Mushroom</v>
      </c>
      <c r="D25" s="180">
        <f>IFERROR(ROMAN('Minion Checker'!H29),0)</f>
        <v>0</v>
      </c>
      <c r="E25" s="104">
        <f t="shared" si="1"/>
        <v>0</v>
      </c>
      <c r="F25" s="181">
        <v>0.25</v>
      </c>
      <c r="G25" s="545" t="s">
        <v>559</v>
      </c>
      <c r="H25" s="546">
        <f t="shared" si="10"/>
        <v>576</v>
      </c>
      <c r="I25" s="547"/>
      <c r="J25" s="548" t="b">
        <v>0</v>
      </c>
      <c r="K25" s="561" t="str">
        <f>IF(AND(E25&lt;=11,E25&gt;0),OFFSET('Minion Tiers'!$I$288,E25,0),"")</f>
        <v/>
      </c>
      <c r="L25" s="465">
        <f t="shared" si="3"/>
        <v>0</v>
      </c>
      <c r="M25" s="187">
        <f t="shared" si="14"/>
        <v>64</v>
      </c>
      <c r="N25" s="562">
        <f t="shared" si="16"/>
        <v>640</v>
      </c>
      <c r="O25" s="108">
        <f>'Minion Sales'!L25+'Minion Sales'!M25+'Minion Sales'!N25</f>
        <v>1</v>
      </c>
      <c r="P25" s="551">
        <f t="shared" si="6"/>
        <v>0</v>
      </c>
      <c r="Q25" s="552">
        <f t="shared" si="15"/>
        <v>0</v>
      </c>
    </row>
    <row r="26">
      <c r="B26" s="25" t="str">
        <f>'Minion Checker'!D30</f>
        <v/>
      </c>
      <c r="C26" s="37" t="str">
        <f>'Minion Checker'!E30</f>
        <v>Cactus</v>
      </c>
      <c r="D26" s="192">
        <f>IFERROR(ROMAN('Minion Checker'!H30),0)</f>
        <v>0</v>
      </c>
      <c r="E26" s="118">
        <f t="shared" si="1"/>
        <v>0</v>
      </c>
      <c r="F26" s="194">
        <v>0.25</v>
      </c>
      <c r="G26" s="553" t="s">
        <v>559</v>
      </c>
      <c r="H26" s="554">
        <f t="shared" si="10"/>
        <v>576</v>
      </c>
      <c r="I26" s="555"/>
      <c r="J26" s="556" t="b">
        <v>0</v>
      </c>
      <c r="K26" s="557" t="str">
        <f>IF(AND(E26&lt;=11,E26&gt;0),OFFSET('Minion Tiers'!$I$301,E26,0),"")</f>
        <v/>
      </c>
      <c r="L26" s="469">
        <f t="shared" si="3"/>
        <v>0</v>
      </c>
      <c r="M26" s="200">
        <f t="shared" si="14"/>
        <v>64</v>
      </c>
      <c r="N26" s="558">
        <f t="shared" si="16"/>
        <v>640</v>
      </c>
      <c r="O26" s="122">
        <f>'Minion Sales'!L26+'Minion Sales'!M26+'Minion Sales'!N26</f>
        <v>1</v>
      </c>
      <c r="P26" s="559">
        <f t="shared" si="6"/>
        <v>0</v>
      </c>
      <c r="Q26" s="560">
        <f t="shared" si="15"/>
        <v>0</v>
      </c>
    </row>
    <row r="27">
      <c r="B27" s="27" t="str">
        <f>'Minion Checker'!D31</f>
        <v/>
      </c>
      <c r="C27" s="34" t="str">
        <f>'Minion Checker'!E31</f>
        <v>Cocoa Beans</v>
      </c>
      <c r="D27" s="180">
        <f>IFERROR(ROMAN('Minion Checker'!H31),0)</f>
        <v>0</v>
      </c>
      <c r="E27" s="104">
        <f t="shared" si="1"/>
        <v>0</v>
      </c>
      <c r="F27" s="181">
        <v>0.25</v>
      </c>
      <c r="G27" s="545" t="s">
        <v>559</v>
      </c>
      <c r="H27" s="546">
        <f t="shared" si="10"/>
        <v>576</v>
      </c>
      <c r="I27" s="547"/>
      <c r="J27" s="548" t="b">
        <v>0</v>
      </c>
      <c r="K27" s="561" t="str">
        <f>IF(AND(E27&lt;=11,E27&gt;0),OFFSET('Minion Tiers'!$I$314,E27,0),"")</f>
        <v/>
      </c>
      <c r="L27" s="465">
        <f t="shared" si="3"/>
        <v>0</v>
      </c>
      <c r="M27" s="187">
        <f t="shared" si="14"/>
        <v>64</v>
      </c>
      <c r="N27" s="562">
        <f t="shared" si="16"/>
        <v>640</v>
      </c>
      <c r="O27" s="108">
        <f>'Minion Sales'!L27+'Minion Sales'!M27+'Minion Sales'!N27</f>
        <v>3</v>
      </c>
      <c r="P27" s="551">
        <f t="shared" si="6"/>
        <v>0</v>
      </c>
      <c r="Q27" s="552">
        <f t="shared" si="15"/>
        <v>0</v>
      </c>
    </row>
    <row r="28">
      <c r="B28" s="25" t="str">
        <f>'Minion Checker'!D32</f>
        <v/>
      </c>
      <c r="C28" s="37" t="str">
        <f>'Minion Checker'!E32</f>
        <v>Sugar Cane</v>
      </c>
      <c r="D28" s="192">
        <f>IFERROR(ROMAN('Minion Checker'!H32),0)</f>
        <v>0</v>
      </c>
      <c r="E28" s="118">
        <f t="shared" si="1"/>
        <v>0</v>
      </c>
      <c r="F28" s="194">
        <v>0.25</v>
      </c>
      <c r="G28" s="553" t="s">
        <v>559</v>
      </c>
      <c r="H28" s="554">
        <f t="shared" si="10"/>
        <v>576</v>
      </c>
      <c r="I28" s="555"/>
      <c r="J28" s="556" t="b">
        <v>0</v>
      </c>
      <c r="K28" s="557" t="str">
        <f>IF(AND(E28&lt;=11,E28&gt;0),OFFSET('Minion Tiers'!$I$327,E28,0),"")</f>
        <v/>
      </c>
      <c r="L28" s="469">
        <f t="shared" si="3"/>
        <v>0</v>
      </c>
      <c r="M28" s="200">
        <f t="shared" si="14"/>
        <v>64</v>
      </c>
      <c r="N28" s="558">
        <f t="shared" si="16"/>
        <v>640</v>
      </c>
      <c r="O28" s="122">
        <f>'Minion Sales'!L28+'Minion Sales'!M28+'Minion Sales'!N28</f>
        <v>1</v>
      </c>
      <c r="P28" s="559">
        <f t="shared" si="6"/>
        <v>0</v>
      </c>
      <c r="Q28" s="560">
        <f t="shared" si="15"/>
        <v>0</v>
      </c>
    </row>
    <row r="29">
      <c r="B29" s="27" t="str">
        <f>'Minion Checker'!D33</f>
        <v/>
      </c>
      <c r="C29" s="34" t="str">
        <f>'Minion Checker'!E33</f>
        <v>Nether Wart</v>
      </c>
      <c r="D29" s="180">
        <f>IFERROR(ROMAN('Minion Checker'!H33),0)</f>
        <v>0</v>
      </c>
      <c r="E29" s="104">
        <f t="shared" si="1"/>
        <v>0</v>
      </c>
      <c r="F29" s="181">
        <v>0.25</v>
      </c>
      <c r="G29" s="545" t="s">
        <v>559</v>
      </c>
      <c r="H29" s="546">
        <f t="shared" si="10"/>
        <v>576</v>
      </c>
      <c r="I29" s="547"/>
      <c r="J29" s="548" t="b">
        <v>0</v>
      </c>
      <c r="K29" s="561" t="str">
        <f>IF(AND(E29&lt;=11,E29&gt;0),OFFSET('Minion Tiers'!$I$340,E29,0),"")</f>
        <v/>
      </c>
      <c r="L29" s="465">
        <f t="shared" si="3"/>
        <v>0</v>
      </c>
      <c r="M29" s="187">
        <f t="shared" si="14"/>
        <v>64</v>
      </c>
      <c r="N29" s="562">
        <f t="shared" si="16"/>
        <v>640</v>
      </c>
      <c r="O29" s="108">
        <f>'Minion Sales'!L29+'Minion Sales'!M29+'Minion Sales'!N29</f>
        <v>1</v>
      </c>
      <c r="P29" s="551">
        <f t="shared" si="6"/>
        <v>0</v>
      </c>
      <c r="Q29" s="552">
        <f t="shared" si="15"/>
        <v>0</v>
      </c>
    </row>
    <row r="30">
      <c r="B30" s="25" t="str">
        <f>'Minion Checker'!D34</f>
        <v/>
      </c>
      <c r="C30" s="37" t="str">
        <f>'Minion Checker'!E34</f>
        <v>Flower</v>
      </c>
      <c r="D30" s="192">
        <f>IFERROR(ROMAN('Minion Checker'!H34),0)</f>
        <v>0</v>
      </c>
      <c r="E30" s="118">
        <f t="shared" si="1"/>
        <v>0</v>
      </c>
      <c r="F30" s="194">
        <v>0.25</v>
      </c>
      <c r="G30" s="553" t="s">
        <v>559</v>
      </c>
      <c r="H30" s="554">
        <f t="shared" si="10"/>
        <v>576</v>
      </c>
      <c r="I30" s="555"/>
      <c r="J30" s="556" t="b">
        <v>0</v>
      </c>
      <c r="K30" s="557" t="str">
        <f>IF(AND(E30&lt;=11,E30&gt;0),OFFSET('Minion Tiers'!$I$353,E30,0),"")</f>
        <v/>
      </c>
      <c r="L30" s="469">
        <f t="shared" si="3"/>
        <v>0</v>
      </c>
      <c r="M30" s="200">
        <v>768.0</v>
      </c>
      <c r="N30" s="558">
        <f t="shared" si="16"/>
        <v>1344</v>
      </c>
      <c r="O30" s="122">
        <f>'Minion Sales'!L30+'Minion Sales'!M30+'Minion Sales'!N30</f>
        <v>1</v>
      </c>
      <c r="P30" s="559">
        <f t="shared" si="6"/>
        <v>0</v>
      </c>
      <c r="Q30" s="560">
        <f>MAX(0,(M30+H30-159-159*J30-IF(H30&gt;0,159+IF(J30,159,0),0))*1.2*L30*2/O30/3600/24)</f>
        <v>0</v>
      </c>
    </row>
    <row r="31">
      <c r="B31" s="27" t="str">
        <f>'Minion Checker'!D35</f>
        <v/>
      </c>
      <c r="C31" s="34" t="str">
        <f>'Minion Checker'!E35</f>
        <v>Fish</v>
      </c>
      <c r="D31" s="180">
        <f>IFERROR(ROMAN('Minion Checker'!H35),0)</f>
        <v>0</v>
      </c>
      <c r="E31" s="104">
        <f t="shared" si="1"/>
        <v>0</v>
      </c>
      <c r="F31" s="181">
        <v>0.25</v>
      </c>
      <c r="G31" s="545" t="s">
        <v>559</v>
      </c>
      <c r="H31" s="546">
        <f t="shared" si="10"/>
        <v>576</v>
      </c>
      <c r="I31" s="547"/>
      <c r="J31" s="548" t="b">
        <v>0</v>
      </c>
      <c r="K31" s="561" t="str">
        <f>IF(AND(E31&lt;=11,E31&gt;0),OFFSET('Minion Tiers'!$I$366,E31,0),"")</f>
        <v/>
      </c>
      <c r="L31" s="465">
        <f t="shared" si="3"/>
        <v>0</v>
      </c>
      <c r="M31" s="187">
        <f>IFS(
E31&gt;=11,960,
E31&gt;=10,896,
E31&gt;=9,832,
E31&gt;=8,832,
E31&gt;=6,768,
E31&gt;=4,704,
E31&gt;=1,640,
1=1,0
)</f>
        <v>0</v>
      </c>
      <c r="N31" s="562">
        <f t="shared" si="16"/>
        <v>576</v>
      </c>
      <c r="O31" s="108">
        <f>'Minion Sales'!L31+'Minion Sales'!M31+'Minion Sales'!N31</f>
        <v>1</v>
      </c>
      <c r="P31" s="551">
        <f>N31*L31/O31/3600</f>
        <v>0</v>
      </c>
      <c r="Q31" s="552">
        <f>MAX(0,(M31+H31-639-159*J31-IF(H31&gt;0,639+IF(J31,159,0),0))*160*L31*2/O31/3600/24)</f>
        <v>0</v>
      </c>
    </row>
    <row r="32">
      <c r="B32" s="25" t="str">
        <f>'Minion Checker'!D36</f>
        <v/>
      </c>
      <c r="C32" s="37" t="str">
        <f>'Minion Checker'!E36</f>
        <v>Zombie</v>
      </c>
      <c r="D32" s="192">
        <f>IFERROR(ROMAN('Minion Checker'!H36),0)</f>
        <v>0</v>
      </c>
      <c r="E32" s="118">
        <f t="shared" si="1"/>
        <v>0</v>
      </c>
      <c r="F32" s="194">
        <v>0.25</v>
      </c>
      <c r="G32" s="553" t="s">
        <v>559</v>
      </c>
      <c r="H32" s="554">
        <f t="shared" si="10"/>
        <v>576</v>
      </c>
      <c r="I32" s="555"/>
      <c r="J32" s="556" t="b">
        <v>0</v>
      </c>
      <c r="K32" s="557" t="str">
        <f>IF(AND(E32&lt;=11,E32&gt;0),OFFSET('Minion Tiers'!$I$379,E32,0),"")</f>
        <v/>
      </c>
      <c r="L32" s="469">
        <f t="shared" si="3"/>
        <v>0</v>
      </c>
      <c r="M32" s="200">
        <f t="shared" ref="M32:M40" si="17">IFS(
E32&gt;=10,960,
E32&gt;=8,768,
E32&gt;=6,576,
E32&gt;=4,384,
E32&gt;=2,192,
1=1,64
)</f>
        <v>64</v>
      </c>
      <c r="N32" s="558">
        <f t="shared" si="16"/>
        <v>640</v>
      </c>
      <c r="O32" s="122">
        <f>'Minion Sales'!L32+'Minion Sales'!M32+'Minion Sales'!N32</f>
        <v>1</v>
      </c>
      <c r="P32" s="563">
        <f t="shared" ref="P32:P55" si="18">N32*L32*2/O32/3600</f>
        <v>0</v>
      </c>
      <c r="Q32" s="564">
        <f>MAX(0,(M32+H32-319-159*J32-IF(H32&gt;0,319+IF(J32,159,0),0))*160*L32*2/O32/3600/24)</f>
        <v>0</v>
      </c>
    </row>
    <row r="33">
      <c r="B33" s="27" t="str">
        <f>'Minion Checker'!D37</f>
        <v/>
      </c>
      <c r="C33" s="34" t="str">
        <f>'Minion Checker'!E37</f>
        <v>Revenant</v>
      </c>
      <c r="D33" s="180">
        <f>IFERROR(ROMAN('Minion Checker'!H37),0)</f>
        <v>0</v>
      </c>
      <c r="E33" s="104">
        <f t="shared" si="1"/>
        <v>0</v>
      </c>
      <c r="F33" s="181">
        <v>0.25</v>
      </c>
      <c r="G33" s="545" t="s">
        <v>559</v>
      </c>
      <c r="H33" s="546">
        <f t="shared" si="10"/>
        <v>576</v>
      </c>
      <c r="I33" s="547"/>
      <c r="J33" s="548" t="b">
        <v>0</v>
      </c>
      <c r="K33" s="561" t="str">
        <f>IF(AND(E33&lt;=11,E33&gt;0),OFFSET('Minion Tiers'!$S$2,E33,0),"")</f>
        <v/>
      </c>
      <c r="L33" s="465">
        <f t="shared" si="3"/>
        <v>0</v>
      </c>
      <c r="M33" s="187">
        <f t="shared" si="17"/>
        <v>64</v>
      </c>
      <c r="N33" s="562">
        <f t="shared" si="16"/>
        <v>640</v>
      </c>
      <c r="O33" s="108">
        <f>'Minion Sales'!L33+'Minion Sales'!M33+'Minion Sales'!N33</f>
        <v>3.2</v>
      </c>
      <c r="P33" s="551">
        <f t="shared" si="18"/>
        <v>0</v>
      </c>
      <c r="Q33" s="552">
        <f t="shared" ref="Q33:Q35" si="19">MAX(0,(M33+H33-159-159*J33-IF(H33&gt;0,159+IF(J33,159,0),0))*160*L33*2/O33/3600/24)</f>
        <v>0</v>
      </c>
    </row>
    <row r="34">
      <c r="B34" s="25" t="str">
        <f>'Minion Checker'!D38</f>
        <v/>
      </c>
      <c r="C34" s="37" t="str">
        <f>'Minion Checker'!E38</f>
        <v>Skeleton</v>
      </c>
      <c r="D34" s="192">
        <f>IFERROR(ROMAN('Minion Checker'!H38),0)</f>
        <v>0</v>
      </c>
      <c r="E34" s="118">
        <f t="shared" si="1"/>
        <v>0</v>
      </c>
      <c r="F34" s="194">
        <v>0.25</v>
      </c>
      <c r="G34" s="553" t="s">
        <v>559</v>
      </c>
      <c r="H34" s="554">
        <f t="shared" si="10"/>
        <v>576</v>
      </c>
      <c r="I34" s="555"/>
      <c r="J34" s="556" t="b">
        <v>0</v>
      </c>
      <c r="K34" s="557" t="str">
        <f>IF(AND(E34&lt;=11,E34&gt;0),OFFSET('Minion Tiers'!$S$15,E34,0),"")</f>
        <v/>
      </c>
      <c r="L34" s="469">
        <f t="shared" si="3"/>
        <v>0</v>
      </c>
      <c r="M34" s="200">
        <f t="shared" si="17"/>
        <v>64</v>
      </c>
      <c r="N34" s="558">
        <f t="shared" si="16"/>
        <v>640</v>
      </c>
      <c r="O34" s="122">
        <f>'Minion Sales'!L34+'Minion Sales'!M34+'Minion Sales'!N34</f>
        <v>1</v>
      </c>
      <c r="P34" s="559">
        <f t="shared" si="18"/>
        <v>0</v>
      </c>
      <c r="Q34" s="560">
        <f t="shared" si="19"/>
        <v>0</v>
      </c>
    </row>
    <row r="35">
      <c r="B35" s="27" t="str">
        <f>'Minion Checker'!D39</f>
        <v/>
      </c>
      <c r="C35" s="34" t="str">
        <f>'Minion Checker'!E39</f>
        <v>Creeper</v>
      </c>
      <c r="D35" s="180">
        <f>IFERROR(ROMAN('Minion Checker'!H39),0)</f>
        <v>0</v>
      </c>
      <c r="E35" s="104">
        <f t="shared" si="1"/>
        <v>0</v>
      </c>
      <c r="F35" s="181">
        <v>0.25</v>
      </c>
      <c r="G35" s="545" t="s">
        <v>559</v>
      </c>
      <c r="H35" s="546">
        <f t="shared" si="10"/>
        <v>576</v>
      </c>
      <c r="I35" s="547"/>
      <c r="J35" s="548" t="b">
        <v>0</v>
      </c>
      <c r="K35" s="561" t="str">
        <f>IF(AND(E35&lt;=11,E35&gt;0),OFFSET('Minion Tiers'!$S$28,E35,0),"")</f>
        <v/>
      </c>
      <c r="L35" s="465">
        <f t="shared" si="3"/>
        <v>0</v>
      </c>
      <c r="M35" s="187">
        <f t="shared" si="17"/>
        <v>64</v>
      </c>
      <c r="N35" s="562">
        <f t="shared" si="16"/>
        <v>640</v>
      </c>
      <c r="O35" s="108">
        <f>'Minion Sales'!L35+'Minion Sales'!M35+'Minion Sales'!N35</f>
        <v>1</v>
      </c>
      <c r="P35" s="551">
        <f t="shared" si="18"/>
        <v>0</v>
      </c>
      <c r="Q35" s="552">
        <f t="shared" si="19"/>
        <v>0</v>
      </c>
    </row>
    <row r="36">
      <c r="B36" s="25" t="str">
        <f>'Minion Checker'!D40</f>
        <v/>
      </c>
      <c r="C36" s="37" t="str">
        <f>'Minion Checker'!E40</f>
        <v>Spider</v>
      </c>
      <c r="D36" s="192">
        <f>IFERROR(ROMAN('Minion Checker'!H40),0)</f>
        <v>0</v>
      </c>
      <c r="E36" s="118">
        <f t="shared" si="1"/>
        <v>0</v>
      </c>
      <c r="F36" s="194">
        <v>0.25</v>
      </c>
      <c r="G36" s="553" t="s">
        <v>559</v>
      </c>
      <c r="H36" s="554">
        <f t="shared" si="10"/>
        <v>576</v>
      </c>
      <c r="I36" s="555"/>
      <c r="J36" s="556" t="b">
        <v>0</v>
      </c>
      <c r="K36" s="557" t="str">
        <f>IF(AND(E36&lt;=11,E36&gt;0),OFFSET('Minion Tiers'!$S$41,E36,0),"")</f>
        <v/>
      </c>
      <c r="L36" s="469">
        <f t="shared" si="3"/>
        <v>0</v>
      </c>
      <c r="M36" s="200">
        <f t="shared" si="17"/>
        <v>64</v>
      </c>
      <c r="N36" s="558">
        <f t="shared" si="16"/>
        <v>640</v>
      </c>
      <c r="O36" s="122">
        <f>'Minion Sales'!L36+'Minion Sales'!M36+'Minion Sales'!N36</f>
        <v>1.5</v>
      </c>
      <c r="P36" s="563">
        <f t="shared" si="18"/>
        <v>0</v>
      </c>
      <c r="Q36" s="564">
        <f>MAX(0,(M36+H36-319-159*J36-IF(H36&gt;0,319+IF(J36,159,0),0))*160*L36*2/O36/3600/24)</f>
        <v>0</v>
      </c>
    </row>
    <row r="37">
      <c r="B37" s="27" t="str">
        <f>'Minion Checker'!D41</f>
        <v/>
      </c>
      <c r="C37" s="34" t="str">
        <f>'Minion Checker'!E41</f>
        <v>Tarantula</v>
      </c>
      <c r="D37" s="180">
        <f>IFERROR(ROMAN('Minion Checker'!H41),0)</f>
        <v>0</v>
      </c>
      <c r="E37" s="104">
        <f t="shared" si="1"/>
        <v>0</v>
      </c>
      <c r="F37" s="181">
        <v>0.25</v>
      </c>
      <c r="G37" s="545" t="s">
        <v>559</v>
      </c>
      <c r="H37" s="546">
        <f t="shared" si="10"/>
        <v>576</v>
      </c>
      <c r="I37" s="547"/>
      <c r="J37" s="548" t="b">
        <v>0</v>
      </c>
      <c r="K37" s="561" t="str">
        <f>IF(AND(E37&lt;=11,E37&gt;0),OFFSET('Minion Tiers'!$S$54,E37,0),"")</f>
        <v/>
      </c>
      <c r="L37" s="465">
        <f t="shared" si="3"/>
        <v>0</v>
      </c>
      <c r="M37" s="187">
        <f t="shared" si="17"/>
        <v>64</v>
      </c>
      <c r="N37" s="562">
        <f t="shared" si="16"/>
        <v>640</v>
      </c>
      <c r="O37" s="108">
        <f>'Minion Sales'!L37+'Minion Sales'!M37+'Minion Sales'!N37</f>
        <v>4.36</v>
      </c>
      <c r="P37" s="551">
        <f t="shared" si="18"/>
        <v>0</v>
      </c>
      <c r="Q37" s="552">
        <f>MAX(0,(M37+H37-479-159*J37-IF(H37&gt;0,479+IF(J37,159,0),0))*160*L37*2/O37/3600/24)</f>
        <v>0</v>
      </c>
    </row>
    <row r="38">
      <c r="B38" s="25" t="str">
        <f>'Minion Checker'!D42</f>
        <v/>
      </c>
      <c r="C38" s="37" t="str">
        <f>'Minion Checker'!E42</f>
        <v>Cave Spider</v>
      </c>
      <c r="D38" s="192">
        <f>IFERROR(ROMAN('Minion Checker'!H42),0)</f>
        <v>0</v>
      </c>
      <c r="E38" s="118">
        <f t="shared" si="1"/>
        <v>0</v>
      </c>
      <c r="F38" s="194">
        <v>0.25</v>
      </c>
      <c r="G38" s="553" t="s">
        <v>559</v>
      </c>
      <c r="H38" s="554">
        <f t="shared" si="10"/>
        <v>576</v>
      </c>
      <c r="I38" s="555"/>
      <c r="J38" s="556" t="b">
        <v>0</v>
      </c>
      <c r="K38" s="557" t="str">
        <f>IF(AND(E38&lt;=11,E38&gt;0),OFFSET('Minion Tiers'!$S$67,E38,0),"")</f>
        <v/>
      </c>
      <c r="L38" s="469">
        <f t="shared" si="3"/>
        <v>0</v>
      </c>
      <c r="M38" s="200">
        <f t="shared" si="17"/>
        <v>64</v>
      </c>
      <c r="N38" s="558">
        <f t="shared" si="16"/>
        <v>640</v>
      </c>
      <c r="O38" s="122">
        <f>'Minion Sales'!L38+'Minion Sales'!M38+'Minion Sales'!N38</f>
        <v>1.5</v>
      </c>
      <c r="P38" s="559">
        <f t="shared" si="18"/>
        <v>0</v>
      </c>
      <c r="Q38" s="560">
        <f>MAX(0,(M38+H38-319-159*J38-IF(H38&gt;0,319+IF(J38,159,0),0))*160*L38*2/O38/3600/24)</f>
        <v>0</v>
      </c>
    </row>
    <row r="39">
      <c r="B39" s="27" t="str">
        <f>'Minion Checker'!D43</f>
        <v/>
      </c>
      <c r="C39" s="34" t="str">
        <f>'Minion Checker'!E43</f>
        <v>Blaze</v>
      </c>
      <c r="D39" s="180">
        <f>IFERROR(ROMAN('Minion Checker'!H43),0)</f>
        <v>0</v>
      </c>
      <c r="E39" s="104">
        <f t="shared" si="1"/>
        <v>0</v>
      </c>
      <c r="F39" s="181">
        <v>0.25</v>
      </c>
      <c r="G39" s="545" t="s">
        <v>559</v>
      </c>
      <c r="H39" s="546">
        <f t="shared" si="10"/>
        <v>576</v>
      </c>
      <c r="I39" s="547"/>
      <c r="J39" s="548" t="b">
        <v>0</v>
      </c>
      <c r="K39" s="561" t="str">
        <f>IF(AND(E39&lt;=11,E39&gt;0),OFFSET('Minion Tiers'!$S$80,E39,0),"")</f>
        <v/>
      </c>
      <c r="L39" s="465">
        <f t="shared" si="3"/>
        <v>0</v>
      </c>
      <c r="M39" s="187">
        <f t="shared" si="17"/>
        <v>64</v>
      </c>
      <c r="N39" s="562">
        <f t="shared" si="16"/>
        <v>640</v>
      </c>
      <c r="O39" s="108">
        <f>'Minion Sales'!L39+'Minion Sales'!M39+'Minion Sales'!N39</f>
        <v>1</v>
      </c>
      <c r="P39" s="551">
        <f t="shared" si="18"/>
        <v>0</v>
      </c>
      <c r="Q39" s="552">
        <f t="shared" ref="Q39:Q40" si="20">MAX(0,(M39+H39-159-159*J39-IF(H39&gt;0,159+IF(J39,159,0),0))*160*L39*2/O39/3600/24)</f>
        <v>0</v>
      </c>
    </row>
    <row r="40">
      <c r="B40" s="25" t="str">
        <f>'Minion Checker'!D44</f>
        <v/>
      </c>
      <c r="C40" s="37" t="str">
        <f>'Minion Checker'!E44</f>
        <v>Magma Cube</v>
      </c>
      <c r="D40" s="192">
        <f>IFERROR(ROMAN('Minion Checker'!H44),0)</f>
        <v>0</v>
      </c>
      <c r="E40" s="118">
        <f t="shared" si="1"/>
        <v>0</v>
      </c>
      <c r="F40" s="194">
        <v>0.25</v>
      </c>
      <c r="G40" s="553" t="s">
        <v>559</v>
      </c>
      <c r="H40" s="554">
        <f t="shared" si="10"/>
        <v>576</v>
      </c>
      <c r="I40" s="555"/>
      <c r="J40" s="556" t="b">
        <v>0</v>
      </c>
      <c r="K40" s="557" t="str">
        <f>IF(AND(E40&lt;=11,E40&gt;0),OFFSET('Minion Tiers'!$S$93,E40,0),"")</f>
        <v/>
      </c>
      <c r="L40" s="469">
        <f t="shared" si="3"/>
        <v>0</v>
      </c>
      <c r="M40" s="200">
        <f t="shared" si="17"/>
        <v>64</v>
      </c>
      <c r="N40" s="558">
        <f t="shared" si="16"/>
        <v>640</v>
      </c>
      <c r="O40" s="122">
        <f>'Minion Sales'!L40+'Minion Sales'!M40+'Minion Sales'!N40</f>
        <v>1.8</v>
      </c>
      <c r="P40" s="559">
        <f t="shared" si="18"/>
        <v>0</v>
      </c>
      <c r="Q40" s="560">
        <f t="shared" si="20"/>
        <v>0</v>
      </c>
    </row>
    <row r="41">
      <c r="B41" s="27" t="str">
        <f>'Minion Checker'!D45</f>
        <v/>
      </c>
      <c r="C41" s="34" t="str">
        <f>'Minion Checker'!E45</f>
        <v>Enderman</v>
      </c>
      <c r="D41" s="180">
        <f>IFERROR(ROMAN('Minion Checker'!H45),0)</f>
        <v>0</v>
      </c>
      <c r="E41" s="104">
        <f t="shared" si="1"/>
        <v>0</v>
      </c>
      <c r="F41" s="181">
        <v>0.25</v>
      </c>
      <c r="G41" s="545" t="s">
        <v>559</v>
      </c>
      <c r="H41" s="546">
        <f>IFS(G41="Small",3*64,G41="Medium",9*64,G41="Large",15*64,1=1,0)/4</f>
        <v>144</v>
      </c>
      <c r="I41" s="547"/>
      <c r="J41" s="548" t="b">
        <v>0</v>
      </c>
      <c r="K41" s="561" t="str">
        <f>IF(AND(E41&lt;=11,E41&gt;0),OFFSET('Minion Tiers'!$S$106,E41,0),"")</f>
        <v/>
      </c>
      <c r="L41" s="465">
        <f t="shared" si="3"/>
        <v>0</v>
      </c>
      <c r="M41" s="187">
        <f>IFS(
E41&gt;=10,960,
E41&gt;=8,768,
E41&gt;=6,576,
E41&gt;=4,384,
E41&gt;=2,192,
1=1,64
)/4</f>
        <v>16</v>
      </c>
      <c r="N41" s="562">
        <f t="shared" si="16"/>
        <v>160</v>
      </c>
      <c r="O41" s="108">
        <f>'Minion Sales'!L41+'Minion Sales'!M41+'Minion Sales'!N41</f>
        <v>1</v>
      </c>
      <c r="P41" s="551">
        <f t="shared" si="18"/>
        <v>0</v>
      </c>
      <c r="Q41" s="552">
        <f>MAX(0,((M41+H41)*4-96-159*J41-IF(H41&gt;0,96+IF(J41,159,0),0))*160*L41*2/O41/3600/24)</f>
        <v>0</v>
      </c>
    </row>
    <row r="42">
      <c r="B42" s="25" t="str">
        <f>'Minion Checker'!D46</f>
        <v/>
      </c>
      <c r="C42" s="37" t="str">
        <f>'Minion Checker'!E46</f>
        <v>Ghast</v>
      </c>
      <c r="D42" s="192">
        <f>IFERROR(ROMAN('Minion Checker'!H46),0)</f>
        <v>0</v>
      </c>
      <c r="E42" s="118">
        <f t="shared" si="1"/>
        <v>0</v>
      </c>
      <c r="F42" s="194">
        <v>0.25</v>
      </c>
      <c r="G42" s="553" t="s">
        <v>559</v>
      </c>
      <c r="H42" s="554">
        <f t="shared" ref="H42:H55" si="21">IFS(G42="Small",3*64,G42="Medium",9*64,G42="Large",15*64,1=1,0)</f>
        <v>576</v>
      </c>
      <c r="I42" s="555"/>
      <c r="J42" s="556" t="b">
        <v>0</v>
      </c>
      <c r="K42" s="557" t="str">
        <f>IF(AND(E42&lt;=11,E42&gt;0),OFFSET('Minion Tiers'!$S$119,E42,0),"")</f>
        <v/>
      </c>
      <c r="L42" s="469">
        <f t="shared" si="3"/>
        <v>0</v>
      </c>
      <c r="M42" s="200">
        <f t="shared" ref="M42:M55" si="22">IFS(
E42&gt;=10,960,
E42&gt;=8,768,
E42&gt;=6,576,
E42&gt;=4,384,
E42&gt;=2,192,
1=1,64
)</f>
        <v>64</v>
      </c>
      <c r="N42" s="558">
        <f t="shared" si="16"/>
        <v>640</v>
      </c>
      <c r="O42" s="122">
        <f>'Minion Sales'!L42+'Minion Sales'!M42+'Minion Sales'!N42</f>
        <v>1</v>
      </c>
      <c r="P42" s="559">
        <f t="shared" si="18"/>
        <v>0</v>
      </c>
      <c r="Q42" s="560">
        <f>MAX(0,(M42+H42-4-159*J42-IF(H42&gt;0,4+IF(J42,159,0),0))*5*L42*2/O42/3600/24)</f>
        <v>0</v>
      </c>
    </row>
    <row r="43">
      <c r="B43" s="27" t="str">
        <f>'Minion Checker'!D47</f>
        <v/>
      </c>
      <c r="C43" s="34" t="str">
        <f>'Minion Checker'!E47</f>
        <v>Slime</v>
      </c>
      <c r="D43" s="180">
        <f>IFERROR(ROMAN('Minion Checker'!H47),0)</f>
        <v>0</v>
      </c>
      <c r="E43" s="104">
        <f t="shared" si="1"/>
        <v>0</v>
      </c>
      <c r="F43" s="181">
        <v>0.25</v>
      </c>
      <c r="G43" s="545" t="s">
        <v>559</v>
      </c>
      <c r="H43" s="546">
        <f t="shared" si="21"/>
        <v>576</v>
      </c>
      <c r="I43" s="547" t="b">
        <v>0</v>
      </c>
      <c r="J43" s="548" t="b">
        <v>0</v>
      </c>
      <c r="K43" s="561" t="str">
        <f>IF(AND(E43&lt;=11,E43&gt;0),OFFSET('Minion Tiers'!$S$132,E43,0),"")</f>
        <v/>
      </c>
      <c r="L43" s="465">
        <f t="shared" si="3"/>
        <v>0</v>
      </c>
      <c r="M43" s="187">
        <f t="shared" si="22"/>
        <v>64</v>
      </c>
      <c r="N43" s="562">
        <f>MAX(0,(M43+H43-63*I43-63*J43-IF(H43&gt;0,IF(I43,63,0)+IF(J43,63),0))*IF(I43,9,1))</f>
        <v>640</v>
      </c>
      <c r="O43" s="108">
        <f>'Minion Sales'!L43+'Minion Sales'!M43+'Minion Sales'!N43</f>
        <v>1.8</v>
      </c>
      <c r="P43" s="551">
        <f t="shared" si="18"/>
        <v>0</v>
      </c>
      <c r="Q43" s="552">
        <f>MAX(0,(M43+H43-159-159*J43-IF(H43&gt;0,159+IF(J43,159,0),0))*160*L43*2/O43/3600/24)</f>
        <v>0</v>
      </c>
    </row>
    <row r="44">
      <c r="B44" s="25" t="str">
        <f>'Minion Checker'!D48</f>
        <v/>
      </c>
      <c r="C44" s="37" t="str">
        <f>'Minion Checker'!E48</f>
        <v>Cow</v>
      </c>
      <c r="D44" s="192">
        <f>IFERROR(ROMAN('Minion Checker'!H48),0)</f>
        <v>0</v>
      </c>
      <c r="E44" s="118">
        <f t="shared" si="1"/>
        <v>0</v>
      </c>
      <c r="F44" s="194">
        <v>0.25</v>
      </c>
      <c r="G44" s="553" t="s">
        <v>559</v>
      </c>
      <c r="H44" s="554">
        <f t="shared" si="21"/>
        <v>576</v>
      </c>
      <c r="I44" s="555"/>
      <c r="J44" s="556" t="b">
        <v>0</v>
      </c>
      <c r="K44" s="557" t="str">
        <f>IF(AND(E44&lt;=11,E44&gt;0),OFFSET('Minion Tiers'!$S$145,E44,0),"")</f>
        <v/>
      </c>
      <c r="L44" s="469">
        <f t="shared" si="3"/>
        <v>0</v>
      </c>
      <c r="M44" s="200">
        <f t="shared" si="22"/>
        <v>64</v>
      </c>
      <c r="N44" s="558">
        <f t="shared" ref="N44:N55" si="23">MAX(0,M44+H44)</f>
        <v>640</v>
      </c>
      <c r="O44" s="122">
        <f>'Minion Sales'!L44+'Minion Sales'!M44+'Minion Sales'!N44</f>
        <v>2</v>
      </c>
      <c r="P44" s="559">
        <f t="shared" si="18"/>
        <v>0</v>
      </c>
      <c r="Q44" s="560">
        <f>MAX(0,(M44+H44-639-159*J44-IF(H44&gt;0,639+IF(J44,159,0),0))*160*L44*2/O44/3600/24)</f>
        <v>0</v>
      </c>
    </row>
    <row r="45">
      <c r="B45" s="27" t="str">
        <f>'Minion Checker'!D49</f>
        <v/>
      </c>
      <c r="C45" s="34" t="str">
        <f>'Minion Checker'!E49</f>
        <v>Pig</v>
      </c>
      <c r="D45" s="180">
        <f>IFERROR(ROMAN('Minion Checker'!H49),0)</f>
        <v>0</v>
      </c>
      <c r="E45" s="104">
        <f t="shared" si="1"/>
        <v>0</v>
      </c>
      <c r="F45" s="181">
        <v>0.25</v>
      </c>
      <c r="G45" s="545" t="s">
        <v>559</v>
      </c>
      <c r="H45" s="546">
        <f t="shared" si="21"/>
        <v>576</v>
      </c>
      <c r="I45" s="547"/>
      <c r="J45" s="548" t="b">
        <v>0</v>
      </c>
      <c r="K45" s="561" t="str">
        <f>IF(AND(E45&lt;=11,E45&gt;0),OFFSET('Minion Tiers'!$S$158,E45,0),"")</f>
        <v/>
      </c>
      <c r="L45" s="465">
        <f t="shared" si="3"/>
        <v>0</v>
      </c>
      <c r="M45" s="187">
        <f t="shared" si="22"/>
        <v>64</v>
      </c>
      <c r="N45" s="562">
        <f t="shared" si="23"/>
        <v>640</v>
      </c>
      <c r="O45" s="108">
        <f>'Minion Sales'!L45+'Minion Sales'!M45+'Minion Sales'!N45</f>
        <v>1</v>
      </c>
      <c r="P45" s="551">
        <f t="shared" si="18"/>
        <v>0</v>
      </c>
      <c r="Q45" s="552">
        <f>MAX(0,(M45+H45-159-159*J45-IF(H45&gt;0,159+IF(J45,159,0),0))*160*L45*2/O45/3600/24)</f>
        <v>0</v>
      </c>
    </row>
    <row r="46">
      <c r="B46" s="25" t="str">
        <f>'Minion Checker'!D50</f>
        <v/>
      </c>
      <c r="C46" s="37" t="str">
        <f>'Minion Checker'!E50</f>
        <v>Chicken</v>
      </c>
      <c r="D46" s="192">
        <f>IFERROR(ROMAN('Minion Checker'!H50),0)</f>
        <v>0</v>
      </c>
      <c r="E46" s="118">
        <f t="shared" si="1"/>
        <v>0</v>
      </c>
      <c r="F46" s="194">
        <v>0.25</v>
      </c>
      <c r="G46" s="553" t="s">
        <v>559</v>
      </c>
      <c r="H46" s="554">
        <f t="shared" si="21"/>
        <v>576</v>
      </c>
      <c r="I46" s="555"/>
      <c r="J46" s="556" t="b">
        <v>0</v>
      </c>
      <c r="K46" s="557" t="str">
        <f>IF(AND(E46&lt;=11,E46&gt;0),OFFSET('Minion Tiers'!$S$171,E46,0),"")</f>
        <v/>
      </c>
      <c r="L46" s="469">
        <f t="shared" si="3"/>
        <v>0</v>
      </c>
      <c r="M46" s="200">
        <f t="shared" si="22"/>
        <v>64</v>
      </c>
      <c r="N46" s="558">
        <f t="shared" si="23"/>
        <v>640</v>
      </c>
      <c r="O46" s="122">
        <f>'Minion Sales'!L46+'Minion Sales'!M46+'Minion Sales'!N46</f>
        <v>3</v>
      </c>
      <c r="P46" s="559">
        <f t="shared" si="18"/>
        <v>0</v>
      </c>
      <c r="Q46" s="560">
        <f>MAX(0,(M46+H46-639-159*J46-IF(H46&gt;0,639+IF(J46,159,0),0))*160*L46*2/O46/3600/24)</f>
        <v>0</v>
      </c>
    </row>
    <row r="47">
      <c r="B47" s="27" t="str">
        <f>'Minion Checker'!D51</f>
        <v/>
      </c>
      <c r="C47" s="34" t="str">
        <f>'Minion Checker'!E51</f>
        <v>Sheep</v>
      </c>
      <c r="D47" s="180">
        <f>IFERROR(ROMAN('Minion Checker'!H51),0)</f>
        <v>0</v>
      </c>
      <c r="E47" s="104">
        <f t="shared" si="1"/>
        <v>0</v>
      </c>
      <c r="F47" s="181">
        <v>0.25</v>
      </c>
      <c r="G47" s="545" t="s">
        <v>559</v>
      </c>
      <c r="H47" s="546">
        <f t="shared" si="21"/>
        <v>576</v>
      </c>
      <c r="I47" s="547"/>
      <c r="J47" s="548" t="b">
        <v>0</v>
      </c>
      <c r="K47" s="561" t="str">
        <f>IF(AND(E47&lt;=11,E47&gt;0),OFFSET('Minion Tiers'!$S$184,E47,0),"")</f>
        <v/>
      </c>
      <c r="L47" s="465">
        <f t="shared" si="3"/>
        <v>0</v>
      </c>
      <c r="M47" s="187">
        <f t="shared" si="22"/>
        <v>64</v>
      </c>
      <c r="N47" s="562">
        <f t="shared" si="23"/>
        <v>640</v>
      </c>
      <c r="O47" s="108">
        <f>'Minion Sales'!L47+'Minion Sales'!M47+'Minion Sales'!N47</f>
        <v>2</v>
      </c>
      <c r="P47" s="551">
        <f t="shared" si="18"/>
        <v>0</v>
      </c>
      <c r="Q47" s="552">
        <f t="shared" ref="Q47:Q48" si="24">MAX(0,(M47+H47-479-159*J47-IF(H47&gt;0,479+IF(J47,159,0),0))*160*L47*2/O47/3600/24)</f>
        <v>0</v>
      </c>
    </row>
    <row r="48">
      <c r="B48" s="25" t="str">
        <f>'Minion Checker'!D52</f>
        <v/>
      </c>
      <c r="C48" s="37" t="str">
        <f>'Minion Checker'!E52</f>
        <v>Rabbit</v>
      </c>
      <c r="D48" s="192">
        <f>IFERROR(ROMAN('Minion Checker'!H52),0)</f>
        <v>0</v>
      </c>
      <c r="E48" s="118">
        <f t="shared" si="1"/>
        <v>0</v>
      </c>
      <c r="F48" s="194">
        <v>0.25</v>
      </c>
      <c r="G48" s="553" t="s">
        <v>559</v>
      </c>
      <c r="H48" s="554">
        <f t="shared" si="21"/>
        <v>576</v>
      </c>
      <c r="I48" s="555"/>
      <c r="J48" s="556" t="b">
        <v>0</v>
      </c>
      <c r="K48" s="557" t="str">
        <f>IF(AND(E48&lt;=11,E48&gt;0),OFFSET('Minion Tiers'!$S$197,E48,0),"")</f>
        <v/>
      </c>
      <c r="L48" s="469">
        <f t="shared" si="3"/>
        <v>0</v>
      </c>
      <c r="M48" s="200">
        <f t="shared" si="22"/>
        <v>64</v>
      </c>
      <c r="N48" s="558">
        <f t="shared" si="23"/>
        <v>640</v>
      </c>
      <c r="O48" s="122">
        <f>'Minion Sales'!L48+'Minion Sales'!M48+'Minion Sales'!N48</f>
        <v>1.7</v>
      </c>
      <c r="P48" s="559">
        <f t="shared" si="18"/>
        <v>0</v>
      </c>
      <c r="Q48" s="560">
        <f t="shared" si="24"/>
        <v>0</v>
      </c>
    </row>
    <row r="49">
      <c r="B49" s="27" t="str">
        <f>'Minion Checker'!D53</f>
        <v/>
      </c>
      <c r="C49" s="34" t="str">
        <f>'Minion Checker'!E53</f>
        <v>Oak</v>
      </c>
      <c r="D49" s="180">
        <f>IFERROR(ROMAN('Minion Checker'!H53),0)</f>
        <v>0</v>
      </c>
      <c r="E49" s="104">
        <f t="shared" si="1"/>
        <v>0</v>
      </c>
      <c r="F49" s="181">
        <v>0.25</v>
      </c>
      <c r="G49" s="545" t="s">
        <v>559</v>
      </c>
      <c r="H49" s="546">
        <f t="shared" si="21"/>
        <v>576</v>
      </c>
      <c r="I49" s="547"/>
      <c r="J49" s="548" t="b">
        <v>0</v>
      </c>
      <c r="K49" s="561" t="str">
        <f>IF(AND(E49&lt;=11,E49&gt;0),OFFSET('Minion Tiers'!$S$210,E49,0),"")</f>
        <v/>
      </c>
      <c r="L49" s="465">
        <f t="shared" si="3"/>
        <v>0</v>
      </c>
      <c r="M49" s="187">
        <f t="shared" si="22"/>
        <v>64</v>
      </c>
      <c r="N49" s="562">
        <f t="shared" si="23"/>
        <v>640</v>
      </c>
      <c r="O49" s="108">
        <f>'Minion Sales'!L49+'Minion Sales'!M49+'Minion Sales'!N49</f>
        <v>4</v>
      </c>
      <c r="P49" s="551">
        <f t="shared" si="18"/>
        <v>0</v>
      </c>
      <c r="Q49" s="552">
        <f t="shared" ref="Q49:Q55" si="25">MAX(0,(M49+H49-159-159*J49-IF(H49&gt;0,159+IF(J49,159,0),0))*160*L49*2/O49/3600/24)</f>
        <v>0</v>
      </c>
    </row>
    <row r="50">
      <c r="B50" s="25" t="str">
        <f>'Minion Checker'!D54</f>
        <v/>
      </c>
      <c r="C50" s="37" t="str">
        <f>'Minion Checker'!E54</f>
        <v>Spruce</v>
      </c>
      <c r="D50" s="192">
        <f>IFERROR(ROMAN('Minion Checker'!H54),0)</f>
        <v>0</v>
      </c>
      <c r="E50" s="118">
        <f t="shared" si="1"/>
        <v>0</v>
      </c>
      <c r="F50" s="194">
        <v>0.25</v>
      </c>
      <c r="G50" s="553" t="s">
        <v>559</v>
      </c>
      <c r="H50" s="554">
        <f t="shared" si="21"/>
        <v>576</v>
      </c>
      <c r="I50" s="555"/>
      <c r="J50" s="556" t="b">
        <v>0</v>
      </c>
      <c r="K50" s="557" t="str">
        <f>IF(AND(E50&lt;=11,E50&gt;0),OFFSET('Minion Tiers'!$S$223,E50,0),"")</f>
        <v/>
      </c>
      <c r="L50" s="469">
        <f t="shared" si="3"/>
        <v>0</v>
      </c>
      <c r="M50" s="200">
        <f t="shared" si="22"/>
        <v>64</v>
      </c>
      <c r="N50" s="558">
        <f t="shared" si="23"/>
        <v>640</v>
      </c>
      <c r="O50" s="122">
        <f>'Minion Sales'!L50+'Minion Sales'!M50+'Minion Sales'!N50</f>
        <v>4</v>
      </c>
      <c r="P50" s="559">
        <f t="shared" si="18"/>
        <v>0</v>
      </c>
      <c r="Q50" s="560">
        <f t="shared" si="25"/>
        <v>0</v>
      </c>
    </row>
    <row r="51">
      <c r="B51" s="27" t="str">
        <f>'Minion Checker'!D55</f>
        <v/>
      </c>
      <c r="C51" s="34" t="str">
        <f>'Minion Checker'!E55</f>
        <v>Birch</v>
      </c>
      <c r="D51" s="180">
        <f>IFERROR(ROMAN('Minion Checker'!H55),0)</f>
        <v>0</v>
      </c>
      <c r="E51" s="104">
        <f t="shared" si="1"/>
        <v>0</v>
      </c>
      <c r="F51" s="181">
        <v>0.25</v>
      </c>
      <c r="G51" s="545" t="s">
        <v>559</v>
      </c>
      <c r="H51" s="546">
        <f t="shared" si="21"/>
        <v>576</v>
      </c>
      <c r="I51" s="547"/>
      <c r="J51" s="548" t="b">
        <v>0</v>
      </c>
      <c r="K51" s="561" t="str">
        <f>IF(AND(E51&lt;=11,E51&gt;0),OFFSET('Minion Tiers'!$S$236,E51,0),"")</f>
        <v/>
      </c>
      <c r="L51" s="465">
        <f t="shared" si="3"/>
        <v>0</v>
      </c>
      <c r="M51" s="187">
        <f t="shared" si="22"/>
        <v>64</v>
      </c>
      <c r="N51" s="562">
        <f t="shared" si="23"/>
        <v>640</v>
      </c>
      <c r="O51" s="108">
        <f>'Minion Sales'!L51+'Minion Sales'!M51+'Minion Sales'!N51</f>
        <v>4</v>
      </c>
      <c r="P51" s="551">
        <f t="shared" si="18"/>
        <v>0</v>
      </c>
      <c r="Q51" s="552">
        <f t="shared" si="25"/>
        <v>0</v>
      </c>
    </row>
    <row r="52">
      <c r="B52" s="25" t="str">
        <f>'Minion Checker'!D56</f>
        <v/>
      </c>
      <c r="C52" s="37" t="str">
        <f>'Minion Checker'!E56</f>
        <v>Dark Oak</v>
      </c>
      <c r="D52" s="192">
        <f>IFERROR(ROMAN('Minion Checker'!H56),0)</f>
        <v>0</v>
      </c>
      <c r="E52" s="118">
        <f t="shared" si="1"/>
        <v>0</v>
      </c>
      <c r="F52" s="194">
        <v>0.25</v>
      </c>
      <c r="G52" s="553" t="s">
        <v>559</v>
      </c>
      <c r="H52" s="554">
        <f t="shared" si="21"/>
        <v>576</v>
      </c>
      <c r="I52" s="555"/>
      <c r="J52" s="556" t="b">
        <v>0</v>
      </c>
      <c r="K52" s="557" t="str">
        <f>IF(AND(E52&lt;=11,E52&gt;0),OFFSET('Minion Tiers'!$S$249,E52,0),"")</f>
        <v/>
      </c>
      <c r="L52" s="469">
        <f t="shared" si="3"/>
        <v>0</v>
      </c>
      <c r="M52" s="200">
        <f t="shared" si="22"/>
        <v>64</v>
      </c>
      <c r="N52" s="558">
        <f t="shared" si="23"/>
        <v>640</v>
      </c>
      <c r="O52" s="122">
        <f>'Minion Sales'!L52+'Minion Sales'!M52+'Minion Sales'!N52</f>
        <v>4</v>
      </c>
      <c r="P52" s="559">
        <f t="shared" si="18"/>
        <v>0</v>
      </c>
      <c r="Q52" s="560">
        <f t="shared" si="25"/>
        <v>0</v>
      </c>
    </row>
    <row r="53">
      <c r="B53" s="27" t="str">
        <f>'Minion Checker'!D57</f>
        <v/>
      </c>
      <c r="C53" s="34" t="str">
        <f>'Minion Checker'!E57</f>
        <v>Acacia</v>
      </c>
      <c r="D53" s="180">
        <f>IFERROR(ROMAN('Minion Checker'!H57),0)</f>
        <v>0</v>
      </c>
      <c r="E53" s="104">
        <f t="shared" si="1"/>
        <v>0</v>
      </c>
      <c r="F53" s="181">
        <v>0.25</v>
      </c>
      <c r="G53" s="545" t="s">
        <v>559</v>
      </c>
      <c r="H53" s="546">
        <f t="shared" si="21"/>
        <v>576</v>
      </c>
      <c r="I53" s="547"/>
      <c r="J53" s="548" t="b">
        <v>0</v>
      </c>
      <c r="K53" s="561" t="str">
        <f>IF(AND(E53&lt;=11,E53&gt;0),OFFSET('Minion Tiers'!$S$262,E53,0),"")</f>
        <v/>
      </c>
      <c r="L53" s="465">
        <f t="shared" si="3"/>
        <v>0</v>
      </c>
      <c r="M53" s="187">
        <f t="shared" si="22"/>
        <v>64</v>
      </c>
      <c r="N53" s="562">
        <f t="shared" si="23"/>
        <v>640</v>
      </c>
      <c r="O53" s="108">
        <f>'Minion Sales'!L53+'Minion Sales'!M53+'Minion Sales'!N53</f>
        <v>4</v>
      </c>
      <c r="P53" s="551">
        <f t="shared" si="18"/>
        <v>0</v>
      </c>
      <c r="Q53" s="552">
        <f t="shared" si="25"/>
        <v>0</v>
      </c>
    </row>
    <row r="54">
      <c r="B54" s="25" t="str">
        <f>'Minion Checker'!D58</f>
        <v/>
      </c>
      <c r="C54" s="37" t="str">
        <f>'Minion Checker'!E58</f>
        <v>Jungle</v>
      </c>
      <c r="D54" s="192">
        <f>IFERROR(ROMAN('Minion Checker'!H58),0)</f>
        <v>0</v>
      </c>
      <c r="E54" s="118">
        <f t="shared" si="1"/>
        <v>0</v>
      </c>
      <c r="F54" s="194">
        <v>0.25</v>
      </c>
      <c r="G54" s="553" t="s">
        <v>559</v>
      </c>
      <c r="H54" s="554">
        <f t="shared" si="21"/>
        <v>576</v>
      </c>
      <c r="I54" s="555"/>
      <c r="J54" s="556" t="b">
        <v>0</v>
      </c>
      <c r="K54" s="557" t="str">
        <f>IF(AND(E54&lt;=11,E54&gt;0),OFFSET('Minion Tiers'!$S$275,E54,0),"")</f>
        <v/>
      </c>
      <c r="L54" s="469">
        <f t="shared" si="3"/>
        <v>0</v>
      </c>
      <c r="M54" s="200">
        <f t="shared" si="22"/>
        <v>64</v>
      </c>
      <c r="N54" s="558">
        <f t="shared" si="23"/>
        <v>640</v>
      </c>
      <c r="O54" s="122">
        <f>'Minion Sales'!L54+'Minion Sales'!M54+'Minion Sales'!N54</f>
        <v>4</v>
      </c>
      <c r="P54" s="559">
        <f t="shared" si="18"/>
        <v>0</v>
      </c>
      <c r="Q54" s="560">
        <f t="shared" si="25"/>
        <v>0</v>
      </c>
    </row>
    <row r="55">
      <c r="B55" s="27" t="str">
        <f>'Minion Checker'!D59</f>
        <v/>
      </c>
      <c r="C55" s="34" t="str">
        <f>'Minion Checker'!E59</f>
        <v>Mithril</v>
      </c>
      <c r="D55" s="180">
        <f>IFERROR(ROMAN('Minion Checker'!H59),0)</f>
        <v>0</v>
      </c>
      <c r="E55" s="104">
        <f t="shared" si="1"/>
        <v>0</v>
      </c>
      <c r="F55" s="181">
        <v>0.25</v>
      </c>
      <c r="G55" s="545" t="s">
        <v>559</v>
      </c>
      <c r="H55" s="546">
        <f t="shared" si="21"/>
        <v>576</v>
      </c>
      <c r="I55" s="547"/>
      <c r="J55" s="548" t="b">
        <v>0</v>
      </c>
      <c r="K55" s="561" t="str">
        <f>IF(AND(E55&lt;=11,E55&gt;0),OFFSET('Minion Tiers'!$S$262,E55,0),"")</f>
        <v/>
      </c>
      <c r="L55" s="465">
        <f t="shared" si="3"/>
        <v>0</v>
      </c>
      <c r="M55" s="187">
        <f t="shared" si="22"/>
        <v>64</v>
      </c>
      <c r="N55" s="562">
        <f t="shared" si="23"/>
        <v>640</v>
      </c>
      <c r="O55" s="108">
        <f>'Minion Sales'!L55+'Minion Sales'!M55+'Minion Sales'!N55</f>
        <v>2</v>
      </c>
      <c r="P55" s="551">
        <f t="shared" si="18"/>
        <v>0</v>
      </c>
      <c r="Q55" s="552">
        <f t="shared" si="25"/>
        <v>0</v>
      </c>
    </row>
    <row r="56">
      <c r="B56" s="173"/>
      <c r="C56" s="3"/>
      <c r="D56" s="3"/>
      <c r="E56" s="3"/>
      <c r="F56" s="3"/>
      <c r="G56" s="3"/>
      <c r="H56" s="3"/>
      <c r="I56" s="3"/>
      <c r="J56" s="3"/>
      <c r="K56" s="3"/>
      <c r="L56" s="3"/>
      <c r="M56" s="3"/>
      <c r="N56" s="3"/>
      <c r="O56" s="3"/>
      <c r="P56" s="3"/>
      <c r="Q56" s="3"/>
    </row>
  </sheetData>
  <mergeCells count="5">
    <mergeCell ref="A1:A56"/>
    <mergeCell ref="B1:P1"/>
    <mergeCell ref="R1:R56"/>
    <mergeCell ref="B2:C2"/>
    <mergeCell ref="B56:Q56"/>
  </mergeCells>
  <dataValidations>
    <dataValidation type="list" allowBlank="1" showErrorMessage="1" sqref="G3:G55">
      <formula1>"Small,Medium,Large,None,"</formula1>
    </dataValidation>
    <dataValidation type="list" allowBlank="1" showErrorMessage="1" sqref="D3:D55">
      <formula1>"∅,I,II,III,IV,V,VI,VII,VIII,IX,X,XI,XII"</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pageSetUpPr fitToPage="1"/>
  </sheetPr>
  <sheetViews>
    <sheetView showGridLines="0" workbookViewId="0"/>
  </sheetViews>
  <sheetFormatPr customHeight="1" defaultColWidth="12.63" defaultRowHeight="15.75"/>
  <cols>
    <col customWidth="1" min="1" max="1" width="4.13"/>
    <col customWidth="1" min="2" max="2" width="4.63"/>
    <col customWidth="1" min="3" max="3" width="0.63"/>
    <col customWidth="1" min="4" max="4" width="4.63"/>
    <col customWidth="1" min="5" max="5" width="0.63"/>
    <col customWidth="1" min="6" max="6" width="4.63"/>
    <col customWidth="1" min="7" max="7" width="0.63"/>
    <col customWidth="1" min="8" max="8" width="4.63"/>
    <col customWidth="1" min="9" max="9" width="0.63"/>
    <col customWidth="1" min="10" max="10" width="4.63"/>
    <col customWidth="1" min="11" max="11" width="0.63"/>
    <col customWidth="1" min="12" max="12" width="4.63"/>
    <col customWidth="1" min="13" max="13" width="0.63"/>
    <col customWidth="1" min="14" max="14" width="4.63"/>
    <col customWidth="1" min="15" max="15" width="0.63"/>
    <col customWidth="1" min="16" max="16" width="4.63"/>
    <col customWidth="1" min="17" max="17" width="0.63"/>
    <col customWidth="1" min="18" max="18" width="4.63"/>
    <col customWidth="1" min="19" max="19" width="0.63"/>
    <col customWidth="1" min="20" max="20" width="4.63"/>
    <col customWidth="1" min="21" max="21" width="0.63"/>
    <col customWidth="1" min="22" max="22" width="4.63"/>
    <col customWidth="1" min="23" max="23" width="0.63"/>
    <col customWidth="1" min="24" max="24" width="4.63"/>
    <col customWidth="1" min="25" max="25" width="0.63"/>
    <col customWidth="1" min="26" max="26" width="4.63"/>
    <col customWidth="1" min="27" max="27" width="0.63"/>
    <col customWidth="1" min="28" max="28" width="4.63"/>
    <col customWidth="1" min="29" max="29" width="0.63"/>
    <col customWidth="1" min="30" max="30" width="4.63"/>
    <col customWidth="1" min="31" max="31" width="0.63"/>
    <col customWidth="1" min="32" max="32" width="4.63"/>
    <col customWidth="1" min="33" max="33" width="0.63"/>
    <col customWidth="1" min="34" max="34" width="4.63"/>
    <col customWidth="1" min="35" max="35" width="0.63"/>
    <col customWidth="1" min="36" max="36" width="4.63"/>
    <col customWidth="1" min="37" max="37" width="0.63"/>
    <col customWidth="1" min="38" max="38" width="4.63"/>
    <col customWidth="1" min="39" max="39" width="0.63"/>
    <col customWidth="1" min="40" max="40" width="4.63"/>
    <col customWidth="1" min="41" max="41" width="0.63"/>
    <col customWidth="1" min="42" max="42" width="4.63"/>
    <col customWidth="1" min="43" max="43" width="0.63"/>
    <col customWidth="1" min="44" max="44" width="4.63"/>
    <col customWidth="1" min="45" max="45" width="0.63"/>
    <col customWidth="1" min="46" max="46" width="4.63"/>
    <col customWidth="1" min="47" max="47" width="0.63"/>
    <col customWidth="1" min="48" max="48" width="4.63"/>
    <col customWidth="1" min="49" max="49" width="0.63"/>
    <col customWidth="1" min="50" max="50" width="4.63"/>
    <col customWidth="1" min="51" max="51" width="0.63"/>
    <col customWidth="1" min="52" max="52" width="4.63"/>
    <col customWidth="1" min="53" max="53" width="0.63"/>
    <col customWidth="1" min="54" max="54" width="4.63"/>
    <col customWidth="1" min="55" max="55" width="4.13"/>
  </cols>
  <sheetData>
    <row r="1" ht="18.0" customHeight="1">
      <c r="A1" s="231" t="s">
        <v>0</v>
      </c>
    </row>
    <row r="2" ht="75.0" customHeight="1">
      <c r="A2" s="565" t="s">
        <v>560</v>
      </c>
    </row>
    <row r="3" ht="6.0" customHeight="1">
      <c r="A3" s="566"/>
      <c r="B3" s="566"/>
      <c r="C3" s="566"/>
      <c r="D3" s="566"/>
      <c r="E3" s="566"/>
      <c r="F3" s="566"/>
      <c r="G3" s="566"/>
      <c r="H3" s="566"/>
      <c r="I3" s="566"/>
      <c r="J3" s="566"/>
      <c r="K3" s="566"/>
      <c r="L3" s="566"/>
      <c r="M3" s="566"/>
      <c r="N3" s="566"/>
      <c r="O3" s="566"/>
      <c r="P3" s="566"/>
      <c r="Q3" s="566"/>
      <c r="R3" s="566"/>
      <c r="S3" s="566"/>
      <c r="T3" s="566"/>
      <c r="U3" s="566"/>
      <c r="V3" s="566"/>
      <c r="W3" s="566"/>
      <c r="X3" s="566"/>
      <c r="Y3" s="566"/>
      <c r="Z3" s="566"/>
      <c r="AA3" s="566"/>
      <c r="AB3" s="566"/>
      <c r="AC3" s="566"/>
      <c r="AD3" s="566"/>
      <c r="AE3" s="566"/>
      <c r="AF3" s="566"/>
      <c r="AG3" s="566"/>
      <c r="AH3" s="566"/>
      <c r="AI3" s="566"/>
      <c r="AJ3" s="566"/>
      <c r="AK3" s="566"/>
      <c r="AL3" s="566"/>
      <c r="AM3" s="566"/>
      <c r="AN3" s="566"/>
      <c r="AO3" s="566"/>
      <c r="AP3" s="566"/>
      <c r="AQ3" s="566"/>
      <c r="AR3" s="566"/>
      <c r="AS3" s="566"/>
      <c r="AT3" s="566"/>
      <c r="AU3" s="566"/>
      <c r="AV3" s="566"/>
      <c r="AW3" s="566"/>
      <c r="AX3" s="566"/>
      <c r="AY3" s="566"/>
      <c r="AZ3" s="566"/>
      <c r="BA3" s="566"/>
      <c r="BB3" s="566"/>
      <c r="BC3" s="566"/>
    </row>
    <row r="4" ht="18.0" customHeight="1">
      <c r="A4" s="231" t="s">
        <v>561</v>
      </c>
    </row>
    <row r="5">
      <c r="A5" s="567"/>
      <c r="B5" s="568" t="s">
        <v>562</v>
      </c>
      <c r="C5" s="567"/>
      <c r="D5" s="569" t="s">
        <v>563</v>
      </c>
      <c r="I5" s="567"/>
      <c r="J5" s="568" t="s">
        <v>564</v>
      </c>
      <c r="M5" s="567"/>
      <c r="N5" s="569" t="s">
        <v>565</v>
      </c>
      <c r="Q5" s="567"/>
      <c r="R5" s="568" t="s">
        <v>566</v>
      </c>
      <c r="U5" s="567"/>
      <c r="V5" s="569" t="s">
        <v>567</v>
      </c>
      <c r="Y5" s="567"/>
      <c r="Z5" s="568" t="s">
        <v>568</v>
      </c>
      <c r="AC5" s="567"/>
      <c r="AD5" s="569" t="s">
        <v>569</v>
      </c>
      <c r="AG5" s="569"/>
      <c r="AH5" s="568" t="s">
        <v>570</v>
      </c>
      <c r="AK5" s="567"/>
      <c r="AL5" s="569" t="s">
        <v>571</v>
      </c>
      <c r="AO5" s="567"/>
      <c r="AP5" s="568" t="s">
        <v>572</v>
      </c>
      <c r="AS5" s="567"/>
      <c r="AT5" s="569" t="s">
        <v>573</v>
      </c>
      <c r="AW5" s="567"/>
      <c r="AX5" s="568" t="s">
        <v>574</v>
      </c>
      <c r="BA5" s="567"/>
      <c r="BB5" s="569" t="s">
        <v>575</v>
      </c>
    </row>
    <row r="6" ht="18.0" hidden="1" customHeight="1">
      <c r="A6" s="570" t="str">
        <f t="shared" ref="A6:BC6" si="1">IF($D$5="Forum's White",1,0)&amp;0</f>
        <v>10</v>
      </c>
      <c r="B6" s="571" t="str">
        <f t="shared" si="1"/>
        <v>10</v>
      </c>
      <c r="C6" s="571" t="str">
        <f t="shared" si="1"/>
        <v>10</v>
      </c>
      <c r="D6" s="571" t="str">
        <f t="shared" si="1"/>
        <v>10</v>
      </c>
      <c r="E6" s="571" t="str">
        <f t="shared" si="1"/>
        <v>10</v>
      </c>
      <c r="F6" s="571" t="str">
        <f t="shared" si="1"/>
        <v>10</v>
      </c>
      <c r="G6" s="571" t="str">
        <f t="shared" si="1"/>
        <v>10</v>
      </c>
      <c r="H6" s="572" t="str">
        <f t="shared" si="1"/>
        <v>10</v>
      </c>
      <c r="I6" s="571" t="str">
        <f t="shared" si="1"/>
        <v>10</v>
      </c>
      <c r="J6" s="572" t="str">
        <f t="shared" si="1"/>
        <v>10</v>
      </c>
      <c r="K6" s="571" t="str">
        <f t="shared" si="1"/>
        <v>10</v>
      </c>
      <c r="L6" s="572" t="str">
        <f t="shared" si="1"/>
        <v>10</v>
      </c>
      <c r="M6" s="571" t="str">
        <f t="shared" si="1"/>
        <v>10</v>
      </c>
      <c r="N6" s="572" t="str">
        <f t="shared" si="1"/>
        <v>10</v>
      </c>
      <c r="O6" s="571" t="str">
        <f t="shared" si="1"/>
        <v>10</v>
      </c>
      <c r="P6" s="572" t="str">
        <f t="shared" si="1"/>
        <v>10</v>
      </c>
      <c r="Q6" s="571" t="str">
        <f t="shared" si="1"/>
        <v>10</v>
      </c>
      <c r="R6" s="572" t="str">
        <f t="shared" si="1"/>
        <v>10</v>
      </c>
      <c r="S6" s="571" t="str">
        <f t="shared" si="1"/>
        <v>10</v>
      </c>
      <c r="T6" s="572" t="str">
        <f t="shared" si="1"/>
        <v>10</v>
      </c>
      <c r="U6" s="571" t="str">
        <f t="shared" si="1"/>
        <v>10</v>
      </c>
      <c r="V6" s="572" t="str">
        <f t="shared" si="1"/>
        <v>10</v>
      </c>
      <c r="W6" s="571" t="str">
        <f t="shared" si="1"/>
        <v>10</v>
      </c>
      <c r="X6" s="572" t="str">
        <f t="shared" si="1"/>
        <v>10</v>
      </c>
      <c r="Y6" s="571" t="str">
        <f t="shared" si="1"/>
        <v>10</v>
      </c>
      <c r="Z6" s="572" t="str">
        <f t="shared" si="1"/>
        <v>10</v>
      </c>
      <c r="AA6" s="571" t="str">
        <f t="shared" si="1"/>
        <v>10</v>
      </c>
      <c r="AB6" s="572" t="str">
        <f t="shared" si="1"/>
        <v>10</v>
      </c>
      <c r="AC6" s="571" t="str">
        <f t="shared" si="1"/>
        <v>10</v>
      </c>
      <c r="AD6" s="572" t="str">
        <f t="shared" si="1"/>
        <v>10</v>
      </c>
      <c r="AE6" s="571" t="str">
        <f t="shared" si="1"/>
        <v>10</v>
      </c>
      <c r="AF6" s="572" t="str">
        <f t="shared" si="1"/>
        <v>10</v>
      </c>
      <c r="AG6" s="571" t="str">
        <f t="shared" si="1"/>
        <v>10</v>
      </c>
      <c r="AH6" s="572" t="str">
        <f t="shared" si="1"/>
        <v>10</v>
      </c>
      <c r="AI6" s="571" t="str">
        <f t="shared" si="1"/>
        <v>10</v>
      </c>
      <c r="AJ6" s="572" t="str">
        <f t="shared" si="1"/>
        <v>10</v>
      </c>
      <c r="AK6" s="571" t="str">
        <f t="shared" si="1"/>
        <v>10</v>
      </c>
      <c r="AL6" s="572" t="str">
        <f t="shared" si="1"/>
        <v>10</v>
      </c>
      <c r="AM6" s="571" t="str">
        <f t="shared" si="1"/>
        <v>10</v>
      </c>
      <c r="AN6" s="572" t="str">
        <f t="shared" si="1"/>
        <v>10</v>
      </c>
      <c r="AO6" s="571" t="str">
        <f t="shared" si="1"/>
        <v>10</v>
      </c>
      <c r="AP6" s="572" t="str">
        <f t="shared" si="1"/>
        <v>10</v>
      </c>
      <c r="AQ6" s="571" t="str">
        <f t="shared" si="1"/>
        <v>10</v>
      </c>
      <c r="AR6" s="572" t="str">
        <f t="shared" si="1"/>
        <v>10</v>
      </c>
      <c r="AS6" s="571" t="str">
        <f t="shared" si="1"/>
        <v>10</v>
      </c>
      <c r="AT6" s="572" t="str">
        <f t="shared" si="1"/>
        <v>10</v>
      </c>
      <c r="AU6" s="571" t="str">
        <f t="shared" si="1"/>
        <v>10</v>
      </c>
      <c r="AV6" s="572" t="str">
        <f t="shared" si="1"/>
        <v>10</v>
      </c>
      <c r="AW6" s="571" t="str">
        <f t="shared" si="1"/>
        <v>10</v>
      </c>
      <c r="AX6" s="572" t="str">
        <f t="shared" si="1"/>
        <v>10</v>
      </c>
      <c r="AY6" s="572" t="str">
        <f t="shared" si="1"/>
        <v>10</v>
      </c>
      <c r="AZ6" s="572" t="str">
        <f t="shared" si="1"/>
        <v>10</v>
      </c>
      <c r="BA6" s="572" t="str">
        <f t="shared" si="1"/>
        <v>10</v>
      </c>
      <c r="BB6" s="572" t="str">
        <f t="shared" si="1"/>
        <v>10</v>
      </c>
      <c r="BC6" s="570" t="str">
        <f t="shared" si="1"/>
        <v>10</v>
      </c>
    </row>
    <row r="7" ht="18.0" hidden="1" customHeight="1">
      <c r="A7" s="570" t="str">
        <f t="shared" ref="A7:BC7" si="2">IF($D$5="Forum's White",1,0)&amp;0</f>
        <v>10</v>
      </c>
      <c r="B7" s="571" t="str">
        <f t="shared" si="2"/>
        <v>10</v>
      </c>
      <c r="C7" s="571" t="str">
        <f t="shared" si="2"/>
        <v>10</v>
      </c>
      <c r="D7" s="571" t="str">
        <f t="shared" si="2"/>
        <v>10</v>
      </c>
      <c r="E7" s="571" t="str">
        <f t="shared" si="2"/>
        <v>10</v>
      </c>
      <c r="F7" s="571" t="str">
        <f t="shared" si="2"/>
        <v>10</v>
      </c>
      <c r="G7" s="571" t="str">
        <f t="shared" si="2"/>
        <v>10</v>
      </c>
      <c r="H7" s="572" t="str">
        <f t="shared" si="2"/>
        <v>10</v>
      </c>
      <c r="I7" s="571" t="str">
        <f t="shared" si="2"/>
        <v>10</v>
      </c>
      <c r="J7" s="572" t="str">
        <f t="shared" si="2"/>
        <v>10</v>
      </c>
      <c r="K7" s="571" t="str">
        <f t="shared" si="2"/>
        <v>10</v>
      </c>
      <c r="L7" s="572" t="str">
        <f t="shared" si="2"/>
        <v>10</v>
      </c>
      <c r="M7" s="571" t="str">
        <f t="shared" si="2"/>
        <v>10</v>
      </c>
      <c r="N7" s="572" t="str">
        <f t="shared" si="2"/>
        <v>10</v>
      </c>
      <c r="O7" s="571" t="str">
        <f t="shared" si="2"/>
        <v>10</v>
      </c>
      <c r="P7" s="572" t="str">
        <f t="shared" si="2"/>
        <v>10</v>
      </c>
      <c r="Q7" s="571" t="str">
        <f t="shared" si="2"/>
        <v>10</v>
      </c>
      <c r="R7" s="572" t="str">
        <f t="shared" si="2"/>
        <v>10</v>
      </c>
      <c r="S7" s="571" t="str">
        <f t="shared" si="2"/>
        <v>10</v>
      </c>
      <c r="T7" s="572" t="str">
        <f t="shared" si="2"/>
        <v>10</v>
      </c>
      <c r="U7" s="571" t="str">
        <f t="shared" si="2"/>
        <v>10</v>
      </c>
      <c r="V7" s="572" t="str">
        <f t="shared" si="2"/>
        <v>10</v>
      </c>
      <c r="W7" s="571" t="str">
        <f t="shared" si="2"/>
        <v>10</v>
      </c>
      <c r="X7" s="572" t="str">
        <f t="shared" si="2"/>
        <v>10</v>
      </c>
      <c r="Y7" s="571" t="str">
        <f t="shared" si="2"/>
        <v>10</v>
      </c>
      <c r="Z7" s="572" t="str">
        <f t="shared" si="2"/>
        <v>10</v>
      </c>
      <c r="AA7" s="571" t="str">
        <f t="shared" si="2"/>
        <v>10</v>
      </c>
      <c r="AB7" s="572" t="str">
        <f t="shared" si="2"/>
        <v>10</v>
      </c>
      <c r="AC7" s="571" t="str">
        <f t="shared" si="2"/>
        <v>10</v>
      </c>
      <c r="AD7" s="572" t="str">
        <f t="shared" si="2"/>
        <v>10</v>
      </c>
      <c r="AE7" s="571" t="str">
        <f t="shared" si="2"/>
        <v>10</v>
      </c>
      <c r="AF7" s="572" t="str">
        <f t="shared" si="2"/>
        <v>10</v>
      </c>
      <c r="AG7" s="571" t="str">
        <f t="shared" si="2"/>
        <v>10</v>
      </c>
      <c r="AH7" s="572" t="str">
        <f t="shared" si="2"/>
        <v>10</v>
      </c>
      <c r="AI7" s="571" t="str">
        <f t="shared" si="2"/>
        <v>10</v>
      </c>
      <c r="AJ7" s="572" t="str">
        <f t="shared" si="2"/>
        <v>10</v>
      </c>
      <c r="AK7" s="571" t="str">
        <f t="shared" si="2"/>
        <v>10</v>
      </c>
      <c r="AL7" s="572" t="str">
        <f t="shared" si="2"/>
        <v>10</v>
      </c>
      <c r="AM7" s="571" t="str">
        <f t="shared" si="2"/>
        <v>10</v>
      </c>
      <c r="AN7" s="572" t="str">
        <f t="shared" si="2"/>
        <v>10</v>
      </c>
      <c r="AO7" s="571" t="str">
        <f t="shared" si="2"/>
        <v>10</v>
      </c>
      <c r="AP7" s="572" t="str">
        <f t="shared" si="2"/>
        <v>10</v>
      </c>
      <c r="AQ7" s="571" t="str">
        <f t="shared" si="2"/>
        <v>10</v>
      </c>
      <c r="AR7" s="572" t="str">
        <f t="shared" si="2"/>
        <v>10</v>
      </c>
      <c r="AS7" s="571" t="str">
        <f t="shared" si="2"/>
        <v>10</v>
      </c>
      <c r="AT7" s="572" t="str">
        <f t="shared" si="2"/>
        <v>10</v>
      </c>
      <c r="AU7" s="571" t="str">
        <f t="shared" si="2"/>
        <v>10</v>
      </c>
      <c r="AV7" s="572" t="str">
        <f t="shared" si="2"/>
        <v>10</v>
      </c>
      <c r="AW7" s="571" t="str">
        <f t="shared" si="2"/>
        <v>10</v>
      </c>
      <c r="AX7" s="572" t="str">
        <f t="shared" si="2"/>
        <v>10</v>
      </c>
      <c r="AY7" s="572" t="str">
        <f t="shared" si="2"/>
        <v>10</v>
      </c>
      <c r="AZ7" s="572" t="str">
        <f t="shared" si="2"/>
        <v>10</v>
      </c>
      <c r="BA7" s="572" t="str">
        <f t="shared" si="2"/>
        <v>10</v>
      </c>
      <c r="BB7" s="572" t="str">
        <f t="shared" si="2"/>
        <v>10</v>
      </c>
      <c r="BC7" s="570" t="str">
        <f t="shared" si="2"/>
        <v>10</v>
      </c>
    </row>
    <row r="8" ht="18.0" hidden="1" customHeight="1">
      <c r="A8" s="570" t="str">
        <f t="shared" ref="A8:BC8" si="3">IF($D$5="Forum's White",1,0)&amp;0</f>
        <v>10</v>
      </c>
      <c r="B8" s="571" t="str">
        <f t="shared" si="3"/>
        <v>10</v>
      </c>
      <c r="C8" s="571" t="str">
        <f t="shared" si="3"/>
        <v>10</v>
      </c>
      <c r="D8" s="571" t="str">
        <f t="shared" si="3"/>
        <v>10</v>
      </c>
      <c r="E8" s="571" t="str">
        <f t="shared" si="3"/>
        <v>10</v>
      </c>
      <c r="F8" s="571" t="str">
        <f t="shared" si="3"/>
        <v>10</v>
      </c>
      <c r="G8" s="571" t="str">
        <f t="shared" si="3"/>
        <v>10</v>
      </c>
      <c r="H8" s="572" t="str">
        <f t="shared" si="3"/>
        <v>10</v>
      </c>
      <c r="I8" s="571" t="str">
        <f t="shared" si="3"/>
        <v>10</v>
      </c>
      <c r="J8" s="572" t="str">
        <f t="shared" si="3"/>
        <v>10</v>
      </c>
      <c r="K8" s="571" t="str">
        <f t="shared" si="3"/>
        <v>10</v>
      </c>
      <c r="L8" s="572" t="str">
        <f t="shared" si="3"/>
        <v>10</v>
      </c>
      <c r="M8" s="571" t="str">
        <f t="shared" si="3"/>
        <v>10</v>
      </c>
      <c r="N8" s="572" t="str">
        <f t="shared" si="3"/>
        <v>10</v>
      </c>
      <c r="O8" s="571" t="str">
        <f t="shared" si="3"/>
        <v>10</v>
      </c>
      <c r="P8" s="572" t="str">
        <f t="shared" si="3"/>
        <v>10</v>
      </c>
      <c r="Q8" s="571" t="str">
        <f t="shared" si="3"/>
        <v>10</v>
      </c>
      <c r="R8" s="572" t="str">
        <f t="shared" si="3"/>
        <v>10</v>
      </c>
      <c r="S8" s="571" t="str">
        <f t="shared" si="3"/>
        <v>10</v>
      </c>
      <c r="T8" s="572" t="str">
        <f t="shared" si="3"/>
        <v>10</v>
      </c>
      <c r="U8" s="571" t="str">
        <f t="shared" si="3"/>
        <v>10</v>
      </c>
      <c r="V8" s="572" t="str">
        <f t="shared" si="3"/>
        <v>10</v>
      </c>
      <c r="W8" s="571" t="str">
        <f t="shared" si="3"/>
        <v>10</v>
      </c>
      <c r="X8" s="572" t="str">
        <f t="shared" si="3"/>
        <v>10</v>
      </c>
      <c r="Y8" s="571" t="str">
        <f t="shared" si="3"/>
        <v>10</v>
      </c>
      <c r="Z8" s="572" t="str">
        <f t="shared" si="3"/>
        <v>10</v>
      </c>
      <c r="AA8" s="571" t="str">
        <f t="shared" si="3"/>
        <v>10</v>
      </c>
      <c r="AB8" s="572" t="str">
        <f t="shared" si="3"/>
        <v>10</v>
      </c>
      <c r="AC8" s="571" t="str">
        <f t="shared" si="3"/>
        <v>10</v>
      </c>
      <c r="AD8" s="572" t="str">
        <f t="shared" si="3"/>
        <v>10</v>
      </c>
      <c r="AE8" s="571" t="str">
        <f t="shared" si="3"/>
        <v>10</v>
      </c>
      <c r="AF8" s="572" t="str">
        <f t="shared" si="3"/>
        <v>10</v>
      </c>
      <c r="AG8" s="571" t="str">
        <f t="shared" si="3"/>
        <v>10</v>
      </c>
      <c r="AH8" s="572" t="str">
        <f t="shared" si="3"/>
        <v>10</v>
      </c>
      <c r="AI8" s="571" t="str">
        <f t="shared" si="3"/>
        <v>10</v>
      </c>
      <c r="AJ8" s="572" t="str">
        <f t="shared" si="3"/>
        <v>10</v>
      </c>
      <c r="AK8" s="571" t="str">
        <f t="shared" si="3"/>
        <v>10</v>
      </c>
      <c r="AL8" s="572" t="str">
        <f t="shared" si="3"/>
        <v>10</v>
      </c>
      <c r="AM8" s="571" t="str">
        <f t="shared" si="3"/>
        <v>10</v>
      </c>
      <c r="AN8" s="572" t="str">
        <f t="shared" si="3"/>
        <v>10</v>
      </c>
      <c r="AO8" s="571" t="str">
        <f t="shared" si="3"/>
        <v>10</v>
      </c>
      <c r="AP8" s="572" t="str">
        <f t="shared" si="3"/>
        <v>10</v>
      </c>
      <c r="AQ8" s="571" t="str">
        <f t="shared" si="3"/>
        <v>10</v>
      </c>
      <c r="AR8" s="572" t="str">
        <f t="shared" si="3"/>
        <v>10</v>
      </c>
      <c r="AS8" s="571" t="str">
        <f t="shared" si="3"/>
        <v>10</v>
      </c>
      <c r="AT8" s="572" t="str">
        <f t="shared" si="3"/>
        <v>10</v>
      </c>
      <c r="AU8" s="571" t="str">
        <f t="shared" si="3"/>
        <v>10</v>
      </c>
      <c r="AV8" s="572" t="str">
        <f t="shared" si="3"/>
        <v>10</v>
      </c>
      <c r="AW8" s="571" t="str">
        <f t="shared" si="3"/>
        <v>10</v>
      </c>
      <c r="AX8" s="572" t="str">
        <f t="shared" si="3"/>
        <v>10</v>
      </c>
      <c r="AY8" s="572" t="str">
        <f t="shared" si="3"/>
        <v>10</v>
      </c>
      <c r="AZ8" s="572" t="str">
        <f t="shared" si="3"/>
        <v>10</v>
      </c>
      <c r="BA8" s="572" t="str">
        <f t="shared" si="3"/>
        <v>10</v>
      </c>
      <c r="BB8" s="572" t="str">
        <f t="shared" si="3"/>
        <v>10</v>
      </c>
      <c r="BC8" s="570" t="str">
        <f t="shared" si="3"/>
        <v>10</v>
      </c>
    </row>
    <row r="9" ht="18.0" hidden="1" customHeight="1">
      <c r="A9" s="570" t="str">
        <f t="shared" ref="A9:A11" si="5">IF($D$5="Forum's White",1,0)&amp;0</f>
        <v>10</v>
      </c>
      <c r="B9" s="571" t="str">
        <f t="shared" ref="B9:BB9" si="4">IF($D$5="Forum's White",1,0)&amp;IF(B16="XI",1,0)</f>
        <v>10</v>
      </c>
      <c r="C9" s="571" t="str">
        <f t="shared" si="4"/>
        <v>10</v>
      </c>
      <c r="D9" s="571" t="str">
        <f t="shared" si="4"/>
        <v>10</v>
      </c>
      <c r="E9" s="571" t="str">
        <f t="shared" si="4"/>
        <v>10</v>
      </c>
      <c r="F9" s="571" t="str">
        <f t="shared" si="4"/>
        <v>10</v>
      </c>
      <c r="G9" s="571" t="str">
        <f t="shared" si="4"/>
        <v>10</v>
      </c>
      <c r="H9" s="572" t="str">
        <f t="shared" si="4"/>
        <v>10</v>
      </c>
      <c r="I9" s="571" t="str">
        <f t="shared" si="4"/>
        <v>10</v>
      </c>
      <c r="J9" s="572" t="str">
        <f t="shared" si="4"/>
        <v>10</v>
      </c>
      <c r="K9" s="571" t="str">
        <f t="shared" si="4"/>
        <v>10</v>
      </c>
      <c r="L9" s="572" t="str">
        <f t="shared" si="4"/>
        <v>10</v>
      </c>
      <c r="M9" s="571" t="str">
        <f t="shared" si="4"/>
        <v>10</v>
      </c>
      <c r="N9" s="572" t="str">
        <f t="shared" si="4"/>
        <v>10</v>
      </c>
      <c r="O9" s="571" t="str">
        <f t="shared" si="4"/>
        <v>10</v>
      </c>
      <c r="P9" s="572" t="str">
        <f t="shared" si="4"/>
        <v>10</v>
      </c>
      <c r="Q9" s="571" t="str">
        <f t="shared" si="4"/>
        <v>10</v>
      </c>
      <c r="R9" s="572" t="str">
        <f t="shared" si="4"/>
        <v>10</v>
      </c>
      <c r="S9" s="571" t="str">
        <f t="shared" si="4"/>
        <v>10</v>
      </c>
      <c r="T9" s="572" t="str">
        <f t="shared" si="4"/>
        <v>10</v>
      </c>
      <c r="U9" s="571" t="str">
        <f t="shared" si="4"/>
        <v>10</v>
      </c>
      <c r="V9" s="572" t="str">
        <f t="shared" si="4"/>
        <v>10</v>
      </c>
      <c r="W9" s="571" t="str">
        <f t="shared" si="4"/>
        <v>10</v>
      </c>
      <c r="X9" s="572" t="str">
        <f t="shared" si="4"/>
        <v>10</v>
      </c>
      <c r="Y9" s="571" t="str">
        <f t="shared" si="4"/>
        <v>10</v>
      </c>
      <c r="Z9" s="572" t="str">
        <f t="shared" si="4"/>
        <v>10</v>
      </c>
      <c r="AA9" s="571" t="str">
        <f t="shared" si="4"/>
        <v>10</v>
      </c>
      <c r="AB9" s="572" t="str">
        <f t="shared" si="4"/>
        <v>10</v>
      </c>
      <c r="AC9" s="571" t="str">
        <f t="shared" si="4"/>
        <v>10</v>
      </c>
      <c r="AD9" s="572" t="str">
        <f t="shared" si="4"/>
        <v>10</v>
      </c>
      <c r="AE9" s="571" t="str">
        <f t="shared" si="4"/>
        <v>10</v>
      </c>
      <c r="AF9" s="572" t="str">
        <f t="shared" si="4"/>
        <v>10</v>
      </c>
      <c r="AG9" s="571" t="str">
        <f t="shared" si="4"/>
        <v>10</v>
      </c>
      <c r="AH9" s="572" t="str">
        <f t="shared" si="4"/>
        <v>10</v>
      </c>
      <c r="AI9" s="571" t="str">
        <f t="shared" si="4"/>
        <v>10</v>
      </c>
      <c r="AJ9" s="572" t="str">
        <f t="shared" si="4"/>
        <v>10</v>
      </c>
      <c r="AK9" s="571" t="str">
        <f t="shared" si="4"/>
        <v>10</v>
      </c>
      <c r="AL9" s="572" t="str">
        <f t="shared" si="4"/>
        <v>10</v>
      </c>
      <c r="AM9" s="571" t="str">
        <f t="shared" si="4"/>
        <v>10</v>
      </c>
      <c r="AN9" s="572" t="str">
        <f t="shared" si="4"/>
        <v>10</v>
      </c>
      <c r="AO9" s="571" t="str">
        <f t="shared" si="4"/>
        <v>10</v>
      </c>
      <c r="AP9" s="572" t="str">
        <f t="shared" si="4"/>
        <v>10</v>
      </c>
      <c r="AQ9" s="571" t="str">
        <f t="shared" si="4"/>
        <v>10</v>
      </c>
      <c r="AR9" s="572" t="str">
        <f t="shared" si="4"/>
        <v>10</v>
      </c>
      <c r="AS9" s="571" t="str">
        <f t="shared" si="4"/>
        <v>10</v>
      </c>
      <c r="AT9" s="572" t="str">
        <f t="shared" si="4"/>
        <v>10</v>
      </c>
      <c r="AU9" s="571" t="str">
        <f t="shared" si="4"/>
        <v>10</v>
      </c>
      <c r="AV9" s="572" t="str">
        <f t="shared" si="4"/>
        <v>10</v>
      </c>
      <c r="AW9" s="571" t="str">
        <f t="shared" si="4"/>
        <v>10</v>
      </c>
      <c r="AX9" s="572" t="str">
        <f t="shared" si="4"/>
        <v>10</v>
      </c>
      <c r="AY9" s="572" t="str">
        <f t="shared" si="4"/>
        <v>10</v>
      </c>
      <c r="AZ9" s="572" t="str">
        <f t="shared" si="4"/>
        <v>10</v>
      </c>
      <c r="BA9" s="572" t="str">
        <f t="shared" si="4"/>
        <v>10</v>
      </c>
      <c r="BB9" s="572" t="str">
        <f t="shared" si="4"/>
        <v>10</v>
      </c>
      <c r="BC9" s="570" t="str">
        <f>IF($D$5="Forum's White",1,0)&amp;0</f>
        <v>10</v>
      </c>
    </row>
    <row r="10" ht="18.0" hidden="1" customHeight="1">
      <c r="A10" s="570" t="str">
        <f t="shared" si="5"/>
        <v>10</v>
      </c>
      <c r="B10" s="571" t="str">
        <f t="shared" ref="B10:BC10" si="6">IF($D$5="Forum's White",1,0)&amp;0</f>
        <v>10</v>
      </c>
      <c r="C10" s="571" t="str">
        <f t="shared" si="6"/>
        <v>10</v>
      </c>
      <c r="D10" s="571" t="str">
        <f t="shared" si="6"/>
        <v>10</v>
      </c>
      <c r="E10" s="571" t="str">
        <f t="shared" si="6"/>
        <v>10</v>
      </c>
      <c r="F10" s="571" t="str">
        <f t="shared" si="6"/>
        <v>10</v>
      </c>
      <c r="G10" s="571" t="str">
        <f t="shared" si="6"/>
        <v>10</v>
      </c>
      <c r="H10" s="572" t="str">
        <f t="shared" si="6"/>
        <v>10</v>
      </c>
      <c r="I10" s="571" t="str">
        <f t="shared" si="6"/>
        <v>10</v>
      </c>
      <c r="J10" s="572" t="str">
        <f t="shared" si="6"/>
        <v>10</v>
      </c>
      <c r="K10" s="571" t="str">
        <f t="shared" si="6"/>
        <v>10</v>
      </c>
      <c r="L10" s="572" t="str">
        <f t="shared" si="6"/>
        <v>10</v>
      </c>
      <c r="M10" s="571" t="str">
        <f t="shared" si="6"/>
        <v>10</v>
      </c>
      <c r="N10" s="572" t="str">
        <f t="shared" si="6"/>
        <v>10</v>
      </c>
      <c r="O10" s="571" t="str">
        <f t="shared" si="6"/>
        <v>10</v>
      </c>
      <c r="P10" s="572" t="str">
        <f t="shared" si="6"/>
        <v>10</v>
      </c>
      <c r="Q10" s="571" t="str">
        <f t="shared" si="6"/>
        <v>10</v>
      </c>
      <c r="R10" s="572" t="str">
        <f t="shared" si="6"/>
        <v>10</v>
      </c>
      <c r="S10" s="571" t="str">
        <f t="shared" si="6"/>
        <v>10</v>
      </c>
      <c r="T10" s="572" t="str">
        <f t="shared" si="6"/>
        <v>10</v>
      </c>
      <c r="U10" s="571" t="str">
        <f t="shared" si="6"/>
        <v>10</v>
      </c>
      <c r="V10" s="572" t="str">
        <f t="shared" si="6"/>
        <v>10</v>
      </c>
      <c r="W10" s="571" t="str">
        <f t="shared" si="6"/>
        <v>10</v>
      </c>
      <c r="X10" s="572" t="str">
        <f t="shared" si="6"/>
        <v>10</v>
      </c>
      <c r="Y10" s="571" t="str">
        <f t="shared" si="6"/>
        <v>10</v>
      </c>
      <c r="Z10" s="572" t="str">
        <f t="shared" si="6"/>
        <v>10</v>
      </c>
      <c r="AA10" s="571" t="str">
        <f t="shared" si="6"/>
        <v>10</v>
      </c>
      <c r="AB10" s="572" t="str">
        <f t="shared" si="6"/>
        <v>10</v>
      </c>
      <c r="AC10" s="571" t="str">
        <f t="shared" si="6"/>
        <v>10</v>
      </c>
      <c r="AD10" s="572" t="str">
        <f t="shared" si="6"/>
        <v>10</v>
      </c>
      <c r="AE10" s="571" t="str">
        <f t="shared" si="6"/>
        <v>10</v>
      </c>
      <c r="AF10" s="572" t="str">
        <f t="shared" si="6"/>
        <v>10</v>
      </c>
      <c r="AG10" s="571" t="str">
        <f t="shared" si="6"/>
        <v>10</v>
      </c>
      <c r="AH10" s="572" t="str">
        <f t="shared" si="6"/>
        <v>10</v>
      </c>
      <c r="AI10" s="571" t="str">
        <f t="shared" si="6"/>
        <v>10</v>
      </c>
      <c r="AJ10" s="572" t="str">
        <f t="shared" si="6"/>
        <v>10</v>
      </c>
      <c r="AK10" s="571" t="str">
        <f t="shared" si="6"/>
        <v>10</v>
      </c>
      <c r="AL10" s="572" t="str">
        <f t="shared" si="6"/>
        <v>10</v>
      </c>
      <c r="AM10" s="571" t="str">
        <f t="shared" si="6"/>
        <v>10</v>
      </c>
      <c r="AN10" s="572" t="str">
        <f t="shared" si="6"/>
        <v>10</v>
      </c>
      <c r="AO10" s="571" t="str">
        <f t="shared" si="6"/>
        <v>10</v>
      </c>
      <c r="AP10" s="572" t="str">
        <f t="shared" si="6"/>
        <v>10</v>
      </c>
      <c r="AQ10" s="571" t="str">
        <f t="shared" si="6"/>
        <v>10</v>
      </c>
      <c r="AR10" s="572" t="str">
        <f t="shared" si="6"/>
        <v>10</v>
      </c>
      <c r="AS10" s="571" t="str">
        <f t="shared" si="6"/>
        <v>10</v>
      </c>
      <c r="AT10" s="572" t="str">
        <f t="shared" si="6"/>
        <v>10</v>
      </c>
      <c r="AU10" s="571" t="str">
        <f t="shared" si="6"/>
        <v>10</v>
      </c>
      <c r="AV10" s="572" t="str">
        <f t="shared" si="6"/>
        <v>10</v>
      </c>
      <c r="AW10" s="571" t="str">
        <f t="shared" si="6"/>
        <v>10</v>
      </c>
      <c r="AX10" s="572" t="str">
        <f t="shared" si="6"/>
        <v>10</v>
      </c>
      <c r="AY10" s="572" t="str">
        <f t="shared" si="6"/>
        <v>10</v>
      </c>
      <c r="AZ10" s="572" t="str">
        <f t="shared" si="6"/>
        <v>10</v>
      </c>
      <c r="BA10" s="572" t="str">
        <f t="shared" si="6"/>
        <v>10</v>
      </c>
      <c r="BB10" s="572" t="str">
        <f t="shared" si="6"/>
        <v>10</v>
      </c>
      <c r="BC10" s="570" t="str">
        <f t="shared" si="6"/>
        <v>10</v>
      </c>
    </row>
    <row r="11" ht="18.0" hidden="1" customHeight="1">
      <c r="A11" s="570" t="str">
        <f t="shared" si="5"/>
        <v>10</v>
      </c>
      <c r="B11" s="571" t="str">
        <f t="shared" ref="B11:AY11" si="7">IF($D$5="Forum's White",1,0)&amp;IF(B18="XI",1,0)</f>
        <v>10</v>
      </c>
      <c r="C11" s="571" t="str">
        <f t="shared" si="7"/>
        <v>10</v>
      </c>
      <c r="D11" s="571" t="str">
        <f t="shared" si="7"/>
        <v>10</v>
      </c>
      <c r="E11" s="571" t="str">
        <f t="shared" si="7"/>
        <v>10</v>
      </c>
      <c r="F11" s="571" t="str">
        <f t="shared" si="7"/>
        <v>10</v>
      </c>
      <c r="G11" s="571" t="str">
        <f t="shared" si="7"/>
        <v>10</v>
      </c>
      <c r="H11" s="572" t="str">
        <f t="shared" si="7"/>
        <v>10</v>
      </c>
      <c r="I11" s="571" t="str">
        <f t="shared" si="7"/>
        <v>10</v>
      </c>
      <c r="J11" s="572" t="str">
        <f t="shared" si="7"/>
        <v>10</v>
      </c>
      <c r="K11" s="571" t="str">
        <f t="shared" si="7"/>
        <v>10</v>
      </c>
      <c r="L11" s="572" t="str">
        <f t="shared" si="7"/>
        <v>10</v>
      </c>
      <c r="M11" s="571" t="str">
        <f t="shared" si="7"/>
        <v>10</v>
      </c>
      <c r="N11" s="572" t="str">
        <f t="shared" si="7"/>
        <v>10</v>
      </c>
      <c r="O11" s="571" t="str">
        <f t="shared" si="7"/>
        <v>10</v>
      </c>
      <c r="P11" s="572" t="str">
        <f t="shared" si="7"/>
        <v>10</v>
      </c>
      <c r="Q11" s="571" t="str">
        <f t="shared" si="7"/>
        <v>10</v>
      </c>
      <c r="R11" s="572" t="str">
        <f t="shared" si="7"/>
        <v>10</v>
      </c>
      <c r="S11" s="571" t="str">
        <f t="shared" si="7"/>
        <v>10</v>
      </c>
      <c r="T11" s="572" t="str">
        <f t="shared" si="7"/>
        <v>10</v>
      </c>
      <c r="U11" s="571" t="str">
        <f t="shared" si="7"/>
        <v>10</v>
      </c>
      <c r="V11" s="572" t="str">
        <f t="shared" si="7"/>
        <v>10</v>
      </c>
      <c r="W11" s="571" t="str">
        <f t="shared" si="7"/>
        <v>10</v>
      </c>
      <c r="X11" s="572" t="str">
        <f t="shared" si="7"/>
        <v>10</v>
      </c>
      <c r="Y11" s="571" t="str">
        <f t="shared" si="7"/>
        <v>10</v>
      </c>
      <c r="Z11" s="572" t="str">
        <f t="shared" si="7"/>
        <v>10</v>
      </c>
      <c r="AA11" s="571" t="str">
        <f t="shared" si="7"/>
        <v>10</v>
      </c>
      <c r="AB11" s="572" t="str">
        <f t="shared" si="7"/>
        <v>10</v>
      </c>
      <c r="AC11" s="571" t="str">
        <f t="shared" si="7"/>
        <v>10</v>
      </c>
      <c r="AD11" s="572" t="str">
        <f t="shared" si="7"/>
        <v>10</v>
      </c>
      <c r="AE11" s="571" t="str">
        <f t="shared" si="7"/>
        <v>10</v>
      </c>
      <c r="AF11" s="572" t="str">
        <f t="shared" si="7"/>
        <v>10</v>
      </c>
      <c r="AG11" s="571" t="str">
        <f t="shared" si="7"/>
        <v>10</v>
      </c>
      <c r="AH11" s="572" t="str">
        <f t="shared" si="7"/>
        <v>10</v>
      </c>
      <c r="AI11" s="571" t="str">
        <f t="shared" si="7"/>
        <v>10</v>
      </c>
      <c r="AJ11" s="572" t="str">
        <f t="shared" si="7"/>
        <v>10</v>
      </c>
      <c r="AK11" s="571" t="str">
        <f t="shared" si="7"/>
        <v>10</v>
      </c>
      <c r="AL11" s="572" t="str">
        <f t="shared" si="7"/>
        <v>10</v>
      </c>
      <c r="AM11" s="571" t="str">
        <f t="shared" si="7"/>
        <v>10</v>
      </c>
      <c r="AN11" s="572" t="str">
        <f t="shared" si="7"/>
        <v>10</v>
      </c>
      <c r="AO11" s="571" t="str">
        <f t="shared" si="7"/>
        <v>10</v>
      </c>
      <c r="AP11" s="572" t="str">
        <f t="shared" si="7"/>
        <v>10</v>
      </c>
      <c r="AQ11" s="571" t="str">
        <f t="shared" si="7"/>
        <v>10</v>
      </c>
      <c r="AR11" s="572" t="str">
        <f t="shared" si="7"/>
        <v>10</v>
      </c>
      <c r="AS11" s="571" t="str">
        <f t="shared" si="7"/>
        <v>10</v>
      </c>
      <c r="AT11" s="572" t="str">
        <f t="shared" si="7"/>
        <v>10</v>
      </c>
      <c r="AU11" s="571" t="str">
        <f t="shared" si="7"/>
        <v>10</v>
      </c>
      <c r="AV11" s="572" t="str">
        <f t="shared" si="7"/>
        <v>10</v>
      </c>
      <c r="AW11" s="571" t="str">
        <f t="shared" si="7"/>
        <v>10</v>
      </c>
      <c r="AX11" s="572" t="str">
        <f t="shared" si="7"/>
        <v>10</v>
      </c>
      <c r="AY11" s="572" t="str">
        <f t="shared" si="7"/>
        <v>10</v>
      </c>
      <c r="AZ11" s="572" t="str">
        <f t="shared" ref="AZ11:BB11" si="8">IF($D$5="Forum's White",1,0)&amp;IF(BB18="XI",1,0)</f>
        <v>10</v>
      </c>
      <c r="BA11" s="572" t="str">
        <f t="shared" si="8"/>
        <v>10</v>
      </c>
      <c r="BB11" s="572" t="str">
        <f t="shared" si="8"/>
        <v>10</v>
      </c>
      <c r="BC11" s="570" t="str">
        <f>IF($D$5="Forum's White",1,0)&amp;0</f>
        <v>10</v>
      </c>
    </row>
    <row r="12" ht="6.0" customHeight="1">
      <c r="A12" s="573"/>
    </row>
    <row r="13" ht="18.0" customHeight="1">
      <c r="A13" s="567"/>
      <c r="B13" s="567"/>
      <c r="C13" s="567"/>
      <c r="D13" s="567"/>
      <c r="E13" s="567"/>
      <c r="F13" s="567"/>
      <c r="G13" s="567"/>
      <c r="H13" s="567"/>
      <c r="I13" s="567"/>
      <c r="J13" s="567"/>
      <c r="K13" s="567"/>
      <c r="L13" s="567"/>
      <c r="M13" s="567"/>
      <c r="N13" s="567"/>
      <c r="O13" s="567"/>
      <c r="P13" s="567"/>
      <c r="Q13" s="567"/>
      <c r="R13" s="567"/>
      <c r="S13" s="567"/>
      <c r="T13" s="568" t="s">
        <v>576</v>
      </c>
      <c r="AG13" s="574" t="str">
        <f>IF(AD5="Top",TEXT(NOW(),"M/d/yyyy"),"")</f>
        <v/>
      </c>
      <c r="AK13" s="567"/>
      <c r="AL13" s="567"/>
      <c r="AM13" s="567"/>
      <c r="AN13" s="575" t="str">
        <f>IFS(BB5="Basic",'Minion Checker'!J3&amp;" Slots - ",BB5="Full",'Minion Checker'!J3&amp;"/"&amp;19+FLOOR(('Minion Checker'!F3-300)/50,1)&amp;" Slots - ",1=1,"")&amp;
IFS(AL5="Number",'Minion Checker'!E3&amp;"/"&amp;'Minion Checker'!F3&amp;" ",AL5="Full",'Minion Checker'!E3&amp;"/"&amp;'Minion Checker'!F3&amp;" Uniques ",AL5="Full Alt",'Minion Checker'!E3&amp;"/"&amp;'Minion Checker'!F3&amp;" Upgrades ")&amp;
IFS(AT5="Show"," ("&amp;TEXT('Minion Checker'!G3,"##.0%")&amp;")",1=1,"")
&amp;"  "</f>
        <v>0/636  (.0%)  </v>
      </c>
    </row>
    <row r="14" ht="4.5" customHeight="1">
      <c r="A14" s="576"/>
      <c r="B14" s="576"/>
      <c r="C14" s="576"/>
      <c r="D14" s="576"/>
      <c r="E14" s="576"/>
      <c r="F14" s="576"/>
      <c r="G14" s="576"/>
      <c r="H14" s="576"/>
      <c r="I14" s="576"/>
      <c r="J14" s="576"/>
      <c r="K14" s="576"/>
      <c r="L14" s="576"/>
      <c r="M14" s="576"/>
      <c r="N14" s="576"/>
      <c r="O14" s="576"/>
      <c r="P14" s="576"/>
      <c r="Q14" s="576"/>
      <c r="R14" s="576"/>
      <c r="S14" s="576"/>
      <c r="T14" s="576"/>
      <c r="U14" s="576"/>
      <c r="V14" s="576"/>
      <c r="W14" s="576"/>
      <c r="X14" s="576"/>
      <c r="Y14" s="576"/>
      <c r="Z14" s="576"/>
      <c r="AA14" s="576"/>
      <c r="AB14" s="576"/>
      <c r="AC14" s="576"/>
      <c r="AD14" s="576"/>
      <c r="AE14" s="576"/>
      <c r="AF14" s="576"/>
      <c r="AG14" s="576"/>
      <c r="AH14" s="576"/>
      <c r="AI14" s="576"/>
      <c r="AJ14" s="576"/>
      <c r="AK14" s="576"/>
      <c r="AL14" s="576"/>
      <c r="AM14" s="576"/>
      <c r="AN14" s="576"/>
      <c r="AO14" s="576"/>
      <c r="AP14" s="576"/>
      <c r="AQ14" s="576"/>
      <c r="AR14" s="576"/>
      <c r="AS14" s="576"/>
      <c r="AT14" s="576"/>
      <c r="AU14" s="576"/>
      <c r="AV14" s="576"/>
      <c r="AW14" s="576"/>
      <c r="AX14" s="576"/>
      <c r="AY14" s="576"/>
      <c r="AZ14" s="576"/>
      <c r="BA14" s="576"/>
      <c r="BB14" s="576"/>
      <c r="BC14" s="576"/>
    </row>
    <row r="15" ht="24.0" customHeight="1">
      <c r="A15" s="576"/>
      <c r="B15" s="576" t="str">
        <f>IFERROR(INDIRECT("'Tier Viewer'!"&amp;CHAR(67+IF($V$5="Tier",20,0)+IF($N$5="Items",1,0))&amp;3+COLUMN(B15)/2),"")</f>
        <v/>
      </c>
      <c r="C15" s="576"/>
      <c r="D15" s="576" t="str">
        <f>IFERROR(INDIRECT("'Tier Viewer'!"&amp;CHAR(67+IF($V$5="Tier",20,0)+IF($N$5="Items",1,0))&amp;3+COLUMN(D15)/2),"")</f>
        <v/>
      </c>
      <c r="E15" s="576"/>
      <c r="F15" s="576" t="str">
        <f>IFERROR(INDIRECT("'Tier Viewer'!"&amp;CHAR(67+IF($V$5="Tier",20,0)+IF($N$5="Items",1,0))&amp;3+COLUMN(F15)/2),"")</f>
        <v/>
      </c>
      <c r="G15" s="576"/>
      <c r="H15" s="576" t="str">
        <f>IFERROR(INDIRECT("'Tier Viewer'!"&amp;CHAR(67+IF($V$5="Tier",20,0)+IF($N$5="Items",1,0))&amp;3+COLUMN(H15)/2),"")</f>
        <v/>
      </c>
      <c r="I15" s="576"/>
      <c r="J15" s="576" t="str">
        <f>IFERROR(INDIRECT("'Tier Viewer'!"&amp;CHAR(67+IF($V$5="Tier",20,0)+IF($N$5="Items",1,0))&amp;3+COLUMN(J15)/2),"")</f>
        <v/>
      </c>
      <c r="K15" s="576"/>
      <c r="L15" s="576" t="str">
        <f>IFERROR(INDIRECT("'Tier Viewer'!"&amp;CHAR(67+IF($V$5="Tier",20,0)+IF($N$5="Items",1,0))&amp;3+COLUMN(L15)/2),"")</f>
        <v/>
      </c>
      <c r="M15" s="576"/>
      <c r="N15" s="576" t="str">
        <f>IFERROR(INDIRECT("'Tier Viewer'!"&amp;CHAR(67+IF($V$5="Tier",20,0)+IF($N$5="Items",1,0))&amp;3+COLUMN(N15)/2),"")</f>
        <v/>
      </c>
      <c r="O15" s="576"/>
      <c r="P15" s="576" t="str">
        <f>IFERROR(INDIRECT("'Tier Viewer'!"&amp;CHAR(67+IF($V$5="Tier",20,0)+IF($N$5="Items",1,0))&amp;3+COLUMN(P15)/2),"")</f>
        <v/>
      </c>
      <c r="Q15" s="576"/>
      <c r="R15" s="576" t="str">
        <f>IFERROR(INDIRECT("'Tier Viewer'!"&amp;CHAR(67+IF($V$5="Tier",20,0)+IF($N$5="Items",1,0))&amp;3+COLUMN(R15)/2),"")</f>
        <v/>
      </c>
      <c r="S15" s="576"/>
      <c r="T15" s="576" t="str">
        <f>IFERROR(INDIRECT("'Tier Viewer'!"&amp;CHAR(67+IF($V$5="Tier",20,0)+IF($N$5="Items",1,0))&amp;3+COLUMN(T15)/2),"")</f>
        <v/>
      </c>
      <c r="U15" s="576"/>
      <c r="V15" s="576" t="str">
        <f>IFERROR(INDIRECT("'Tier Viewer'!"&amp;CHAR(67+IF($V$5="Tier",20,0)+IF($N$5="Items",1,0))&amp;3+COLUMN(V15)/2),"")</f>
        <v/>
      </c>
      <c r="W15" s="576"/>
      <c r="X15" s="576" t="str">
        <f>IFERROR(INDIRECT("'Tier Viewer'!"&amp;CHAR(67+IF($V$5="Tier",20,0)+IF($N$5="Items",1,0))&amp;3+COLUMN(X15)/2),"")</f>
        <v/>
      </c>
      <c r="Y15" s="576"/>
      <c r="Z15" s="576" t="str">
        <f>IFERROR(INDIRECT("'Tier Viewer'!"&amp;CHAR(67+IF($V$5="Tier",20,0)+IF($N$5="Items",1,0))&amp;3+COLUMN(Z15)/2),"")</f>
        <v/>
      </c>
      <c r="AA15" s="576"/>
      <c r="AB15" s="576" t="str">
        <f>IFERROR(INDIRECT("'Tier Viewer'!"&amp;CHAR(67+IF($V$5="Tier",20,0)+IF($N$5="Items",1,0))&amp;3+COLUMN(AB15)/2),"")</f>
        <v/>
      </c>
      <c r="AC15" s="576"/>
      <c r="AD15" s="576" t="str">
        <f>IFERROR(INDIRECT("'Tier Viewer'!"&amp;CHAR(67+IF($V$5="Tier",20,0)+IF($N$5="Items",1,0))&amp;3+COLUMN(AD15)/2),"")</f>
        <v/>
      </c>
      <c r="AE15" s="576"/>
      <c r="AF15" s="576" t="str">
        <f>IFERROR(INDIRECT("'Tier Viewer'!"&amp;CHAR(67+IF($V$5="Tier",20,0)+IF($N$5="Items",1,0))&amp;3+COLUMN(AF15)/2),"")</f>
        <v/>
      </c>
      <c r="AG15" s="576"/>
      <c r="AH15" s="576" t="str">
        <f>IFERROR(INDIRECT("'Tier Viewer'!"&amp;CHAR(67+IF($V$5="Tier",20,0)+IF($N$5="Items",1,0))&amp;3+COLUMN(AH15)/2),"")</f>
        <v/>
      </c>
      <c r="AI15" s="576"/>
      <c r="AJ15" s="576" t="str">
        <f>IFERROR(INDIRECT("'Tier Viewer'!"&amp;CHAR(67+IF($V$5="Tier",20,0)+IF($N$5="Items",1,0))&amp;3+COLUMN(AJ15)/2),"")</f>
        <v/>
      </c>
      <c r="AK15" s="576"/>
      <c r="AL15" s="576" t="str">
        <f>IFERROR(INDIRECT("'Tier Viewer'!"&amp;CHAR(67+IF($V$5="Tier",20,0)+IF($N$5="Items",1,0))&amp;3+COLUMN(AL15)/2),"")</f>
        <v/>
      </c>
      <c r="AM15" s="576"/>
      <c r="AN15" s="576" t="str">
        <f>IFERROR(INDIRECT("'Tier Viewer'!"&amp;CHAR(67+IF($V$5="Tier",20,0)+IF($N$5="Items",1,0))&amp;3+COLUMN(AN15)/2),"")</f>
        <v/>
      </c>
      <c r="AO15" s="576"/>
      <c r="AP15" s="576" t="str">
        <f>IFERROR(INDIRECT("'Tier Viewer'!"&amp;CHAR(67+IF($V$5="Tier",20,0)+IF($N$5="Items",1,0))&amp;3+COLUMN(AP15)/2),"")</f>
        <v/>
      </c>
      <c r="AQ15" s="576"/>
      <c r="AR15" s="576" t="str">
        <f>IFERROR(INDIRECT("'Tier Viewer'!"&amp;CHAR(67+IF($V$5="Tier",20,0)+IF($N$5="Items",1,0))&amp;3+COLUMN(AR15)/2),"")</f>
        <v/>
      </c>
      <c r="AS15" s="576"/>
      <c r="AT15" s="576" t="str">
        <f>IFERROR(INDIRECT("'Tier Viewer'!"&amp;CHAR(67+IF($V$5="Tier",20,0)+IF($N$5="Items",1,0))&amp;3+COLUMN(AT15)/2),"")</f>
        <v/>
      </c>
      <c r="AU15" s="576"/>
      <c r="AV15" s="576" t="str">
        <f>IFERROR(INDIRECT("'Tier Viewer'!"&amp;CHAR(67+IF($V$5="Tier",20,0)+IF($N$5="Items",1,0))&amp;3+COLUMN(AV15)/2),"")</f>
        <v/>
      </c>
      <c r="AW15" s="576"/>
      <c r="AX15" s="576" t="str">
        <f>IFERROR(INDIRECT("'Tier Viewer'!"&amp;CHAR(67+IF($V$5="Tier",20,0)+IF($N$5="Items",1,0))&amp;3+COLUMN(AX15)/2),"")</f>
        <v/>
      </c>
      <c r="AY15" s="576"/>
      <c r="AZ15" s="576" t="str">
        <f>IFERROR(INDIRECT("'Tier Viewer'!"&amp;CHAR(67+IF($V$5="Tier",20,0)+IF($N$5="Items",1,0))&amp;3+COLUMN(AZ15)/2),"")</f>
        <v/>
      </c>
      <c r="BA15" s="576"/>
      <c r="BB15" s="576" t="str">
        <f>IFERROR(INDIRECT("'Tier Viewer'!"&amp;CHAR(67+IF($V$5="Tier",20,0)+IF($N$5="Items",1,0))&amp;3+COLUMN(BB15)/2),"")</f>
        <v/>
      </c>
      <c r="BC15" s="576"/>
    </row>
    <row r="16" ht="18.0" customHeight="1">
      <c r="A16" s="570"/>
      <c r="B16" s="571" t="str">
        <f>IFERROR(ROMAN(INDIRECT("'Tier Viewer'!"&amp;CHAR(66+IF($V$5="Tier",20,0))&amp;3+COLUMN(B15)/2)),"∅")</f>
        <v>∅</v>
      </c>
      <c r="C16" s="571"/>
      <c r="D16" s="571" t="str">
        <f>IFERROR(ROMAN(INDIRECT("'Tier Viewer'!"&amp;CHAR(66+IF($V$5="Tier",20,0))&amp;3+COLUMN(D15)/2)),"∅")</f>
        <v>∅</v>
      </c>
      <c r="E16" s="571"/>
      <c r="F16" s="571" t="str">
        <f>IFERROR(ROMAN(INDIRECT("'Tier Viewer'!"&amp;CHAR(66+IF($V$5="Tier",20,0))&amp;3+COLUMN(F15)/2)),"∅")</f>
        <v>∅</v>
      </c>
      <c r="G16" s="571"/>
      <c r="H16" s="572" t="str">
        <f>IFERROR(ROMAN(INDIRECT("'Tier Viewer'!"&amp;CHAR(66+IF($V$5="Tier",20,0))&amp;3+COLUMN(H15)/2)),"∅")</f>
        <v>∅</v>
      </c>
      <c r="I16" s="571"/>
      <c r="J16" s="572" t="str">
        <f>IFERROR(ROMAN(INDIRECT("'Tier Viewer'!"&amp;CHAR(66+IF($V$5="Tier",20,0))&amp;3+COLUMN(J15)/2)),"∅")</f>
        <v>∅</v>
      </c>
      <c r="K16" s="571"/>
      <c r="L16" s="572" t="str">
        <f>IFERROR(ROMAN(INDIRECT("'Tier Viewer'!"&amp;CHAR(66+IF($V$5="Tier",20,0))&amp;3+COLUMN(L15)/2)),"∅")</f>
        <v>∅</v>
      </c>
      <c r="M16" s="571"/>
      <c r="N16" s="572" t="str">
        <f>IFERROR(ROMAN(INDIRECT("'Tier Viewer'!"&amp;CHAR(66+IF($V$5="Tier",20,0))&amp;3+COLUMN(N15)/2)),"∅")</f>
        <v>∅</v>
      </c>
      <c r="O16" s="571"/>
      <c r="P16" s="572" t="str">
        <f>IFERROR(ROMAN(INDIRECT("'Tier Viewer'!"&amp;CHAR(66+IF($V$5="Tier",20,0))&amp;3+COLUMN(P15)/2)),"∅")</f>
        <v>∅</v>
      </c>
      <c r="Q16" s="571"/>
      <c r="R16" s="572" t="str">
        <f>IFERROR(ROMAN(INDIRECT("'Tier Viewer'!"&amp;CHAR(66+IF($V$5="Tier",20,0))&amp;3+COLUMN(R15)/2)),"∅")</f>
        <v>∅</v>
      </c>
      <c r="S16" s="571"/>
      <c r="T16" s="572" t="str">
        <f>IFERROR(ROMAN(INDIRECT("'Tier Viewer'!"&amp;CHAR(66+IF($V$5="Tier",20,0))&amp;3+COLUMN(T15)/2)),"∅")</f>
        <v>∅</v>
      </c>
      <c r="U16" s="571"/>
      <c r="V16" s="572" t="str">
        <f>IFERROR(ROMAN(INDIRECT("'Tier Viewer'!"&amp;CHAR(66+IF($V$5="Tier",20,0))&amp;3+COLUMN(V15)/2)),"∅")</f>
        <v>∅</v>
      </c>
      <c r="W16" s="571"/>
      <c r="X16" s="572" t="str">
        <f>IFERROR(ROMAN(INDIRECT("'Tier Viewer'!"&amp;CHAR(66+IF($V$5="Tier",20,0))&amp;3+COLUMN(X15)/2)),"∅")</f>
        <v>∅</v>
      </c>
      <c r="Y16" s="571"/>
      <c r="Z16" s="572" t="str">
        <f>IFERROR(ROMAN(INDIRECT("'Tier Viewer'!"&amp;CHAR(66+IF($V$5="Tier",20,0))&amp;3+COLUMN(Z15)/2)),"∅")</f>
        <v>∅</v>
      </c>
      <c r="AA16" s="571"/>
      <c r="AB16" s="572" t="str">
        <f>IFERROR(ROMAN(INDIRECT("'Tier Viewer'!"&amp;CHAR(66+IF($V$5="Tier",20,0))&amp;3+COLUMN(AB15)/2)),"∅")</f>
        <v>∅</v>
      </c>
      <c r="AC16" s="571"/>
      <c r="AD16" s="572" t="str">
        <f>IFERROR(ROMAN(INDIRECT("'Tier Viewer'!"&amp;CHAR(66+IF($V$5="Tier",20,0))&amp;3+COLUMN(AD15)/2)),"∅")</f>
        <v>∅</v>
      </c>
      <c r="AE16" s="571"/>
      <c r="AF16" s="572" t="str">
        <f>IFERROR(ROMAN(INDIRECT("'Tier Viewer'!"&amp;CHAR(66+IF($V$5="Tier",20,0))&amp;3+COLUMN(AF15)/2)),"∅")</f>
        <v>∅</v>
      </c>
      <c r="AG16" s="571"/>
      <c r="AH16" s="572" t="str">
        <f>IFERROR(ROMAN(INDIRECT("'Tier Viewer'!"&amp;CHAR(66+IF($V$5="Tier",20,0))&amp;3+COLUMN(AH15)/2)),"∅")</f>
        <v>∅</v>
      </c>
      <c r="AI16" s="571"/>
      <c r="AJ16" s="572" t="str">
        <f>IFERROR(ROMAN(INDIRECT("'Tier Viewer'!"&amp;CHAR(66+IF($V$5="Tier",20,0))&amp;3+COLUMN(AJ15)/2)),"∅")</f>
        <v>∅</v>
      </c>
      <c r="AK16" s="571"/>
      <c r="AL16" s="572" t="str">
        <f>IFERROR(ROMAN(INDIRECT("'Tier Viewer'!"&amp;CHAR(66+IF($V$5="Tier",20,0))&amp;3+COLUMN(AL15)/2)),"∅")</f>
        <v>∅</v>
      </c>
      <c r="AM16" s="571"/>
      <c r="AN16" s="572" t="str">
        <f>IFERROR(ROMAN(INDIRECT("'Tier Viewer'!"&amp;CHAR(66+IF($V$5="Tier",20,0))&amp;3+COLUMN(AN15)/2)),"∅")</f>
        <v>∅</v>
      </c>
      <c r="AO16" s="571"/>
      <c r="AP16" s="572" t="str">
        <f>IFERROR(ROMAN(INDIRECT("'Tier Viewer'!"&amp;CHAR(66+IF($V$5="Tier",20,0))&amp;3+COLUMN(AP15)/2)),"∅")</f>
        <v>∅</v>
      </c>
      <c r="AQ16" s="571"/>
      <c r="AR16" s="572" t="str">
        <f>IFERROR(ROMAN(INDIRECT("'Tier Viewer'!"&amp;CHAR(66+IF($V$5="Tier",20,0))&amp;3+COLUMN(AR15)/2)),"∅")</f>
        <v>∅</v>
      </c>
      <c r="AS16" s="571"/>
      <c r="AT16" s="572" t="str">
        <f>IFERROR(ROMAN(INDIRECT("'Tier Viewer'!"&amp;CHAR(66+IF($V$5="Tier",20,0))&amp;3+COLUMN(AT15)/2)),"∅")</f>
        <v>∅</v>
      </c>
      <c r="AU16" s="571"/>
      <c r="AV16" s="572" t="str">
        <f>IFERROR(ROMAN(INDIRECT("'Tier Viewer'!"&amp;CHAR(66+IF($V$5="Tier",20,0))&amp;3+COLUMN(AV15)/2)),"∅")</f>
        <v>∅</v>
      </c>
      <c r="AW16" s="571"/>
      <c r="AX16" s="572" t="str">
        <f>IFERROR(ROMAN(INDIRECT("'Tier Viewer'!"&amp;CHAR(66+IF($V$5="Tier",20,0))&amp;3+COLUMN(AX15)/2)),"∅")</f>
        <v>∅</v>
      </c>
      <c r="AY16" s="571"/>
      <c r="AZ16" s="572" t="str">
        <f>IFERROR(ROMAN(INDIRECT("'Tier Viewer'!"&amp;CHAR(66+IF($V$5="Tier",20,0))&amp;3+COLUMN(AZ15)/2)),"∅")</f>
        <v>∅</v>
      </c>
      <c r="BA16" s="570"/>
      <c r="BB16" s="570" t="str">
        <f>IFERROR(ROMAN(INDIRECT("'Tier Viewer'!"&amp;CHAR(66+IF($V$5="Tier",20,0))&amp;3+COLUMN(BB15)/2)),"∅")</f>
        <v>∅</v>
      </c>
      <c r="BC16" s="570"/>
    </row>
    <row r="17" ht="24.0" customHeight="1">
      <c r="A17" s="576"/>
      <c r="B17" s="576" t="str">
        <f>IFERROR(INDIRECT("'Tier Viewer'!"&amp;CHAR(67+IF($V$5="Tier",20,0)+IF($N$5="Items",1,0))&amp;30+COLUMN(B17)/2),"")</f>
        <v/>
      </c>
      <c r="C17" s="576"/>
      <c r="D17" s="576" t="str">
        <f>IFERROR(INDIRECT("'Tier Viewer'!"&amp;CHAR(67+IF($V$5="Tier",20,0)+IF($N$5="Items",1,0))&amp;30+COLUMN(D17)/2),"")</f>
        <v/>
      </c>
      <c r="E17" s="576"/>
      <c r="F17" s="576" t="str">
        <f>IFERROR(INDIRECT("'Tier Viewer'!"&amp;CHAR(67+IF($V$5="Tier",20,0)+IF($N$5="Items",1,0))&amp;30+COLUMN(F17)/2),"")</f>
        <v/>
      </c>
      <c r="G17" s="576"/>
      <c r="H17" s="576" t="str">
        <f>IFERROR(INDIRECT("'Tier Viewer'!"&amp;CHAR(67+IF($V$5="Tier",20,0)+IF($N$5="Items",1,0))&amp;30+COLUMN(H17)/2),"")</f>
        <v/>
      </c>
      <c r="I17" s="576"/>
      <c r="J17" s="576" t="str">
        <f>IFERROR(INDIRECT("'Tier Viewer'!"&amp;CHAR(67+IF($V$5="Tier",20,0)+IF($N$5="Items",1,0))&amp;30+COLUMN(J17)/2),"")</f>
        <v/>
      </c>
      <c r="K17" s="576"/>
      <c r="L17" s="576" t="str">
        <f>IFERROR(INDIRECT("'Tier Viewer'!"&amp;CHAR(67+IF($V$5="Tier",20,0)+IF($N$5="Items",1,0))&amp;30+COLUMN(L17)/2),"")</f>
        <v/>
      </c>
      <c r="M17" s="576"/>
      <c r="N17" s="576" t="str">
        <f>IFERROR(INDIRECT("'Tier Viewer'!"&amp;CHAR(67+IF($V$5="Tier",20,0)+IF($N$5="Items",1,0))&amp;30+COLUMN(N17)/2),"")</f>
        <v/>
      </c>
      <c r="O17" s="576"/>
      <c r="P17" s="576" t="str">
        <f>IFERROR(INDIRECT("'Tier Viewer'!"&amp;CHAR(67+IF($V$5="Tier",20,0)+IF($N$5="Items",1,0))&amp;30+COLUMN(P17)/2),"")</f>
        <v/>
      </c>
      <c r="Q17" s="576"/>
      <c r="R17" s="576" t="str">
        <f>IFERROR(INDIRECT("'Tier Viewer'!"&amp;CHAR(67+IF($V$5="Tier",20,0)+IF($N$5="Items",1,0))&amp;30+COLUMN(R17)/2),"")</f>
        <v/>
      </c>
      <c r="S17" s="576"/>
      <c r="T17" s="576" t="str">
        <f>IFERROR(INDIRECT("'Tier Viewer'!"&amp;CHAR(67+IF($V$5="Tier",20,0)+IF($N$5="Items",1,0))&amp;30+COLUMN(T17)/2),"")</f>
        <v/>
      </c>
      <c r="U17" s="576"/>
      <c r="V17" s="576" t="str">
        <f>IFERROR(INDIRECT("'Tier Viewer'!"&amp;CHAR(67+IF($V$5="Tier",20,0)+IF($N$5="Items",1,0))&amp;30+COLUMN(V17)/2),"")</f>
        <v/>
      </c>
      <c r="W17" s="576"/>
      <c r="X17" s="576" t="str">
        <f>IFERROR(INDIRECT("'Tier Viewer'!"&amp;CHAR(67+IF($V$5="Tier",20,0)+IF($N$5="Items",1,0))&amp;30+COLUMN(X17)/2),"")</f>
        <v/>
      </c>
      <c r="Y17" s="576"/>
      <c r="Z17" s="576" t="str">
        <f>IFERROR(INDIRECT("'Tier Viewer'!"&amp;CHAR(67+IF($V$5="Tier",20,0)+IF($N$5="Items",1,0))&amp;30+COLUMN(Z17)/2),"")</f>
        <v/>
      </c>
      <c r="AA17" s="576"/>
      <c r="AB17" s="576" t="str">
        <f>IFERROR(INDIRECT("'Tier Viewer'!"&amp;CHAR(67+IF($V$5="Tier",20,0)+IF($N$5="Items",1,0))&amp;30+COLUMN(AB17)/2),"")</f>
        <v/>
      </c>
      <c r="AC17" s="576"/>
      <c r="AD17" s="576" t="str">
        <f>IFERROR(INDIRECT("'Tier Viewer'!"&amp;CHAR(67+IF($V$5="Tier",20,0)+IF($N$5="Items",1,0))&amp;30+COLUMN(AD17)/2),"")</f>
        <v/>
      </c>
      <c r="AE17" s="576"/>
      <c r="AF17" s="576" t="str">
        <f>IFERROR(INDIRECT("'Tier Viewer'!"&amp;CHAR(67+IF($V$5="Tier",20,0)+IF($N$5="Items",1,0))&amp;30+COLUMN(AF17)/2),"")</f>
        <v/>
      </c>
      <c r="AG17" s="576"/>
      <c r="AH17" s="576" t="str">
        <f>IFERROR(INDIRECT("'Tier Viewer'!"&amp;CHAR(67+IF($V$5="Tier",20,0)+IF($N$5="Items",1,0))&amp;30+COLUMN(AH17)/2),"")</f>
        <v/>
      </c>
      <c r="AI17" s="576"/>
      <c r="AJ17" s="576" t="str">
        <f>IFERROR(INDIRECT("'Tier Viewer'!"&amp;CHAR(67+IF($V$5="Tier",20,0)+IF($N$5="Items",1,0))&amp;30+COLUMN(AJ17)/2),"")</f>
        <v/>
      </c>
      <c r="AK17" s="576"/>
      <c r="AL17" s="576" t="str">
        <f>IFERROR(INDIRECT("'Tier Viewer'!"&amp;CHAR(67+IF($V$5="Tier",20,0)+IF($N$5="Items",1,0))&amp;30+COLUMN(AL17)/2),"")</f>
        <v/>
      </c>
      <c r="AM17" s="576"/>
      <c r="AN17" s="576" t="str">
        <f>IFERROR(INDIRECT("'Tier Viewer'!"&amp;CHAR(67+IF($V$5="Tier",20,0)+IF($N$5="Items",1,0))&amp;30+COLUMN(AN17)/2),"")</f>
        <v/>
      </c>
      <c r="AO17" s="576"/>
      <c r="AP17" s="576" t="str">
        <f>IFERROR(INDIRECT("'Tier Viewer'!"&amp;CHAR(67+IF($V$5="Tier",20,0)+IF($N$5="Items",1,0))&amp;30+COLUMN(AP17)/2),"")</f>
        <v/>
      </c>
      <c r="AQ17" s="576"/>
      <c r="AR17" s="576" t="str">
        <f>IFERROR(INDIRECT("'Tier Viewer'!"&amp;CHAR(67+IF($V$5="Tier",20,0)+IF($N$5="Items",1,0))&amp;30+COLUMN(AR17)/2),"")</f>
        <v/>
      </c>
      <c r="AS17" s="576"/>
      <c r="AT17" s="576" t="str">
        <f>IFERROR(INDIRECT("'Tier Viewer'!"&amp;CHAR(67+IF($V$5="Tier",20,0)+IF($N$5="Items",1,0))&amp;30+COLUMN(AT17)/2),"")</f>
        <v/>
      </c>
      <c r="AU17" s="576"/>
      <c r="AV17" s="576" t="str">
        <f>IFERROR(INDIRECT("'Tier Viewer'!"&amp;CHAR(67+IF($V$5="Tier",20,0)+IF($N$5="Items",1,0))&amp;30+COLUMN(AV17)/2),"")</f>
        <v/>
      </c>
      <c r="AW17" s="576"/>
      <c r="AX17" s="576" t="str">
        <f>IFERROR(INDIRECT("'Tier Viewer'!"&amp;CHAR(67+IF($V$5="Tier",20,0)+IF($N$5="Items",1,0))&amp;30+COLUMN(AX17)/2),"")</f>
        <v/>
      </c>
      <c r="AY17" s="576"/>
      <c r="AZ17" s="576" t="str">
        <f>IFERROR(INDIRECT("'Tier Viewer'!"&amp;CHAR(67+IF($V$5="Tier",20,0)+IF($N$5="Items",1,0))&amp;30+COLUMN(AZ17)/2),"")</f>
        <v/>
      </c>
      <c r="BA17" s="576"/>
      <c r="BB17" s="576"/>
      <c r="BC17" s="576"/>
    </row>
    <row r="18" ht="18.0" customHeight="1">
      <c r="A18" s="570"/>
      <c r="B18" s="577" t="str">
        <f>IFERROR(ROMAN(INDIRECT("'Tier Viewer'!"&amp;CHAR(66+IF($V$5="Tier",20,0))&amp;30+COLUMN(B17)/2)),"∅")</f>
        <v>∅</v>
      </c>
      <c r="C18" s="578"/>
      <c r="D18" s="577" t="str">
        <f>IFERROR(ROMAN(INDIRECT("'Tier Viewer'!"&amp;CHAR(66+IF($V$5="Tier",20,0))&amp;30+COLUMN(D17)/2)),"∅")</f>
        <v>∅</v>
      </c>
      <c r="E18" s="578"/>
      <c r="F18" s="577" t="str">
        <f>IFERROR(ROMAN(INDIRECT("'Tier Viewer'!"&amp;CHAR(66+IF($V$5="Tier",20,0))&amp;30+COLUMN(F17)/2)),"∅")</f>
        <v>∅</v>
      </c>
      <c r="G18" s="578"/>
      <c r="H18" s="577" t="str">
        <f>IFERROR(ROMAN(INDIRECT("'Tier Viewer'!"&amp;CHAR(66+IF($V$5="Tier",20,0))&amp;30+COLUMN(H17)/2)),"∅")</f>
        <v>∅</v>
      </c>
      <c r="I18" s="578"/>
      <c r="J18" s="577" t="str">
        <f>IFERROR(ROMAN(INDIRECT("'Tier Viewer'!"&amp;CHAR(66+IF($V$5="Tier",20,0))&amp;30+COLUMN(J17)/2)),"∅")</f>
        <v>∅</v>
      </c>
      <c r="K18" s="578"/>
      <c r="L18" s="577" t="str">
        <f>IFERROR(ROMAN(INDIRECT("'Tier Viewer'!"&amp;CHAR(66+IF($V$5="Tier",20,0))&amp;30+COLUMN(L17)/2)),"∅")</f>
        <v>∅</v>
      </c>
      <c r="M18" s="578"/>
      <c r="N18" s="577" t="str">
        <f>IFERROR(ROMAN(INDIRECT("'Tier Viewer'!"&amp;CHAR(66+IF($V$5="Tier",20,0))&amp;30+COLUMN(N17)/2)),"∅")</f>
        <v>∅</v>
      </c>
      <c r="O18" s="578"/>
      <c r="P18" s="577" t="str">
        <f>IFERROR(ROMAN(INDIRECT("'Tier Viewer'!"&amp;CHAR(66+IF($V$5="Tier",20,0))&amp;30+COLUMN(P17)/2)),"∅")</f>
        <v>∅</v>
      </c>
      <c r="Q18" s="578"/>
      <c r="R18" s="577" t="str">
        <f>IFERROR(ROMAN(INDIRECT("'Tier Viewer'!"&amp;CHAR(66+IF($V$5="Tier",20,0))&amp;30+COLUMN(R17)/2)),"∅")</f>
        <v>∅</v>
      </c>
      <c r="S18" s="578"/>
      <c r="T18" s="577" t="str">
        <f>IFERROR(ROMAN(INDIRECT("'Tier Viewer'!"&amp;CHAR(66+IF($V$5="Tier",20,0))&amp;30+COLUMN(T17)/2)),"∅")</f>
        <v>∅</v>
      </c>
      <c r="U18" s="578"/>
      <c r="V18" s="577" t="str">
        <f>IFERROR(ROMAN(INDIRECT("'Tier Viewer'!"&amp;CHAR(66+IF($V$5="Tier",20,0))&amp;30+COLUMN(V17)/2)),"∅")</f>
        <v>∅</v>
      </c>
      <c r="W18" s="578"/>
      <c r="X18" s="577" t="str">
        <f>IFERROR(ROMAN(INDIRECT("'Tier Viewer'!"&amp;CHAR(66+IF($V$5="Tier",20,0))&amp;30+COLUMN(X17)/2)),"∅")</f>
        <v>∅</v>
      </c>
      <c r="Y18" s="578"/>
      <c r="Z18" s="577" t="str">
        <f>IFERROR(ROMAN(INDIRECT("'Tier Viewer'!"&amp;CHAR(66+IF($V$5="Tier",20,0))&amp;30+COLUMN(Z17)/2)),"∅")</f>
        <v>∅</v>
      </c>
      <c r="AA18" s="578"/>
      <c r="AB18" s="577" t="str">
        <f>IFERROR(ROMAN(INDIRECT("'Tier Viewer'!"&amp;CHAR(66+IF($V$5="Tier",20,0))&amp;30+COLUMN(AB17)/2)),"∅")</f>
        <v>∅</v>
      </c>
      <c r="AC18" s="578"/>
      <c r="AD18" s="577" t="str">
        <f>IFERROR(ROMAN(INDIRECT("'Tier Viewer'!"&amp;CHAR(66+IF($V$5="Tier",20,0))&amp;30+COLUMN(AD17)/2)),"∅")</f>
        <v>∅</v>
      </c>
      <c r="AE18" s="578"/>
      <c r="AF18" s="577" t="str">
        <f>IFERROR(ROMAN(INDIRECT("'Tier Viewer'!"&amp;CHAR(66+IF($V$5="Tier",20,0))&amp;30+COLUMN(AF17)/2)),"∅")</f>
        <v>∅</v>
      </c>
      <c r="AG18" s="578"/>
      <c r="AH18" s="577" t="str">
        <f>IFERROR(ROMAN(INDIRECT("'Tier Viewer'!"&amp;CHAR(66+IF($V$5="Tier",20,0))&amp;30+COLUMN(AH17)/2)),"∅")</f>
        <v>∅</v>
      </c>
      <c r="AI18" s="578"/>
      <c r="AJ18" s="577" t="str">
        <f>IFERROR(ROMAN(INDIRECT("'Tier Viewer'!"&amp;CHAR(66+IF($V$5="Tier",20,0))&amp;30+COLUMN(AJ17)/2)),"∅")</f>
        <v>∅</v>
      </c>
      <c r="AK18" s="578"/>
      <c r="AL18" s="577" t="str">
        <f>IFERROR(ROMAN(INDIRECT("'Tier Viewer'!"&amp;CHAR(66+IF($V$5="Tier",20,0))&amp;30+COLUMN(AL17)/2)),"∅")</f>
        <v>∅</v>
      </c>
      <c r="AM18" s="578"/>
      <c r="AN18" s="577" t="str">
        <f>IFERROR(ROMAN(INDIRECT("'Tier Viewer'!"&amp;CHAR(66+IF($V$5="Tier",20,0))&amp;30+COLUMN(AN17)/2)),"∅")</f>
        <v>∅</v>
      </c>
      <c r="AO18" s="578"/>
      <c r="AP18" s="572" t="str">
        <f>IFERROR(ROMAN(INDIRECT("'Tier Viewer'!"&amp;CHAR(66+IF($V$5="Tier",20,0))&amp;30+COLUMN(AP17)/2)),"∅")</f>
        <v>∅</v>
      </c>
      <c r="AQ18" s="578"/>
      <c r="AR18" s="572" t="str">
        <f>IFERROR(ROMAN(INDIRECT("'Tier Viewer'!"&amp;CHAR(66+IF($V$5="Tier",20,0))&amp;30+COLUMN(AR17)/2)),"∅")</f>
        <v>∅</v>
      </c>
      <c r="AS18" s="578"/>
      <c r="AT18" s="572" t="str">
        <f>IFERROR(ROMAN(INDIRECT("'Tier Viewer'!"&amp;CHAR(66+IF($V$5="Tier",20,0))&amp;30+COLUMN(AT17)/2)),"∅")</f>
        <v>∅</v>
      </c>
      <c r="AU18" s="578"/>
      <c r="AV18" s="572" t="str">
        <f>IFERROR(ROMAN(INDIRECT("'Tier Viewer'!"&amp;CHAR(66+IF($V$5="Tier",20,0))&amp;30+COLUMN(AV17)/2)),"∅")</f>
        <v>∅</v>
      </c>
      <c r="AW18" s="578"/>
      <c r="AX18" s="572" t="str">
        <f>IFERROR(ROMAN(INDIRECT("'Tier Viewer'!"&amp;CHAR(66+IF($V$5="Tier",20,0))&amp;30+COLUMN(AX17)/2)),"∅")</f>
        <v>∅</v>
      </c>
      <c r="AY18" s="578"/>
      <c r="AZ18" s="576" t="str">
        <f>IFERROR(ROMAN(INDIRECT("'Tier Viewer'!"&amp;CHAR(66+IF($V$5="Tier",20,0))&amp;30+COLUMN(AZ17)/2)),"∅")</f>
        <v>∅</v>
      </c>
      <c r="BA18" s="576"/>
      <c r="BB18" s="579" t="str">
        <f>IF(AD5="Bottom",TEXT(NOW(),"M/d/yyyy"),"")</f>
        <v>3/13/2024</v>
      </c>
    </row>
  </sheetData>
  <mergeCells count="21">
    <mergeCell ref="V5:X5"/>
    <mergeCell ref="Z5:AB5"/>
    <mergeCell ref="AD5:AF5"/>
    <mergeCell ref="AH5:AJ5"/>
    <mergeCell ref="AL5:AN5"/>
    <mergeCell ref="AP5:AR5"/>
    <mergeCell ref="AT5:AV5"/>
    <mergeCell ref="AX5:AZ5"/>
    <mergeCell ref="BB18:BC18"/>
    <mergeCell ref="D5:H5"/>
    <mergeCell ref="A12:BC12"/>
    <mergeCell ref="T13:AF13"/>
    <mergeCell ref="AG13:AJ13"/>
    <mergeCell ref="AN13:BC13"/>
    <mergeCell ref="A1:BC1"/>
    <mergeCell ref="A2:BC2"/>
    <mergeCell ref="A4:BC4"/>
    <mergeCell ref="J5:L5"/>
    <mergeCell ref="N5:P5"/>
    <mergeCell ref="R5:T5"/>
    <mergeCell ref="BB5:BC5"/>
  </mergeCells>
  <conditionalFormatting sqref="A13:BC18">
    <cfRule type="expression" dxfId="9" priority="1">
      <formula>A6="10"</formula>
    </cfRule>
  </conditionalFormatting>
  <conditionalFormatting sqref="A13:BC18">
    <cfRule type="expression" dxfId="10" priority="2">
      <formula>A6="11"</formula>
    </cfRule>
  </conditionalFormatting>
  <dataValidations>
    <dataValidation type="list" allowBlank="1" showErrorMessage="1" sqref="AD5">
      <formula1>"None,Top,Bottom"</formula1>
    </dataValidation>
    <dataValidation type="list" allowBlank="1" showErrorMessage="1" sqref="AL5">
      <formula1>"Number,Full,Full Alt"</formula1>
    </dataValidation>
    <dataValidation type="list" allowBlank="1" showErrorMessage="1" sqref="D5">
      <formula1>"Blue,Forum's White"</formula1>
    </dataValidation>
    <dataValidation type="list" allowBlank="1" showErrorMessage="1" sqref="N5">
      <formula1>"Items,Heads"</formula1>
    </dataValidation>
    <dataValidation type="list" allowBlank="1" showErrorMessage="1" sqref="V5">
      <formula1>"Default,Tier"</formula1>
    </dataValidation>
    <dataValidation type="list" allowBlank="1" showErrorMessage="1" sqref="AT5">
      <formula1>"Show,Hide"</formula1>
    </dataValidation>
    <dataValidation type="list" allowBlank="1" showErrorMessage="1" sqref="BB5">
      <formula1>"Basic,Full,Hide"</formula1>
    </dataValidation>
    <dataValidation type="list" allowBlank="1" showErrorMessage="1" sqref="AG5">
      <formula1>"Top,None"</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9.5"/>
    <col customWidth="1" min="2" max="2" width="7.0"/>
    <col customWidth="1" min="3" max="3" width="10.75"/>
    <col customWidth="1" min="4" max="4" width="5.13"/>
    <col customWidth="1" min="5" max="5" width="22.0"/>
    <col customWidth="1" hidden="1" min="6" max="6" width="22.0"/>
    <col customWidth="1" min="7" max="7" width="8.88"/>
    <col customWidth="1" min="8" max="8" width="10.13"/>
    <col customWidth="1" min="9" max="9" width="5.13"/>
    <col customWidth="1" min="10" max="10" width="22.0"/>
    <col customWidth="1" min="11" max="11" width="3.25"/>
    <col customWidth="1" min="12" max="12" width="7.0"/>
    <col customWidth="1" min="13" max="13" width="10.75"/>
    <col customWidth="1" min="14" max="14" width="5.13"/>
    <col customWidth="1" min="15" max="15" width="22.0"/>
    <col customWidth="1" hidden="1" min="16" max="16" width="22.0"/>
    <col customWidth="1" min="17" max="17" width="8.88"/>
    <col customWidth="1" min="18" max="18" width="10.13"/>
    <col customWidth="1" min="19" max="19" width="5.13"/>
    <col customWidth="1" min="20" max="20" width="22.0"/>
    <col customWidth="1" min="21" max="21" width="9.5"/>
  </cols>
  <sheetData>
    <row r="1">
      <c r="A1" s="580"/>
      <c r="B1" s="580"/>
      <c r="K1" s="580"/>
      <c r="L1" s="580"/>
      <c r="U1" s="580"/>
    </row>
    <row r="2" ht="45.0" customHeight="1">
      <c r="B2" s="581" t="str">
        <f>'Minion Checker'!D7</f>
        <v/>
      </c>
      <c r="C2" s="582" t="str">
        <f>'Minion Checker'!E7</f>
        <v>Cobblestone</v>
      </c>
      <c r="D2" s="583" t="s">
        <v>577</v>
      </c>
      <c r="E2" s="17"/>
      <c r="F2" s="584" t="s">
        <v>578</v>
      </c>
      <c r="G2" s="584" t="s">
        <v>579</v>
      </c>
      <c r="H2" s="17"/>
      <c r="I2" s="583" t="s">
        <v>580</v>
      </c>
      <c r="J2" s="464" t="s">
        <v>581</v>
      </c>
      <c r="L2" s="585" t="str">
        <f>'Minion Checker'!D37</f>
        <v/>
      </c>
      <c r="M2" s="583" t="str">
        <f>'Minion Checker'!E37</f>
        <v>Revenant</v>
      </c>
      <c r="N2" s="583" t="s">
        <v>577</v>
      </c>
      <c r="O2" s="17"/>
      <c r="P2" s="584" t="s">
        <v>578</v>
      </c>
      <c r="Q2" s="584" t="s">
        <v>579</v>
      </c>
      <c r="R2" s="17"/>
      <c r="S2" s="583" t="s">
        <v>580</v>
      </c>
      <c r="T2" s="464" t="s">
        <v>581</v>
      </c>
    </row>
    <row r="3">
      <c r="B3" s="586"/>
      <c r="C3" s="587" t="s">
        <v>420</v>
      </c>
      <c r="D3" s="587">
        <v>10.0</v>
      </c>
      <c r="E3" s="588" t="str">
        <f>C2</f>
        <v>Cobblestone</v>
      </c>
      <c r="F3" s="588" t="str">
        <f>E3</f>
        <v>Cobblestone</v>
      </c>
      <c r="G3" s="188">
        <f t="shared" ref="G3:G6" si="1">D3*8</f>
        <v>80</v>
      </c>
      <c r="H3" s="187" t="str">
        <f>E3</f>
        <v>Cobblestone</v>
      </c>
      <c r="I3" s="589">
        <v>14.0</v>
      </c>
      <c r="J3" s="590">
        <f t="shared" ref="J3:J12" si="2">G4*I3/3600*2</f>
        <v>1.244444444</v>
      </c>
      <c r="L3" s="586"/>
      <c r="M3" s="587" t="s">
        <v>420</v>
      </c>
      <c r="N3" s="587">
        <v>10.0</v>
      </c>
      <c r="O3" s="588" t="s">
        <v>327</v>
      </c>
      <c r="P3" s="588" t="str">
        <f>O3</f>
        <v>Revenant Flesh</v>
      </c>
      <c r="Q3" s="188">
        <f t="shared" ref="Q3:Q6" si="3">N3*7</f>
        <v>70</v>
      </c>
      <c r="R3" s="187" t="str">
        <f>O3</f>
        <v>Revenant Flesh</v>
      </c>
      <c r="S3" s="589">
        <v>29.0</v>
      </c>
      <c r="T3" s="590" t="s">
        <v>120</v>
      </c>
    </row>
    <row r="4">
      <c r="B4" s="372"/>
      <c r="C4" s="587" t="s">
        <v>582</v>
      </c>
      <c r="D4" s="587">
        <v>20.0</v>
      </c>
      <c r="F4" s="588" t="str">
        <f>F3</f>
        <v>Cobblestone</v>
      </c>
      <c r="G4" s="188">
        <f t="shared" si="1"/>
        <v>160</v>
      </c>
      <c r="I4" s="589">
        <f>I3</f>
        <v>14</v>
      </c>
      <c r="J4" s="590">
        <f t="shared" si="2"/>
        <v>2.488888889</v>
      </c>
      <c r="L4" s="372"/>
      <c r="M4" s="587" t="s">
        <v>582</v>
      </c>
      <c r="N4" s="587">
        <v>20.0</v>
      </c>
      <c r="P4" s="588" t="str">
        <f>P3</f>
        <v>Revenant Flesh</v>
      </c>
      <c r="Q4" s="188">
        <f t="shared" si="3"/>
        <v>140</v>
      </c>
      <c r="S4" s="589">
        <f>S3</f>
        <v>29</v>
      </c>
      <c r="T4" s="590" t="s">
        <v>120</v>
      </c>
    </row>
    <row r="5">
      <c r="B5" s="372"/>
      <c r="C5" s="587" t="s">
        <v>433</v>
      </c>
      <c r="D5" s="587">
        <v>40.0</v>
      </c>
      <c r="F5" s="588" t="str">
        <f>F3</f>
        <v>Cobblestone</v>
      </c>
      <c r="G5" s="188">
        <f t="shared" si="1"/>
        <v>320</v>
      </c>
      <c r="I5" s="589">
        <v>12.0</v>
      </c>
      <c r="J5" s="590">
        <f t="shared" si="2"/>
        <v>3.413333333</v>
      </c>
      <c r="L5" s="372"/>
      <c r="M5" s="587" t="s">
        <v>433</v>
      </c>
      <c r="N5" s="587">
        <v>40.0</v>
      </c>
      <c r="P5" s="588" t="str">
        <f>P3</f>
        <v>Revenant Flesh</v>
      </c>
      <c r="Q5" s="188">
        <f t="shared" si="3"/>
        <v>280</v>
      </c>
      <c r="S5" s="589">
        <v>26.0</v>
      </c>
      <c r="T5" s="590" t="s">
        <v>120</v>
      </c>
    </row>
    <row r="6">
      <c r="B6" s="372"/>
      <c r="C6" s="587" t="s">
        <v>583</v>
      </c>
      <c r="D6" s="587">
        <v>64.0</v>
      </c>
      <c r="F6" s="588" t="str">
        <f>F3</f>
        <v>Cobblestone</v>
      </c>
      <c r="G6" s="188">
        <f t="shared" si="1"/>
        <v>512</v>
      </c>
      <c r="I6" s="589">
        <f>I5</f>
        <v>12</v>
      </c>
      <c r="J6" s="590">
        <f t="shared" si="2"/>
        <v>8.533333333</v>
      </c>
      <c r="L6" s="372"/>
      <c r="M6" s="587" t="s">
        <v>583</v>
      </c>
      <c r="N6" s="587">
        <v>64.0</v>
      </c>
      <c r="P6" s="588" t="str">
        <f>P3</f>
        <v>Revenant Flesh</v>
      </c>
      <c r="Q6" s="188">
        <f t="shared" si="3"/>
        <v>448</v>
      </c>
      <c r="S6" s="589">
        <f>S5</f>
        <v>26</v>
      </c>
      <c r="T6" s="590" t="s">
        <v>120</v>
      </c>
    </row>
    <row r="7">
      <c r="B7" s="372"/>
      <c r="C7" s="591" t="s">
        <v>417</v>
      </c>
      <c r="D7" s="591">
        <v>1.0</v>
      </c>
      <c r="E7" s="592" t="str">
        <f>"Enchanted "&amp;E3</f>
        <v>Enchanted Cobblestone</v>
      </c>
      <c r="F7" s="592" t="str">
        <f>E7</f>
        <v>Enchanted Cobblestone</v>
      </c>
      <c r="G7" s="188">
        <f t="shared" ref="G7:G13" si="4">D7*8*160</f>
        <v>1280</v>
      </c>
      <c r="I7" s="589">
        <v>10.0</v>
      </c>
      <c r="J7" s="590">
        <f t="shared" si="2"/>
        <v>14.22222222</v>
      </c>
      <c r="L7" s="372"/>
      <c r="M7" s="591" t="s">
        <v>417</v>
      </c>
      <c r="N7" s="591">
        <v>1.0</v>
      </c>
      <c r="O7" s="592" t="s">
        <v>328</v>
      </c>
      <c r="P7" s="592" t="str">
        <f>O7</f>
        <v>Revenant Viscera</v>
      </c>
      <c r="Q7" s="188">
        <f t="shared" ref="Q7:Q13" si="5">N7*7*128</f>
        <v>896</v>
      </c>
      <c r="S7" s="589">
        <v>23.0</v>
      </c>
      <c r="T7" s="590" t="s">
        <v>120</v>
      </c>
    </row>
    <row r="8">
      <c r="B8" s="372"/>
      <c r="C8" s="591" t="s">
        <v>584</v>
      </c>
      <c r="D8" s="591">
        <v>2.0</v>
      </c>
      <c r="F8" s="592" t="str">
        <f>F7</f>
        <v>Enchanted Cobblestone</v>
      </c>
      <c r="G8" s="188">
        <f t="shared" si="4"/>
        <v>2560</v>
      </c>
      <c r="I8" s="589">
        <f>I7</f>
        <v>10</v>
      </c>
      <c r="J8" s="590">
        <f t="shared" si="2"/>
        <v>28.44444444</v>
      </c>
      <c r="L8" s="372"/>
      <c r="M8" s="591" t="s">
        <v>584</v>
      </c>
      <c r="N8" s="591">
        <v>2.0</v>
      </c>
      <c r="P8" s="592" t="str">
        <f>P7</f>
        <v>Revenant Viscera</v>
      </c>
      <c r="Q8" s="188">
        <f t="shared" si="5"/>
        <v>1792</v>
      </c>
      <c r="S8" s="589">
        <f>S7</f>
        <v>23</v>
      </c>
      <c r="T8" s="590" t="s">
        <v>120</v>
      </c>
    </row>
    <row r="9">
      <c r="B9" s="372"/>
      <c r="C9" s="591" t="s">
        <v>585</v>
      </c>
      <c r="D9" s="591">
        <v>4.0</v>
      </c>
      <c r="F9" s="592" t="str">
        <f>F7</f>
        <v>Enchanted Cobblestone</v>
      </c>
      <c r="G9" s="188">
        <f t="shared" si="4"/>
        <v>5120</v>
      </c>
      <c r="I9" s="589">
        <v>9.0</v>
      </c>
      <c r="J9" s="590">
        <f t="shared" si="2"/>
        <v>51.2</v>
      </c>
      <c r="L9" s="372"/>
      <c r="M9" s="591" t="s">
        <v>585</v>
      </c>
      <c r="N9" s="591">
        <v>4.0</v>
      </c>
      <c r="P9" s="592" t="str">
        <f>P7</f>
        <v>Revenant Viscera</v>
      </c>
      <c r="Q9" s="188">
        <f t="shared" si="5"/>
        <v>3584</v>
      </c>
      <c r="S9" s="589">
        <v>19.0</v>
      </c>
      <c r="T9" s="590" t="s">
        <v>120</v>
      </c>
    </row>
    <row r="10">
      <c r="B10" s="372"/>
      <c r="C10" s="591" t="s">
        <v>586</v>
      </c>
      <c r="D10" s="591">
        <v>8.0</v>
      </c>
      <c r="F10" s="592" t="str">
        <f>F7</f>
        <v>Enchanted Cobblestone</v>
      </c>
      <c r="G10" s="188">
        <f t="shared" si="4"/>
        <v>10240</v>
      </c>
      <c r="I10" s="589">
        <f>I9</f>
        <v>9</v>
      </c>
      <c r="J10" s="590">
        <f t="shared" si="2"/>
        <v>102.4</v>
      </c>
      <c r="L10" s="372"/>
      <c r="M10" s="591" t="s">
        <v>586</v>
      </c>
      <c r="N10" s="591">
        <v>8.0</v>
      </c>
      <c r="P10" s="592" t="str">
        <f>P7</f>
        <v>Revenant Viscera</v>
      </c>
      <c r="Q10" s="188">
        <f t="shared" si="5"/>
        <v>7168</v>
      </c>
      <c r="S10" s="589">
        <f>S9</f>
        <v>19</v>
      </c>
      <c r="T10" s="590" t="s">
        <v>120</v>
      </c>
    </row>
    <row r="11">
      <c r="B11" s="372"/>
      <c r="C11" s="591" t="s">
        <v>587</v>
      </c>
      <c r="D11" s="591">
        <v>16.0</v>
      </c>
      <c r="F11" s="592" t="str">
        <f>F7</f>
        <v>Enchanted Cobblestone</v>
      </c>
      <c r="G11" s="188">
        <f t="shared" si="4"/>
        <v>20480</v>
      </c>
      <c r="I11" s="589">
        <v>8.0</v>
      </c>
      <c r="J11" s="590">
        <f t="shared" si="2"/>
        <v>182.0444444</v>
      </c>
      <c r="L11" s="372"/>
      <c r="M11" s="591" t="s">
        <v>587</v>
      </c>
      <c r="N11" s="591">
        <v>16.0</v>
      </c>
      <c r="P11" s="592" t="str">
        <f>P7</f>
        <v>Revenant Viscera</v>
      </c>
      <c r="Q11" s="188">
        <f t="shared" si="5"/>
        <v>14336</v>
      </c>
      <c r="S11" s="593">
        <v>14.5</v>
      </c>
      <c r="T11" s="590" t="s">
        <v>120</v>
      </c>
    </row>
    <row r="12">
      <c r="B12" s="372"/>
      <c r="C12" s="591" t="s">
        <v>114</v>
      </c>
      <c r="D12" s="591">
        <v>32.0</v>
      </c>
      <c r="F12" s="592" t="str">
        <f>F7</f>
        <v>Enchanted Cobblestone</v>
      </c>
      <c r="G12" s="188">
        <f t="shared" si="4"/>
        <v>40960</v>
      </c>
      <c r="I12" s="589">
        <f>I11</f>
        <v>8</v>
      </c>
      <c r="J12" s="590">
        <f t="shared" si="2"/>
        <v>364.0888889</v>
      </c>
      <c r="L12" s="372"/>
      <c r="M12" s="591" t="s">
        <v>114</v>
      </c>
      <c r="N12" s="591">
        <v>32.0</v>
      </c>
      <c r="P12" s="592" t="str">
        <f>P7</f>
        <v>Revenant Viscera</v>
      </c>
      <c r="Q12" s="188">
        <f t="shared" si="5"/>
        <v>28672</v>
      </c>
      <c r="S12" s="593">
        <f>S11</f>
        <v>14.5</v>
      </c>
      <c r="T12" s="590" t="s">
        <v>120</v>
      </c>
    </row>
    <row r="13">
      <c r="B13" s="393"/>
      <c r="C13" s="594" t="s">
        <v>175</v>
      </c>
      <c r="D13" s="594">
        <v>64.0</v>
      </c>
      <c r="E13" s="6"/>
      <c r="F13" s="595" t="str">
        <f>F7</f>
        <v>Enchanted Cobblestone</v>
      </c>
      <c r="G13" s="596">
        <f t="shared" si="4"/>
        <v>81920</v>
      </c>
      <c r="H13" s="6"/>
      <c r="I13" s="597">
        <v>7.0</v>
      </c>
      <c r="J13" s="598" t="s">
        <v>120</v>
      </c>
      <c r="L13" s="393"/>
      <c r="M13" s="594" t="s">
        <v>175</v>
      </c>
      <c r="N13" s="594">
        <v>64.0</v>
      </c>
      <c r="O13" s="6"/>
      <c r="P13" s="595" t="str">
        <f>P7</f>
        <v>Revenant Viscera</v>
      </c>
      <c r="Q13" s="596">
        <f t="shared" si="5"/>
        <v>57344</v>
      </c>
      <c r="R13" s="6"/>
      <c r="S13" s="597">
        <v>10.0</v>
      </c>
      <c r="T13" s="598" t="s">
        <v>120</v>
      </c>
    </row>
    <row r="14">
      <c r="B14" s="580"/>
      <c r="L14" s="580"/>
    </row>
    <row r="15" ht="45.0" customHeight="1">
      <c r="B15" s="581" t="str">
        <f>'Minion Checker'!D8</f>
        <v/>
      </c>
      <c r="C15" s="582" t="str">
        <f>'Minion Checker'!E8</f>
        <v>Obsidian</v>
      </c>
      <c r="D15" s="583" t="s">
        <v>577</v>
      </c>
      <c r="E15" s="17"/>
      <c r="F15" s="584" t="s">
        <v>578</v>
      </c>
      <c r="G15" s="584" t="s">
        <v>579</v>
      </c>
      <c r="H15" s="17"/>
      <c r="I15" s="583" t="s">
        <v>580</v>
      </c>
      <c r="J15" s="464" t="s">
        <v>581</v>
      </c>
      <c r="L15" s="585" t="str">
        <f>'Minion Checker'!D38</f>
        <v/>
      </c>
      <c r="M15" s="583" t="str">
        <f>'Minion Checker'!E38</f>
        <v>Skeleton</v>
      </c>
      <c r="N15" s="583" t="s">
        <v>577</v>
      </c>
      <c r="O15" s="17"/>
      <c r="P15" s="584" t="s">
        <v>578</v>
      </c>
      <c r="Q15" s="584" t="s">
        <v>579</v>
      </c>
      <c r="R15" s="17"/>
      <c r="S15" s="583" t="s">
        <v>580</v>
      </c>
      <c r="T15" s="464" t="s">
        <v>581</v>
      </c>
    </row>
    <row r="16">
      <c r="B16" s="586"/>
      <c r="C16" s="587" t="s">
        <v>420</v>
      </c>
      <c r="D16" s="587">
        <v>10.0</v>
      </c>
      <c r="E16" s="588" t="str">
        <f>C15</f>
        <v>Obsidian</v>
      </c>
      <c r="F16" s="588" t="str">
        <f>E16</f>
        <v>Obsidian</v>
      </c>
      <c r="G16" s="188">
        <f t="shared" ref="G16:G19" si="6">D16*8</f>
        <v>80</v>
      </c>
      <c r="H16" s="187" t="str">
        <f>E16</f>
        <v>Obsidian</v>
      </c>
      <c r="I16" s="589">
        <v>45.0</v>
      </c>
      <c r="J16" s="590">
        <f t="shared" ref="J16:J25" si="7">G17*I16/3600*2</f>
        <v>4</v>
      </c>
      <c r="L16" s="586"/>
      <c r="M16" s="587" t="s">
        <v>420</v>
      </c>
      <c r="N16" s="587">
        <v>10.0</v>
      </c>
      <c r="O16" s="588" t="s">
        <v>148</v>
      </c>
      <c r="P16" s="588" t="str">
        <f>O16</f>
        <v>Bone</v>
      </c>
      <c r="Q16" s="188">
        <f t="shared" ref="Q16:Q19" si="8">N16*8</f>
        <v>80</v>
      </c>
      <c r="R16" s="187" t="str">
        <f>O16</f>
        <v>Bone</v>
      </c>
      <c r="S16" s="589">
        <v>26.0</v>
      </c>
      <c r="T16" s="590">
        <f t="shared" ref="T16:T25" si="9">Q17*S16/3600*2</f>
        <v>2.311111111</v>
      </c>
    </row>
    <row r="17">
      <c r="B17" s="372"/>
      <c r="C17" s="587" t="s">
        <v>582</v>
      </c>
      <c r="D17" s="587">
        <v>20.0</v>
      </c>
      <c r="F17" s="588" t="str">
        <f>F16</f>
        <v>Obsidian</v>
      </c>
      <c r="G17" s="188">
        <f t="shared" si="6"/>
        <v>160</v>
      </c>
      <c r="I17" s="589">
        <f>I16</f>
        <v>45</v>
      </c>
      <c r="J17" s="590">
        <f t="shared" si="7"/>
        <v>8</v>
      </c>
      <c r="L17" s="372"/>
      <c r="M17" s="587" t="s">
        <v>582</v>
      </c>
      <c r="N17" s="587">
        <v>20.0</v>
      </c>
      <c r="P17" s="588" t="str">
        <f>P16</f>
        <v>Bone</v>
      </c>
      <c r="Q17" s="188">
        <f t="shared" si="8"/>
        <v>160</v>
      </c>
      <c r="S17" s="589">
        <f>S16</f>
        <v>26</v>
      </c>
      <c r="T17" s="590">
        <f t="shared" si="9"/>
        <v>4.622222222</v>
      </c>
    </row>
    <row r="18">
      <c r="B18" s="372"/>
      <c r="C18" s="587" t="s">
        <v>433</v>
      </c>
      <c r="D18" s="587">
        <v>40.0</v>
      </c>
      <c r="F18" s="588" t="str">
        <f>F16</f>
        <v>Obsidian</v>
      </c>
      <c r="G18" s="188">
        <f t="shared" si="6"/>
        <v>320</v>
      </c>
      <c r="I18" s="589">
        <v>42.0</v>
      </c>
      <c r="J18" s="590">
        <f t="shared" si="7"/>
        <v>11.94666667</v>
      </c>
      <c r="L18" s="372"/>
      <c r="M18" s="587" t="s">
        <v>433</v>
      </c>
      <c r="N18" s="587">
        <v>40.0</v>
      </c>
      <c r="P18" s="588" t="str">
        <f>P16</f>
        <v>Bone</v>
      </c>
      <c r="Q18" s="188">
        <f t="shared" si="8"/>
        <v>320</v>
      </c>
      <c r="S18" s="589">
        <v>24.0</v>
      </c>
      <c r="T18" s="590">
        <f t="shared" si="9"/>
        <v>6.826666667</v>
      </c>
    </row>
    <row r="19">
      <c r="B19" s="372"/>
      <c r="C19" s="587" t="s">
        <v>583</v>
      </c>
      <c r="D19" s="587">
        <v>64.0</v>
      </c>
      <c r="F19" s="588" t="str">
        <f>F16</f>
        <v>Obsidian</v>
      </c>
      <c r="G19" s="188">
        <f t="shared" si="6"/>
        <v>512</v>
      </c>
      <c r="I19" s="589">
        <f>I18</f>
        <v>42</v>
      </c>
      <c r="J19" s="590">
        <f t="shared" si="7"/>
        <v>29.86666667</v>
      </c>
      <c r="L19" s="372"/>
      <c r="M19" s="587" t="s">
        <v>583</v>
      </c>
      <c r="N19" s="587">
        <v>64.0</v>
      </c>
      <c r="P19" s="588" t="str">
        <f>P16</f>
        <v>Bone</v>
      </c>
      <c r="Q19" s="188">
        <f t="shared" si="8"/>
        <v>512</v>
      </c>
      <c r="S19" s="589">
        <f>S18</f>
        <v>24</v>
      </c>
      <c r="T19" s="590">
        <f t="shared" si="9"/>
        <v>17.06666667</v>
      </c>
    </row>
    <row r="20">
      <c r="B20" s="372"/>
      <c r="C20" s="591" t="s">
        <v>417</v>
      </c>
      <c r="D20" s="591">
        <v>1.0</v>
      </c>
      <c r="E20" s="592" t="str">
        <f>"Enchanted "&amp;E16</f>
        <v>Enchanted Obsidian</v>
      </c>
      <c r="F20" s="592" t="str">
        <f>E20</f>
        <v>Enchanted Obsidian</v>
      </c>
      <c r="G20" s="188">
        <f t="shared" ref="G20:G26" si="10">D20*8*160</f>
        <v>1280</v>
      </c>
      <c r="I20" s="589">
        <v>39.0</v>
      </c>
      <c r="J20" s="590">
        <f t="shared" si="7"/>
        <v>55.46666667</v>
      </c>
      <c r="L20" s="372"/>
      <c r="M20" s="591" t="s">
        <v>417</v>
      </c>
      <c r="N20" s="591">
        <v>1.0</v>
      </c>
      <c r="O20" s="592" t="str">
        <f>"Enchanted "&amp;O16</f>
        <v>Enchanted Bone</v>
      </c>
      <c r="P20" s="592" t="str">
        <f>O20</f>
        <v>Enchanted Bone</v>
      </c>
      <c r="Q20" s="188">
        <f t="shared" ref="Q20:Q26" si="11">N20*8*160</f>
        <v>1280</v>
      </c>
      <c r="S20" s="589">
        <v>22.0</v>
      </c>
      <c r="T20" s="590">
        <f t="shared" si="9"/>
        <v>31.28888889</v>
      </c>
    </row>
    <row r="21">
      <c r="B21" s="372"/>
      <c r="C21" s="591" t="s">
        <v>584</v>
      </c>
      <c r="D21" s="591">
        <v>2.0</v>
      </c>
      <c r="F21" s="592" t="str">
        <f>F20</f>
        <v>Enchanted Obsidian</v>
      </c>
      <c r="G21" s="188">
        <f t="shared" si="10"/>
        <v>2560</v>
      </c>
      <c r="I21" s="589">
        <f>I20</f>
        <v>39</v>
      </c>
      <c r="J21" s="590">
        <f t="shared" si="7"/>
        <v>110.9333333</v>
      </c>
      <c r="L21" s="372"/>
      <c r="M21" s="591" t="s">
        <v>584</v>
      </c>
      <c r="N21" s="591">
        <v>2.0</v>
      </c>
      <c r="P21" s="592" t="str">
        <f>P20</f>
        <v>Enchanted Bone</v>
      </c>
      <c r="Q21" s="188">
        <f t="shared" si="11"/>
        <v>2560</v>
      </c>
      <c r="S21" s="589">
        <f>S20</f>
        <v>22</v>
      </c>
      <c r="T21" s="590">
        <f t="shared" si="9"/>
        <v>62.57777778</v>
      </c>
    </row>
    <row r="22">
      <c r="B22" s="372"/>
      <c r="C22" s="591" t="s">
        <v>585</v>
      </c>
      <c r="D22" s="591">
        <v>4.0</v>
      </c>
      <c r="F22" s="592" t="str">
        <f>F20</f>
        <v>Enchanted Obsidian</v>
      </c>
      <c r="G22" s="188">
        <f t="shared" si="10"/>
        <v>5120</v>
      </c>
      <c r="I22" s="589">
        <v>35.0</v>
      </c>
      <c r="J22" s="590">
        <f t="shared" si="7"/>
        <v>199.1111111</v>
      </c>
      <c r="L22" s="372"/>
      <c r="M22" s="591" t="s">
        <v>585</v>
      </c>
      <c r="N22" s="591">
        <v>4.0</v>
      </c>
      <c r="P22" s="592" t="str">
        <f>P20</f>
        <v>Enchanted Bone</v>
      </c>
      <c r="Q22" s="188">
        <f t="shared" si="11"/>
        <v>5120</v>
      </c>
      <c r="S22" s="589">
        <v>20.0</v>
      </c>
      <c r="T22" s="590">
        <f t="shared" si="9"/>
        <v>113.7777778</v>
      </c>
    </row>
    <row r="23">
      <c r="B23" s="372"/>
      <c r="C23" s="591" t="s">
        <v>586</v>
      </c>
      <c r="D23" s="591">
        <v>8.0</v>
      </c>
      <c r="F23" s="592" t="str">
        <f>F20</f>
        <v>Enchanted Obsidian</v>
      </c>
      <c r="G23" s="188">
        <f t="shared" si="10"/>
        <v>10240</v>
      </c>
      <c r="I23" s="589">
        <f>I22</f>
        <v>35</v>
      </c>
      <c r="J23" s="590">
        <f t="shared" si="7"/>
        <v>398.2222222</v>
      </c>
      <c r="L23" s="372"/>
      <c r="M23" s="591" t="s">
        <v>586</v>
      </c>
      <c r="N23" s="591">
        <v>8.0</v>
      </c>
      <c r="P23" s="592" t="str">
        <f>P20</f>
        <v>Enchanted Bone</v>
      </c>
      <c r="Q23" s="188">
        <f t="shared" si="11"/>
        <v>10240</v>
      </c>
      <c r="S23" s="589">
        <f>S22</f>
        <v>20</v>
      </c>
      <c r="T23" s="590">
        <f t="shared" si="9"/>
        <v>227.5555556</v>
      </c>
    </row>
    <row r="24">
      <c r="B24" s="372"/>
      <c r="C24" s="591" t="s">
        <v>587</v>
      </c>
      <c r="D24" s="591">
        <v>16.0</v>
      </c>
      <c r="F24" s="592" t="str">
        <f>F20</f>
        <v>Enchanted Obsidian</v>
      </c>
      <c r="G24" s="188">
        <f t="shared" si="10"/>
        <v>20480</v>
      </c>
      <c r="I24" s="589">
        <v>30.0</v>
      </c>
      <c r="J24" s="590">
        <f t="shared" si="7"/>
        <v>682.6666667</v>
      </c>
      <c r="L24" s="372"/>
      <c r="M24" s="591" t="s">
        <v>587</v>
      </c>
      <c r="N24" s="591">
        <v>16.0</v>
      </c>
      <c r="P24" s="592" t="str">
        <f>P20</f>
        <v>Enchanted Bone</v>
      </c>
      <c r="Q24" s="188">
        <f t="shared" si="11"/>
        <v>20480</v>
      </c>
      <c r="S24" s="589">
        <v>17.0</v>
      </c>
      <c r="T24" s="590">
        <f t="shared" si="9"/>
        <v>386.8444444</v>
      </c>
    </row>
    <row r="25">
      <c r="B25" s="372"/>
      <c r="C25" s="591" t="s">
        <v>114</v>
      </c>
      <c r="D25" s="591">
        <v>32.0</v>
      </c>
      <c r="F25" s="592" t="str">
        <f>F20</f>
        <v>Enchanted Obsidian</v>
      </c>
      <c r="G25" s="188">
        <f t="shared" si="10"/>
        <v>40960</v>
      </c>
      <c r="I25" s="589">
        <f>I24</f>
        <v>30</v>
      </c>
      <c r="J25" s="590">
        <f t="shared" si="7"/>
        <v>1365.333333</v>
      </c>
      <c r="L25" s="372"/>
      <c r="M25" s="591" t="s">
        <v>114</v>
      </c>
      <c r="N25" s="591">
        <v>32.0</v>
      </c>
      <c r="P25" s="592" t="str">
        <f>P20</f>
        <v>Enchanted Bone</v>
      </c>
      <c r="Q25" s="188">
        <f t="shared" si="11"/>
        <v>40960</v>
      </c>
      <c r="S25" s="589">
        <f>S24</f>
        <v>17</v>
      </c>
      <c r="T25" s="590">
        <f t="shared" si="9"/>
        <v>773.6888889</v>
      </c>
    </row>
    <row r="26">
      <c r="B26" s="393"/>
      <c r="C26" s="594" t="s">
        <v>175</v>
      </c>
      <c r="D26" s="594">
        <v>64.0</v>
      </c>
      <c r="E26" s="6"/>
      <c r="F26" s="595" t="str">
        <f>F20</f>
        <v>Enchanted Obsidian</v>
      </c>
      <c r="G26" s="596">
        <f t="shared" si="10"/>
        <v>81920</v>
      </c>
      <c r="H26" s="6"/>
      <c r="I26" s="597">
        <v>24.0</v>
      </c>
      <c r="J26" s="598" t="s">
        <v>120</v>
      </c>
      <c r="L26" s="393"/>
      <c r="M26" s="594" t="s">
        <v>175</v>
      </c>
      <c r="N26" s="594">
        <v>64.0</v>
      </c>
      <c r="O26" s="6"/>
      <c r="P26" s="595" t="str">
        <f>P20</f>
        <v>Enchanted Bone</v>
      </c>
      <c r="Q26" s="596">
        <f t="shared" si="11"/>
        <v>81920</v>
      </c>
      <c r="R26" s="6"/>
      <c r="S26" s="597">
        <v>13.0</v>
      </c>
      <c r="T26" s="598" t="s">
        <v>120</v>
      </c>
    </row>
    <row r="27">
      <c r="B27" s="580"/>
      <c r="L27" s="580"/>
    </row>
    <row r="28" ht="45.0" customHeight="1">
      <c r="B28" s="599" t="str">
        <f>'Minion Checker'!D9</f>
        <v/>
      </c>
      <c r="C28" s="582" t="str">
        <f>'Minion Checker'!E9</f>
        <v>Glowstone</v>
      </c>
      <c r="D28" s="583" t="s">
        <v>577</v>
      </c>
      <c r="E28" s="17"/>
      <c r="F28" s="584" t="s">
        <v>578</v>
      </c>
      <c r="G28" s="584" t="s">
        <v>579</v>
      </c>
      <c r="H28" s="17"/>
      <c r="I28" s="583" t="s">
        <v>580</v>
      </c>
      <c r="J28" s="464" t="str">
        <f>"ETA of Self-Upgrade
(@x3 "&amp;C28&amp;"/Harvest)"</f>
        <v>ETA of Self-Upgrade
(@x3 Glowstone/Harvest)</v>
      </c>
      <c r="L28" s="585" t="str">
        <f>'Minion Checker'!D39</f>
        <v/>
      </c>
      <c r="M28" s="583" t="str">
        <f>'Minion Checker'!E39</f>
        <v>Creeper</v>
      </c>
      <c r="N28" s="583" t="s">
        <v>577</v>
      </c>
      <c r="O28" s="17"/>
      <c r="P28" s="584" t="s">
        <v>578</v>
      </c>
      <c r="Q28" s="584" t="s">
        <v>579</v>
      </c>
      <c r="R28" s="17"/>
      <c r="S28" s="583" t="s">
        <v>580</v>
      </c>
      <c r="T28" s="464" t="s">
        <v>581</v>
      </c>
    </row>
    <row r="29">
      <c r="B29" s="586"/>
      <c r="C29" s="587" t="s">
        <v>420</v>
      </c>
      <c r="D29" s="587">
        <v>16.0</v>
      </c>
      <c r="E29" s="588" t="s">
        <v>143</v>
      </c>
      <c r="F29" s="588" t="str">
        <f>E29</f>
        <v>Glowstone Dust</v>
      </c>
      <c r="G29" s="188">
        <f t="shared" ref="G29:G31" si="12">D29*8</f>
        <v>128</v>
      </c>
      <c r="H29" s="187" t="str">
        <f>E29</f>
        <v>Glowstone Dust</v>
      </c>
      <c r="I29" s="589">
        <v>25.0</v>
      </c>
      <c r="J29" s="590">
        <f t="shared" ref="J29:J38" si="13">G30*I29/3600*2/3</f>
        <v>1.185185185</v>
      </c>
      <c r="L29" s="586"/>
      <c r="M29" s="587" t="s">
        <v>420</v>
      </c>
      <c r="N29" s="587">
        <v>10.0</v>
      </c>
      <c r="O29" s="588" t="s">
        <v>149</v>
      </c>
      <c r="P29" s="588" t="str">
        <f>O29</f>
        <v>Gunpowder</v>
      </c>
      <c r="Q29" s="188">
        <f t="shared" ref="Q29:Q32" si="14">N29*8</f>
        <v>80</v>
      </c>
      <c r="R29" s="187" t="str">
        <f>O29</f>
        <v>Gunpowder</v>
      </c>
      <c r="S29" s="589">
        <v>27.0</v>
      </c>
      <c r="T29" s="590">
        <f t="shared" ref="T29:T38" si="15">Q30*S29/3600*2</f>
        <v>2.4</v>
      </c>
    </row>
    <row r="30">
      <c r="B30" s="372"/>
      <c r="C30" s="587" t="s">
        <v>582</v>
      </c>
      <c r="D30" s="587">
        <v>32.0</v>
      </c>
      <c r="F30" s="588" t="str">
        <f>F29</f>
        <v>Glowstone Dust</v>
      </c>
      <c r="G30" s="188">
        <f t="shared" si="12"/>
        <v>256</v>
      </c>
      <c r="I30" s="589">
        <f>I29</f>
        <v>25</v>
      </c>
      <c r="J30" s="590">
        <f t="shared" si="13"/>
        <v>2.37037037</v>
      </c>
      <c r="L30" s="372"/>
      <c r="M30" s="587" t="s">
        <v>582</v>
      </c>
      <c r="N30" s="587">
        <v>20.0</v>
      </c>
      <c r="P30" s="588" t="str">
        <f>P29</f>
        <v>Gunpowder</v>
      </c>
      <c r="Q30" s="188">
        <f t="shared" si="14"/>
        <v>160</v>
      </c>
      <c r="S30" s="589">
        <f>S29</f>
        <v>27</v>
      </c>
      <c r="T30" s="590">
        <f t="shared" si="15"/>
        <v>4.8</v>
      </c>
    </row>
    <row r="31">
      <c r="B31" s="372"/>
      <c r="C31" s="587" t="s">
        <v>433</v>
      </c>
      <c r="D31" s="587">
        <v>64.0</v>
      </c>
      <c r="F31" s="588" t="str">
        <f>F29</f>
        <v>Glowstone Dust</v>
      </c>
      <c r="G31" s="188">
        <f t="shared" si="12"/>
        <v>512</v>
      </c>
      <c r="I31" s="589">
        <v>23.0</v>
      </c>
      <c r="J31" s="590">
        <f t="shared" si="13"/>
        <v>5.451851852</v>
      </c>
      <c r="L31" s="372"/>
      <c r="M31" s="587" t="s">
        <v>433</v>
      </c>
      <c r="N31" s="587">
        <v>40.0</v>
      </c>
      <c r="P31" s="588" t="str">
        <f>P29</f>
        <v>Gunpowder</v>
      </c>
      <c r="Q31" s="188">
        <f t="shared" si="14"/>
        <v>320</v>
      </c>
      <c r="S31" s="589">
        <v>25.0</v>
      </c>
      <c r="T31" s="590">
        <f t="shared" si="15"/>
        <v>7.111111111</v>
      </c>
    </row>
    <row r="32">
      <c r="B32" s="372"/>
      <c r="C32" s="591" t="s">
        <v>583</v>
      </c>
      <c r="D32" s="591">
        <v>1.0</v>
      </c>
      <c r="E32" s="592" t="str">
        <f>"Enchanted "&amp;E29</f>
        <v>Enchanted Glowstone Dust</v>
      </c>
      <c r="F32" s="600" t="s">
        <v>236</v>
      </c>
      <c r="G32" s="188">
        <f t="shared" ref="G32:G37" si="16">D32*8*160</f>
        <v>1280</v>
      </c>
      <c r="I32" s="589">
        <f>I31</f>
        <v>23</v>
      </c>
      <c r="J32" s="590">
        <f t="shared" si="13"/>
        <v>16.35555556</v>
      </c>
      <c r="L32" s="372"/>
      <c r="M32" s="587" t="s">
        <v>583</v>
      </c>
      <c r="N32" s="587">
        <v>64.0</v>
      </c>
      <c r="P32" s="588" t="str">
        <f>P29</f>
        <v>Gunpowder</v>
      </c>
      <c r="Q32" s="188">
        <f t="shared" si="14"/>
        <v>512</v>
      </c>
      <c r="S32" s="589">
        <f>S31</f>
        <v>25</v>
      </c>
      <c r="T32" s="590">
        <f t="shared" si="15"/>
        <v>17.77777778</v>
      </c>
    </row>
    <row r="33">
      <c r="B33" s="372"/>
      <c r="C33" s="591" t="s">
        <v>417</v>
      </c>
      <c r="D33" s="591">
        <v>3.0</v>
      </c>
      <c r="F33" s="592" t="str">
        <f>F32</f>
        <v>E. Glowstone Dust</v>
      </c>
      <c r="G33" s="188">
        <f t="shared" si="16"/>
        <v>3840</v>
      </c>
      <c r="I33" s="589">
        <v>21.0</v>
      </c>
      <c r="J33" s="590">
        <f t="shared" si="13"/>
        <v>39.82222222</v>
      </c>
      <c r="L33" s="372"/>
      <c r="M33" s="591" t="s">
        <v>417</v>
      </c>
      <c r="N33" s="591">
        <v>1.0</v>
      </c>
      <c r="O33" s="592" t="str">
        <f>"Enchanted "&amp;O29</f>
        <v>Enchanted Gunpowder</v>
      </c>
      <c r="P33" s="592" t="str">
        <f>O33</f>
        <v>Enchanted Gunpowder</v>
      </c>
      <c r="Q33" s="188">
        <f t="shared" ref="Q33:Q38" si="17">N33*8*160</f>
        <v>1280</v>
      </c>
      <c r="S33" s="589">
        <v>23.0</v>
      </c>
      <c r="T33" s="590">
        <f t="shared" si="15"/>
        <v>49.06666667</v>
      </c>
    </row>
    <row r="34">
      <c r="B34" s="372"/>
      <c r="C34" s="591" t="s">
        <v>584</v>
      </c>
      <c r="D34" s="591">
        <v>8.0</v>
      </c>
      <c r="F34" s="592" t="str">
        <f>F32</f>
        <v>E. Glowstone Dust</v>
      </c>
      <c r="G34" s="188">
        <f t="shared" si="16"/>
        <v>10240</v>
      </c>
      <c r="I34" s="589">
        <f>I33</f>
        <v>21</v>
      </c>
      <c r="J34" s="590">
        <f t="shared" si="13"/>
        <v>79.64444444</v>
      </c>
      <c r="L34" s="372"/>
      <c r="M34" s="591" t="s">
        <v>584</v>
      </c>
      <c r="N34" s="591">
        <v>3.0</v>
      </c>
      <c r="P34" s="592" t="str">
        <f>P33</f>
        <v>Enchanted Gunpowder</v>
      </c>
      <c r="Q34" s="188">
        <f t="shared" si="17"/>
        <v>3840</v>
      </c>
      <c r="S34" s="589">
        <f>S33</f>
        <v>23</v>
      </c>
      <c r="T34" s="590">
        <f t="shared" si="15"/>
        <v>130.8444444</v>
      </c>
    </row>
    <row r="35">
      <c r="B35" s="372"/>
      <c r="C35" s="591" t="s">
        <v>585</v>
      </c>
      <c r="D35" s="591">
        <v>16.0</v>
      </c>
      <c r="F35" s="592" t="str">
        <f>F32</f>
        <v>E. Glowstone Dust</v>
      </c>
      <c r="G35" s="188">
        <f t="shared" si="16"/>
        <v>20480</v>
      </c>
      <c r="I35" s="589">
        <v>19.0</v>
      </c>
      <c r="J35" s="590">
        <f t="shared" si="13"/>
        <v>144.1185185</v>
      </c>
      <c r="L35" s="372"/>
      <c r="M35" s="591" t="s">
        <v>585</v>
      </c>
      <c r="N35" s="591">
        <v>8.0</v>
      </c>
      <c r="P35" s="592" t="str">
        <f>P33</f>
        <v>Enchanted Gunpowder</v>
      </c>
      <c r="Q35" s="188">
        <f t="shared" si="17"/>
        <v>10240</v>
      </c>
      <c r="S35" s="589">
        <v>21.0</v>
      </c>
      <c r="T35" s="590">
        <f t="shared" si="15"/>
        <v>238.9333333</v>
      </c>
    </row>
    <row r="36">
      <c r="B36" s="372"/>
      <c r="C36" s="591" t="s">
        <v>586</v>
      </c>
      <c r="D36" s="591">
        <v>32.0</v>
      </c>
      <c r="F36" s="592" t="str">
        <f>F32</f>
        <v>E. Glowstone Dust</v>
      </c>
      <c r="G36" s="188">
        <f t="shared" si="16"/>
        <v>40960</v>
      </c>
      <c r="I36" s="589">
        <f>I35</f>
        <v>19</v>
      </c>
      <c r="J36" s="590">
        <f t="shared" si="13"/>
        <v>288.237037</v>
      </c>
      <c r="L36" s="372"/>
      <c r="M36" s="591" t="s">
        <v>586</v>
      </c>
      <c r="N36" s="591">
        <v>16.0</v>
      </c>
      <c r="P36" s="592" t="str">
        <f>P33</f>
        <v>Enchanted Gunpowder</v>
      </c>
      <c r="Q36" s="188">
        <f t="shared" si="17"/>
        <v>20480</v>
      </c>
      <c r="S36" s="589">
        <f>S35</f>
        <v>21</v>
      </c>
      <c r="T36" s="590">
        <f t="shared" si="15"/>
        <v>477.8666667</v>
      </c>
    </row>
    <row r="37">
      <c r="B37" s="372"/>
      <c r="C37" s="591" t="s">
        <v>587</v>
      </c>
      <c r="D37" s="591">
        <v>64.0</v>
      </c>
      <c r="F37" s="592" t="str">
        <f>F32</f>
        <v>E. Glowstone Dust</v>
      </c>
      <c r="G37" s="188">
        <f t="shared" si="16"/>
        <v>81920</v>
      </c>
      <c r="I37" s="589">
        <v>16.0</v>
      </c>
      <c r="J37" s="590">
        <f t="shared" si="13"/>
        <v>728.1777778</v>
      </c>
      <c r="L37" s="372"/>
      <c r="M37" s="591" t="s">
        <v>587</v>
      </c>
      <c r="N37" s="591">
        <v>32.0</v>
      </c>
      <c r="P37" s="592" t="str">
        <f>P33</f>
        <v>Enchanted Gunpowder</v>
      </c>
      <c r="Q37" s="188">
        <f t="shared" si="17"/>
        <v>40960</v>
      </c>
      <c r="S37" s="589">
        <v>18.0</v>
      </c>
      <c r="T37" s="590">
        <f t="shared" si="15"/>
        <v>819.2</v>
      </c>
    </row>
    <row r="38">
      <c r="B38" s="372"/>
      <c r="C38" s="601" t="s">
        <v>114</v>
      </c>
      <c r="D38" s="601">
        <v>1.0</v>
      </c>
      <c r="E38" s="463" t="s">
        <v>237</v>
      </c>
      <c r="F38" s="463" t="str">
        <f>E38</f>
        <v>Enchanted Glowstone</v>
      </c>
      <c r="G38" s="188">
        <f t="shared" ref="G38:G39" si="18">D38*8*160*192</f>
        <v>245760</v>
      </c>
      <c r="I38" s="589">
        <f>I37</f>
        <v>16</v>
      </c>
      <c r="J38" s="590">
        <f t="shared" si="13"/>
        <v>1456.355556</v>
      </c>
      <c r="L38" s="372"/>
      <c r="M38" s="591" t="s">
        <v>114</v>
      </c>
      <c r="N38" s="591">
        <v>64.0</v>
      </c>
      <c r="P38" s="592" t="str">
        <f>P33</f>
        <v>Enchanted Gunpowder</v>
      </c>
      <c r="Q38" s="188">
        <f t="shared" si="17"/>
        <v>81920</v>
      </c>
      <c r="S38" s="589">
        <f>S37</f>
        <v>18</v>
      </c>
      <c r="T38" s="590">
        <f t="shared" si="15"/>
        <v>1638.4</v>
      </c>
    </row>
    <row r="39">
      <c r="B39" s="393"/>
      <c r="C39" s="602" t="s">
        <v>175</v>
      </c>
      <c r="D39" s="602">
        <v>2.0</v>
      </c>
      <c r="E39" s="6"/>
      <c r="F39" s="603" t="str">
        <f>E38</f>
        <v>Enchanted Glowstone</v>
      </c>
      <c r="G39" s="596">
        <f t="shared" si="18"/>
        <v>491520</v>
      </c>
      <c r="H39" s="6"/>
      <c r="I39" s="597">
        <v>13.0</v>
      </c>
      <c r="J39" s="598" t="s">
        <v>120</v>
      </c>
      <c r="L39" s="393"/>
      <c r="M39" s="602" t="s">
        <v>175</v>
      </c>
      <c r="N39" s="602">
        <v>2.0</v>
      </c>
      <c r="O39" s="603" t="s">
        <v>333</v>
      </c>
      <c r="P39" s="603" t="str">
        <f>O39</f>
        <v>Enchanted Firework Rocket</v>
      </c>
      <c r="Q39" s="596">
        <f>N39*8*160*64</f>
        <v>163840</v>
      </c>
      <c r="R39" s="6"/>
      <c r="S39" s="597">
        <v>14.0</v>
      </c>
      <c r="T39" s="598" t="s">
        <v>120</v>
      </c>
    </row>
    <row r="40">
      <c r="B40" s="580"/>
      <c r="L40" s="580"/>
    </row>
    <row r="41" ht="45.0" customHeight="1">
      <c r="B41" s="599" t="str">
        <f>'Minion Checker'!D10</f>
        <v/>
      </c>
      <c r="C41" s="582" t="str">
        <f>'Minion Checker'!E10</f>
        <v>Gravel</v>
      </c>
      <c r="D41" s="583" t="s">
        <v>577</v>
      </c>
      <c r="E41" s="17"/>
      <c r="F41" s="584" t="s">
        <v>578</v>
      </c>
      <c r="G41" s="584" t="s">
        <v>579</v>
      </c>
      <c r="H41" s="17"/>
      <c r="I41" s="583" t="s">
        <v>580</v>
      </c>
      <c r="J41" s="464" t="s">
        <v>581</v>
      </c>
      <c r="L41" s="585" t="str">
        <f>'Minion Checker'!D40</f>
        <v/>
      </c>
      <c r="M41" s="583" t="str">
        <f>'Minion Checker'!E40</f>
        <v>Spider</v>
      </c>
      <c r="N41" s="583" t="s">
        <v>577</v>
      </c>
      <c r="O41" s="17"/>
      <c r="P41" s="584" t="s">
        <v>578</v>
      </c>
      <c r="Q41" s="584" t="s">
        <v>579</v>
      </c>
      <c r="R41" s="17"/>
      <c r="S41" s="583" t="s">
        <v>580</v>
      </c>
      <c r="T41" s="464" t="s">
        <v>581</v>
      </c>
    </row>
    <row r="42">
      <c r="B42" s="586"/>
      <c r="C42" s="587" t="s">
        <v>420</v>
      </c>
      <c r="D42" s="587">
        <v>10.0</v>
      </c>
      <c r="E42" s="588" t="str">
        <f>C41</f>
        <v>Gravel</v>
      </c>
      <c r="F42" s="588" t="str">
        <f>E42</f>
        <v>Gravel</v>
      </c>
      <c r="G42" s="188">
        <f t="shared" ref="G42:G45" si="19">D42*8</f>
        <v>80</v>
      </c>
      <c r="H42" s="187" t="str">
        <f>E42</f>
        <v>Gravel</v>
      </c>
      <c r="I42" s="589">
        <v>26.0</v>
      </c>
      <c r="J42" s="590">
        <f t="shared" ref="J42:J51" si="20">G43*I42/3600*2</f>
        <v>2.311111111</v>
      </c>
      <c r="L42" s="586"/>
      <c r="M42" s="587" t="s">
        <v>420</v>
      </c>
      <c r="N42" s="587">
        <v>10.0</v>
      </c>
      <c r="O42" s="588" t="s">
        <v>150</v>
      </c>
      <c r="P42" s="588" t="str">
        <f>O42</f>
        <v>String</v>
      </c>
      <c r="Q42" s="188">
        <f t="shared" ref="Q42:Q45" si="21">N42*8</f>
        <v>80</v>
      </c>
      <c r="R42" s="187" t="str">
        <f>O42</f>
        <v>String</v>
      </c>
      <c r="S42" s="589">
        <v>26.0</v>
      </c>
      <c r="T42" s="590">
        <f t="shared" ref="T42:T51" si="22">Q43*S42/3600*2</f>
        <v>2.311111111</v>
      </c>
    </row>
    <row r="43">
      <c r="B43" s="372"/>
      <c r="C43" s="587" t="s">
        <v>582</v>
      </c>
      <c r="D43" s="587">
        <v>20.0</v>
      </c>
      <c r="F43" s="588" t="str">
        <f>F42</f>
        <v>Gravel</v>
      </c>
      <c r="G43" s="188">
        <f t="shared" si="19"/>
        <v>160</v>
      </c>
      <c r="I43" s="589">
        <f>I42</f>
        <v>26</v>
      </c>
      <c r="J43" s="590">
        <f t="shared" si="20"/>
        <v>4.622222222</v>
      </c>
      <c r="L43" s="372"/>
      <c r="M43" s="587" t="s">
        <v>582</v>
      </c>
      <c r="N43" s="587">
        <v>20.0</v>
      </c>
      <c r="P43" s="588" t="str">
        <f>P42</f>
        <v>String</v>
      </c>
      <c r="Q43" s="188">
        <f t="shared" si="21"/>
        <v>160</v>
      </c>
      <c r="S43" s="589">
        <f>S42</f>
        <v>26</v>
      </c>
      <c r="T43" s="590">
        <f t="shared" si="22"/>
        <v>4.622222222</v>
      </c>
    </row>
    <row r="44">
      <c r="B44" s="372"/>
      <c r="C44" s="587" t="s">
        <v>433</v>
      </c>
      <c r="D44" s="587">
        <v>40.0</v>
      </c>
      <c r="F44" s="588" t="str">
        <f>F42</f>
        <v>Gravel</v>
      </c>
      <c r="G44" s="188">
        <f t="shared" si="19"/>
        <v>320</v>
      </c>
      <c r="I44" s="589">
        <v>24.0</v>
      </c>
      <c r="J44" s="590">
        <f t="shared" si="20"/>
        <v>6.826666667</v>
      </c>
      <c r="L44" s="372"/>
      <c r="M44" s="587" t="s">
        <v>433</v>
      </c>
      <c r="N44" s="587">
        <v>40.0</v>
      </c>
      <c r="P44" s="588" t="str">
        <f>P42</f>
        <v>String</v>
      </c>
      <c r="Q44" s="188">
        <f t="shared" si="21"/>
        <v>320</v>
      </c>
      <c r="S44" s="589">
        <v>24.0</v>
      </c>
      <c r="T44" s="590">
        <f t="shared" si="22"/>
        <v>6.826666667</v>
      </c>
    </row>
    <row r="45">
      <c r="B45" s="372"/>
      <c r="C45" s="587" t="s">
        <v>583</v>
      </c>
      <c r="D45" s="587">
        <v>64.0</v>
      </c>
      <c r="F45" s="588" t="str">
        <f>F42</f>
        <v>Gravel</v>
      </c>
      <c r="G45" s="188">
        <f t="shared" si="19"/>
        <v>512</v>
      </c>
      <c r="I45" s="589">
        <f>I44</f>
        <v>24</v>
      </c>
      <c r="J45" s="590">
        <f t="shared" si="20"/>
        <v>17.06666667</v>
      </c>
      <c r="L45" s="372"/>
      <c r="M45" s="587" t="s">
        <v>583</v>
      </c>
      <c r="N45" s="587">
        <v>64.0</v>
      </c>
      <c r="P45" s="588" t="str">
        <f>P42</f>
        <v>String</v>
      </c>
      <c r="Q45" s="188">
        <f t="shared" si="21"/>
        <v>512</v>
      </c>
      <c r="S45" s="589">
        <f>S44</f>
        <v>24</v>
      </c>
      <c r="T45" s="590">
        <f t="shared" si="22"/>
        <v>20.48</v>
      </c>
    </row>
    <row r="46">
      <c r="B46" s="372"/>
      <c r="C46" s="591" t="s">
        <v>417</v>
      </c>
      <c r="D46" s="591">
        <v>1.0</v>
      </c>
      <c r="E46" s="592" t="s">
        <v>239</v>
      </c>
      <c r="F46" s="592" t="str">
        <f>E46</f>
        <v>Enchanted Flint</v>
      </c>
      <c r="G46" s="188">
        <f t="shared" ref="G46:G52" si="23">D46*8*160</f>
        <v>1280</v>
      </c>
      <c r="I46" s="589">
        <v>22.0</v>
      </c>
      <c r="J46" s="590">
        <f t="shared" si="20"/>
        <v>31.28888889</v>
      </c>
      <c r="L46" s="372"/>
      <c r="M46" s="591" t="s">
        <v>417</v>
      </c>
      <c r="N46" s="591">
        <v>1.0</v>
      </c>
      <c r="O46" s="592" t="str">
        <f>"Enchanted "&amp;O42</f>
        <v>Enchanted String</v>
      </c>
      <c r="P46" s="592" t="str">
        <f>O46</f>
        <v>Enchanted String</v>
      </c>
      <c r="Q46" s="188">
        <f t="shared" ref="Q46:Q52" si="24">N46*8*192</f>
        <v>1536</v>
      </c>
      <c r="S46" s="589">
        <v>22.0</v>
      </c>
      <c r="T46" s="590">
        <f t="shared" si="22"/>
        <v>37.54666667</v>
      </c>
    </row>
    <row r="47">
      <c r="B47" s="372"/>
      <c r="C47" s="591" t="s">
        <v>584</v>
      </c>
      <c r="D47" s="591">
        <v>2.0</v>
      </c>
      <c r="F47" s="592" t="str">
        <f>F46</f>
        <v>Enchanted Flint</v>
      </c>
      <c r="G47" s="188">
        <f t="shared" si="23"/>
        <v>2560</v>
      </c>
      <c r="I47" s="589">
        <f>I46</f>
        <v>22</v>
      </c>
      <c r="J47" s="590">
        <f t="shared" si="20"/>
        <v>62.57777778</v>
      </c>
      <c r="L47" s="372"/>
      <c r="M47" s="591" t="s">
        <v>584</v>
      </c>
      <c r="N47" s="591">
        <v>2.0</v>
      </c>
      <c r="P47" s="592" t="str">
        <f>P46</f>
        <v>Enchanted String</v>
      </c>
      <c r="Q47" s="188">
        <f t="shared" si="24"/>
        <v>3072</v>
      </c>
      <c r="S47" s="589">
        <f>S46</f>
        <v>22</v>
      </c>
      <c r="T47" s="590">
        <f t="shared" si="22"/>
        <v>75.09333333</v>
      </c>
    </row>
    <row r="48">
      <c r="B48" s="372"/>
      <c r="C48" s="591" t="s">
        <v>585</v>
      </c>
      <c r="D48" s="591">
        <v>4.0</v>
      </c>
      <c r="F48" s="592" t="str">
        <f>F46</f>
        <v>Enchanted Flint</v>
      </c>
      <c r="G48" s="188">
        <f t="shared" si="23"/>
        <v>5120</v>
      </c>
      <c r="I48" s="589">
        <v>19.0</v>
      </c>
      <c r="J48" s="590">
        <f t="shared" si="20"/>
        <v>108.0888889</v>
      </c>
      <c r="L48" s="372"/>
      <c r="M48" s="591" t="s">
        <v>585</v>
      </c>
      <c r="N48" s="591">
        <v>4.0</v>
      </c>
      <c r="P48" s="592" t="str">
        <f>P46</f>
        <v>Enchanted String</v>
      </c>
      <c r="Q48" s="188">
        <f t="shared" si="24"/>
        <v>6144</v>
      </c>
      <c r="S48" s="589">
        <v>20.0</v>
      </c>
      <c r="T48" s="590">
        <f t="shared" si="22"/>
        <v>136.5333333</v>
      </c>
    </row>
    <row r="49">
      <c r="B49" s="372"/>
      <c r="C49" s="591" t="s">
        <v>586</v>
      </c>
      <c r="D49" s="591">
        <v>8.0</v>
      </c>
      <c r="F49" s="592" t="str">
        <f>F46</f>
        <v>Enchanted Flint</v>
      </c>
      <c r="G49" s="188">
        <f t="shared" si="23"/>
        <v>10240</v>
      </c>
      <c r="I49" s="589">
        <f>I48</f>
        <v>19</v>
      </c>
      <c r="J49" s="590">
        <f t="shared" si="20"/>
        <v>216.1777778</v>
      </c>
      <c r="L49" s="372"/>
      <c r="M49" s="591" t="s">
        <v>586</v>
      </c>
      <c r="N49" s="591">
        <v>8.0</v>
      </c>
      <c r="P49" s="592" t="str">
        <f>P46</f>
        <v>Enchanted String</v>
      </c>
      <c r="Q49" s="188">
        <f t="shared" si="24"/>
        <v>12288</v>
      </c>
      <c r="S49" s="589">
        <f>S48</f>
        <v>20</v>
      </c>
      <c r="T49" s="590">
        <f t="shared" si="22"/>
        <v>273.0666667</v>
      </c>
    </row>
    <row r="50">
      <c r="B50" s="372"/>
      <c r="C50" s="591" t="s">
        <v>587</v>
      </c>
      <c r="D50" s="591">
        <v>16.0</v>
      </c>
      <c r="F50" s="592" t="str">
        <f>F46</f>
        <v>Enchanted Flint</v>
      </c>
      <c r="G50" s="188">
        <f t="shared" si="23"/>
        <v>20480</v>
      </c>
      <c r="I50" s="589">
        <v>16.0</v>
      </c>
      <c r="J50" s="590">
        <f t="shared" si="20"/>
        <v>364.0888889</v>
      </c>
      <c r="L50" s="372"/>
      <c r="M50" s="591" t="s">
        <v>587</v>
      </c>
      <c r="N50" s="591">
        <v>16.0</v>
      </c>
      <c r="P50" s="592" t="str">
        <f>P46</f>
        <v>Enchanted String</v>
      </c>
      <c r="Q50" s="188">
        <f t="shared" si="24"/>
        <v>24576</v>
      </c>
      <c r="S50" s="589">
        <v>17.0</v>
      </c>
      <c r="T50" s="590">
        <f t="shared" si="22"/>
        <v>464.2133333</v>
      </c>
    </row>
    <row r="51">
      <c r="B51" s="372"/>
      <c r="C51" s="591" t="s">
        <v>114</v>
      </c>
      <c r="D51" s="591">
        <v>32.0</v>
      </c>
      <c r="F51" s="592" t="str">
        <f>F46</f>
        <v>Enchanted Flint</v>
      </c>
      <c r="G51" s="188">
        <f t="shared" si="23"/>
        <v>40960</v>
      </c>
      <c r="I51" s="589">
        <f>I50</f>
        <v>16</v>
      </c>
      <c r="J51" s="590">
        <f t="shared" si="20"/>
        <v>728.1777778</v>
      </c>
      <c r="L51" s="372"/>
      <c r="M51" s="591" t="s">
        <v>114</v>
      </c>
      <c r="N51" s="591">
        <v>32.0</v>
      </c>
      <c r="P51" s="592" t="str">
        <f>P46</f>
        <v>Enchanted String</v>
      </c>
      <c r="Q51" s="188">
        <f t="shared" si="24"/>
        <v>49152</v>
      </c>
      <c r="S51" s="589">
        <f>S50</f>
        <v>17</v>
      </c>
      <c r="T51" s="590">
        <f t="shared" si="22"/>
        <v>928.4266667</v>
      </c>
    </row>
    <row r="52">
      <c r="B52" s="393"/>
      <c r="C52" s="594" t="s">
        <v>175</v>
      </c>
      <c r="D52" s="594">
        <v>64.0</v>
      </c>
      <c r="E52" s="6"/>
      <c r="F52" s="595" t="str">
        <f>F46</f>
        <v>Enchanted Flint</v>
      </c>
      <c r="G52" s="596">
        <f t="shared" si="23"/>
        <v>81920</v>
      </c>
      <c r="H52" s="6"/>
      <c r="I52" s="597">
        <v>13.0</v>
      </c>
      <c r="J52" s="598" t="s">
        <v>120</v>
      </c>
      <c r="L52" s="393"/>
      <c r="M52" s="594" t="s">
        <v>175</v>
      </c>
      <c r="N52" s="594">
        <v>64.0</v>
      </c>
      <c r="O52" s="6"/>
      <c r="P52" s="595" t="str">
        <f>P46</f>
        <v>Enchanted String</v>
      </c>
      <c r="Q52" s="596">
        <f t="shared" si="24"/>
        <v>98304</v>
      </c>
      <c r="R52" s="6"/>
      <c r="S52" s="597">
        <v>13.0</v>
      </c>
      <c r="T52" s="598" t="s">
        <v>120</v>
      </c>
    </row>
    <row r="53">
      <c r="B53" s="580"/>
      <c r="L53" s="580"/>
    </row>
    <row r="54" ht="45.0" customHeight="1">
      <c r="B54" s="604" t="str">
        <f>'Minion Checker'!D11</f>
        <v/>
      </c>
      <c r="C54" s="582" t="str">
        <f>'Minion Checker'!E11</f>
        <v>Sand</v>
      </c>
      <c r="D54" s="583" t="s">
        <v>577</v>
      </c>
      <c r="E54" s="17"/>
      <c r="F54" s="584" t="s">
        <v>578</v>
      </c>
      <c r="G54" s="584" t="s">
        <v>579</v>
      </c>
      <c r="H54" s="17"/>
      <c r="I54" s="583" t="s">
        <v>580</v>
      </c>
      <c r="J54" s="464" t="s">
        <v>581</v>
      </c>
      <c r="L54" s="585" t="str">
        <f>'Minion Checker'!D41</f>
        <v/>
      </c>
      <c r="M54" s="583" t="str">
        <f>'Minion Checker'!E41</f>
        <v>Tarantula</v>
      </c>
      <c r="N54" s="583" t="s">
        <v>577</v>
      </c>
      <c r="O54" s="17"/>
      <c r="P54" s="584" t="s">
        <v>578</v>
      </c>
      <c r="Q54" s="584" t="s">
        <v>579</v>
      </c>
      <c r="R54" s="17"/>
      <c r="S54" s="583" t="s">
        <v>580</v>
      </c>
      <c r="T54" s="464" t="s">
        <v>581</v>
      </c>
    </row>
    <row r="55">
      <c r="B55" s="586"/>
      <c r="C55" s="587" t="s">
        <v>420</v>
      </c>
      <c r="D55" s="587">
        <v>10.0</v>
      </c>
      <c r="E55" s="588" t="str">
        <f>C54</f>
        <v>Sand</v>
      </c>
      <c r="F55" s="588" t="str">
        <f>E55</f>
        <v>Sand</v>
      </c>
      <c r="G55" s="188">
        <f t="shared" ref="G55:G58" si="25">D55*8</f>
        <v>80</v>
      </c>
      <c r="H55" s="187" t="str">
        <f>E55</f>
        <v>Sand</v>
      </c>
      <c r="I55" s="589">
        <v>26.0</v>
      </c>
      <c r="J55" s="590">
        <f t="shared" ref="J55:J64" si="26">G56*I55/3600*2</f>
        <v>2.311111111</v>
      </c>
      <c r="L55" s="586"/>
      <c r="M55" s="587" t="s">
        <v>420</v>
      </c>
      <c r="N55" s="587">
        <v>10.0</v>
      </c>
      <c r="O55" s="588" t="s">
        <v>337</v>
      </c>
      <c r="P55" s="588" t="str">
        <f>O55</f>
        <v>Tarantula Web</v>
      </c>
      <c r="Q55" s="188">
        <f t="shared" ref="Q55:Q58" si="27">N55*7</f>
        <v>70</v>
      </c>
      <c r="R55" s="187" t="str">
        <f>O55</f>
        <v>Tarantula Web</v>
      </c>
      <c r="S55" s="589">
        <v>29.0</v>
      </c>
      <c r="T55" s="590" t="s">
        <v>120</v>
      </c>
    </row>
    <row r="56">
      <c r="B56" s="372"/>
      <c r="C56" s="587" t="s">
        <v>582</v>
      </c>
      <c r="D56" s="587">
        <v>20.0</v>
      </c>
      <c r="F56" s="588" t="str">
        <f>F55</f>
        <v>Sand</v>
      </c>
      <c r="G56" s="188">
        <f t="shared" si="25"/>
        <v>160</v>
      </c>
      <c r="I56" s="589">
        <f>I55</f>
        <v>26</v>
      </c>
      <c r="J56" s="590">
        <f t="shared" si="26"/>
        <v>4.622222222</v>
      </c>
      <c r="L56" s="372"/>
      <c r="M56" s="587" t="s">
        <v>582</v>
      </c>
      <c r="N56" s="587">
        <v>20.0</v>
      </c>
      <c r="P56" s="588" t="str">
        <f>P55</f>
        <v>Tarantula Web</v>
      </c>
      <c r="Q56" s="188">
        <f t="shared" si="27"/>
        <v>140</v>
      </c>
      <c r="S56" s="589">
        <f>S55</f>
        <v>29</v>
      </c>
      <c r="T56" s="590" t="s">
        <v>120</v>
      </c>
    </row>
    <row r="57">
      <c r="B57" s="372"/>
      <c r="C57" s="587" t="s">
        <v>433</v>
      </c>
      <c r="D57" s="587">
        <v>40.0</v>
      </c>
      <c r="F57" s="588" t="str">
        <f>F55</f>
        <v>Sand</v>
      </c>
      <c r="G57" s="188">
        <f t="shared" si="25"/>
        <v>320</v>
      </c>
      <c r="I57" s="589">
        <v>24.0</v>
      </c>
      <c r="J57" s="590">
        <f t="shared" si="26"/>
        <v>6.826666667</v>
      </c>
      <c r="L57" s="372"/>
      <c r="M57" s="587" t="s">
        <v>433</v>
      </c>
      <c r="N57" s="587">
        <v>40.0</v>
      </c>
      <c r="P57" s="588" t="str">
        <f>P55</f>
        <v>Tarantula Web</v>
      </c>
      <c r="Q57" s="188">
        <f t="shared" si="27"/>
        <v>280</v>
      </c>
      <c r="S57" s="589">
        <v>26.0</v>
      </c>
      <c r="T57" s="590" t="s">
        <v>120</v>
      </c>
    </row>
    <row r="58">
      <c r="B58" s="372"/>
      <c r="C58" s="587" t="s">
        <v>583</v>
      </c>
      <c r="D58" s="587">
        <v>64.0</v>
      </c>
      <c r="F58" s="588" t="str">
        <f>F55</f>
        <v>Sand</v>
      </c>
      <c r="G58" s="188">
        <f t="shared" si="25"/>
        <v>512</v>
      </c>
      <c r="I58" s="589">
        <f>I57</f>
        <v>24</v>
      </c>
      <c r="J58" s="590">
        <f t="shared" si="26"/>
        <v>17.06666667</v>
      </c>
      <c r="L58" s="372"/>
      <c r="M58" s="587" t="s">
        <v>583</v>
      </c>
      <c r="N58" s="587">
        <v>64.0</v>
      </c>
      <c r="P58" s="588" t="str">
        <f>P55</f>
        <v>Tarantula Web</v>
      </c>
      <c r="Q58" s="188">
        <f t="shared" si="27"/>
        <v>448</v>
      </c>
      <c r="S58" s="589">
        <f>S57</f>
        <v>26</v>
      </c>
      <c r="T58" s="590" t="s">
        <v>120</v>
      </c>
    </row>
    <row r="59">
      <c r="B59" s="372"/>
      <c r="C59" s="591" t="s">
        <v>417</v>
      </c>
      <c r="D59" s="591">
        <v>1.0</v>
      </c>
      <c r="E59" s="592" t="str">
        <f>"Enchanted "&amp;C54</f>
        <v>Enchanted Sand</v>
      </c>
      <c r="F59" s="592" t="str">
        <f>E59</f>
        <v>Enchanted Sand</v>
      </c>
      <c r="G59" s="188">
        <f t="shared" ref="G59:G65" si="28">D59*8*160</f>
        <v>1280</v>
      </c>
      <c r="I59" s="589">
        <v>22.0</v>
      </c>
      <c r="J59" s="590">
        <f t="shared" si="26"/>
        <v>31.28888889</v>
      </c>
      <c r="L59" s="372"/>
      <c r="M59" s="591" t="s">
        <v>417</v>
      </c>
      <c r="N59" s="591">
        <v>1.0</v>
      </c>
      <c r="O59" s="592" t="s">
        <v>338</v>
      </c>
      <c r="P59" s="592" t="str">
        <f>O59</f>
        <v>Tarantula Silk</v>
      </c>
      <c r="Q59" s="188">
        <f t="shared" ref="Q59:Q65" si="29">N59*7*128</f>
        <v>896</v>
      </c>
      <c r="S59" s="589">
        <v>23.0</v>
      </c>
      <c r="T59" s="590" t="s">
        <v>120</v>
      </c>
    </row>
    <row r="60">
      <c r="B60" s="372"/>
      <c r="C60" s="591" t="s">
        <v>584</v>
      </c>
      <c r="D60" s="591">
        <v>2.0</v>
      </c>
      <c r="F60" s="592" t="str">
        <f>F59</f>
        <v>Enchanted Sand</v>
      </c>
      <c r="G60" s="188">
        <f t="shared" si="28"/>
        <v>2560</v>
      </c>
      <c r="I60" s="589">
        <f>I59</f>
        <v>22</v>
      </c>
      <c r="J60" s="590">
        <f t="shared" si="26"/>
        <v>62.57777778</v>
      </c>
      <c r="L60" s="372"/>
      <c r="M60" s="591" t="s">
        <v>584</v>
      </c>
      <c r="N60" s="591">
        <v>2.0</v>
      </c>
      <c r="P60" s="592" t="str">
        <f>P59</f>
        <v>Tarantula Silk</v>
      </c>
      <c r="Q60" s="188">
        <f t="shared" si="29"/>
        <v>1792</v>
      </c>
      <c r="S60" s="589">
        <f>S59</f>
        <v>23</v>
      </c>
      <c r="T60" s="590" t="s">
        <v>120</v>
      </c>
    </row>
    <row r="61">
      <c r="B61" s="372"/>
      <c r="C61" s="591" t="s">
        <v>585</v>
      </c>
      <c r="D61" s="591">
        <v>4.0</v>
      </c>
      <c r="F61" s="592" t="str">
        <f>F59</f>
        <v>Enchanted Sand</v>
      </c>
      <c r="G61" s="188">
        <f t="shared" si="28"/>
        <v>5120</v>
      </c>
      <c r="I61" s="589">
        <v>19.0</v>
      </c>
      <c r="J61" s="590">
        <f t="shared" si="26"/>
        <v>108.0888889</v>
      </c>
      <c r="L61" s="372"/>
      <c r="M61" s="591" t="s">
        <v>585</v>
      </c>
      <c r="N61" s="591">
        <v>4.0</v>
      </c>
      <c r="P61" s="592" t="str">
        <f>P59</f>
        <v>Tarantula Silk</v>
      </c>
      <c r="Q61" s="188">
        <f t="shared" si="29"/>
        <v>3584</v>
      </c>
      <c r="S61" s="589">
        <v>19.0</v>
      </c>
      <c r="T61" s="590" t="s">
        <v>120</v>
      </c>
    </row>
    <row r="62">
      <c r="B62" s="372"/>
      <c r="C62" s="591" t="s">
        <v>586</v>
      </c>
      <c r="D62" s="591">
        <v>8.0</v>
      </c>
      <c r="F62" s="592" t="str">
        <f>F59</f>
        <v>Enchanted Sand</v>
      </c>
      <c r="G62" s="188">
        <f t="shared" si="28"/>
        <v>10240</v>
      </c>
      <c r="I62" s="589">
        <f>I61</f>
        <v>19</v>
      </c>
      <c r="J62" s="590">
        <f t="shared" si="26"/>
        <v>216.1777778</v>
      </c>
      <c r="L62" s="372"/>
      <c r="M62" s="591" t="s">
        <v>586</v>
      </c>
      <c r="N62" s="591">
        <v>8.0</v>
      </c>
      <c r="P62" s="592" t="str">
        <f>P59</f>
        <v>Tarantula Silk</v>
      </c>
      <c r="Q62" s="188">
        <f t="shared" si="29"/>
        <v>7168</v>
      </c>
      <c r="S62" s="589">
        <f>S61</f>
        <v>19</v>
      </c>
      <c r="T62" s="590" t="s">
        <v>120</v>
      </c>
    </row>
    <row r="63">
      <c r="B63" s="372"/>
      <c r="C63" s="591" t="s">
        <v>587</v>
      </c>
      <c r="D63" s="591">
        <v>16.0</v>
      </c>
      <c r="F63" s="592" t="str">
        <f>F59</f>
        <v>Enchanted Sand</v>
      </c>
      <c r="G63" s="188">
        <f t="shared" si="28"/>
        <v>20480</v>
      </c>
      <c r="I63" s="589">
        <v>16.0</v>
      </c>
      <c r="J63" s="590">
        <f t="shared" si="26"/>
        <v>364.0888889</v>
      </c>
      <c r="L63" s="372"/>
      <c r="M63" s="591" t="s">
        <v>587</v>
      </c>
      <c r="N63" s="591">
        <v>16.0</v>
      </c>
      <c r="P63" s="592" t="str">
        <f>P59</f>
        <v>Tarantula Silk</v>
      </c>
      <c r="Q63" s="188">
        <f t="shared" si="29"/>
        <v>14336</v>
      </c>
      <c r="S63" s="593">
        <v>14.5</v>
      </c>
      <c r="T63" s="590" t="s">
        <v>120</v>
      </c>
    </row>
    <row r="64">
      <c r="B64" s="372"/>
      <c r="C64" s="591" t="s">
        <v>114</v>
      </c>
      <c r="D64" s="591">
        <v>32.0</v>
      </c>
      <c r="F64" s="592" t="str">
        <f>F59</f>
        <v>Enchanted Sand</v>
      </c>
      <c r="G64" s="188">
        <f t="shared" si="28"/>
        <v>40960</v>
      </c>
      <c r="I64" s="589">
        <f>I63</f>
        <v>16</v>
      </c>
      <c r="J64" s="590">
        <f t="shared" si="26"/>
        <v>728.1777778</v>
      </c>
      <c r="L64" s="372"/>
      <c r="M64" s="591" t="s">
        <v>114</v>
      </c>
      <c r="N64" s="591">
        <v>32.0</v>
      </c>
      <c r="P64" s="592" t="str">
        <f>P59</f>
        <v>Tarantula Silk</v>
      </c>
      <c r="Q64" s="188">
        <f t="shared" si="29"/>
        <v>28672</v>
      </c>
      <c r="S64" s="593">
        <f>S63</f>
        <v>14.5</v>
      </c>
      <c r="T64" s="590" t="s">
        <v>120</v>
      </c>
    </row>
    <row r="65">
      <c r="B65" s="393"/>
      <c r="C65" s="594" t="s">
        <v>175</v>
      </c>
      <c r="D65" s="594">
        <v>64.0</v>
      </c>
      <c r="E65" s="6"/>
      <c r="F65" s="595" t="str">
        <f>F59</f>
        <v>Enchanted Sand</v>
      </c>
      <c r="G65" s="596">
        <f t="shared" si="28"/>
        <v>81920</v>
      </c>
      <c r="H65" s="6"/>
      <c r="I65" s="597">
        <v>13.0</v>
      </c>
      <c r="J65" s="598" t="s">
        <v>120</v>
      </c>
      <c r="L65" s="393"/>
      <c r="M65" s="594" t="s">
        <v>175</v>
      </c>
      <c r="N65" s="594">
        <v>64.0</v>
      </c>
      <c r="O65" s="6"/>
      <c r="P65" s="595" t="str">
        <f>P59</f>
        <v>Tarantula Silk</v>
      </c>
      <c r="Q65" s="596">
        <f t="shared" si="29"/>
        <v>57344</v>
      </c>
      <c r="R65" s="6"/>
      <c r="S65" s="597">
        <v>10.0</v>
      </c>
      <c r="T65" s="598" t="s">
        <v>120</v>
      </c>
    </row>
    <row r="66">
      <c r="B66" s="580"/>
      <c r="L66" s="580"/>
    </row>
    <row r="67" ht="45.0" customHeight="1">
      <c r="B67" s="585" t="str">
        <f>'Minion Checker'!D12</f>
        <v/>
      </c>
      <c r="C67" s="583" t="str">
        <f>'Minion Checker'!E12</f>
        <v>Clay</v>
      </c>
      <c r="D67" s="583" t="s">
        <v>577</v>
      </c>
      <c r="E67" s="17"/>
      <c r="F67" s="584" t="s">
        <v>578</v>
      </c>
      <c r="G67" s="584" t="s">
        <v>579</v>
      </c>
      <c r="H67" s="17"/>
      <c r="I67" s="583" t="s">
        <v>580</v>
      </c>
      <c r="J67" s="464" t="str">
        <f>"ETA of Self-Upgrade
(@x4 "&amp;C67&amp;"/Harvest)"</f>
        <v>ETA of Self-Upgrade
(@x4 Clay/Harvest)</v>
      </c>
      <c r="L67" s="585" t="str">
        <f>'Minion Checker'!D42</f>
        <v/>
      </c>
      <c r="M67" s="583" t="str">
        <f>'Minion Checker'!E42</f>
        <v>Cave Spider</v>
      </c>
      <c r="N67" s="583" t="s">
        <v>577</v>
      </c>
      <c r="O67" s="17"/>
      <c r="P67" s="584" t="s">
        <v>578</v>
      </c>
      <c r="Q67" s="584" t="s">
        <v>579</v>
      </c>
      <c r="R67" s="17"/>
      <c r="S67" s="583" t="s">
        <v>580</v>
      </c>
      <c r="T67" s="464" t="s">
        <v>581</v>
      </c>
    </row>
    <row r="68">
      <c r="B68" s="586"/>
      <c r="C68" s="587" t="s">
        <v>420</v>
      </c>
      <c r="D68" s="587">
        <v>10.0</v>
      </c>
      <c r="E68" s="588" t="str">
        <f>C67</f>
        <v>Clay</v>
      </c>
      <c r="F68" s="588" t="str">
        <f>E68</f>
        <v>Clay</v>
      </c>
      <c r="G68" s="188">
        <f t="shared" ref="G68:G71" si="30">D68*8</f>
        <v>80</v>
      </c>
      <c r="H68" s="187" t="str">
        <f>E68</f>
        <v>Clay</v>
      </c>
      <c r="I68" s="589">
        <v>32.0</v>
      </c>
      <c r="J68" s="590">
        <f t="shared" ref="J68:J77" si="31">G69*I68/3600*2/4</f>
        <v>0.7111111111</v>
      </c>
      <c r="L68" s="586"/>
      <c r="M68" s="587" t="s">
        <v>420</v>
      </c>
      <c r="N68" s="587">
        <v>10.0</v>
      </c>
      <c r="O68" s="588" t="s">
        <v>151</v>
      </c>
      <c r="P68" s="588" t="str">
        <f>O68</f>
        <v>Spider Eye</v>
      </c>
      <c r="Q68" s="188">
        <f t="shared" ref="Q68:Q71" si="32">N68*8</f>
        <v>80</v>
      </c>
      <c r="R68" s="187" t="str">
        <f>O68</f>
        <v>Spider Eye</v>
      </c>
      <c r="S68" s="589">
        <v>26.0</v>
      </c>
      <c r="T68" s="590">
        <f t="shared" ref="T68:T77" si="33">Q69*S68/3600*2</f>
        <v>2.311111111</v>
      </c>
    </row>
    <row r="69">
      <c r="B69" s="372"/>
      <c r="C69" s="587" t="s">
        <v>582</v>
      </c>
      <c r="D69" s="587">
        <v>20.0</v>
      </c>
      <c r="F69" s="588" t="str">
        <f>F68</f>
        <v>Clay</v>
      </c>
      <c r="G69" s="188">
        <f t="shared" si="30"/>
        <v>160</v>
      </c>
      <c r="I69" s="589">
        <f>I68</f>
        <v>32</v>
      </c>
      <c r="J69" s="590">
        <f t="shared" si="31"/>
        <v>1.422222222</v>
      </c>
      <c r="L69" s="372"/>
      <c r="M69" s="587" t="s">
        <v>582</v>
      </c>
      <c r="N69" s="587">
        <v>20.0</v>
      </c>
      <c r="P69" s="588" t="str">
        <f>P68</f>
        <v>Spider Eye</v>
      </c>
      <c r="Q69" s="188">
        <f t="shared" si="32"/>
        <v>160</v>
      </c>
      <c r="S69" s="589">
        <f>S68</f>
        <v>26</v>
      </c>
      <c r="T69" s="590">
        <f t="shared" si="33"/>
        <v>4.622222222</v>
      </c>
    </row>
    <row r="70">
      <c r="B70" s="372"/>
      <c r="C70" s="587" t="s">
        <v>433</v>
      </c>
      <c r="D70" s="587">
        <v>40.0</v>
      </c>
      <c r="F70" s="588" t="str">
        <f>F68</f>
        <v>Clay</v>
      </c>
      <c r="G70" s="188">
        <f t="shared" si="30"/>
        <v>320</v>
      </c>
      <c r="I70" s="589">
        <v>30.0</v>
      </c>
      <c r="J70" s="590">
        <f t="shared" si="31"/>
        <v>2.133333333</v>
      </c>
      <c r="L70" s="372"/>
      <c r="M70" s="587" t="s">
        <v>433</v>
      </c>
      <c r="N70" s="587">
        <v>40.0</v>
      </c>
      <c r="P70" s="588" t="str">
        <f>P68</f>
        <v>Spider Eye</v>
      </c>
      <c r="Q70" s="188">
        <f t="shared" si="32"/>
        <v>320</v>
      </c>
      <c r="S70" s="589">
        <v>24.0</v>
      </c>
      <c r="T70" s="590">
        <f t="shared" si="33"/>
        <v>6.826666667</v>
      </c>
    </row>
    <row r="71">
      <c r="B71" s="372"/>
      <c r="C71" s="587" t="s">
        <v>583</v>
      </c>
      <c r="D71" s="587">
        <v>64.0</v>
      </c>
      <c r="F71" s="588" t="str">
        <f>F68</f>
        <v>Clay</v>
      </c>
      <c r="G71" s="188">
        <f t="shared" si="30"/>
        <v>512</v>
      </c>
      <c r="I71" s="589">
        <f>I70</f>
        <v>30</v>
      </c>
      <c r="J71" s="590">
        <f t="shared" si="31"/>
        <v>5.333333333</v>
      </c>
      <c r="L71" s="372"/>
      <c r="M71" s="587" t="s">
        <v>583</v>
      </c>
      <c r="N71" s="587">
        <v>64.0</v>
      </c>
      <c r="P71" s="588" t="str">
        <f>P68</f>
        <v>Spider Eye</v>
      </c>
      <c r="Q71" s="188">
        <f t="shared" si="32"/>
        <v>512</v>
      </c>
      <c r="S71" s="589">
        <f>S70</f>
        <v>24</v>
      </c>
      <c r="T71" s="590">
        <f t="shared" si="33"/>
        <v>17.06666667</v>
      </c>
    </row>
    <row r="72">
      <c r="B72" s="372"/>
      <c r="C72" s="591" t="s">
        <v>417</v>
      </c>
      <c r="D72" s="591">
        <v>1.0</v>
      </c>
      <c r="E72" s="592" t="str">
        <f>"Enchanted "&amp;C67</f>
        <v>Enchanted Clay</v>
      </c>
      <c r="F72" s="592" t="str">
        <f>E72</f>
        <v>Enchanted Clay</v>
      </c>
      <c r="G72" s="188">
        <f t="shared" ref="G72:G78" si="34">D72*8*160</f>
        <v>1280</v>
      </c>
      <c r="I72" s="593">
        <v>27.5</v>
      </c>
      <c r="J72" s="590">
        <f t="shared" si="31"/>
        <v>9.777777778</v>
      </c>
      <c r="L72" s="372"/>
      <c r="M72" s="591" t="s">
        <v>417</v>
      </c>
      <c r="N72" s="591">
        <v>1.0</v>
      </c>
      <c r="O72" s="592" t="str">
        <f>"Enchanted "&amp;O68</f>
        <v>Enchanted Spider Eye</v>
      </c>
      <c r="P72" s="592" t="str">
        <f>O72</f>
        <v>Enchanted Spider Eye</v>
      </c>
      <c r="Q72" s="188">
        <f t="shared" ref="Q72:Q77" si="35">N72*8*160</f>
        <v>1280</v>
      </c>
      <c r="S72" s="589">
        <v>22.0</v>
      </c>
      <c r="T72" s="590">
        <f t="shared" si="33"/>
        <v>46.93333333</v>
      </c>
    </row>
    <row r="73">
      <c r="B73" s="372"/>
      <c r="C73" s="591" t="s">
        <v>584</v>
      </c>
      <c r="D73" s="591">
        <v>2.0</v>
      </c>
      <c r="F73" s="592" t="str">
        <f>F72</f>
        <v>Enchanted Clay</v>
      </c>
      <c r="G73" s="188">
        <f t="shared" si="34"/>
        <v>2560</v>
      </c>
      <c r="I73" s="593">
        <f>I72</f>
        <v>27.5</v>
      </c>
      <c r="J73" s="590">
        <f t="shared" si="31"/>
        <v>19.55555556</v>
      </c>
      <c r="L73" s="372"/>
      <c r="M73" s="591" t="s">
        <v>584</v>
      </c>
      <c r="N73" s="591">
        <v>3.0</v>
      </c>
      <c r="P73" s="592" t="str">
        <f>P72</f>
        <v>Enchanted Spider Eye</v>
      </c>
      <c r="Q73" s="188">
        <f t="shared" si="35"/>
        <v>3840</v>
      </c>
      <c r="S73" s="589">
        <f>S72</f>
        <v>22</v>
      </c>
      <c r="T73" s="590">
        <f t="shared" si="33"/>
        <v>125.1555556</v>
      </c>
    </row>
    <row r="74">
      <c r="B74" s="372"/>
      <c r="C74" s="591" t="s">
        <v>585</v>
      </c>
      <c r="D74" s="591">
        <v>4.0</v>
      </c>
      <c r="F74" s="592" t="str">
        <f>F72</f>
        <v>Enchanted Clay</v>
      </c>
      <c r="G74" s="188">
        <f t="shared" si="34"/>
        <v>5120</v>
      </c>
      <c r="I74" s="589">
        <v>24.0</v>
      </c>
      <c r="J74" s="590">
        <f t="shared" si="31"/>
        <v>34.13333333</v>
      </c>
      <c r="L74" s="372"/>
      <c r="M74" s="591" t="s">
        <v>585</v>
      </c>
      <c r="N74" s="591">
        <v>8.0</v>
      </c>
      <c r="P74" s="592" t="str">
        <f>P72</f>
        <v>Enchanted Spider Eye</v>
      </c>
      <c r="Q74" s="188">
        <f t="shared" si="35"/>
        <v>10240</v>
      </c>
      <c r="S74" s="589">
        <v>20.0</v>
      </c>
      <c r="T74" s="590">
        <f t="shared" si="33"/>
        <v>227.5555556</v>
      </c>
    </row>
    <row r="75">
      <c r="B75" s="372"/>
      <c r="C75" s="591" t="s">
        <v>586</v>
      </c>
      <c r="D75" s="591">
        <v>8.0</v>
      </c>
      <c r="F75" s="592" t="str">
        <f>F72</f>
        <v>Enchanted Clay</v>
      </c>
      <c r="G75" s="188">
        <f t="shared" si="34"/>
        <v>10240</v>
      </c>
      <c r="I75" s="589">
        <f>I74</f>
        <v>24</v>
      </c>
      <c r="J75" s="590">
        <f t="shared" si="31"/>
        <v>68.26666667</v>
      </c>
      <c r="L75" s="372"/>
      <c r="M75" s="591" t="s">
        <v>586</v>
      </c>
      <c r="N75" s="591">
        <v>16.0</v>
      </c>
      <c r="P75" s="592" t="str">
        <f>P72</f>
        <v>Enchanted Spider Eye</v>
      </c>
      <c r="Q75" s="188">
        <f t="shared" si="35"/>
        <v>20480</v>
      </c>
      <c r="S75" s="589">
        <f>S74</f>
        <v>20</v>
      </c>
      <c r="T75" s="590">
        <f t="shared" si="33"/>
        <v>455.1111111</v>
      </c>
    </row>
    <row r="76">
      <c r="B76" s="372"/>
      <c r="C76" s="591" t="s">
        <v>587</v>
      </c>
      <c r="D76" s="591">
        <v>16.0</v>
      </c>
      <c r="F76" s="592" t="str">
        <f>F72</f>
        <v>Enchanted Clay</v>
      </c>
      <c r="G76" s="188">
        <f t="shared" si="34"/>
        <v>20480</v>
      </c>
      <c r="I76" s="589">
        <v>20.0</v>
      </c>
      <c r="J76" s="590">
        <f t="shared" si="31"/>
        <v>113.7777778</v>
      </c>
      <c r="L76" s="372"/>
      <c r="M76" s="591" t="s">
        <v>587</v>
      </c>
      <c r="N76" s="591">
        <v>32.0</v>
      </c>
      <c r="P76" s="592" t="str">
        <f>P72</f>
        <v>Enchanted Spider Eye</v>
      </c>
      <c r="Q76" s="188">
        <f t="shared" si="35"/>
        <v>40960</v>
      </c>
      <c r="S76" s="589">
        <v>17.0</v>
      </c>
      <c r="T76" s="590">
        <f t="shared" si="33"/>
        <v>773.6888889</v>
      </c>
    </row>
    <row r="77">
      <c r="B77" s="372"/>
      <c r="C77" s="591" t="s">
        <v>114</v>
      </c>
      <c r="D77" s="591">
        <v>32.0</v>
      </c>
      <c r="F77" s="592" t="str">
        <f>F72</f>
        <v>Enchanted Clay</v>
      </c>
      <c r="G77" s="188">
        <f t="shared" si="34"/>
        <v>40960</v>
      </c>
      <c r="I77" s="589">
        <f>I76</f>
        <v>20</v>
      </c>
      <c r="J77" s="590">
        <f t="shared" si="31"/>
        <v>227.5555556</v>
      </c>
      <c r="L77" s="372"/>
      <c r="M77" s="591" t="s">
        <v>114</v>
      </c>
      <c r="N77" s="591">
        <v>64.0</v>
      </c>
      <c r="P77" s="592" t="str">
        <f>P72</f>
        <v>Enchanted Spider Eye</v>
      </c>
      <c r="Q77" s="188">
        <f t="shared" si="35"/>
        <v>81920</v>
      </c>
      <c r="S77" s="589">
        <f>S76</f>
        <v>17</v>
      </c>
      <c r="T77" s="590">
        <f t="shared" si="33"/>
        <v>1547.377778</v>
      </c>
    </row>
    <row r="78">
      <c r="B78" s="393"/>
      <c r="C78" s="594" t="s">
        <v>175</v>
      </c>
      <c r="D78" s="594">
        <v>64.0</v>
      </c>
      <c r="E78" s="6"/>
      <c r="F78" s="595" t="str">
        <f>F72</f>
        <v>Enchanted Clay</v>
      </c>
      <c r="G78" s="596">
        <f t="shared" si="34"/>
        <v>81920</v>
      </c>
      <c r="H78" s="6"/>
      <c r="I78" s="597">
        <v>16.0</v>
      </c>
      <c r="J78" s="598" t="s">
        <v>120</v>
      </c>
      <c r="L78" s="393"/>
      <c r="M78" s="594" t="s">
        <v>175</v>
      </c>
      <c r="N78" s="602">
        <v>2.0</v>
      </c>
      <c r="O78" s="603" t="s">
        <v>588</v>
      </c>
      <c r="P78" s="603" t="str">
        <f>O78</f>
        <v>Enchanted F. Spider Eye</v>
      </c>
      <c r="Q78" s="596">
        <f>N78*8*160*64</f>
        <v>163840</v>
      </c>
      <c r="R78" s="6"/>
      <c r="S78" s="597">
        <v>13.0</v>
      </c>
      <c r="T78" s="598" t="s">
        <v>120</v>
      </c>
    </row>
    <row r="79">
      <c r="B79" s="580"/>
      <c r="L79" s="580"/>
    </row>
    <row r="80" ht="45.0" customHeight="1">
      <c r="B80" s="585" t="str">
        <f>'Minion Checker'!D13</f>
        <v/>
      </c>
      <c r="C80" s="583" t="str">
        <f>'Minion Checker'!E13</f>
        <v>Ice</v>
      </c>
      <c r="D80" s="583" t="s">
        <v>577</v>
      </c>
      <c r="E80" s="17"/>
      <c r="F80" s="584" t="s">
        <v>578</v>
      </c>
      <c r="G80" s="584" t="s">
        <v>579</v>
      </c>
      <c r="H80" s="17"/>
      <c r="I80" s="583" t="s">
        <v>580</v>
      </c>
      <c r="J80" s="464" t="s">
        <v>581</v>
      </c>
      <c r="L80" s="585" t="str">
        <f>'Minion Checker'!D43</f>
        <v/>
      </c>
      <c r="M80" s="583" t="str">
        <f>'Minion Checker'!E43</f>
        <v>Blaze</v>
      </c>
      <c r="N80" s="583" t="s">
        <v>577</v>
      </c>
      <c r="O80" s="17"/>
      <c r="P80" s="584" t="s">
        <v>578</v>
      </c>
      <c r="Q80" s="584" t="s">
        <v>579</v>
      </c>
      <c r="R80" s="17"/>
      <c r="S80" s="583" t="s">
        <v>580</v>
      </c>
      <c r="T80" s="464" t="s">
        <v>581</v>
      </c>
    </row>
    <row r="81">
      <c r="B81" s="586"/>
      <c r="C81" s="587" t="s">
        <v>420</v>
      </c>
      <c r="D81" s="587">
        <v>10.0</v>
      </c>
      <c r="E81" s="588" t="s">
        <v>35</v>
      </c>
      <c r="F81" s="588" t="str">
        <f>E81</f>
        <v>Ice</v>
      </c>
      <c r="G81" s="188">
        <f t="shared" ref="G81:G84" si="36">D81*8</f>
        <v>80</v>
      </c>
      <c r="H81" s="187" t="str">
        <f>E81</f>
        <v>Ice</v>
      </c>
      <c r="I81" s="589">
        <v>14.0</v>
      </c>
      <c r="J81" s="590">
        <f t="shared" ref="J81:J90" si="37">G82*I81/3600*2</f>
        <v>1.244444444</v>
      </c>
      <c r="L81" s="586"/>
      <c r="M81" s="587" t="s">
        <v>420</v>
      </c>
      <c r="N81" s="587">
        <v>10.0</v>
      </c>
      <c r="O81" s="588" t="s">
        <v>152</v>
      </c>
      <c r="P81" s="588" t="str">
        <f>O81</f>
        <v>Blaze Rod</v>
      </c>
      <c r="Q81" s="188">
        <f t="shared" ref="Q81:Q84" si="38">N81*8</f>
        <v>80</v>
      </c>
      <c r="R81" s="187" t="str">
        <f>O81</f>
        <v>Blaze Rod</v>
      </c>
      <c r="S81" s="589">
        <v>33.0</v>
      </c>
      <c r="T81" s="590">
        <f t="shared" ref="T81:T90" si="39">Q82*S81/3600*2</f>
        <v>2.933333333</v>
      </c>
    </row>
    <row r="82">
      <c r="B82" s="372"/>
      <c r="C82" s="587" t="s">
        <v>582</v>
      </c>
      <c r="D82" s="587">
        <v>20.0</v>
      </c>
      <c r="F82" s="588" t="str">
        <f>F81</f>
        <v>Ice</v>
      </c>
      <c r="G82" s="188">
        <f t="shared" si="36"/>
        <v>160</v>
      </c>
      <c r="I82" s="589">
        <f>I81</f>
        <v>14</v>
      </c>
      <c r="J82" s="590">
        <f t="shared" si="37"/>
        <v>2.488888889</v>
      </c>
      <c r="L82" s="372"/>
      <c r="M82" s="587" t="s">
        <v>582</v>
      </c>
      <c r="N82" s="587">
        <v>20.0</v>
      </c>
      <c r="P82" s="588" t="str">
        <f>P81</f>
        <v>Blaze Rod</v>
      </c>
      <c r="Q82" s="188">
        <f t="shared" si="38"/>
        <v>160</v>
      </c>
      <c r="S82" s="589">
        <f>S81</f>
        <v>33</v>
      </c>
      <c r="T82" s="590">
        <f t="shared" si="39"/>
        <v>5.866666667</v>
      </c>
    </row>
    <row r="83">
      <c r="B83" s="372"/>
      <c r="C83" s="587" t="s">
        <v>433</v>
      </c>
      <c r="D83" s="587">
        <v>40.0</v>
      </c>
      <c r="F83" s="588" t="str">
        <f t="shared" ref="F83:F84" si="40">F81</f>
        <v>Ice</v>
      </c>
      <c r="G83" s="188">
        <f t="shared" si="36"/>
        <v>320</v>
      </c>
      <c r="I83" s="589">
        <v>12.0</v>
      </c>
      <c r="J83" s="590">
        <f t="shared" si="37"/>
        <v>3.413333333</v>
      </c>
      <c r="L83" s="372"/>
      <c r="M83" s="587" t="s">
        <v>433</v>
      </c>
      <c r="N83" s="587">
        <v>40.0</v>
      </c>
      <c r="P83" s="588" t="str">
        <f>P81</f>
        <v>Blaze Rod</v>
      </c>
      <c r="Q83" s="188">
        <f t="shared" si="38"/>
        <v>320</v>
      </c>
      <c r="S83" s="589">
        <v>31.0</v>
      </c>
      <c r="T83" s="590">
        <f t="shared" si="39"/>
        <v>8.817777778</v>
      </c>
    </row>
    <row r="84">
      <c r="B84" s="372"/>
      <c r="C84" s="587" t="s">
        <v>583</v>
      </c>
      <c r="D84" s="587">
        <v>64.0</v>
      </c>
      <c r="F84" s="588" t="str">
        <f t="shared" si="40"/>
        <v>Ice</v>
      </c>
      <c r="G84" s="188">
        <f t="shared" si="36"/>
        <v>512</v>
      </c>
      <c r="I84" s="589">
        <f>I83</f>
        <v>12</v>
      </c>
      <c r="J84" s="590">
        <f t="shared" si="37"/>
        <v>7.68</v>
      </c>
      <c r="L84" s="372"/>
      <c r="M84" s="587" t="s">
        <v>583</v>
      </c>
      <c r="N84" s="587">
        <v>64.0</v>
      </c>
      <c r="P84" s="588" t="str">
        <f>P81</f>
        <v>Blaze Rod</v>
      </c>
      <c r="Q84" s="188">
        <f t="shared" si="38"/>
        <v>512</v>
      </c>
      <c r="S84" s="589">
        <f>S83</f>
        <v>31</v>
      </c>
      <c r="T84" s="590">
        <f t="shared" si="39"/>
        <v>22.04444444</v>
      </c>
    </row>
    <row r="85">
      <c r="B85" s="372"/>
      <c r="C85" s="591" t="s">
        <v>417</v>
      </c>
      <c r="D85" s="591">
        <v>16.0</v>
      </c>
      <c r="E85" s="592" t="s">
        <v>246</v>
      </c>
      <c r="F85" s="592" t="str">
        <f>E85</f>
        <v>Packed Ice</v>
      </c>
      <c r="G85" s="188">
        <f t="shared" ref="G85:G87" si="41">D85*8*9</f>
        <v>1152</v>
      </c>
      <c r="I85" s="589">
        <v>10.0</v>
      </c>
      <c r="J85" s="590">
        <f t="shared" si="37"/>
        <v>12.8</v>
      </c>
      <c r="L85" s="372"/>
      <c r="M85" s="591" t="s">
        <v>417</v>
      </c>
      <c r="N85" s="591">
        <v>1.0</v>
      </c>
      <c r="O85" s="592" t="s">
        <v>343</v>
      </c>
      <c r="P85" s="592" t="str">
        <f>O85</f>
        <v>Enchanted Blaze Powder</v>
      </c>
      <c r="Q85" s="188">
        <f t="shared" ref="Q85:Q90" si="42">N85*8*160</f>
        <v>1280</v>
      </c>
      <c r="S85" s="593">
        <v>28.5</v>
      </c>
      <c r="T85" s="590">
        <f t="shared" si="39"/>
        <v>60.8</v>
      </c>
    </row>
    <row r="86">
      <c r="B86" s="372"/>
      <c r="C86" s="591" t="s">
        <v>584</v>
      </c>
      <c r="D86" s="591">
        <v>32.0</v>
      </c>
      <c r="F86" s="592" t="str">
        <f>F85</f>
        <v>Packed Ice</v>
      </c>
      <c r="G86" s="188">
        <f t="shared" si="41"/>
        <v>2304</v>
      </c>
      <c r="I86" s="589">
        <f>I85</f>
        <v>10</v>
      </c>
      <c r="J86" s="590">
        <f t="shared" si="37"/>
        <v>25.6</v>
      </c>
      <c r="L86" s="372"/>
      <c r="M86" s="591" t="s">
        <v>584</v>
      </c>
      <c r="N86" s="591">
        <v>3.0</v>
      </c>
      <c r="P86" s="592" t="str">
        <f>P85</f>
        <v>Enchanted Blaze Powder</v>
      </c>
      <c r="Q86" s="188">
        <f t="shared" si="42"/>
        <v>3840</v>
      </c>
      <c r="S86" s="593">
        <f>S85</f>
        <v>28.5</v>
      </c>
      <c r="T86" s="590">
        <f t="shared" si="39"/>
        <v>162.1333333</v>
      </c>
    </row>
    <row r="87">
      <c r="B87" s="372"/>
      <c r="C87" s="591" t="s">
        <v>585</v>
      </c>
      <c r="D87" s="591">
        <v>64.0</v>
      </c>
      <c r="F87" s="592" t="str">
        <f>F85</f>
        <v>Packed Ice</v>
      </c>
      <c r="G87" s="188">
        <f t="shared" si="41"/>
        <v>4608</v>
      </c>
      <c r="I87" s="589">
        <v>9.0</v>
      </c>
      <c r="J87" s="590">
        <f t="shared" si="37"/>
        <v>51.2</v>
      </c>
      <c r="L87" s="372"/>
      <c r="M87" s="591" t="s">
        <v>585</v>
      </c>
      <c r="N87" s="591">
        <v>8.0</v>
      </c>
      <c r="P87" s="592" t="str">
        <f>P85</f>
        <v>Enchanted Blaze Powder</v>
      </c>
      <c r="Q87" s="188">
        <f t="shared" si="42"/>
        <v>10240</v>
      </c>
      <c r="S87" s="589">
        <v>25.0</v>
      </c>
      <c r="T87" s="590">
        <f t="shared" si="39"/>
        <v>284.4444444</v>
      </c>
    </row>
    <row r="88">
      <c r="B88" s="372"/>
      <c r="C88" s="601" t="s">
        <v>586</v>
      </c>
      <c r="D88" s="601">
        <v>8.0</v>
      </c>
      <c r="E88" s="463" t="s">
        <v>247</v>
      </c>
      <c r="F88" s="463" t="str">
        <f>E88</f>
        <v>Enchanted Ice</v>
      </c>
      <c r="G88" s="188">
        <f t="shared" ref="G88:G91" si="43">D88*8*160</f>
        <v>10240</v>
      </c>
      <c r="I88" s="589">
        <f>I87</f>
        <v>9</v>
      </c>
      <c r="J88" s="590">
        <f t="shared" si="37"/>
        <v>102.4</v>
      </c>
      <c r="L88" s="372"/>
      <c r="M88" s="591" t="s">
        <v>586</v>
      </c>
      <c r="N88" s="591">
        <v>16.0</v>
      </c>
      <c r="P88" s="592" t="str">
        <f>P85</f>
        <v>Enchanted Blaze Powder</v>
      </c>
      <c r="Q88" s="188">
        <f t="shared" si="42"/>
        <v>20480</v>
      </c>
      <c r="S88" s="589">
        <f>S87</f>
        <v>25</v>
      </c>
      <c r="T88" s="590">
        <f t="shared" si="39"/>
        <v>568.8888889</v>
      </c>
    </row>
    <row r="89">
      <c r="B89" s="372"/>
      <c r="C89" s="601" t="s">
        <v>587</v>
      </c>
      <c r="D89" s="601">
        <v>16.0</v>
      </c>
      <c r="F89" s="463" t="str">
        <f>F88</f>
        <v>Enchanted Ice</v>
      </c>
      <c r="G89" s="188">
        <f t="shared" si="43"/>
        <v>20480</v>
      </c>
      <c r="I89" s="589">
        <v>8.0</v>
      </c>
      <c r="J89" s="590">
        <f t="shared" si="37"/>
        <v>182.0444444</v>
      </c>
      <c r="L89" s="372"/>
      <c r="M89" s="591" t="s">
        <v>587</v>
      </c>
      <c r="N89" s="591">
        <v>32.0</v>
      </c>
      <c r="P89" s="592" t="str">
        <f>P85</f>
        <v>Enchanted Blaze Powder</v>
      </c>
      <c r="Q89" s="188">
        <f t="shared" si="42"/>
        <v>40960</v>
      </c>
      <c r="S89" s="589">
        <v>21.0</v>
      </c>
      <c r="T89" s="590">
        <f t="shared" si="39"/>
        <v>955.7333333</v>
      </c>
    </row>
    <row r="90">
      <c r="B90" s="372"/>
      <c r="C90" s="601" t="s">
        <v>114</v>
      </c>
      <c r="D90" s="601">
        <v>32.0</v>
      </c>
      <c r="F90" s="463" t="str">
        <f>F88</f>
        <v>Enchanted Ice</v>
      </c>
      <c r="G90" s="188">
        <f t="shared" si="43"/>
        <v>40960</v>
      </c>
      <c r="I90" s="589">
        <f>I89</f>
        <v>8</v>
      </c>
      <c r="J90" s="590">
        <f t="shared" si="37"/>
        <v>364.0888889</v>
      </c>
      <c r="L90" s="372"/>
      <c r="M90" s="591" t="s">
        <v>114</v>
      </c>
      <c r="N90" s="591">
        <v>64.0</v>
      </c>
      <c r="P90" s="592" t="str">
        <f>P85</f>
        <v>Enchanted Blaze Powder</v>
      </c>
      <c r="Q90" s="188">
        <f t="shared" si="42"/>
        <v>81920</v>
      </c>
      <c r="S90" s="589">
        <f>S89</f>
        <v>21</v>
      </c>
      <c r="T90" s="590">
        <f t="shared" si="39"/>
        <v>2389.333333</v>
      </c>
    </row>
    <row r="91">
      <c r="B91" s="393"/>
      <c r="C91" s="602" t="s">
        <v>175</v>
      </c>
      <c r="D91" s="602">
        <v>64.0</v>
      </c>
      <c r="E91" s="6"/>
      <c r="F91" s="603" t="str">
        <f>F88</f>
        <v>Enchanted Ice</v>
      </c>
      <c r="G91" s="596">
        <f t="shared" si="43"/>
        <v>81920</v>
      </c>
      <c r="H91" s="6"/>
      <c r="I91" s="597">
        <v>7.0</v>
      </c>
      <c r="J91" s="598" t="s">
        <v>120</v>
      </c>
      <c r="L91" s="393"/>
      <c r="M91" s="602" t="s">
        <v>175</v>
      </c>
      <c r="N91" s="602">
        <v>1.0</v>
      </c>
      <c r="O91" s="603" t="str">
        <f>"Enchanted "&amp;O81</f>
        <v>Enchanted Blaze Rod</v>
      </c>
      <c r="P91" s="603" t="str">
        <f>O91</f>
        <v>Enchanted Blaze Rod</v>
      </c>
      <c r="Q91" s="596">
        <f>N91*8*160*160</f>
        <v>204800</v>
      </c>
      <c r="R91" s="6"/>
      <c r="S91" s="605">
        <v>16.5</v>
      </c>
      <c r="T91" s="598" t="s">
        <v>120</v>
      </c>
    </row>
    <row r="92">
      <c r="B92" s="580"/>
      <c r="L92" s="580"/>
    </row>
    <row r="93" ht="45.0" customHeight="1">
      <c r="B93" s="581" t="str">
        <f>'Minion Checker'!D14</f>
        <v/>
      </c>
      <c r="C93" s="582" t="str">
        <f>'Minion Checker'!E14</f>
        <v>Snow</v>
      </c>
      <c r="D93" s="606" t="s">
        <v>577</v>
      </c>
      <c r="E93" s="22"/>
      <c r="F93" s="606" t="s">
        <v>578</v>
      </c>
      <c r="G93" s="584" t="s">
        <v>579</v>
      </c>
      <c r="H93" s="17"/>
      <c r="I93" s="606" t="s">
        <v>580</v>
      </c>
      <c r="J93" s="582" t="str">
        <f>"ETA of Self-Upgrade
(@x4 "&amp;C93&amp;"/Harvest)"</f>
        <v>ETA of Self-Upgrade
(@x4 Snow/Harvest)</v>
      </c>
      <c r="L93" s="585" t="str">
        <f>'Minion Checker'!D44</f>
        <v/>
      </c>
      <c r="M93" s="583" t="str">
        <f>'Minion Checker'!E44</f>
        <v>Magma Cube</v>
      </c>
      <c r="N93" s="583" t="s">
        <v>577</v>
      </c>
      <c r="O93" s="17"/>
      <c r="P93" s="584" t="s">
        <v>578</v>
      </c>
      <c r="Q93" s="584" t="s">
        <v>579</v>
      </c>
      <c r="R93" s="17"/>
      <c r="S93" s="583" t="s">
        <v>580</v>
      </c>
      <c r="T93" s="607" t="str">
        <f>"ETA of Self-Upgrade
(@x1.8 "&amp;O94&amp;"/Harvest)"</f>
        <v>ETA of Self-Upgrade
(@x1.8 Magma Cream/Harvest)</v>
      </c>
    </row>
    <row r="94">
      <c r="B94" s="608"/>
      <c r="C94" s="609" t="s">
        <v>420</v>
      </c>
      <c r="D94" s="610" t="s">
        <v>120</v>
      </c>
      <c r="E94" s="610" t="str">
        <f>C93&amp;" Block"</f>
        <v>Snow Block</v>
      </c>
      <c r="F94" s="610" t="str">
        <f>E94</f>
        <v>Snow Block</v>
      </c>
      <c r="G94" s="188" t="s">
        <v>120</v>
      </c>
      <c r="H94" s="415" t="s">
        <v>249</v>
      </c>
      <c r="I94" s="611">
        <v>13.0</v>
      </c>
      <c r="J94" s="113">
        <f t="shared" ref="J94:J103" si="44">G95*I94/3600*2/4</f>
        <v>0.2311111111</v>
      </c>
      <c r="L94" s="586"/>
      <c r="M94" s="587" t="s">
        <v>420</v>
      </c>
      <c r="N94" s="587">
        <v>10.0</v>
      </c>
      <c r="O94" s="588" t="s">
        <v>153</v>
      </c>
      <c r="P94" s="588" t="str">
        <f>O94</f>
        <v>Magma Cream</v>
      </c>
      <c r="Q94" s="188">
        <f t="shared" ref="Q94:Q97" si="45">N94*8</f>
        <v>80</v>
      </c>
      <c r="R94" s="187" t="str">
        <f>O94</f>
        <v>Magma Cream</v>
      </c>
      <c r="S94" s="589">
        <v>32.0</v>
      </c>
      <c r="T94" s="590">
        <f t="shared" ref="T94:T103" si="46">Q95*S94/3600*2/1.8</f>
        <v>1.580246914</v>
      </c>
    </row>
    <row r="95">
      <c r="B95" s="612"/>
      <c r="C95" s="609" t="s">
        <v>582</v>
      </c>
      <c r="D95" s="610">
        <v>4.0</v>
      </c>
      <c r="F95" s="610" t="str">
        <f>F94</f>
        <v>Snow Block</v>
      </c>
      <c r="G95" s="188">
        <f t="shared" ref="G95:G99" si="47">D95*8*4</f>
        <v>128</v>
      </c>
      <c r="H95" s="12"/>
      <c r="I95" s="611">
        <f>I94</f>
        <v>13</v>
      </c>
      <c r="J95" s="113">
        <f t="shared" si="44"/>
        <v>0.4622222222</v>
      </c>
      <c r="L95" s="372"/>
      <c r="M95" s="587" t="s">
        <v>582</v>
      </c>
      <c r="N95" s="587">
        <v>20.0</v>
      </c>
      <c r="P95" s="588" t="str">
        <f>P94</f>
        <v>Magma Cream</v>
      </c>
      <c r="Q95" s="188">
        <f t="shared" si="45"/>
        <v>160</v>
      </c>
      <c r="S95" s="589">
        <f>S94</f>
        <v>32</v>
      </c>
      <c r="T95" s="590">
        <f t="shared" si="46"/>
        <v>3.160493827</v>
      </c>
    </row>
    <row r="96">
      <c r="B96" s="612"/>
      <c r="C96" s="609" t="s">
        <v>433</v>
      </c>
      <c r="D96" s="610">
        <v>8.0</v>
      </c>
      <c r="F96" s="610" t="str">
        <f>F94</f>
        <v>Snow Block</v>
      </c>
      <c r="G96" s="188">
        <f t="shared" si="47"/>
        <v>256</v>
      </c>
      <c r="H96" s="12"/>
      <c r="I96" s="611">
        <v>12.0</v>
      </c>
      <c r="J96" s="113">
        <f t="shared" si="44"/>
        <v>0.8533333333</v>
      </c>
      <c r="L96" s="372"/>
      <c r="M96" s="587" t="s">
        <v>433</v>
      </c>
      <c r="N96" s="587">
        <v>40.0</v>
      </c>
      <c r="P96" s="588" t="str">
        <f>P94</f>
        <v>Magma Cream</v>
      </c>
      <c r="Q96" s="188">
        <f t="shared" si="45"/>
        <v>320</v>
      </c>
      <c r="S96" s="589">
        <v>30.0</v>
      </c>
      <c r="T96" s="590">
        <f t="shared" si="46"/>
        <v>4.740740741</v>
      </c>
    </row>
    <row r="97">
      <c r="B97" s="612"/>
      <c r="C97" s="609" t="s">
        <v>583</v>
      </c>
      <c r="D97" s="610">
        <v>16.0</v>
      </c>
      <c r="F97" s="610" t="str">
        <f>F94</f>
        <v>Snow Block</v>
      </c>
      <c r="G97" s="188">
        <f t="shared" si="47"/>
        <v>512</v>
      </c>
      <c r="H97" s="12"/>
      <c r="I97" s="611">
        <f>I96</f>
        <v>12</v>
      </c>
      <c r="J97" s="113">
        <f t="shared" si="44"/>
        <v>1.706666667</v>
      </c>
      <c r="L97" s="372"/>
      <c r="M97" s="587" t="s">
        <v>583</v>
      </c>
      <c r="N97" s="587">
        <v>64.0</v>
      </c>
      <c r="P97" s="588" t="str">
        <f>P94</f>
        <v>Magma Cream</v>
      </c>
      <c r="Q97" s="188">
        <f t="shared" si="45"/>
        <v>512</v>
      </c>
      <c r="S97" s="589">
        <f>S96</f>
        <v>30</v>
      </c>
      <c r="T97" s="590">
        <f t="shared" si="46"/>
        <v>11.85185185</v>
      </c>
    </row>
    <row r="98">
      <c r="B98" s="612"/>
      <c r="C98" s="609" t="s">
        <v>417</v>
      </c>
      <c r="D98" s="610">
        <v>32.0</v>
      </c>
      <c r="F98" s="610" t="str">
        <f>F94</f>
        <v>Snow Block</v>
      </c>
      <c r="G98" s="188">
        <f t="shared" si="47"/>
        <v>1024</v>
      </c>
      <c r="H98" s="12"/>
      <c r="I98" s="611">
        <v>11.0</v>
      </c>
      <c r="J98" s="113">
        <f t="shared" si="44"/>
        <v>3.128888889</v>
      </c>
      <c r="L98" s="372"/>
      <c r="M98" s="591" t="s">
        <v>417</v>
      </c>
      <c r="N98" s="591">
        <v>1.0</v>
      </c>
      <c r="O98" s="592" t="s">
        <v>347</v>
      </c>
      <c r="P98" s="592" t="str">
        <f>O98</f>
        <v>Enchanted Magma Cream</v>
      </c>
      <c r="Q98" s="188">
        <f t="shared" ref="Q98:Q104" si="48">N98*8*160</f>
        <v>1280</v>
      </c>
      <c r="S98" s="589">
        <v>28.0</v>
      </c>
      <c r="T98" s="590">
        <f t="shared" si="46"/>
        <v>22.12345679</v>
      </c>
    </row>
    <row r="99">
      <c r="B99" s="612"/>
      <c r="C99" s="609" t="s">
        <v>584</v>
      </c>
      <c r="D99" s="610">
        <v>64.0</v>
      </c>
      <c r="F99" s="610" t="str">
        <f>F94</f>
        <v>Snow Block</v>
      </c>
      <c r="G99" s="188">
        <f t="shared" si="47"/>
        <v>2048</v>
      </c>
      <c r="H99" s="12"/>
      <c r="I99" s="611">
        <f>I98</f>
        <v>11</v>
      </c>
      <c r="J99" s="113">
        <f t="shared" si="44"/>
        <v>7.822222222</v>
      </c>
      <c r="L99" s="372"/>
      <c r="M99" s="591" t="s">
        <v>584</v>
      </c>
      <c r="N99" s="591">
        <v>2.0</v>
      </c>
      <c r="P99" s="592" t="str">
        <f>P98</f>
        <v>Enchanted Magma Cream</v>
      </c>
      <c r="Q99" s="188">
        <f t="shared" si="48"/>
        <v>2560</v>
      </c>
      <c r="S99" s="589">
        <f>S98</f>
        <v>28</v>
      </c>
      <c r="T99" s="590">
        <f t="shared" si="46"/>
        <v>44.24691358</v>
      </c>
    </row>
    <row r="100">
      <c r="B100" s="612"/>
      <c r="C100" s="613" t="s">
        <v>585</v>
      </c>
      <c r="D100" s="614">
        <v>1.0</v>
      </c>
      <c r="E100" s="614" t="str">
        <f>"Enchanted "&amp;E94</f>
        <v>Enchanted Snow Block</v>
      </c>
      <c r="F100" s="614" t="str">
        <f>E100</f>
        <v>Enchanted Snow Block</v>
      </c>
      <c r="G100" s="188">
        <f t="shared" ref="G100:G104" si="49">D100*8*4*160</f>
        <v>5120</v>
      </c>
      <c r="H100" s="12"/>
      <c r="I100" s="561">
        <v>9.5</v>
      </c>
      <c r="J100" s="113">
        <f t="shared" si="44"/>
        <v>13.51111111</v>
      </c>
      <c r="L100" s="372"/>
      <c r="M100" s="591" t="s">
        <v>585</v>
      </c>
      <c r="N100" s="591">
        <v>4.0</v>
      </c>
      <c r="P100" s="592" t="str">
        <f>P98</f>
        <v>Enchanted Magma Cream</v>
      </c>
      <c r="Q100" s="188">
        <f t="shared" si="48"/>
        <v>5120</v>
      </c>
      <c r="S100" s="589">
        <v>25.0</v>
      </c>
      <c r="T100" s="590">
        <f t="shared" si="46"/>
        <v>79.01234568</v>
      </c>
    </row>
    <row r="101">
      <c r="B101" s="612"/>
      <c r="C101" s="613" t="s">
        <v>586</v>
      </c>
      <c r="D101" s="614">
        <v>2.0</v>
      </c>
      <c r="F101" s="614" t="str">
        <f>F100</f>
        <v>Enchanted Snow Block</v>
      </c>
      <c r="G101" s="188">
        <f t="shared" si="49"/>
        <v>10240</v>
      </c>
      <c r="H101" s="12"/>
      <c r="I101" s="561">
        <f>I100</f>
        <v>9.5</v>
      </c>
      <c r="J101" s="113">
        <f t="shared" si="44"/>
        <v>27.02222222</v>
      </c>
      <c r="L101" s="372"/>
      <c r="M101" s="591" t="s">
        <v>586</v>
      </c>
      <c r="N101" s="591">
        <v>8.0</v>
      </c>
      <c r="P101" s="592" t="str">
        <f>P98</f>
        <v>Enchanted Magma Cream</v>
      </c>
      <c r="Q101" s="188">
        <f t="shared" si="48"/>
        <v>10240</v>
      </c>
      <c r="S101" s="589">
        <f>S100</f>
        <v>25</v>
      </c>
      <c r="T101" s="590">
        <f t="shared" si="46"/>
        <v>158.0246914</v>
      </c>
    </row>
    <row r="102">
      <c r="B102" s="612"/>
      <c r="C102" s="613" t="s">
        <v>587</v>
      </c>
      <c r="D102" s="614">
        <v>4.0</v>
      </c>
      <c r="F102" s="614" t="str">
        <f>F100</f>
        <v>Enchanted Snow Block</v>
      </c>
      <c r="G102" s="188">
        <f t="shared" si="49"/>
        <v>20480</v>
      </c>
      <c r="H102" s="12"/>
      <c r="I102" s="611">
        <v>8.0</v>
      </c>
      <c r="J102" s="113">
        <f t="shared" si="44"/>
        <v>45.51111111</v>
      </c>
      <c r="L102" s="372"/>
      <c r="M102" s="591" t="s">
        <v>587</v>
      </c>
      <c r="N102" s="591">
        <v>16.0</v>
      </c>
      <c r="P102" s="592" t="str">
        <f>P98</f>
        <v>Enchanted Magma Cream</v>
      </c>
      <c r="Q102" s="188">
        <f t="shared" si="48"/>
        <v>20480</v>
      </c>
      <c r="S102" s="589">
        <v>22.0</v>
      </c>
      <c r="T102" s="590">
        <f t="shared" si="46"/>
        <v>278.1234568</v>
      </c>
    </row>
    <row r="103">
      <c r="B103" s="612"/>
      <c r="C103" s="613" t="s">
        <v>114</v>
      </c>
      <c r="D103" s="614">
        <v>8.0</v>
      </c>
      <c r="F103" s="614" t="str">
        <f>F100</f>
        <v>Enchanted Snow Block</v>
      </c>
      <c r="G103" s="188">
        <f t="shared" si="49"/>
        <v>40960</v>
      </c>
      <c r="H103" s="12"/>
      <c r="I103" s="611">
        <f>I102</f>
        <v>8</v>
      </c>
      <c r="J103" s="113">
        <f t="shared" si="44"/>
        <v>91.02222222</v>
      </c>
      <c r="L103" s="372"/>
      <c r="M103" s="591" t="s">
        <v>114</v>
      </c>
      <c r="N103" s="591">
        <v>32.0</v>
      </c>
      <c r="P103" s="592" t="str">
        <f>P98</f>
        <v>Enchanted Magma Cream</v>
      </c>
      <c r="Q103" s="188">
        <f t="shared" si="48"/>
        <v>40960</v>
      </c>
      <c r="S103" s="589">
        <f>S102</f>
        <v>22</v>
      </c>
      <c r="T103" s="590">
        <f t="shared" si="46"/>
        <v>556.2469136</v>
      </c>
    </row>
    <row r="104">
      <c r="B104" s="460"/>
      <c r="C104" s="615" t="s">
        <v>175</v>
      </c>
      <c r="D104" s="616">
        <v>16.0</v>
      </c>
      <c r="E104" s="6"/>
      <c r="F104" s="616" t="str">
        <f>F100</f>
        <v>Enchanted Snow Block</v>
      </c>
      <c r="G104" s="596">
        <f t="shared" si="49"/>
        <v>81920</v>
      </c>
      <c r="H104" s="7"/>
      <c r="I104" s="617">
        <v>6.5</v>
      </c>
      <c r="J104" s="452" t="s">
        <v>120</v>
      </c>
      <c r="L104" s="393"/>
      <c r="M104" s="594" t="s">
        <v>175</v>
      </c>
      <c r="N104" s="594">
        <v>64.0</v>
      </c>
      <c r="O104" s="6"/>
      <c r="P104" s="595" t="str">
        <f>P98</f>
        <v>Enchanted Magma Cream</v>
      </c>
      <c r="Q104" s="596">
        <f t="shared" si="48"/>
        <v>81920</v>
      </c>
      <c r="R104" s="6"/>
      <c r="S104" s="597">
        <v>18.0</v>
      </c>
      <c r="T104" s="598" t="s">
        <v>120</v>
      </c>
    </row>
    <row r="105">
      <c r="B105" s="580"/>
      <c r="L105" s="580"/>
    </row>
    <row r="106" ht="45.0" customHeight="1">
      <c r="B106" s="585" t="str">
        <f>'Minion Checker'!D15</f>
        <v/>
      </c>
      <c r="C106" s="583" t="str">
        <f>'Minion Checker'!E15</f>
        <v>Coal</v>
      </c>
      <c r="D106" s="583" t="s">
        <v>577</v>
      </c>
      <c r="E106" s="17"/>
      <c r="F106" s="584" t="s">
        <v>578</v>
      </c>
      <c r="G106" s="584" t="s">
        <v>579</v>
      </c>
      <c r="H106" s="17"/>
      <c r="I106" s="583" t="s">
        <v>580</v>
      </c>
      <c r="J106" s="464" t="s">
        <v>581</v>
      </c>
      <c r="L106" s="585" t="str">
        <f>'Minion Checker'!D45</f>
        <v/>
      </c>
      <c r="M106" s="583" t="str">
        <f>'Minion Checker'!E45</f>
        <v>Enderman</v>
      </c>
      <c r="N106" s="583" t="s">
        <v>577</v>
      </c>
      <c r="O106" s="17"/>
      <c r="P106" s="584" t="s">
        <v>578</v>
      </c>
      <c r="Q106" s="584" t="s">
        <v>579</v>
      </c>
      <c r="R106" s="17"/>
      <c r="S106" s="583" t="s">
        <v>580</v>
      </c>
      <c r="T106" s="464" t="s">
        <v>581</v>
      </c>
    </row>
    <row r="107">
      <c r="B107" s="586"/>
      <c r="C107" s="587" t="s">
        <v>420</v>
      </c>
      <c r="D107" s="587">
        <v>10.0</v>
      </c>
      <c r="E107" s="588" t="str">
        <f>C106</f>
        <v>Coal</v>
      </c>
      <c r="F107" s="588" t="str">
        <f>E107</f>
        <v>Coal</v>
      </c>
      <c r="G107" s="188">
        <f t="shared" ref="G107:G110" si="50">D107*8</f>
        <v>80</v>
      </c>
      <c r="H107" s="187" t="str">
        <f>E107</f>
        <v>Coal</v>
      </c>
      <c r="I107" s="589">
        <v>15.0</v>
      </c>
      <c r="J107" s="590">
        <f t="shared" ref="J107:J116" si="51">G108*I107/3600*2</f>
        <v>1.333333333</v>
      </c>
      <c r="L107" s="586"/>
      <c r="M107" s="587" t="s">
        <v>420</v>
      </c>
      <c r="N107" s="587">
        <v>8.0</v>
      </c>
      <c r="O107" s="588" t="s">
        <v>154</v>
      </c>
      <c r="P107" s="588" t="str">
        <f>O107</f>
        <v>Ender Pearl</v>
      </c>
      <c r="Q107" s="188">
        <f t="shared" ref="Q107:Q108" si="52">N107*8</f>
        <v>64</v>
      </c>
      <c r="R107" s="187" t="str">
        <f>O107</f>
        <v>Ender Pearl</v>
      </c>
      <c r="S107" s="589">
        <v>32.0</v>
      </c>
      <c r="T107" s="590">
        <f t="shared" ref="T107:T116" si="53">Q108*S107/3600*2</f>
        <v>2.275555556</v>
      </c>
    </row>
    <row r="108">
      <c r="B108" s="372"/>
      <c r="C108" s="587" t="s">
        <v>582</v>
      </c>
      <c r="D108" s="587">
        <v>20.0</v>
      </c>
      <c r="F108" s="588" t="str">
        <f>F107</f>
        <v>Coal</v>
      </c>
      <c r="G108" s="188">
        <f t="shared" si="50"/>
        <v>160</v>
      </c>
      <c r="I108" s="589">
        <f>I107</f>
        <v>15</v>
      </c>
      <c r="J108" s="590">
        <f t="shared" si="51"/>
        <v>2.666666667</v>
      </c>
      <c r="L108" s="372"/>
      <c r="M108" s="587" t="s">
        <v>582</v>
      </c>
      <c r="N108" s="587">
        <v>16.0</v>
      </c>
      <c r="P108" s="588" t="str">
        <f>P107</f>
        <v>Ender Pearl</v>
      </c>
      <c r="Q108" s="188">
        <f t="shared" si="52"/>
        <v>128</v>
      </c>
      <c r="S108" s="589">
        <f>S107</f>
        <v>32</v>
      </c>
      <c r="T108" s="590">
        <f t="shared" si="53"/>
        <v>2.844444444</v>
      </c>
    </row>
    <row r="109">
      <c r="B109" s="372"/>
      <c r="C109" s="587" t="s">
        <v>433</v>
      </c>
      <c r="D109" s="587">
        <v>40.0</v>
      </c>
      <c r="F109" s="588" t="str">
        <f>F107</f>
        <v>Coal</v>
      </c>
      <c r="G109" s="188">
        <f t="shared" si="50"/>
        <v>320</v>
      </c>
      <c r="I109" s="589">
        <v>13.0</v>
      </c>
      <c r="J109" s="590">
        <f t="shared" si="51"/>
        <v>3.697777778</v>
      </c>
      <c r="L109" s="372"/>
      <c r="M109" s="618" t="s">
        <v>433</v>
      </c>
      <c r="N109" s="618">
        <v>1.0</v>
      </c>
      <c r="O109" s="600" t="str">
        <f>"Enchanted "&amp;O107</f>
        <v>Enchanted Ender Pearl</v>
      </c>
      <c r="P109" s="600" t="str">
        <f>O109</f>
        <v>Enchanted Ender Pearl</v>
      </c>
      <c r="Q109" s="188">
        <f t="shared" ref="Q109:Q112" si="54">N109*8*20</f>
        <v>160</v>
      </c>
      <c r="S109" s="589">
        <v>30.0</v>
      </c>
      <c r="T109" s="590">
        <f t="shared" si="53"/>
        <v>8</v>
      </c>
    </row>
    <row r="110">
      <c r="B110" s="372"/>
      <c r="C110" s="587" t="s">
        <v>583</v>
      </c>
      <c r="D110" s="587">
        <v>64.0</v>
      </c>
      <c r="F110" s="588" t="str">
        <f>F107</f>
        <v>Coal</v>
      </c>
      <c r="G110" s="188">
        <f t="shared" si="50"/>
        <v>512</v>
      </c>
      <c r="I110" s="589">
        <f>I109</f>
        <v>13</v>
      </c>
      <c r="J110" s="590">
        <f t="shared" si="51"/>
        <v>9.244444444</v>
      </c>
      <c r="L110" s="372"/>
      <c r="M110" s="618" t="s">
        <v>583</v>
      </c>
      <c r="N110" s="618">
        <v>3.0</v>
      </c>
      <c r="P110" s="600" t="str">
        <f>P109</f>
        <v>Enchanted Ender Pearl</v>
      </c>
      <c r="Q110" s="188">
        <f t="shared" si="54"/>
        <v>480</v>
      </c>
      <c r="S110" s="589">
        <f>S109</f>
        <v>30</v>
      </c>
      <c r="T110" s="590">
        <f t="shared" si="53"/>
        <v>16</v>
      </c>
    </row>
    <row r="111">
      <c r="B111" s="372"/>
      <c r="C111" s="591" t="s">
        <v>417</v>
      </c>
      <c r="D111" s="591">
        <v>1.0</v>
      </c>
      <c r="E111" s="592" t="str">
        <f>"Enchanted "&amp;E107</f>
        <v>Enchanted Coal</v>
      </c>
      <c r="F111" s="592" t="str">
        <f>E111</f>
        <v>Enchanted Coal</v>
      </c>
      <c r="G111" s="188">
        <f t="shared" ref="G111:G116" si="55">D111*8*160</f>
        <v>1280</v>
      </c>
      <c r="I111" s="589">
        <v>12.0</v>
      </c>
      <c r="J111" s="590">
        <f t="shared" si="51"/>
        <v>25.6</v>
      </c>
      <c r="L111" s="372"/>
      <c r="M111" s="618" t="s">
        <v>417</v>
      </c>
      <c r="N111" s="618">
        <v>6.0</v>
      </c>
      <c r="P111" s="600" t="str">
        <f>P109</f>
        <v>Enchanted Ender Pearl</v>
      </c>
      <c r="Q111" s="188">
        <f t="shared" si="54"/>
        <v>960</v>
      </c>
      <c r="S111" s="589">
        <v>28.0</v>
      </c>
      <c r="T111" s="590">
        <f t="shared" si="53"/>
        <v>29.86666667</v>
      </c>
    </row>
    <row r="112">
      <c r="B112" s="372"/>
      <c r="C112" s="591" t="s">
        <v>584</v>
      </c>
      <c r="D112" s="591">
        <v>3.0</v>
      </c>
      <c r="F112" s="592" t="str">
        <f>F111</f>
        <v>Enchanted Coal</v>
      </c>
      <c r="G112" s="188">
        <f t="shared" si="55"/>
        <v>3840</v>
      </c>
      <c r="I112" s="589">
        <f>I111</f>
        <v>12</v>
      </c>
      <c r="J112" s="590">
        <f t="shared" si="51"/>
        <v>68.26666667</v>
      </c>
      <c r="L112" s="372"/>
      <c r="M112" s="618" t="s">
        <v>584</v>
      </c>
      <c r="N112" s="618">
        <v>12.0</v>
      </c>
      <c r="P112" s="600" t="str">
        <f>P109</f>
        <v>Enchanted Ender Pearl</v>
      </c>
      <c r="Q112" s="188">
        <f t="shared" si="54"/>
        <v>1920</v>
      </c>
      <c r="S112" s="589">
        <f>S111</f>
        <v>28</v>
      </c>
      <c r="T112" s="590">
        <f t="shared" si="53"/>
        <v>39.82222222</v>
      </c>
    </row>
    <row r="113">
      <c r="B113" s="372"/>
      <c r="C113" s="591" t="s">
        <v>585</v>
      </c>
      <c r="D113" s="591">
        <v>8.0</v>
      </c>
      <c r="F113" s="592" t="str">
        <f>F111</f>
        <v>Enchanted Coal</v>
      </c>
      <c r="G113" s="188">
        <f t="shared" si="55"/>
        <v>10240</v>
      </c>
      <c r="I113" s="589">
        <v>10.0</v>
      </c>
      <c r="J113" s="590">
        <f t="shared" si="51"/>
        <v>113.7777778</v>
      </c>
      <c r="L113" s="372"/>
      <c r="M113" s="601" t="s">
        <v>585</v>
      </c>
      <c r="N113" s="601">
        <v>1.0</v>
      </c>
      <c r="O113" s="463" t="s">
        <v>589</v>
      </c>
      <c r="P113" s="463" t="str">
        <f>O113</f>
        <v>Enchanted Eye of Ender</v>
      </c>
      <c r="Q113" s="188">
        <f t="shared" ref="Q113:Q117" si="56">N113*8*20*16</f>
        <v>2560</v>
      </c>
      <c r="S113" s="589">
        <v>25.0</v>
      </c>
      <c r="T113" s="590">
        <f t="shared" si="53"/>
        <v>106.6666667</v>
      </c>
    </row>
    <row r="114">
      <c r="B114" s="372"/>
      <c r="C114" s="591" t="s">
        <v>586</v>
      </c>
      <c r="D114" s="591">
        <v>16.0</v>
      </c>
      <c r="F114" s="592" t="str">
        <f>F111</f>
        <v>Enchanted Coal</v>
      </c>
      <c r="G114" s="188">
        <f t="shared" si="55"/>
        <v>20480</v>
      </c>
      <c r="I114" s="589">
        <f>I113</f>
        <v>10</v>
      </c>
      <c r="J114" s="590">
        <f t="shared" si="51"/>
        <v>227.5555556</v>
      </c>
      <c r="L114" s="372"/>
      <c r="M114" s="601" t="s">
        <v>586</v>
      </c>
      <c r="N114" s="601">
        <v>3.0</v>
      </c>
      <c r="P114" s="463" t="str">
        <f>P113</f>
        <v>Enchanted Eye of Ender</v>
      </c>
      <c r="Q114" s="188">
        <f t="shared" si="56"/>
        <v>7680</v>
      </c>
      <c r="S114" s="589">
        <f>S113</f>
        <v>25</v>
      </c>
      <c r="T114" s="590">
        <f t="shared" si="53"/>
        <v>213.3333333</v>
      </c>
    </row>
    <row r="115">
      <c r="B115" s="372"/>
      <c r="C115" s="591" t="s">
        <v>587</v>
      </c>
      <c r="D115" s="591">
        <v>32.0</v>
      </c>
      <c r="F115" s="592" t="str">
        <f>F111</f>
        <v>Enchanted Coal</v>
      </c>
      <c r="G115" s="188">
        <f t="shared" si="55"/>
        <v>40960</v>
      </c>
      <c r="I115" s="589">
        <v>9.0</v>
      </c>
      <c r="J115" s="590">
        <f t="shared" si="51"/>
        <v>409.6</v>
      </c>
      <c r="L115" s="372"/>
      <c r="M115" s="601" t="s">
        <v>587</v>
      </c>
      <c r="N115" s="601">
        <v>6.0</v>
      </c>
      <c r="P115" s="463" t="str">
        <f>P113</f>
        <v>Enchanted Eye of Ender</v>
      </c>
      <c r="Q115" s="188">
        <f t="shared" si="56"/>
        <v>15360</v>
      </c>
      <c r="S115" s="589">
        <v>22.0</v>
      </c>
      <c r="T115" s="590">
        <f t="shared" si="53"/>
        <v>375.4666667</v>
      </c>
    </row>
    <row r="116">
      <c r="B116" s="372"/>
      <c r="C116" s="591" t="s">
        <v>114</v>
      </c>
      <c r="D116" s="591">
        <v>64.0</v>
      </c>
      <c r="F116" s="592" t="str">
        <f>F111</f>
        <v>Enchanted Coal</v>
      </c>
      <c r="G116" s="188">
        <f t="shared" si="55"/>
        <v>81920</v>
      </c>
      <c r="I116" s="589">
        <f>I115</f>
        <v>9</v>
      </c>
      <c r="J116" s="590">
        <f t="shared" si="51"/>
        <v>1024</v>
      </c>
      <c r="L116" s="372"/>
      <c r="M116" s="601" t="s">
        <v>114</v>
      </c>
      <c r="N116" s="601">
        <v>12.0</v>
      </c>
      <c r="P116" s="463" t="str">
        <f>P113</f>
        <v>Enchanted Eye of Ender</v>
      </c>
      <c r="Q116" s="188">
        <f t="shared" si="56"/>
        <v>30720</v>
      </c>
      <c r="S116" s="589">
        <f>S115</f>
        <v>22</v>
      </c>
      <c r="T116" s="590">
        <f t="shared" si="53"/>
        <v>750.9333333</v>
      </c>
    </row>
    <row r="117">
      <c r="B117" s="393"/>
      <c r="C117" s="602" t="s">
        <v>175</v>
      </c>
      <c r="D117" s="602">
        <v>1.0</v>
      </c>
      <c r="E117" s="603" t="str">
        <f>"Enchanted "&amp;E107&amp;" Block"</f>
        <v>Enchanted Coal Block</v>
      </c>
      <c r="F117" s="603" t="str">
        <f>E117</f>
        <v>Enchanted Coal Block</v>
      </c>
      <c r="G117" s="596">
        <f>D117*8*160*160</f>
        <v>204800</v>
      </c>
      <c r="H117" s="6"/>
      <c r="I117" s="597">
        <v>7.0</v>
      </c>
      <c r="J117" s="598" t="s">
        <v>120</v>
      </c>
      <c r="L117" s="393"/>
      <c r="M117" s="602" t="s">
        <v>175</v>
      </c>
      <c r="N117" s="602">
        <v>24.0</v>
      </c>
      <c r="O117" s="6"/>
      <c r="P117" s="603" t="str">
        <f>P113</f>
        <v>Enchanted Eye of Ender</v>
      </c>
      <c r="Q117" s="596">
        <f t="shared" si="56"/>
        <v>61440</v>
      </c>
      <c r="R117" s="6"/>
      <c r="S117" s="597">
        <v>18.0</v>
      </c>
      <c r="T117" s="598" t="s">
        <v>120</v>
      </c>
    </row>
    <row r="118">
      <c r="B118" s="580"/>
      <c r="L118" s="580"/>
    </row>
    <row r="119" ht="45.0" customHeight="1">
      <c r="B119" s="585" t="str">
        <f>'Minion Checker'!D16</f>
        <v/>
      </c>
      <c r="C119" s="583" t="str">
        <f>'Minion Checker'!E16</f>
        <v>Iron</v>
      </c>
      <c r="D119" s="583" t="s">
        <v>577</v>
      </c>
      <c r="E119" s="17"/>
      <c r="F119" s="584" t="s">
        <v>578</v>
      </c>
      <c r="G119" s="584" t="s">
        <v>579</v>
      </c>
      <c r="H119" s="17"/>
      <c r="I119" s="583" t="s">
        <v>580</v>
      </c>
      <c r="J119" s="464" t="s">
        <v>581</v>
      </c>
      <c r="L119" s="585" t="str">
        <f>'Minion Checker'!D46</f>
        <v/>
      </c>
      <c r="M119" s="583" t="str">
        <f>'Minion Checker'!E46</f>
        <v>Ghast</v>
      </c>
      <c r="N119" s="583" t="s">
        <v>577</v>
      </c>
      <c r="O119" s="17"/>
      <c r="P119" s="584" t="s">
        <v>578</v>
      </c>
      <c r="Q119" s="584" t="s">
        <v>579</v>
      </c>
      <c r="R119" s="17"/>
      <c r="S119" s="583" t="s">
        <v>580</v>
      </c>
      <c r="T119" s="464" t="s">
        <v>581</v>
      </c>
    </row>
    <row r="120">
      <c r="B120" s="586"/>
      <c r="C120" s="587" t="s">
        <v>420</v>
      </c>
      <c r="D120" s="587">
        <v>10.0</v>
      </c>
      <c r="E120" s="588" t="str">
        <f>C119</f>
        <v>Iron</v>
      </c>
      <c r="F120" s="588" t="str">
        <f>E120</f>
        <v>Iron</v>
      </c>
      <c r="G120" s="188">
        <f t="shared" ref="G120:G123" si="57">D120*8</f>
        <v>80</v>
      </c>
      <c r="H120" s="187" t="str">
        <f>E120</f>
        <v>Iron</v>
      </c>
      <c r="I120" s="589">
        <v>17.0</v>
      </c>
      <c r="J120" s="590">
        <f t="shared" ref="J120:J129" si="58">G121*I120/3600*2</f>
        <v>1.511111111</v>
      </c>
      <c r="L120" s="586"/>
      <c r="M120" s="587" t="s">
        <v>420</v>
      </c>
      <c r="N120" s="587">
        <v>8.0</v>
      </c>
      <c r="O120" s="588" t="s">
        <v>155</v>
      </c>
      <c r="P120" s="588" t="str">
        <f>O120</f>
        <v>Ghast Tear</v>
      </c>
      <c r="Q120" s="188">
        <f t="shared" ref="Q120:Q123" si="59">N120*8</f>
        <v>64</v>
      </c>
      <c r="R120" s="187" t="str">
        <f>O120</f>
        <v>Ghast Tear</v>
      </c>
      <c r="S120" s="589">
        <v>50.0</v>
      </c>
      <c r="T120" s="590">
        <f t="shared" ref="T120:T129" si="60">Q121*S120/3600*2</f>
        <v>3.555555556</v>
      </c>
    </row>
    <row r="121">
      <c r="B121" s="372"/>
      <c r="C121" s="587" t="s">
        <v>582</v>
      </c>
      <c r="D121" s="587">
        <v>20.0</v>
      </c>
      <c r="F121" s="588" t="str">
        <f>F120</f>
        <v>Iron</v>
      </c>
      <c r="G121" s="188">
        <f t="shared" si="57"/>
        <v>160</v>
      </c>
      <c r="I121" s="589">
        <f>I120</f>
        <v>17</v>
      </c>
      <c r="J121" s="590">
        <f t="shared" si="58"/>
        <v>3.022222222</v>
      </c>
      <c r="L121" s="372"/>
      <c r="M121" s="587" t="s">
        <v>582</v>
      </c>
      <c r="N121" s="587">
        <v>16.0</v>
      </c>
      <c r="P121" s="588" t="str">
        <f>P120</f>
        <v>Ghast Tear</v>
      </c>
      <c r="Q121" s="188">
        <f t="shared" si="59"/>
        <v>128</v>
      </c>
      <c r="S121" s="589">
        <f>S120</f>
        <v>50</v>
      </c>
      <c r="T121" s="590">
        <f t="shared" si="60"/>
        <v>7.111111111</v>
      </c>
    </row>
    <row r="122">
      <c r="B122" s="372"/>
      <c r="C122" s="587" t="s">
        <v>433</v>
      </c>
      <c r="D122" s="587">
        <v>40.0</v>
      </c>
      <c r="F122" s="588" t="str">
        <f>F120</f>
        <v>Iron</v>
      </c>
      <c r="G122" s="188">
        <f t="shared" si="57"/>
        <v>320</v>
      </c>
      <c r="I122" s="589">
        <v>15.0</v>
      </c>
      <c r="J122" s="590">
        <f t="shared" si="58"/>
        <v>4.266666667</v>
      </c>
      <c r="L122" s="372"/>
      <c r="M122" s="587" t="s">
        <v>433</v>
      </c>
      <c r="N122" s="587">
        <v>32.0</v>
      </c>
      <c r="P122" s="588" t="str">
        <f>P120</f>
        <v>Ghast Tear</v>
      </c>
      <c r="Q122" s="188">
        <f t="shared" si="59"/>
        <v>256</v>
      </c>
      <c r="S122" s="589">
        <v>47.0</v>
      </c>
      <c r="T122" s="590">
        <f t="shared" si="60"/>
        <v>13.36888889</v>
      </c>
    </row>
    <row r="123">
      <c r="B123" s="372"/>
      <c r="C123" s="587" t="s">
        <v>583</v>
      </c>
      <c r="D123" s="587">
        <v>64.0</v>
      </c>
      <c r="F123" s="588" t="str">
        <f>F120</f>
        <v>Iron</v>
      </c>
      <c r="G123" s="188">
        <f t="shared" si="57"/>
        <v>512</v>
      </c>
      <c r="I123" s="589">
        <f>I122</f>
        <v>15</v>
      </c>
      <c r="J123" s="590">
        <f t="shared" si="58"/>
        <v>10.66666667</v>
      </c>
      <c r="L123" s="372"/>
      <c r="M123" s="587" t="s">
        <v>583</v>
      </c>
      <c r="N123" s="587">
        <v>64.0</v>
      </c>
      <c r="P123" s="588" t="str">
        <f>P120</f>
        <v>Ghast Tear</v>
      </c>
      <c r="Q123" s="188">
        <f t="shared" si="59"/>
        <v>512</v>
      </c>
      <c r="S123" s="589">
        <f>S122</f>
        <v>47</v>
      </c>
      <c r="T123" s="590">
        <f t="shared" si="60"/>
        <v>33.42222222</v>
      </c>
    </row>
    <row r="124">
      <c r="B124" s="372"/>
      <c r="C124" s="591" t="s">
        <v>417</v>
      </c>
      <c r="D124" s="591">
        <v>1.0</v>
      </c>
      <c r="E124" s="592" t="str">
        <f>"Enchanted "&amp;E120</f>
        <v>Enchanted Iron</v>
      </c>
      <c r="F124" s="592" t="str">
        <f>E124</f>
        <v>Enchanted Iron</v>
      </c>
      <c r="G124" s="188">
        <f t="shared" ref="G124:G129" si="61">D124*8*160</f>
        <v>1280</v>
      </c>
      <c r="I124" s="589">
        <v>14.0</v>
      </c>
      <c r="J124" s="590">
        <f t="shared" si="58"/>
        <v>29.86666667</v>
      </c>
      <c r="L124" s="372"/>
      <c r="M124" s="591" t="s">
        <v>417</v>
      </c>
      <c r="N124" s="591">
        <v>32.0</v>
      </c>
      <c r="O124" s="592" t="str">
        <f>"Enchanted "&amp;O120</f>
        <v>Enchanted Ghast Tear</v>
      </c>
      <c r="P124" s="592" t="str">
        <f>O124</f>
        <v>Enchanted Ghast Tear</v>
      </c>
      <c r="Q124" s="188">
        <f t="shared" ref="Q124:Q125" si="62">N124*8*5</f>
        <v>1280</v>
      </c>
      <c r="S124" s="589">
        <v>44.0</v>
      </c>
      <c r="T124" s="590">
        <f t="shared" si="60"/>
        <v>62.57777778</v>
      </c>
    </row>
    <row r="125">
      <c r="B125" s="372"/>
      <c r="C125" s="591" t="s">
        <v>584</v>
      </c>
      <c r="D125" s="591">
        <v>3.0</v>
      </c>
      <c r="F125" s="592" t="str">
        <f>F124</f>
        <v>Enchanted Iron</v>
      </c>
      <c r="G125" s="188">
        <f t="shared" si="61"/>
        <v>3840</v>
      </c>
      <c r="I125" s="589">
        <f>I124</f>
        <v>14</v>
      </c>
      <c r="J125" s="590">
        <f t="shared" si="58"/>
        <v>79.64444444</v>
      </c>
      <c r="L125" s="372"/>
      <c r="M125" s="591" t="s">
        <v>584</v>
      </c>
      <c r="N125" s="591">
        <v>64.0</v>
      </c>
      <c r="P125" s="592" t="str">
        <f>P124</f>
        <v>Enchanted Ghast Tear</v>
      </c>
      <c r="Q125" s="188">
        <f t="shared" si="62"/>
        <v>2560</v>
      </c>
      <c r="S125" s="589">
        <f>S124</f>
        <v>44</v>
      </c>
      <c r="T125" s="590">
        <f t="shared" si="60"/>
        <v>97.77777778</v>
      </c>
    </row>
    <row r="126">
      <c r="B126" s="372"/>
      <c r="C126" s="591" t="s">
        <v>585</v>
      </c>
      <c r="D126" s="591">
        <v>8.0</v>
      </c>
      <c r="F126" s="592" t="str">
        <f>F124</f>
        <v>Enchanted Iron</v>
      </c>
      <c r="G126" s="188">
        <f t="shared" si="61"/>
        <v>10240</v>
      </c>
      <c r="I126" s="589">
        <v>12.0</v>
      </c>
      <c r="J126" s="590">
        <f t="shared" si="58"/>
        <v>136.5333333</v>
      </c>
      <c r="L126" s="372"/>
      <c r="M126" s="601" t="s">
        <v>585</v>
      </c>
      <c r="N126" s="601">
        <v>4.0</v>
      </c>
      <c r="O126" s="463" t="s">
        <v>470</v>
      </c>
      <c r="P126" s="463" t="str">
        <f>O126</f>
        <v>Silver Fang</v>
      </c>
      <c r="Q126" s="188">
        <f t="shared" ref="Q126:Q130" si="63">N126*8*5*25</f>
        <v>4000</v>
      </c>
      <c r="S126" s="589">
        <v>41.0</v>
      </c>
      <c r="T126" s="590">
        <f t="shared" si="60"/>
        <v>182.2222222</v>
      </c>
    </row>
    <row r="127">
      <c r="B127" s="372"/>
      <c r="C127" s="591" t="s">
        <v>586</v>
      </c>
      <c r="D127" s="591">
        <v>16.0</v>
      </c>
      <c r="F127" s="592" t="str">
        <f>F124</f>
        <v>Enchanted Iron</v>
      </c>
      <c r="G127" s="188">
        <f t="shared" si="61"/>
        <v>20480</v>
      </c>
      <c r="I127" s="589">
        <f>I126</f>
        <v>12</v>
      </c>
      <c r="J127" s="590">
        <f t="shared" si="58"/>
        <v>273.0666667</v>
      </c>
      <c r="L127" s="372"/>
      <c r="M127" s="601" t="s">
        <v>586</v>
      </c>
      <c r="N127" s="601">
        <v>8.0</v>
      </c>
      <c r="P127" s="463" t="str">
        <f>P126</f>
        <v>Silver Fang</v>
      </c>
      <c r="Q127" s="188">
        <f t="shared" si="63"/>
        <v>8000</v>
      </c>
      <c r="S127" s="589">
        <f>S126</f>
        <v>41</v>
      </c>
      <c r="T127" s="590">
        <f t="shared" si="60"/>
        <v>364.4444444</v>
      </c>
    </row>
    <row r="128">
      <c r="B128" s="372"/>
      <c r="C128" s="591" t="s">
        <v>587</v>
      </c>
      <c r="D128" s="591">
        <v>32.0</v>
      </c>
      <c r="F128" s="592" t="str">
        <f>F124</f>
        <v>Enchanted Iron</v>
      </c>
      <c r="G128" s="188">
        <f t="shared" si="61"/>
        <v>40960</v>
      </c>
      <c r="I128" s="589">
        <v>10.0</v>
      </c>
      <c r="J128" s="590">
        <f t="shared" si="58"/>
        <v>455.1111111</v>
      </c>
      <c r="L128" s="372"/>
      <c r="M128" s="601" t="s">
        <v>587</v>
      </c>
      <c r="N128" s="601">
        <v>16.0</v>
      </c>
      <c r="P128" s="463" t="str">
        <f>P126</f>
        <v>Silver Fang</v>
      </c>
      <c r="Q128" s="188">
        <f t="shared" si="63"/>
        <v>16000</v>
      </c>
      <c r="S128" s="589">
        <v>38.0</v>
      </c>
      <c r="T128" s="590">
        <f t="shared" si="60"/>
        <v>675.5555556</v>
      </c>
    </row>
    <row r="129">
      <c r="B129" s="372"/>
      <c r="C129" s="591" t="s">
        <v>114</v>
      </c>
      <c r="D129" s="591">
        <v>64.0</v>
      </c>
      <c r="F129" s="592" t="str">
        <f>F124</f>
        <v>Enchanted Iron</v>
      </c>
      <c r="G129" s="188">
        <f t="shared" si="61"/>
        <v>81920</v>
      </c>
      <c r="I129" s="589">
        <f>I128</f>
        <v>10</v>
      </c>
      <c r="J129" s="590">
        <f t="shared" si="58"/>
        <v>1137.777778</v>
      </c>
      <c r="L129" s="372"/>
      <c r="M129" s="601" t="s">
        <v>114</v>
      </c>
      <c r="N129" s="601">
        <v>32.0</v>
      </c>
      <c r="P129" s="463" t="str">
        <f>P126</f>
        <v>Silver Fang</v>
      </c>
      <c r="Q129" s="188">
        <f t="shared" si="63"/>
        <v>32000</v>
      </c>
      <c r="S129" s="589">
        <f>S128</f>
        <v>38</v>
      </c>
      <c r="T129" s="590">
        <f t="shared" si="60"/>
        <v>1351.111111</v>
      </c>
    </row>
    <row r="130">
      <c r="B130" s="393"/>
      <c r="C130" s="602" t="s">
        <v>175</v>
      </c>
      <c r="D130" s="602">
        <v>1.0</v>
      </c>
      <c r="E130" s="603" t="str">
        <f>"Enchanted "&amp;E120&amp;" Block"</f>
        <v>Enchanted Iron Block</v>
      </c>
      <c r="F130" s="603" t="str">
        <f>E130</f>
        <v>Enchanted Iron Block</v>
      </c>
      <c r="G130" s="596">
        <f>D130*8*160*160</f>
        <v>204800</v>
      </c>
      <c r="H130" s="6"/>
      <c r="I130" s="597">
        <v>8.0</v>
      </c>
      <c r="J130" s="598" t="s">
        <v>120</v>
      </c>
      <c r="L130" s="393"/>
      <c r="M130" s="602" t="s">
        <v>175</v>
      </c>
      <c r="N130" s="602">
        <v>64.0</v>
      </c>
      <c r="O130" s="6"/>
      <c r="P130" s="603" t="str">
        <f>P126</f>
        <v>Silver Fang</v>
      </c>
      <c r="Q130" s="596">
        <f t="shared" si="63"/>
        <v>64000</v>
      </c>
      <c r="R130" s="6"/>
      <c r="S130" s="597">
        <v>32.0</v>
      </c>
      <c r="T130" s="598" t="s">
        <v>120</v>
      </c>
    </row>
    <row r="131">
      <c r="B131" s="580"/>
      <c r="L131" s="580"/>
    </row>
    <row r="132" ht="45.0" customHeight="1">
      <c r="B132" s="585" t="str">
        <f>'Minion Checker'!D17</f>
        <v/>
      </c>
      <c r="C132" s="583" t="str">
        <f>'Minion Checker'!E17</f>
        <v>Gold</v>
      </c>
      <c r="D132" s="583" t="s">
        <v>577</v>
      </c>
      <c r="E132" s="17"/>
      <c r="F132" s="584" t="s">
        <v>578</v>
      </c>
      <c r="G132" s="584" t="s">
        <v>579</v>
      </c>
      <c r="H132" s="17"/>
      <c r="I132" s="583" t="s">
        <v>580</v>
      </c>
      <c r="J132" s="464" t="s">
        <v>581</v>
      </c>
      <c r="L132" s="585" t="str">
        <f>'Minion Checker'!D47</f>
        <v/>
      </c>
      <c r="M132" s="583" t="str">
        <f>'Minion Checker'!E47</f>
        <v>Slime</v>
      </c>
      <c r="N132" s="583" t="s">
        <v>577</v>
      </c>
      <c r="O132" s="17"/>
      <c r="P132" s="584" t="s">
        <v>578</v>
      </c>
      <c r="Q132" s="584" t="s">
        <v>579</v>
      </c>
      <c r="R132" s="17"/>
      <c r="S132" s="583" t="s">
        <v>580</v>
      </c>
      <c r="T132" s="464" t="str">
        <f>"ETA of Self-Upgrade
(@x1.8 "&amp;O133&amp;"/Harvest)"</f>
        <v>ETA of Self-Upgrade
(@x1.8 Slimeball/Harvest)</v>
      </c>
    </row>
    <row r="133">
      <c r="B133" s="586"/>
      <c r="C133" s="587" t="s">
        <v>420</v>
      </c>
      <c r="D133" s="587">
        <v>10.0</v>
      </c>
      <c r="E133" s="588" t="str">
        <f>C132</f>
        <v>Gold</v>
      </c>
      <c r="F133" s="588" t="str">
        <f>E133</f>
        <v>Gold</v>
      </c>
      <c r="G133" s="188">
        <f t="shared" ref="G133:G136" si="64">D133*8</f>
        <v>80</v>
      </c>
      <c r="H133" s="187" t="str">
        <f>E133</f>
        <v>Gold</v>
      </c>
      <c r="I133" s="589">
        <v>22.0</v>
      </c>
      <c r="J133" s="590">
        <f t="shared" ref="J133:J142" si="65">G134*I133/3600*2</f>
        <v>1.955555556</v>
      </c>
      <c r="L133" s="586"/>
      <c r="M133" s="587" t="s">
        <v>420</v>
      </c>
      <c r="N133" s="587">
        <v>10.0</v>
      </c>
      <c r="O133" s="588" t="s">
        <v>156</v>
      </c>
      <c r="P133" s="588" t="str">
        <f>O133</f>
        <v>Slimeball</v>
      </c>
      <c r="Q133" s="188">
        <f t="shared" ref="Q133:Q136" si="66">N133*8</f>
        <v>80</v>
      </c>
      <c r="R133" s="187" t="str">
        <f>O133</f>
        <v>Slimeball</v>
      </c>
      <c r="S133" s="589">
        <v>26.0</v>
      </c>
      <c r="T133" s="590">
        <f t="shared" ref="T133:T142" si="67">Q134*S133/3600*2/1.8</f>
        <v>1.283950617</v>
      </c>
    </row>
    <row r="134">
      <c r="B134" s="372"/>
      <c r="C134" s="587" t="s">
        <v>582</v>
      </c>
      <c r="D134" s="587">
        <v>20.0</v>
      </c>
      <c r="F134" s="588" t="str">
        <f>F133</f>
        <v>Gold</v>
      </c>
      <c r="G134" s="188">
        <f t="shared" si="64"/>
        <v>160</v>
      </c>
      <c r="I134" s="589">
        <f>I133</f>
        <v>22</v>
      </c>
      <c r="J134" s="590">
        <f t="shared" si="65"/>
        <v>3.911111111</v>
      </c>
      <c r="L134" s="372"/>
      <c r="M134" s="587" t="s">
        <v>582</v>
      </c>
      <c r="N134" s="587">
        <v>20.0</v>
      </c>
      <c r="P134" s="588" t="str">
        <f>P133</f>
        <v>Slimeball</v>
      </c>
      <c r="Q134" s="188">
        <f t="shared" si="66"/>
        <v>160</v>
      </c>
      <c r="S134" s="589">
        <f>S133</f>
        <v>26</v>
      </c>
      <c r="T134" s="590">
        <f t="shared" si="67"/>
        <v>2.567901235</v>
      </c>
    </row>
    <row r="135">
      <c r="B135" s="372"/>
      <c r="C135" s="587" t="s">
        <v>433</v>
      </c>
      <c r="D135" s="587">
        <v>40.0</v>
      </c>
      <c r="F135" s="588" t="str">
        <f>F133</f>
        <v>Gold</v>
      </c>
      <c r="G135" s="188">
        <f t="shared" si="64"/>
        <v>320</v>
      </c>
      <c r="I135" s="589">
        <v>20.0</v>
      </c>
      <c r="J135" s="590">
        <f t="shared" si="65"/>
        <v>5.688888889</v>
      </c>
      <c r="L135" s="372"/>
      <c r="M135" s="587" t="s">
        <v>433</v>
      </c>
      <c r="N135" s="587">
        <v>40.0</v>
      </c>
      <c r="P135" s="588" t="str">
        <f>P133</f>
        <v>Slimeball</v>
      </c>
      <c r="Q135" s="188">
        <f t="shared" si="66"/>
        <v>320</v>
      </c>
      <c r="S135" s="589">
        <v>24.0</v>
      </c>
      <c r="T135" s="590">
        <f t="shared" si="67"/>
        <v>3.792592593</v>
      </c>
    </row>
    <row r="136">
      <c r="B136" s="372"/>
      <c r="C136" s="587" t="s">
        <v>583</v>
      </c>
      <c r="D136" s="587">
        <v>64.0</v>
      </c>
      <c r="F136" s="588" t="str">
        <f>F133</f>
        <v>Gold</v>
      </c>
      <c r="G136" s="188">
        <f t="shared" si="64"/>
        <v>512</v>
      </c>
      <c r="I136" s="589">
        <f>I135</f>
        <v>20</v>
      </c>
      <c r="J136" s="590">
        <f t="shared" si="65"/>
        <v>14.22222222</v>
      </c>
      <c r="L136" s="372"/>
      <c r="M136" s="587" t="s">
        <v>583</v>
      </c>
      <c r="N136" s="587">
        <v>64.0</v>
      </c>
      <c r="P136" s="588" t="str">
        <f>P133</f>
        <v>Slimeball</v>
      </c>
      <c r="Q136" s="188">
        <f t="shared" si="66"/>
        <v>512</v>
      </c>
      <c r="S136" s="589">
        <f>S135</f>
        <v>24</v>
      </c>
      <c r="T136" s="590">
        <f t="shared" si="67"/>
        <v>9.481481481</v>
      </c>
    </row>
    <row r="137">
      <c r="B137" s="372"/>
      <c r="C137" s="591" t="s">
        <v>417</v>
      </c>
      <c r="D137" s="591">
        <v>1.0</v>
      </c>
      <c r="E137" s="592" t="str">
        <f>"Enchanted "&amp;E133</f>
        <v>Enchanted Gold</v>
      </c>
      <c r="F137" s="592" t="str">
        <f>E137</f>
        <v>Enchanted Gold</v>
      </c>
      <c r="G137" s="188">
        <f t="shared" ref="G137:G142" si="68">D137*8*160</f>
        <v>1280</v>
      </c>
      <c r="I137" s="589">
        <v>18.0</v>
      </c>
      <c r="J137" s="590">
        <f t="shared" si="65"/>
        <v>38.4</v>
      </c>
      <c r="L137" s="372"/>
      <c r="M137" s="591" t="s">
        <v>417</v>
      </c>
      <c r="N137" s="591">
        <v>1.0</v>
      </c>
      <c r="O137" s="600" t="str">
        <f>"Enchanted "&amp;O133</f>
        <v>Enchanted Slimeball</v>
      </c>
      <c r="P137" s="592" t="str">
        <f>O137</f>
        <v>Enchanted Slimeball</v>
      </c>
      <c r="Q137" s="188">
        <f t="shared" ref="Q137:Q142" si="69">N137*8*160</f>
        <v>1280</v>
      </c>
      <c r="S137" s="589">
        <v>22.0</v>
      </c>
      <c r="T137" s="590">
        <f t="shared" si="67"/>
        <v>26.07407407</v>
      </c>
    </row>
    <row r="138">
      <c r="B138" s="372"/>
      <c r="C138" s="591" t="s">
        <v>584</v>
      </c>
      <c r="D138" s="591">
        <v>3.0</v>
      </c>
      <c r="F138" s="592" t="str">
        <f>F137</f>
        <v>Enchanted Gold</v>
      </c>
      <c r="G138" s="188">
        <f t="shared" si="68"/>
        <v>3840</v>
      </c>
      <c r="I138" s="589">
        <f>I137</f>
        <v>18</v>
      </c>
      <c r="J138" s="590">
        <f t="shared" si="65"/>
        <v>102.4</v>
      </c>
      <c r="L138" s="372"/>
      <c r="M138" s="591" t="s">
        <v>584</v>
      </c>
      <c r="N138" s="591">
        <v>3.0</v>
      </c>
      <c r="P138" s="592" t="str">
        <f>P137</f>
        <v>Enchanted Slimeball</v>
      </c>
      <c r="Q138" s="188">
        <f t="shared" si="69"/>
        <v>3840</v>
      </c>
      <c r="S138" s="589">
        <f>S137</f>
        <v>22</v>
      </c>
      <c r="T138" s="590">
        <f t="shared" si="67"/>
        <v>69.5308642</v>
      </c>
    </row>
    <row r="139">
      <c r="B139" s="372"/>
      <c r="C139" s="591" t="s">
        <v>585</v>
      </c>
      <c r="D139" s="591">
        <v>8.0</v>
      </c>
      <c r="F139" s="592" t="str">
        <f>F137</f>
        <v>Enchanted Gold</v>
      </c>
      <c r="G139" s="188">
        <f t="shared" si="68"/>
        <v>10240</v>
      </c>
      <c r="I139" s="589">
        <v>16.0</v>
      </c>
      <c r="J139" s="590">
        <f t="shared" si="65"/>
        <v>182.0444444</v>
      </c>
      <c r="L139" s="372"/>
      <c r="M139" s="591" t="s">
        <v>585</v>
      </c>
      <c r="N139" s="591">
        <v>8.0</v>
      </c>
      <c r="P139" s="592" t="str">
        <f>P137</f>
        <v>Enchanted Slimeball</v>
      </c>
      <c r="Q139" s="188">
        <f t="shared" si="69"/>
        <v>10240</v>
      </c>
      <c r="S139" s="589">
        <v>19.0</v>
      </c>
      <c r="T139" s="590">
        <f t="shared" si="67"/>
        <v>120.0987654</v>
      </c>
    </row>
    <row r="140">
      <c r="B140" s="372"/>
      <c r="C140" s="591" t="s">
        <v>586</v>
      </c>
      <c r="D140" s="591">
        <v>16.0</v>
      </c>
      <c r="F140" s="592" t="str">
        <f>F137</f>
        <v>Enchanted Gold</v>
      </c>
      <c r="G140" s="188">
        <f t="shared" si="68"/>
        <v>20480</v>
      </c>
      <c r="I140" s="589">
        <f>I139</f>
        <v>16</v>
      </c>
      <c r="J140" s="590">
        <f t="shared" si="65"/>
        <v>364.0888889</v>
      </c>
      <c r="L140" s="372"/>
      <c r="M140" s="591" t="s">
        <v>586</v>
      </c>
      <c r="N140" s="591">
        <v>16.0</v>
      </c>
      <c r="P140" s="592" t="str">
        <f>P137</f>
        <v>Enchanted Slimeball</v>
      </c>
      <c r="Q140" s="188">
        <f t="shared" si="69"/>
        <v>20480</v>
      </c>
      <c r="S140" s="589">
        <f>S139</f>
        <v>19</v>
      </c>
      <c r="T140" s="590">
        <f t="shared" si="67"/>
        <v>240.1975309</v>
      </c>
    </row>
    <row r="141">
      <c r="B141" s="372"/>
      <c r="C141" s="591" t="s">
        <v>587</v>
      </c>
      <c r="D141" s="591">
        <v>32.0</v>
      </c>
      <c r="F141" s="592" t="str">
        <f>F137</f>
        <v>Enchanted Gold</v>
      </c>
      <c r="G141" s="188">
        <f t="shared" si="68"/>
        <v>40960</v>
      </c>
      <c r="I141" s="589">
        <v>14.0</v>
      </c>
      <c r="J141" s="590">
        <f t="shared" si="65"/>
        <v>637.1555556</v>
      </c>
      <c r="L141" s="372"/>
      <c r="M141" s="591" t="s">
        <v>587</v>
      </c>
      <c r="N141" s="591">
        <v>32.0</v>
      </c>
      <c r="P141" s="592" t="str">
        <f>P137</f>
        <v>Enchanted Slimeball</v>
      </c>
      <c r="Q141" s="188">
        <f t="shared" si="69"/>
        <v>40960</v>
      </c>
      <c r="S141" s="589">
        <v>16.0</v>
      </c>
      <c r="T141" s="590">
        <f t="shared" si="67"/>
        <v>404.5432099</v>
      </c>
    </row>
    <row r="142">
      <c r="B142" s="372"/>
      <c r="C142" s="591" t="s">
        <v>114</v>
      </c>
      <c r="D142" s="591">
        <v>64.0</v>
      </c>
      <c r="F142" s="592" t="str">
        <f>F137</f>
        <v>Enchanted Gold</v>
      </c>
      <c r="G142" s="188">
        <f t="shared" si="68"/>
        <v>81920</v>
      </c>
      <c r="I142" s="589">
        <f>I141</f>
        <v>14</v>
      </c>
      <c r="J142" s="590">
        <f t="shared" si="65"/>
        <v>1592.888889</v>
      </c>
      <c r="L142" s="372"/>
      <c r="M142" s="591" t="s">
        <v>114</v>
      </c>
      <c r="N142" s="591">
        <v>64.0</v>
      </c>
      <c r="P142" s="592" t="str">
        <f>P137</f>
        <v>Enchanted Slimeball</v>
      </c>
      <c r="Q142" s="188">
        <f t="shared" si="69"/>
        <v>81920</v>
      </c>
      <c r="S142" s="589">
        <f>S141</f>
        <v>16</v>
      </c>
      <c r="T142" s="590">
        <f t="shared" si="67"/>
        <v>1011.358025</v>
      </c>
    </row>
    <row r="143">
      <c r="B143" s="393"/>
      <c r="C143" s="602" t="s">
        <v>175</v>
      </c>
      <c r="D143" s="602">
        <v>1.0</v>
      </c>
      <c r="E143" s="603" t="str">
        <f>"Enchanted "&amp;E133&amp;" Block"</f>
        <v>Enchanted Gold Block</v>
      </c>
      <c r="F143" s="603" t="str">
        <f>E143</f>
        <v>Enchanted Gold Block</v>
      </c>
      <c r="G143" s="596">
        <f>D143*8*160*160</f>
        <v>204800</v>
      </c>
      <c r="H143" s="6"/>
      <c r="I143" s="597">
        <v>11.0</v>
      </c>
      <c r="J143" s="598" t="s">
        <v>120</v>
      </c>
      <c r="L143" s="393"/>
      <c r="M143" s="602" t="s">
        <v>175</v>
      </c>
      <c r="N143" s="602">
        <v>1.0</v>
      </c>
      <c r="O143" s="603" t="s">
        <v>356</v>
      </c>
      <c r="P143" s="603" t="str">
        <f>O143</f>
        <v>Enchanted Slime Block</v>
      </c>
      <c r="Q143" s="596">
        <f>N143*8*160*160</f>
        <v>204800</v>
      </c>
      <c r="R143" s="6"/>
      <c r="S143" s="597">
        <v>12.0</v>
      </c>
      <c r="T143" s="598" t="s">
        <v>120</v>
      </c>
    </row>
    <row r="144">
      <c r="B144" s="580"/>
      <c r="L144" s="580"/>
    </row>
    <row r="145" ht="45.0" customHeight="1">
      <c r="B145" s="585" t="str">
        <f>'Minion Checker'!D18</f>
        <v/>
      </c>
      <c r="C145" s="583" t="str">
        <f>'Minion Checker'!E18</f>
        <v>Diamond</v>
      </c>
      <c r="D145" s="583" t="s">
        <v>577</v>
      </c>
      <c r="E145" s="17"/>
      <c r="F145" s="584" t="s">
        <v>578</v>
      </c>
      <c r="G145" s="584" t="s">
        <v>579</v>
      </c>
      <c r="H145" s="17"/>
      <c r="I145" s="583" t="s">
        <v>580</v>
      </c>
      <c r="J145" s="464" t="s">
        <v>581</v>
      </c>
      <c r="L145" s="585" t="str">
        <f>'Minion Checker'!D48</f>
        <v/>
      </c>
      <c r="M145" s="583" t="str">
        <f>'Minion Checker'!E48</f>
        <v>Cow</v>
      </c>
      <c r="N145" s="583" t="s">
        <v>577</v>
      </c>
      <c r="O145" s="17"/>
      <c r="P145" s="584" t="s">
        <v>578</v>
      </c>
      <c r="Q145" s="584" t="s">
        <v>579</v>
      </c>
      <c r="R145" s="17"/>
      <c r="S145" s="583" t="s">
        <v>580</v>
      </c>
      <c r="T145" s="464" t="s">
        <v>581</v>
      </c>
    </row>
    <row r="146">
      <c r="B146" s="586"/>
      <c r="C146" s="587" t="s">
        <v>420</v>
      </c>
      <c r="D146" s="587">
        <v>10.0</v>
      </c>
      <c r="E146" s="588" t="str">
        <f>C145</f>
        <v>Diamond</v>
      </c>
      <c r="F146" s="588" t="str">
        <f>E146</f>
        <v>Diamond</v>
      </c>
      <c r="G146" s="188">
        <f t="shared" ref="G146:G149" si="70">D146*8</f>
        <v>80</v>
      </c>
      <c r="H146" s="187" t="str">
        <f>E146</f>
        <v>Diamond</v>
      </c>
      <c r="I146" s="589">
        <v>29.0</v>
      </c>
      <c r="J146" s="590">
        <f t="shared" ref="J146:J155" si="71">G147*I146/3600*2</f>
        <v>2.577777778</v>
      </c>
      <c r="L146" s="586"/>
      <c r="M146" s="587" t="s">
        <v>420</v>
      </c>
      <c r="N146" s="587">
        <v>8.0</v>
      </c>
      <c r="O146" s="588" t="s">
        <v>157</v>
      </c>
      <c r="P146" s="588" t="str">
        <f>O146</f>
        <v>Raw Beef</v>
      </c>
      <c r="Q146" s="188">
        <f t="shared" ref="Q146:Q149" si="72">N146*8</f>
        <v>64</v>
      </c>
      <c r="R146" s="187" t="str">
        <f>O146</f>
        <v>Raw Beef</v>
      </c>
      <c r="S146" s="589">
        <v>26.0</v>
      </c>
      <c r="T146" s="590">
        <f t="shared" ref="T146:T155" si="73">Q147*S146/3600*2</f>
        <v>1.848888889</v>
      </c>
    </row>
    <row r="147">
      <c r="B147" s="372"/>
      <c r="C147" s="587" t="s">
        <v>582</v>
      </c>
      <c r="D147" s="587">
        <v>20.0</v>
      </c>
      <c r="F147" s="588" t="str">
        <f>F146</f>
        <v>Diamond</v>
      </c>
      <c r="G147" s="188">
        <f t="shared" si="70"/>
        <v>160</v>
      </c>
      <c r="I147" s="589">
        <f>I146</f>
        <v>29</v>
      </c>
      <c r="J147" s="590">
        <f t="shared" si="71"/>
        <v>5.155555556</v>
      </c>
      <c r="L147" s="372"/>
      <c r="M147" s="587" t="s">
        <v>582</v>
      </c>
      <c r="N147" s="587">
        <v>16.0</v>
      </c>
      <c r="P147" s="588" t="str">
        <f>P146</f>
        <v>Raw Beef</v>
      </c>
      <c r="Q147" s="188">
        <f t="shared" si="72"/>
        <v>128</v>
      </c>
      <c r="S147" s="589">
        <f>S146</f>
        <v>26</v>
      </c>
      <c r="T147" s="590">
        <f t="shared" si="73"/>
        <v>3.697777778</v>
      </c>
    </row>
    <row r="148">
      <c r="B148" s="372"/>
      <c r="C148" s="587" t="s">
        <v>433</v>
      </c>
      <c r="D148" s="587">
        <v>40.0</v>
      </c>
      <c r="F148" s="588" t="str">
        <f>F146</f>
        <v>Diamond</v>
      </c>
      <c r="G148" s="188">
        <f t="shared" si="70"/>
        <v>320</v>
      </c>
      <c r="I148" s="589">
        <v>27.0</v>
      </c>
      <c r="J148" s="590">
        <f t="shared" si="71"/>
        <v>7.68</v>
      </c>
      <c r="L148" s="372"/>
      <c r="M148" s="587" t="s">
        <v>433</v>
      </c>
      <c r="N148" s="587">
        <v>32.0</v>
      </c>
      <c r="P148" s="588" t="str">
        <f>P146</f>
        <v>Raw Beef</v>
      </c>
      <c r="Q148" s="188">
        <f t="shared" si="72"/>
        <v>256</v>
      </c>
      <c r="S148" s="589">
        <v>24.0</v>
      </c>
      <c r="T148" s="590">
        <f t="shared" si="73"/>
        <v>6.826666667</v>
      </c>
    </row>
    <row r="149">
      <c r="B149" s="372"/>
      <c r="C149" s="587" t="s">
        <v>583</v>
      </c>
      <c r="D149" s="587">
        <v>64.0</v>
      </c>
      <c r="F149" s="588" t="str">
        <f>F146</f>
        <v>Diamond</v>
      </c>
      <c r="G149" s="188">
        <f t="shared" si="70"/>
        <v>512</v>
      </c>
      <c r="I149" s="589">
        <f>I148</f>
        <v>27</v>
      </c>
      <c r="J149" s="590">
        <f t="shared" si="71"/>
        <v>19.2</v>
      </c>
      <c r="L149" s="372"/>
      <c r="M149" s="587" t="s">
        <v>583</v>
      </c>
      <c r="N149" s="587">
        <v>64.0</v>
      </c>
      <c r="P149" s="588" t="str">
        <f>P146</f>
        <v>Raw Beef</v>
      </c>
      <c r="Q149" s="188">
        <f t="shared" si="72"/>
        <v>512</v>
      </c>
      <c r="S149" s="589">
        <f>S148</f>
        <v>24</v>
      </c>
      <c r="T149" s="590">
        <f t="shared" si="73"/>
        <v>17.06666667</v>
      </c>
    </row>
    <row r="150">
      <c r="B150" s="372"/>
      <c r="C150" s="591" t="s">
        <v>417</v>
      </c>
      <c r="D150" s="591">
        <v>1.0</v>
      </c>
      <c r="E150" s="592" t="str">
        <f>"Enchanted "&amp;E146</f>
        <v>Enchanted Diamond</v>
      </c>
      <c r="F150" s="592" t="str">
        <f>E150</f>
        <v>Enchanted Diamond</v>
      </c>
      <c r="G150" s="188">
        <f t="shared" ref="G150:G155" si="74">D150*8*160</f>
        <v>1280</v>
      </c>
      <c r="I150" s="589">
        <v>25.0</v>
      </c>
      <c r="J150" s="590">
        <f t="shared" si="71"/>
        <v>53.33333333</v>
      </c>
      <c r="L150" s="372"/>
      <c r="M150" s="591" t="s">
        <v>417</v>
      </c>
      <c r="N150" s="591">
        <v>1.0</v>
      </c>
      <c r="O150" s="592" t="str">
        <f>"Enchanted "&amp;O146</f>
        <v>Enchanted Raw Beef</v>
      </c>
      <c r="P150" s="592" t="str">
        <f>O150</f>
        <v>Enchanted Raw Beef</v>
      </c>
      <c r="Q150" s="188">
        <f t="shared" ref="Q150:Q155" si="75">N150*8*160</f>
        <v>1280</v>
      </c>
      <c r="S150" s="589">
        <v>22.0</v>
      </c>
      <c r="T150" s="590">
        <f t="shared" si="73"/>
        <v>46.93333333</v>
      </c>
    </row>
    <row r="151">
      <c r="B151" s="372"/>
      <c r="C151" s="591" t="s">
        <v>584</v>
      </c>
      <c r="D151" s="591">
        <v>3.0</v>
      </c>
      <c r="F151" s="592" t="str">
        <f>F150</f>
        <v>Enchanted Diamond</v>
      </c>
      <c r="G151" s="188">
        <f t="shared" si="74"/>
        <v>3840</v>
      </c>
      <c r="I151" s="589">
        <f>I150</f>
        <v>25</v>
      </c>
      <c r="J151" s="590">
        <f t="shared" si="71"/>
        <v>142.2222222</v>
      </c>
      <c r="L151" s="372"/>
      <c r="M151" s="591" t="s">
        <v>584</v>
      </c>
      <c r="N151" s="591">
        <v>3.0</v>
      </c>
      <c r="P151" s="592" t="str">
        <f>P150</f>
        <v>Enchanted Raw Beef</v>
      </c>
      <c r="Q151" s="188">
        <f t="shared" si="75"/>
        <v>3840</v>
      </c>
      <c r="S151" s="589">
        <f>S150</f>
        <v>22</v>
      </c>
      <c r="T151" s="590">
        <f t="shared" si="73"/>
        <v>125.1555556</v>
      </c>
    </row>
    <row r="152">
      <c r="B152" s="372"/>
      <c r="C152" s="591" t="s">
        <v>585</v>
      </c>
      <c r="D152" s="591">
        <v>8.0</v>
      </c>
      <c r="F152" s="592" t="str">
        <f>F150</f>
        <v>Enchanted Diamond</v>
      </c>
      <c r="G152" s="188">
        <f t="shared" si="74"/>
        <v>10240</v>
      </c>
      <c r="I152" s="589">
        <v>22.0</v>
      </c>
      <c r="J152" s="590">
        <f t="shared" si="71"/>
        <v>250.3111111</v>
      </c>
      <c r="L152" s="372"/>
      <c r="M152" s="591" t="s">
        <v>585</v>
      </c>
      <c r="N152" s="591">
        <v>8.0</v>
      </c>
      <c r="P152" s="592" t="str">
        <f>P150</f>
        <v>Enchanted Raw Beef</v>
      </c>
      <c r="Q152" s="188">
        <f t="shared" si="75"/>
        <v>10240</v>
      </c>
      <c r="S152" s="589">
        <v>20.0</v>
      </c>
      <c r="T152" s="590">
        <f t="shared" si="73"/>
        <v>227.5555556</v>
      </c>
    </row>
    <row r="153">
      <c r="B153" s="372"/>
      <c r="C153" s="591" t="s">
        <v>586</v>
      </c>
      <c r="D153" s="591">
        <v>16.0</v>
      </c>
      <c r="F153" s="592" t="str">
        <f>F150</f>
        <v>Enchanted Diamond</v>
      </c>
      <c r="G153" s="188">
        <f t="shared" si="74"/>
        <v>20480</v>
      </c>
      <c r="I153" s="589">
        <f>I152</f>
        <v>22</v>
      </c>
      <c r="J153" s="590">
        <f t="shared" si="71"/>
        <v>500.6222222</v>
      </c>
      <c r="L153" s="372"/>
      <c r="M153" s="591" t="s">
        <v>586</v>
      </c>
      <c r="N153" s="591">
        <v>16.0</v>
      </c>
      <c r="P153" s="592" t="str">
        <f>P150</f>
        <v>Enchanted Raw Beef</v>
      </c>
      <c r="Q153" s="188">
        <f t="shared" si="75"/>
        <v>20480</v>
      </c>
      <c r="S153" s="589">
        <f>S152</f>
        <v>20</v>
      </c>
      <c r="T153" s="590">
        <f t="shared" si="73"/>
        <v>455.1111111</v>
      </c>
    </row>
    <row r="154">
      <c r="B154" s="372"/>
      <c r="C154" s="591" t="s">
        <v>587</v>
      </c>
      <c r="D154" s="591">
        <v>32.0</v>
      </c>
      <c r="F154" s="592" t="str">
        <f>F150</f>
        <v>Enchanted Diamond</v>
      </c>
      <c r="G154" s="188">
        <f t="shared" si="74"/>
        <v>40960</v>
      </c>
      <c r="I154" s="589">
        <v>19.0</v>
      </c>
      <c r="J154" s="590">
        <f t="shared" si="71"/>
        <v>864.7111111</v>
      </c>
      <c r="L154" s="372"/>
      <c r="M154" s="591" t="s">
        <v>587</v>
      </c>
      <c r="N154" s="591">
        <v>32.0</v>
      </c>
      <c r="P154" s="592" t="str">
        <f>P150</f>
        <v>Enchanted Raw Beef</v>
      </c>
      <c r="Q154" s="188">
        <f t="shared" si="75"/>
        <v>40960</v>
      </c>
      <c r="S154" s="589">
        <v>17.0</v>
      </c>
      <c r="T154" s="590">
        <f t="shared" si="73"/>
        <v>773.6888889</v>
      </c>
    </row>
    <row r="155">
      <c r="B155" s="372"/>
      <c r="C155" s="591" t="s">
        <v>114</v>
      </c>
      <c r="D155" s="591">
        <v>64.0</v>
      </c>
      <c r="F155" s="592" t="str">
        <f>F150</f>
        <v>Enchanted Diamond</v>
      </c>
      <c r="G155" s="188">
        <f t="shared" si="74"/>
        <v>81920</v>
      </c>
      <c r="I155" s="589">
        <f>I154</f>
        <v>19</v>
      </c>
      <c r="J155" s="590">
        <f t="shared" si="71"/>
        <v>2161.777778</v>
      </c>
      <c r="L155" s="372"/>
      <c r="M155" s="591" t="s">
        <v>114</v>
      </c>
      <c r="N155" s="591">
        <v>64.0</v>
      </c>
      <c r="P155" s="592" t="str">
        <f>P150</f>
        <v>Enchanted Raw Beef</v>
      </c>
      <c r="Q155" s="188">
        <f t="shared" si="75"/>
        <v>81920</v>
      </c>
      <c r="S155" s="589">
        <f>S154</f>
        <v>17</v>
      </c>
      <c r="T155" s="590">
        <f t="shared" si="73"/>
        <v>1392.64</v>
      </c>
    </row>
    <row r="156">
      <c r="B156" s="393"/>
      <c r="C156" s="602" t="s">
        <v>175</v>
      </c>
      <c r="D156" s="602">
        <v>1.0</v>
      </c>
      <c r="E156" s="603" t="str">
        <f>"Enchanted "&amp;E146&amp;" Block"</f>
        <v>Enchanted Diamond Block</v>
      </c>
      <c r="F156" s="603" t="str">
        <f>E156</f>
        <v>Enchanted Diamond Block</v>
      </c>
      <c r="G156" s="596">
        <f>D156*8*160*160</f>
        <v>204800</v>
      </c>
      <c r="H156" s="6"/>
      <c r="I156" s="597">
        <v>15.0</v>
      </c>
      <c r="J156" s="598" t="s">
        <v>120</v>
      </c>
      <c r="L156" s="393"/>
      <c r="M156" s="602" t="s">
        <v>175</v>
      </c>
      <c r="N156" s="602">
        <v>32.0</v>
      </c>
      <c r="O156" s="603" t="s">
        <v>360</v>
      </c>
      <c r="P156" s="603" t="str">
        <f>O156</f>
        <v>Enchanted Leather</v>
      </c>
      <c r="Q156" s="596">
        <f>N156*8*9*64</f>
        <v>147456</v>
      </c>
      <c r="R156" s="476" t="s">
        <v>397</v>
      </c>
      <c r="S156" s="597">
        <v>13.0</v>
      </c>
      <c r="T156" s="598" t="s">
        <v>120</v>
      </c>
    </row>
    <row r="157">
      <c r="B157" s="580"/>
      <c r="L157" s="580"/>
    </row>
    <row r="158" ht="45.0" customHeight="1">
      <c r="B158" s="585" t="str">
        <f>'Minion Checker'!D19</f>
        <v/>
      </c>
      <c r="C158" s="583" t="str">
        <f>'Minion Checker'!E19</f>
        <v>Lapis</v>
      </c>
      <c r="D158" s="583" t="s">
        <v>577</v>
      </c>
      <c r="E158" s="17"/>
      <c r="F158" s="584" t="s">
        <v>578</v>
      </c>
      <c r="G158" s="584" t="s">
        <v>579</v>
      </c>
      <c r="H158" s="17"/>
      <c r="I158" s="583" t="s">
        <v>580</v>
      </c>
      <c r="J158" s="464" t="str">
        <f>"ETA of Self-Upgrade
(@x6 "&amp;C158&amp;"/Harvest)"</f>
        <v>ETA of Self-Upgrade
(@x6 Lapis/Harvest)</v>
      </c>
      <c r="L158" s="585" t="str">
        <f>'Minion Checker'!D49</f>
        <v/>
      </c>
      <c r="M158" s="583" t="str">
        <f>'Minion Checker'!E49</f>
        <v>Pig</v>
      </c>
      <c r="N158" s="583" t="s">
        <v>577</v>
      </c>
      <c r="O158" s="17"/>
      <c r="P158" s="584" t="s">
        <v>578</v>
      </c>
      <c r="Q158" s="584" t="s">
        <v>579</v>
      </c>
      <c r="R158" s="17"/>
      <c r="S158" s="583" t="s">
        <v>580</v>
      </c>
      <c r="T158" s="464" t="s">
        <v>581</v>
      </c>
    </row>
    <row r="159">
      <c r="B159" s="586"/>
      <c r="C159" s="587" t="s">
        <v>420</v>
      </c>
      <c r="D159" s="587">
        <v>32.0</v>
      </c>
      <c r="E159" s="588" t="str">
        <f>C158</f>
        <v>Lapis</v>
      </c>
      <c r="F159" s="588" t="str">
        <f>E159</f>
        <v>Lapis</v>
      </c>
      <c r="G159" s="188">
        <f t="shared" ref="G159:G160" si="76">D159*8</f>
        <v>256</v>
      </c>
      <c r="H159" s="187" t="str">
        <f>E159</f>
        <v>Lapis</v>
      </c>
      <c r="I159" s="589">
        <v>29.0</v>
      </c>
      <c r="J159" s="590">
        <f t="shared" ref="J159:J168" si="77">G160*I159/3600*2/6</f>
        <v>1.374814815</v>
      </c>
      <c r="L159" s="586"/>
      <c r="M159" s="587" t="s">
        <v>420</v>
      </c>
      <c r="N159" s="587">
        <v>8.0</v>
      </c>
      <c r="O159" s="588" t="s">
        <v>158</v>
      </c>
      <c r="P159" s="588" t="str">
        <f>O159</f>
        <v>Raw Porkchop</v>
      </c>
      <c r="Q159" s="188">
        <f t="shared" ref="Q159:Q162" si="78">N159*8</f>
        <v>64</v>
      </c>
      <c r="R159" s="187" t="str">
        <f>O159</f>
        <v>Raw Porkchop</v>
      </c>
      <c r="S159" s="589">
        <v>26.0</v>
      </c>
      <c r="T159" s="590">
        <f t="shared" ref="T159:T168" si="79">Q160*S159/3600*2</f>
        <v>1.848888889</v>
      </c>
    </row>
    <row r="160">
      <c r="B160" s="372"/>
      <c r="C160" s="587" t="s">
        <v>582</v>
      </c>
      <c r="D160" s="587">
        <v>64.0</v>
      </c>
      <c r="F160" s="588" t="str">
        <f>F159</f>
        <v>Lapis</v>
      </c>
      <c r="G160" s="188">
        <f t="shared" si="76"/>
        <v>512</v>
      </c>
      <c r="I160" s="589">
        <f>I159</f>
        <v>29</v>
      </c>
      <c r="J160" s="590">
        <f t="shared" si="77"/>
        <v>3.437037037</v>
      </c>
      <c r="L160" s="372"/>
      <c r="M160" s="587" t="s">
        <v>582</v>
      </c>
      <c r="N160" s="587">
        <v>16.0</v>
      </c>
      <c r="P160" s="588" t="str">
        <f>P159</f>
        <v>Raw Porkchop</v>
      </c>
      <c r="Q160" s="188">
        <f t="shared" si="78"/>
        <v>128</v>
      </c>
      <c r="S160" s="589">
        <f>S159</f>
        <v>26</v>
      </c>
      <c r="T160" s="590">
        <f t="shared" si="79"/>
        <v>3.697777778</v>
      </c>
    </row>
    <row r="161">
      <c r="B161" s="372"/>
      <c r="C161" s="591" t="s">
        <v>433</v>
      </c>
      <c r="D161" s="591">
        <v>1.0</v>
      </c>
      <c r="E161" s="592" t="str">
        <f>"Enchanted "&amp;E159</f>
        <v>Enchanted Lapis</v>
      </c>
      <c r="F161" s="592" t="str">
        <f>E161</f>
        <v>Enchanted Lapis</v>
      </c>
      <c r="G161" s="188">
        <f t="shared" ref="G161:G166" si="80">D161*8*160</f>
        <v>1280</v>
      </c>
      <c r="I161" s="589">
        <v>27.0</v>
      </c>
      <c r="J161" s="590">
        <f t="shared" si="77"/>
        <v>9.6</v>
      </c>
      <c r="L161" s="372"/>
      <c r="M161" s="587" t="s">
        <v>433</v>
      </c>
      <c r="N161" s="587">
        <v>32.0</v>
      </c>
      <c r="P161" s="588" t="str">
        <f>P159</f>
        <v>Raw Porkchop</v>
      </c>
      <c r="Q161" s="188">
        <f t="shared" si="78"/>
        <v>256</v>
      </c>
      <c r="S161" s="589">
        <v>24.0</v>
      </c>
      <c r="T161" s="590">
        <f t="shared" si="79"/>
        <v>6.826666667</v>
      </c>
    </row>
    <row r="162">
      <c r="B162" s="372"/>
      <c r="C162" s="591" t="s">
        <v>583</v>
      </c>
      <c r="D162" s="591">
        <v>3.0</v>
      </c>
      <c r="F162" s="592" t="str">
        <f>F161</f>
        <v>Enchanted Lapis</v>
      </c>
      <c r="G162" s="188">
        <f t="shared" si="80"/>
        <v>3840</v>
      </c>
      <c r="I162" s="589">
        <f>I161</f>
        <v>27</v>
      </c>
      <c r="J162" s="590">
        <f t="shared" si="77"/>
        <v>25.6</v>
      </c>
      <c r="L162" s="372"/>
      <c r="M162" s="587" t="s">
        <v>583</v>
      </c>
      <c r="N162" s="587">
        <v>64.0</v>
      </c>
      <c r="P162" s="588" t="str">
        <f>P159</f>
        <v>Raw Porkchop</v>
      </c>
      <c r="Q162" s="188">
        <f t="shared" si="78"/>
        <v>512</v>
      </c>
      <c r="S162" s="589">
        <f>S161</f>
        <v>24</v>
      </c>
      <c r="T162" s="590">
        <f t="shared" si="79"/>
        <v>17.06666667</v>
      </c>
    </row>
    <row r="163">
      <c r="B163" s="372"/>
      <c r="C163" s="591" t="s">
        <v>417</v>
      </c>
      <c r="D163" s="591">
        <v>8.0</v>
      </c>
      <c r="F163" s="592" t="str">
        <f>F161</f>
        <v>Enchanted Lapis</v>
      </c>
      <c r="G163" s="188">
        <f t="shared" si="80"/>
        <v>10240</v>
      </c>
      <c r="I163" s="589">
        <v>25.0</v>
      </c>
      <c r="J163" s="590">
        <f t="shared" si="77"/>
        <v>47.40740741</v>
      </c>
      <c r="L163" s="372"/>
      <c r="M163" s="591" t="s">
        <v>417</v>
      </c>
      <c r="N163" s="591">
        <v>1.0</v>
      </c>
      <c r="O163" s="600" t="s">
        <v>590</v>
      </c>
      <c r="P163" s="592" t="str">
        <f>O163</f>
        <v>Enchanted Raw Pork</v>
      </c>
      <c r="Q163" s="188">
        <f t="shared" ref="Q163:Q168" si="81">N163*8*160</f>
        <v>1280</v>
      </c>
      <c r="S163" s="589">
        <v>22.0</v>
      </c>
      <c r="T163" s="590">
        <f t="shared" si="79"/>
        <v>46.93333333</v>
      </c>
    </row>
    <row r="164">
      <c r="B164" s="372"/>
      <c r="C164" s="591" t="s">
        <v>584</v>
      </c>
      <c r="D164" s="591">
        <v>16.0</v>
      </c>
      <c r="F164" s="592" t="str">
        <f>F161</f>
        <v>Enchanted Lapis</v>
      </c>
      <c r="G164" s="188">
        <f t="shared" si="80"/>
        <v>20480</v>
      </c>
      <c r="I164" s="589">
        <f>I163</f>
        <v>25</v>
      </c>
      <c r="J164" s="590">
        <f t="shared" si="77"/>
        <v>94.81481481</v>
      </c>
      <c r="L164" s="372"/>
      <c r="M164" s="591" t="s">
        <v>584</v>
      </c>
      <c r="N164" s="591">
        <v>3.0</v>
      </c>
      <c r="P164" s="592" t="str">
        <f>P163</f>
        <v>Enchanted Raw Pork</v>
      </c>
      <c r="Q164" s="188">
        <f t="shared" si="81"/>
        <v>3840</v>
      </c>
      <c r="S164" s="589">
        <f>S163</f>
        <v>22</v>
      </c>
      <c r="T164" s="590">
        <f t="shared" si="79"/>
        <v>125.1555556</v>
      </c>
    </row>
    <row r="165">
      <c r="B165" s="372"/>
      <c r="C165" s="591" t="s">
        <v>585</v>
      </c>
      <c r="D165" s="591">
        <v>32.0</v>
      </c>
      <c r="F165" s="592" t="str">
        <f>F161</f>
        <v>Enchanted Lapis</v>
      </c>
      <c r="G165" s="188">
        <f t="shared" si="80"/>
        <v>40960</v>
      </c>
      <c r="I165" s="589">
        <v>23.0</v>
      </c>
      <c r="J165" s="590">
        <f t="shared" si="77"/>
        <v>174.4592593</v>
      </c>
      <c r="L165" s="372"/>
      <c r="M165" s="591" t="s">
        <v>585</v>
      </c>
      <c r="N165" s="591">
        <v>8.0</v>
      </c>
      <c r="P165" s="592" t="str">
        <f>P163</f>
        <v>Enchanted Raw Pork</v>
      </c>
      <c r="Q165" s="188">
        <f t="shared" si="81"/>
        <v>10240</v>
      </c>
      <c r="S165" s="589">
        <v>20.0</v>
      </c>
      <c r="T165" s="590">
        <f t="shared" si="79"/>
        <v>227.5555556</v>
      </c>
    </row>
    <row r="166">
      <c r="B166" s="372"/>
      <c r="C166" s="591" t="s">
        <v>586</v>
      </c>
      <c r="D166" s="591">
        <v>64.0</v>
      </c>
      <c r="F166" s="592" t="str">
        <f>F161</f>
        <v>Enchanted Lapis</v>
      </c>
      <c r="G166" s="188">
        <f t="shared" si="80"/>
        <v>81920</v>
      </c>
      <c r="I166" s="589">
        <f>I165</f>
        <v>23</v>
      </c>
      <c r="J166" s="590">
        <f t="shared" si="77"/>
        <v>436.1481481</v>
      </c>
      <c r="L166" s="372"/>
      <c r="M166" s="591" t="s">
        <v>586</v>
      </c>
      <c r="N166" s="591">
        <v>16.0</v>
      </c>
      <c r="P166" s="592" t="str">
        <f>P163</f>
        <v>Enchanted Raw Pork</v>
      </c>
      <c r="Q166" s="188">
        <f t="shared" si="81"/>
        <v>20480</v>
      </c>
      <c r="S166" s="589">
        <f>S165</f>
        <v>20</v>
      </c>
      <c r="T166" s="590">
        <f t="shared" si="79"/>
        <v>455.1111111</v>
      </c>
    </row>
    <row r="167">
      <c r="B167" s="372"/>
      <c r="C167" s="601" t="s">
        <v>587</v>
      </c>
      <c r="D167" s="601">
        <v>1.0</v>
      </c>
      <c r="E167" s="463" t="str">
        <f>"Enchanted "&amp;E159&amp;" Block"</f>
        <v>Enchanted Lapis Block</v>
      </c>
      <c r="F167" s="463" t="str">
        <f>E167</f>
        <v>Enchanted Lapis Block</v>
      </c>
      <c r="G167" s="188">
        <f t="shared" ref="G167:G169" si="82">D167*8*160*160</f>
        <v>204800</v>
      </c>
      <c r="I167" s="589">
        <v>21.0</v>
      </c>
      <c r="J167" s="590">
        <f t="shared" si="77"/>
        <v>796.4444444</v>
      </c>
      <c r="L167" s="372"/>
      <c r="M167" s="591" t="s">
        <v>587</v>
      </c>
      <c r="N167" s="591">
        <v>32.0</v>
      </c>
      <c r="P167" s="592" t="str">
        <f>P163</f>
        <v>Enchanted Raw Pork</v>
      </c>
      <c r="Q167" s="188">
        <f t="shared" si="81"/>
        <v>40960</v>
      </c>
      <c r="S167" s="589">
        <v>17.0</v>
      </c>
      <c r="T167" s="590">
        <f t="shared" si="79"/>
        <v>773.6888889</v>
      </c>
    </row>
    <row r="168">
      <c r="B168" s="372"/>
      <c r="C168" s="601" t="s">
        <v>114</v>
      </c>
      <c r="D168" s="601">
        <v>2.0</v>
      </c>
      <c r="F168" s="463" t="str">
        <f>F167</f>
        <v>Enchanted Lapis Block</v>
      </c>
      <c r="G168" s="188">
        <f t="shared" si="82"/>
        <v>409600</v>
      </c>
      <c r="I168" s="589">
        <f>I167</f>
        <v>21</v>
      </c>
      <c r="J168" s="590">
        <f t="shared" si="77"/>
        <v>1592.888889</v>
      </c>
      <c r="L168" s="372"/>
      <c r="M168" s="591" t="s">
        <v>114</v>
      </c>
      <c r="N168" s="591">
        <v>64.0</v>
      </c>
      <c r="P168" s="592" t="str">
        <f>P163</f>
        <v>Enchanted Raw Pork</v>
      </c>
      <c r="Q168" s="188">
        <f t="shared" si="81"/>
        <v>81920</v>
      </c>
      <c r="S168" s="589">
        <f>S167</f>
        <v>17</v>
      </c>
      <c r="T168" s="590">
        <f t="shared" si="79"/>
        <v>1934.222222</v>
      </c>
    </row>
    <row r="169">
      <c r="B169" s="393"/>
      <c r="C169" s="602" t="s">
        <v>175</v>
      </c>
      <c r="D169" s="602">
        <v>4.0</v>
      </c>
      <c r="E169" s="6"/>
      <c r="F169" s="603" t="str">
        <f>F167</f>
        <v>Enchanted Lapis Block</v>
      </c>
      <c r="G169" s="596">
        <f t="shared" si="82"/>
        <v>819200</v>
      </c>
      <c r="H169" s="6"/>
      <c r="I169" s="597">
        <v>18.0</v>
      </c>
      <c r="J169" s="598" t="s">
        <v>120</v>
      </c>
      <c r="L169" s="393"/>
      <c r="M169" s="602" t="s">
        <v>175</v>
      </c>
      <c r="N169" s="602">
        <v>1.0</v>
      </c>
      <c r="O169" s="603" t="s">
        <v>591</v>
      </c>
      <c r="P169" s="603" t="str">
        <f>O169</f>
        <v>Enchanted Grilled Pork</v>
      </c>
      <c r="Q169" s="596">
        <f>N169*8*160*160</f>
        <v>204800</v>
      </c>
      <c r="R169" s="6"/>
      <c r="S169" s="597">
        <v>13.0</v>
      </c>
      <c r="T169" s="598" t="s">
        <v>120</v>
      </c>
    </row>
    <row r="170">
      <c r="B170" s="580"/>
      <c r="L170" s="580"/>
    </row>
    <row r="171" ht="45.0" customHeight="1">
      <c r="B171" s="585" t="str">
        <f>'Minion Checker'!D20</f>
        <v/>
      </c>
      <c r="C171" s="583" t="str">
        <f>'Minion Checker'!E20</f>
        <v>Redstone</v>
      </c>
      <c r="D171" s="583" t="s">
        <v>577</v>
      </c>
      <c r="E171" s="17"/>
      <c r="F171" s="584" t="s">
        <v>578</v>
      </c>
      <c r="G171" s="584" t="s">
        <v>579</v>
      </c>
      <c r="H171" s="17"/>
      <c r="I171" s="583" t="s">
        <v>580</v>
      </c>
      <c r="J171" s="464" t="str">
        <f>"ETA of Self-Upgrade
(@x4.5 "&amp;C171&amp;"/Harvest)"</f>
        <v>ETA of Self-Upgrade
(@x4.5 Redstone/Harvest)</v>
      </c>
      <c r="L171" s="585" t="str">
        <f>'Minion Checker'!D50</f>
        <v/>
      </c>
      <c r="M171" s="583" t="str">
        <f>'Minion Checker'!E50</f>
        <v>Chicken</v>
      </c>
      <c r="N171" s="583" t="s">
        <v>577</v>
      </c>
      <c r="O171" s="17"/>
      <c r="P171" s="584" t="s">
        <v>578</v>
      </c>
      <c r="Q171" s="584" t="s">
        <v>579</v>
      </c>
      <c r="R171" s="17"/>
      <c r="S171" s="583" t="s">
        <v>580</v>
      </c>
      <c r="T171" s="464" t="s">
        <v>581</v>
      </c>
    </row>
    <row r="172">
      <c r="B172" s="586"/>
      <c r="C172" s="587" t="s">
        <v>420</v>
      </c>
      <c r="D172" s="587">
        <v>16.0</v>
      </c>
      <c r="E172" s="588" t="str">
        <f>C171</f>
        <v>Redstone</v>
      </c>
      <c r="F172" s="588" t="str">
        <f>E172</f>
        <v>Redstone</v>
      </c>
      <c r="G172" s="188">
        <f t="shared" ref="G172:G174" si="83">D172*8</f>
        <v>128</v>
      </c>
      <c r="H172" s="187" t="str">
        <f>E172</f>
        <v>Redstone</v>
      </c>
      <c r="I172" s="589">
        <v>29.0</v>
      </c>
      <c r="J172" s="590">
        <f t="shared" ref="J172:J181" si="84">G173*I172/3600*2/4.5</f>
        <v>0.9165432099</v>
      </c>
      <c r="L172" s="586"/>
      <c r="M172" s="587" t="s">
        <v>420</v>
      </c>
      <c r="N172" s="587">
        <v>8.0</v>
      </c>
      <c r="O172" s="588" t="s">
        <v>159</v>
      </c>
      <c r="P172" s="588" t="str">
        <f>O172</f>
        <v>Raw Chicken</v>
      </c>
      <c r="Q172" s="188">
        <f t="shared" ref="Q172:Q175" si="85">N172*8</f>
        <v>64</v>
      </c>
      <c r="R172" s="187" t="str">
        <f>O172</f>
        <v>Raw Chicken</v>
      </c>
      <c r="S172" s="589">
        <v>26.0</v>
      </c>
      <c r="T172" s="590">
        <f t="shared" ref="T172:T181" si="86">Q173*S172/3600*2</f>
        <v>1.848888889</v>
      </c>
    </row>
    <row r="173">
      <c r="B173" s="372"/>
      <c r="C173" s="587" t="s">
        <v>582</v>
      </c>
      <c r="D173" s="587">
        <v>32.0</v>
      </c>
      <c r="F173" s="588" t="str">
        <f t="shared" ref="F173:F174" si="87">F172</f>
        <v>Redstone</v>
      </c>
      <c r="G173" s="188">
        <f t="shared" si="83"/>
        <v>256</v>
      </c>
      <c r="I173" s="589">
        <f>I172</f>
        <v>29</v>
      </c>
      <c r="J173" s="590">
        <f t="shared" si="84"/>
        <v>1.83308642</v>
      </c>
      <c r="L173" s="372"/>
      <c r="M173" s="587" t="s">
        <v>582</v>
      </c>
      <c r="N173" s="587">
        <v>16.0</v>
      </c>
      <c r="P173" s="588" t="str">
        <f>P172</f>
        <v>Raw Chicken</v>
      </c>
      <c r="Q173" s="188">
        <f t="shared" si="85"/>
        <v>128</v>
      </c>
      <c r="S173" s="589">
        <f>S172</f>
        <v>26</v>
      </c>
      <c r="T173" s="590">
        <f t="shared" si="86"/>
        <v>3.697777778</v>
      </c>
    </row>
    <row r="174">
      <c r="B174" s="372"/>
      <c r="C174" s="587" t="s">
        <v>433</v>
      </c>
      <c r="D174" s="587">
        <v>64.0</v>
      </c>
      <c r="F174" s="588" t="str">
        <f t="shared" si="87"/>
        <v>Redstone</v>
      </c>
      <c r="G174" s="188">
        <f t="shared" si="83"/>
        <v>512</v>
      </c>
      <c r="I174" s="589">
        <v>27.0</v>
      </c>
      <c r="J174" s="590">
        <f t="shared" si="84"/>
        <v>4.266666667</v>
      </c>
      <c r="L174" s="372"/>
      <c r="M174" s="587" t="s">
        <v>433</v>
      </c>
      <c r="N174" s="587">
        <v>32.0</v>
      </c>
      <c r="P174" s="588" t="str">
        <f>P172</f>
        <v>Raw Chicken</v>
      </c>
      <c r="Q174" s="188">
        <f t="shared" si="85"/>
        <v>256</v>
      </c>
      <c r="S174" s="589">
        <v>24.0</v>
      </c>
      <c r="T174" s="590">
        <f t="shared" si="86"/>
        <v>6.826666667</v>
      </c>
    </row>
    <row r="175">
      <c r="B175" s="372"/>
      <c r="C175" s="591" t="s">
        <v>583</v>
      </c>
      <c r="D175" s="591">
        <v>1.0</v>
      </c>
      <c r="E175" s="592" t="str">
        <f>"Enchanted "&amp;E172</f>
        <v>Enchanted Redstone</v>
      </c>
      <c r="F175" s="592" t="str">
        <f>E175</f>
        <v>Enchanted Redstone</v>
      </c>
      <c r="G175" s="188">
        <f t="shared" ref="G175:G180" si="88">D175*8*160</f>
        <v>1280</v>
      </c>
      <c r="I175" s="589">
        <f>I174</f>
        <v>27</v>
      </c>
      <c r="J175" s="590">
        <f t="shared" si="84"/>
        <v>12.8</v>
      </c>
      <c r="L175" s="372"/>
      <c r="M175" s="587" t="s">
        <v>583</v>
      </c>
      <c r="N175" s="587">
        <v>64.0</v>
      </c>
      <c r="P175" s="588" t="str">
        <f>P172</f>
        <v>Raw Chicken</v>
      </c>
      <c r="Q175" s="188">
        <f t="shared" si="85"/>
        <v>512</v>
      </c>
      <c r="S175" s="589">
        <f>S174</f>
        <v>24</v>
      </c>
      <c r="T175" s="590">
        <f t="shared" si="86"/>
        <v>17.06666667</v>
      </c>
    </row>
    <row r="176">
      <c r="B176" s="372"/>
      <c r="C176" s="591" t="s">
        <v>417</v>
      </c>
      <c r="D176" s="591">
        <v>3.0</v>
      </c>
      <c r="F176" s="592" t="str">
        <f>F175</f>
        <v>Enchanted Redstone</v>
      </c>
      <c r="G176" s="188">
        <f t="shared" si="88"/>
        <v>3840</v>
      </c>
      <c r="I176" s="589">
        <v>25.0</v>
      </c>
      <c r="J176" s="590">
        <f t="shared" si="84"/>
        <v>31.60493827</v>
      </c>
      <c r="L176" s="372"/>
      <c r="M176" s="591" t="s">
        <v>417</v>
      </c>
      <c r="N176" s="591">
        <v>1.0</v>
      </c>
      <c r="O176" s="592" t="str">
        <f>"Enchanted "&amp;O172</f>
        <v>Enchanted Raw Chicken</v>
      </c>
      <c r="P176" s="592" t="str">
        <f>O176</f>
        <v>Enchanted Raw Chicken</v>
      </c>
      <c r="Q176" s="188">
        <f t="shared" ref="Q176:Q182" si="89">N176*8*160</f>
        <v>1280</v>
      </c>
      <c r="S176" s="589">
        <v>22.0</v>
      </c>
      <c r="T176" s="590">
        <f t="shared" si="86"/>
        <v>31.28888889</v>
      </c>
    </row>
    <row r="177">
      <c r="B177" s="372"/>
      <c r="C177" s="591" t="s">
        <v>584</v>
      </c>
      <c r="D177" s="591">
        <v>8.0</v>
      </c>
      <c r="F177" s="592" t="str">
        <f>F175</f>
        <v>Enchanted Redstone</v>
      </c>
      <c r="G177" s="188">
        <f t="shared" si="88"/>
        <v>10240</v>
      </c>
      <c r="I177" s="589">
        <f>I176</f>
        <v>25</v>
      </c>
      <c r="J177" s="590">
        <f t="shared" si="84"/>
        <v>63.20987654</v>
      </c>
      <c r="L177" s="372"/>
      <c r="M177" s="591" t="s">
        <v>584</v>
      </c>
      <c r="N177" s="591">
        <v>2.0</v>
      </c>
      <c r="P177" s="592" t="str">
        <f>P176</f>
        <v>Enchanted Raw Chicken</v>
      </c>
      <c r="Q177" s="188">
        <f t="shared" si="89"/>
        <v>2560</v>
      </c>
      <c r="S177" s="589">
        <f>S176</f>
        <v>22</v>
      </c>
      <c r="T177" s="590">
        <f t="shared" si="86"/>
        <v>62.57777778</v>
      </c>
    </row>
    <row r="178">
      <c r="B178" s="372"/>
      <c r="C178" s="591" t="s">
        <v>585</v>
      </c>
      <c r="D178" s="591">
        <v>16.0</v>
      </c>
      <c r="F178" s="592" t="str">
        <f>F175</f>
        <v>Enchanted Redstone</v>
      </c>
      <c r="G178" s="188">
        <f t="shared" si="88"/>
        <v>20480</v>
      </c>
      <c r="I178" s="589">
        <v>23.0</v>
      </c>
      <c r="J178" s="590">
        <f t="shared" si="84"/>
        <v>116.3061728</v>
      </c>
      <c r="L178" s="372"/>
      <c r="M178" s="591" t="s">
        <v>585</v>
      </c>
      <c r="N178" s="591">
        <v>4.0</v>
      </c>
      <c r="P178" s="592" t="str">
        <f>P176</f>
        <v>Enchanted Raw Chicken</v>
      </c>
      <c r="Q178" s="188">
        <f t="shared" si="89"/>
        <v>5120</v>
      </c>
      <c r="S178" s="589">
        <v>20.0</v>
      </c>
      <c r="T178" s="590">
        <f t="shared" si="86"/>
        <v>113.7777778</v>
      </c>
    </row>
    <row r="179">
      <c r="B179" s="372"/>
      <c r="C179" s="591" t="s">
        <v>586</v>
      </c>
      <c r="D179" s="591">
        <v>32.0</v>
      </c>
      <c r="F179" s="592" t="str">
        <f>F175</f>
        <v>Enchanted Redstone</v>
      </c>
      <c r="G179" s="188">
        <f t="shared" si="88"/>
        <v>40960</v>
      </c>
      <c r="I179" s="589">
        <f>I178</f>
        <v>23</v>
      </c>
      <c r="J179" s="590">
        <f t="shared" si="84"/>
        <v>232.6123457</v>
      </c>
      <c r="L179" s="372"/>
      <c r="M179" s="591" t="s">
        <v>586</v>
      </c>
      <c r="N179" s="591">
        <v>8.0</v>
      </c>
      <c r="P179" s="592" t="str">
        <f>P176</f>
        <v>Enchanted Raw Chicken</v>
      </c>
      <c r="Q179" s="188">
        <f t="shared" si="89"/>
        <v>10240</v>
      </c>
      <c r="S179" s="589">
        <f>S178</f>
        <v>20</v>
      </c>
      <c r="T179" s="590">
        <f t="shared" si="86"/>
        <v>227.5555556</v>
      </c>
    </row>
    <row r="180">
      <c r="B180" s="372"/>
      <c r="C180" s="618" t="s">
        <v>587</v>
      </c>
      <c r="D180" s="591">
        <v>64.0</v>
      </c>
      <c r="F180" s="600" t="str">
        <f>F175</f>
        <v>Enchanted Redstone</v>
      </c>
      <c r="G180" s="188">
        <f t="shared" si="88"/>
        <v>81920</v>
      </c>
      <c r="I180" s="589">
        <v>21.0</v>
      </c>
      <c r="J180" s="590">
        <f t="shared" si="84"/>
        <v>530.962963</v>
      </c>
      <c r="L180" s="372"/>
      <c r="M180" s="591" t="s">
        <v>587</v>
      </c>
      <c r="N180" s="591">
        <v>16.0</v>
      </c>
      <c r="P180" s="592" t="str">
        <f>P176</f>
        <v>Enchanted Raw Chicken</v>
      </c>
      <c r="Q180" s="188">
        <f t="shared" si="89"/>
        <v>20480</v>
      </c>
      <c r="S180" s="589">
        <v>18.0</v>
      </c>
      <c r="T180" s="590">
        <f t="shared" si="86"/>
        <v>409.6</v>
      </c>
    </row>
    <row r="181">
      <c r="B181" s="372"/>
      <c r="C181" s="601" t="s">
        <v>114</v>
      </c>
      <c r="D181" s="601">
        <v>1.0</v>
      </c>
      <c r="E181" s="463" t="str">
        <f>"Enchanted "&amp;E172&amp;" Block"</f>
        <v>Enchanted Redstone Block</v>
      </c>
      <c r="F181" s="463" t="str">
        <f>E181</f>
        <v>Enchanted Redstone Block</v>
      </c>
      <c r="G181" s="188">
        <f t="shared" ref="G181:G182" si="90">D181*8*160*160</f>
        <v>204800</v>
      </c>
      <c r="I181" s="589">
        <f>I180</f>
        <v>21</v>
      </c>
      <c r="J181" s="590">
        <f t="shared" si="84"/>
        <v>1061.925926</v>
      </c>
      <c r="L181" s="372"/>
      <c r="M181" s="591" t="s">
        <v>114</v>
      </c>
      <c r="N181" s="591">
        <v>32.0</v>
      </c>
      <c r="P181" s="592" t="str">
        <f>P176</f>
        <v>Enchanted Raw Chicken</v>
      </c>
      <c r="Q181" s="188">
        <f t="shared" si="89"/>
        <v>40960</v>
      </c>
      <c r="S181" s="589">
        <f>S180</f>
        <v>18</v>
      </c>
      <c r="T181" s="590">
        <f t="shared" si="86"/>
        <v>819.2</v>
      </c>
    </row>
    <row r="182">
      <c r="B182" s="393"/>
      <c r="C182" s="602" t="s">
        <v>175</v>
      </c>
      <c r="D182" s="602">
        <v>2.0</v>
      </c>
      <c r="E182" s="6"/>
      <c r="F182" s="603" t="str">
        <f>F181</f>
        <v>Enchanted Redstone Block</v>
      </c>
      <c r="G182" s="596">
        <f t="shared" si="90"/>
        <v>409600</v>
      </c>
      <c r="H182" s="6"/>
      <c r="I182" s="597">
        <v>18.0</v>
      </c>
      <c r="J182" s="598" t="s">
        <v>120</v>
      </c>
      <c r="L182" s="393"/>
      <c r="M182" s="594" t="s">
        <v>175</v>
      </c>
      <c r="N182" s="594">
        <v>64.0</v>
      </c>
      <c r="O182" s="6"/>
      <c r="P182" s="595" t="str">
        <f>P176</f>
        <v>Enchanted Raw Chicken</v>
      </c>
      <c r="Q182" s="596">
        <f t="shared" si="89"/>
        <v>81920</v>
      </c>
      <c r="R182" s="6"/>
      <c r="S182" s="597">
        <v>15.0</v>
      </c>
      <c r="T182" s="598" t="s">
        <v>120</v>
      </c>
    </row>
    <row r="183">
      <c r="B183" s="580"/>
      <c r="L183" s="580"/>
    </row>
    <row r="184" ht="45.0" customHeight="1">
      <c r="B184" s="585" t="str">
        <f>'Minion Checker'!D21</f>
        <v/>
      </c>
      <c r="C184" s="583" t="str">
        <f>'Minion Checker'!E21</f>
        <v>Emerald</v>
      </c>
      <c r="D184" s="583" t="s">
        <v>577</v>
      </c>
      <c r="E184" s="17"/>
      <c r="F184" s="584" t="s">
        <v>578</v>
      </c>
      <c r="G184" s="584" t="s">
        <v>579</v>
      </c>
      <c r="H184" s="17"/>
      <c r="I184" s="583" t="s">
        <v>580</v>
      </c>
      <c r="J184" s="464" t="s">
        <v>581</v>
      </c>
      <c r="L184" s="585" t="str">
        <f>'Minion Checker'!D51</f>
        <v/>
      </c>
      <c r="M184" s="583" t="str">
        <f>'Minion Checker'!E51</f>
        <v>Sheep</v>
      </c>
      <c r="N184" s="583" t="s">
        <v>577</v>
      </c>
      <c r="O184" s="17"/>
      <c r="P184" s="584" t="s">
        <v>578</v>
      </c>
      <c r="Q184" s="584" t="s">
        <v>579</v>
      </c>
      <c r="R184" s="17"/>
      <c r="S184" s="583" t="s">
        <v>580</v>
      </c>
      <c r="T184" s="464" t="s">
        <v>581</v>
      </c>
    </row>
    <row r="185">
      <c r="B185" s="586"/>
      <c r="C185" s="587" t="s">
        <v>420</v>
      </c>
      <c r="D185" s="587">
        <v>10.0</v>
      </c>
      <c r="E185" s="588" t="str">
        <f>C184</f>
        <v>Emerald</v>
      </c>
      <c r="F185" s="588" t="str">
        <f>E185</f>
        <v>Emerald</v>
      </c>
      <c r="G185" s="188">
        <f t="shared" ref="G185:G188" si="91">D185*8</f>
        <v>80</v>
      </c>
      <c r="H185" s="187" t="str">
        <f>E185</f>
        <v>Emerald</v>
      </c>
      <c r="I185" s="589">
        <v>28.0</v>
      </c>
      <c r="J185" s="590">
        <f t="shared" ref="J185:J187" si="92">G186*I185/3600*2</f>
        <v>2.488888889</v>
      </c>
      <c r="L185" s="586"/>
      <c r="M185" s="587" t="s">
        <v>420</v>
      </c>
      <c r="N185" s="587">
        <v>8.0</v>
      </c>
      <c r="O185" s="588" t="s">
        <v>160</v>
      </c>
      <c r="P185" s="588" t="str">
        <f>O185</f>
        <v>Raw Mutton</v>
      </c>
      <c r="Q185" s="188">
        <f t="shared" ref="Q185:Q188" si="93">N185*8</f>
        <v>64</v>
      </c>
      <c r="R185" s="187" t="str">
        <f>O185</f>
        <v>Raw Mutton</v>
      </c>
      <c r="S185" s="589">
        <v>24.0</v>
      </c>
      <c r="T185" s="590">
        <f t="shared" ref="T185:T194" si="94">Q186*S185/3600*2</f>
        <v>1.706666667</v>
      </c>
    </row>
    <row r="186">
      <c r="B186" s="372"/>
      <c r="C186" s="587" t="s">
        <v>582</v>
      </c>
      <c r="D186" s="587">
        <v>20.0</v>
      </c>
      <c r="F186" s="588" t="str">
        <f>F185</f>
        <v>Emerald</v>
      </c>
      <c r="G186" s="188">
        <f t="shared" si="91"/>
        <v>160</v>
      </c>
      <c r="I186" s="589">
        <f>I185</f>
        <v>28</v>
      </c>
      <c r="J186" s="590">
        <f t="shared" si="92"/>
        <v>4.977777778</v>
      </c>
      <c r="L186" s="372"/>
      <c r="M186" s="587" t="s">
        <v>582</v>
      </c>
      <c r="N186" s="587">
        <v>16.0</v>
      </c>
      <c r="P186" s="588" t="str">
        <f>P185</f>
        <v>Raw Mutton</v>
      </c>
      <c r="Q186" s="188">
        <f t="shared" si="93"/>
        <v>128</v>
      </c>
      <c r="S186" s="589">
        <f>S185</f>
        <v>24</v>
      </c>
      <c r="T186" s="590">
        <f t="shared" si="94"/>
        <v>3.413333333</v>
      </c>
    </row>
    <row r="187">
      <c r="B187" s="372"/>
      <c r="C187" s="587" t="s">
        <v>433</v>
      </c>
      <c r="D187" s="587">
        <v>40.0</v>
      </c>
      <c r="F187" s="588" t="str">
        <f>F185</f>
        <v>Emerald</v>
      </c>
      <c r="G187" s="188">
        <f t="shared" si="91"/>
        <v>320</v>
      </c>
      <c r="I187" s="589">
        <v>26.0</v>
      </c>
      <c r="J187" s="590">
        <f t="shared" si="92"/>
        <v>7.395555556</v>
      </c>
      <c r="L187" s="372"/>
      <c r="M187" s="587" t="s">
        <v>433</v>
      </c>
      <c r="N187" s="587">
        <v>32.0</v>
      </c>
      <c r="P187" s="588" t="str">
        <f>P185</f>
        <v>Raw Mutton</v>
      </c>
      <c r="Q187" s="188">
        <f t="shared" si="93"/>
        <v>256</v>
      </c>
      <c r="S187" s="589">
        <v>22.0</v>
      </c>
      <c r="T187" s="590">
        <f t="shared" si="94"/>
        <v>6.257777778</v>
      </c>
    </row>
    <row r="188">
      <c r="B188" s="372"/>
      <c r="C188" s="587" t="s">
        <v>583</v>
      </c>
      <c r="D188" s="587">
        <v>64.0</v>
      </c>
      <c r="F188" s="588" t="str">
        <f>F185</f>
        <v>Emerald</v>
      </c>
      <c r="G188" s="188">
        <f t="shared" si="91"/>
        <v>512</v>
      </c>
      <c r="I188" s="589">
        <f>I187</f>
        <v>26</v>
      </c>
      <c r="J188" s="590">
        <v>9.0</v>
      </c>
      <c r="L188" s="372"/>
      <c r="M188" s="587" t="s">
        <v>583</v>
      </c>
      <c r="N188" s="587">
        <v>64.0</v>
      </c>
      <c r="P188" s="588" t="str">
        <f>P185</f>
        <v>Raw Mutton</v>
      </c>
      <c r="Q188" s="188">
        <f t="shared" si="93"/>
        <v>512</v>
      </c>
      <c r="S188" s="589">
        <f>S187</f>
        <v>22</v>
      </c>
      <c r="T188" s="590">
        <f t="shared" si="94"/>
        <v>15.64444444</v>
      </c>
    </row>
    <row r="189">
      <c r="B189" s="372"/>
      <c r="C189" s="591" t="s">
        <v>417</v>
      </c>
      <c r="D189" s="591">
        <v>1.0</v>
      </c>
      <c r="E189" s="592" t="str">
        <f>"Enchanted "&amp;E185</f>
        <v>Enchanted Emerald</v>
      </c>
      <c r="F189" s="592" t="str">
        <f>E189</f>
        <v>Enchanted Emerald</v>
      </c>
      <c r="G189" s="188">
        <f t="shared" ref="G189:G194" si="95">D189*8*160</f>
        <v>1280</v>
      </c>
      <c r="I189" s="589">
        <v>24.0</v>
      </c>
      <c r="J189" s="590">
        <f t="shared" ref="J189:J194" si="96">G190*I189/3600*2</f>
        <v>51.2</v>
      </c>
      <c r="L189" s="372"/>
      <c r="M189" s="591" t="s">
        <v>417</v>
      </c>
      <c r="N189" s="591">
        <v>1.0</v>
      </c>
      <c r="O189" s="600" t="str">
        <f>"Enchanted "&amp;O185</f>
        <v>Enchanted Raw Mutton</v>
      </c>
      <c r="P189" s="592" t="str">
        <f>O189</f>
        <v>Enchanted Raw Mutton</v>
      </c>
      <c r="Q189" s="188">
        <f t="shared" ref="Q189:Q194" si="97">N189*8*160</f>
        <v>1280</v>
      </c>
      <c r="S189" s="589">
        <v>20.0</v>
      </c>
      <c r="T189" s="590">
        <f t="shared" si="94"/>
        <v>42.66666667</v>
      </c>
    </row>
    <row r="190">
      <c r="B190" s="372"/>
      <c r="C190" s="591" t="s">
        <v>584</v>
      </c>
      <c r="D190" s="591">
        <v>3.0</v>
      </c>
      <c r="F190" s="592" t="str">
        <f>F189</f>
        <v>Enchanted Emerald</v>
      </c>
      <c r="G190" s="188">
        <f t="shared" si="95"/>
        <v>3840</v>
      </c>
      <c r="I190" s="589">
        <f>I189</f>
        <v>24</v>
      </c>
      <c r="J190" s="590">
        <f t="shared" si="96"/>
        <v>136.5333333</v>
      </c>
      <c r="L190" s="372"/>
      <c r="M190" s="591" t="s">
        <v>584</v>
      </c>
      <c r="N190" s="591">
        <v>3.0</v>
      </c>
      <c r="P190" s="592" t="str">
        <f>P189</f>
        <v>Enchanted Raw Mutton</v>
      </c>
      <c r="Q190" s="188">
        <f t="shared" si="97"/>
        <v>3840</v>
      </c>
      <c r="S190" s="589">
        <f>S189</f>
        <v>20</v>
      </c>
      <c r="T190" s="590">
        <f t="shared" si="94"/>
        <v>113.7777778</v>
      </c>
    </row>
    <row r="191">
      <c r="B191" s="372"/>
      <c r="C191" s="591" t="s">
        <v>585</v>
      </c>
      <c r="D191" s="591">
        <v>8.0</v>
      </c>
      <c r="F191" s="592" t="str">
        <f>F189</f>
        <v>Enchanted Emerald</v>
      </c>
      <c r="G191" s="188">
        <f t="shared" si="95"/>
        <v>10240</v>
      </c>
      <c r="I191" s="589">
        <v>21.0</v>
      </c>
      <c r="J191" s="590">
        <f t="shared" si="96"/>
        <v>238.9333333</v>
      </c>
      <c r="L191" s="372"/>
      <c r="M191" s="591" t="s">
        <v>585</v>
      </c>
      <c r="N191" s="591">
        <v>8.0</v>
      </c>
      <c r="P191" s="592" t="str">
        <f>P189</f>
        <v>Enchanted Raw Mutton</v>
      </c>
      <c r="Q191" s="188">
        <f t="shared" si="97"/>
        <v>10240</v>
      </c>
      <c r="S191" s="589">
        <v>18.0</v>
      </c>
      <c r="T191" s="590">
        <f t="shared" si="94"/>
        <v>204.8</v>
      </c>
    </row>
    <row r="192">
      <c r="B192" s="372"/>
      <c r="C192" s="591" t="s">
        <v>586</v>
      </c>
      <c r="D192" s="591">
        <v>16.0</v>
      </c>
      <c r="F192" s="592" t="str">
        <f>F189</f>
        <v>Enchanted Emerald</v>
      </c>
      <c r="G192" s="188">
        <f t="shared" si="95"/>
        <v>20480</v>
      </c>
      <c r="I192" s="589">
        <f>I191</f>
        <v>21</v>
      </c>
      <c r="J192" s="590">
        <f t="shared" si="96"/>
        <v>477.8666667</v>
      </c>
      <c r="L192" s="372"/>
      <c r="M192" s="591" t="s">
        <v>586</v>
      </c>
      <c r="N192" s="591">
        <v>16.0</v>
      </c>
      <c r="P192" s="592" t="str">
        <f>P189</f>
        <v>Enchanted Raw Mutton</v>
      </c>
      <c r="Q192" s="188">
        <f t="shared" si="97"/>
        <v>20480</v>
      </c>
      <c r="S192" s="589">
        <f>S191</f>
        <v>18</v>
      </c>
      <c r="T192" s="590">
        <f t="shared" si="94"/>
        <v>409.6</v>
      </c>
    </row>
    <row r="193">
      <c r="B193" s="372"/>
      <c r="C193" s="591" t="s">
        <v>587</v>
      </c>
      <c r="D193" s="591">
        <v>32.0</v>
      </c>
      <c r="F193" s="592" t="str">
        <f>F189</f>
        <v>Enchanted Emerald</v>
      </c>
      <c r="G193" s="188">
        <f t="shared" si="95"/>
        <v>40960</v>
      </c>
      <c r="I193" s="589">
        <v>18.0</v>
      </c>
      <c r="J193" s="590">
        <f t="shared" si="96"/>
        <v>819.2</v>
      </c>
      <c r="L193" s="372"/>
      <c r="M193" s="591" t="s">
        <v>587</v>
      </c>
      <c r="N193" s="591">
        <v>32.0</v>
      </c>
      <c r="P193" s="592" t="str">
        <f>P189</f>
        <v>Enchanted Raw Mutton</v>
      </c>
      <c r="Q193" s="188">
        <f t="shared" si="97"/>
        <v>40960</v>
      </c>
      <c r="S193" s="589">
        <v>16.0</v>
      </c>
      <c r="T193" s="590">
        <f t="shared" si="94"/>
        <v>728.1777778</v>
      </c>
    </row>
    <row r="194">
      <c r="B194" s="372"/>
      <c r="C194" s="591" t="s">
        <v>114</v>
      </c>
      <c r="D194" s="591">
        <v>64.0</v>
      </c>
      <c r="F194" s="592" t="str">
        <f>F189</f>
        <v>Enchanted Emerald</v>
      </c>
      <c r="G194" s="188">
        <f t="shared" si="95"/>
        <v>81920</v>
      </c>
      <c r="I194" s="589">
        <f>I193</f>
        <v>18</v>
      </c>
      <c r="J194" s="590">
        <f t="shared" si="96"/>
        <v>2048</v>
      </c>
      <c r="L194" s="372"/>
      <c r="M194" s="591" t="s">
        <v>114</v>
      </c>
      <c r="N194" s="591">
        <v>64.0</v>
      </c>
      <c r="P194" s="592" t="str">
        <f>P189</f>
        <v>Enchanted Raw Mutton</v>
      </c>
      <c r="Q194" s="188">
        <f t="shared" si="97"/>
        <v>81920</v>
      </c>
      <c r="S194" s="589">
        <f>S193</f>
        <v>16</v>
      </c>
      <c r="T194" s="590">
        <f t="shared" si="94"/>
        <v>1820.444444</v>
      </c>
    </row>
    <row r="195">
      <c r="B195" s="393"/>
      <c r="C195" s="602" t="s">
        <v>175</v>
      </c>
      <c r="D195" s="602">
        <v>1.0</v>
      </c>
      <c r="E195" s="603" t="str">
        <f>"Enchanted "&amp;E185&amp;" Block"</f>
        <v>Enchanted Emerald Block</v>
      </c>
      <c r="F195" s="603" t="str">
        <f>E195</f>
        <v>Enchanted Emerald Block</v>
      </c>
      <c r="G195" s="596">
        <f>D195*8*160*160</f>
        <v>204800</v>
      </c>
      <c r="H195" s="6"/>
      <c r="I195" s="597">
        <v>14.0</v>
      </c>
      <c r="J195" s="598" t="s">
        <v>120</v>
      </c>
      <c r="L195" s="393"/>
      <c r="M195" s="602" t="s">
        <v>175</v>
      </c>
      <c r="N195" s="602">
        <v>1.0</v>
      </c>
      <c r="O195" s="603" t="s">
        <v>371</v>
      </c>
      <c r="P195" s="603" t="str">
        <f>O195</f>
        <v>Enchanted Cooked Mutton</v>
      </c>
      <c r="Q195" s="596">
        <f>N195*8*160*160</f>
        <v>204800</v>
      </c>
      <c r="R195" s="6"/>
      <c r="S195" s="597">
        <v>12.0</v>
      </c>
      <c r="T195" s="598" t="s">
        <v>120</v>
      </c>
    </row>
    <row r="196">
      <c r="B196" s="580"/>
      <c r="L196" s="580"/>
    </row>
    <row r="197" ht="45.0" customHeight="1">
      <c r="B197" s="585" t="str">
        <f>'Minion Checker'!D22</f>
        <v/>
      </c>
      <c r="C197" s="583" t="str">
        <f>'Minion Checker'!E22</f>
        <v>Quartz</v>
      </c>
      <c r="D197" s="583" t="s">
        <v>577</v>
      </c>
      <c r="E197" s="17"/>
      <c r="F197" s="584" t="s">
        <v>578</v>
      </c>
      <c r="G197" s="584" t="s">
        <v>579</v>
      </c>
      <c r="H197" s="17"/>
      <c r="I197" s="583" t="s">
        <v>580</v>
      </c>
      <c r="J197" s="464" t="s">
        <v>581</v>
      </c>
      <c r="L197" s="585" t="str">
        <f>'Minion Checker'!D52</f>
        <v/>
      </c>
      <c r="M197" s="583" t="str">
        <f>'Minion Checker'!E52</f>
        <v>Rabbit</v>
      </c>
      <c r="N197" s="583" t="s">
        <v>577</v>
      </c>
      <c r="O197" s="17"/>
      <c r="P197" s="584" t="s">
        <v>578</v>
      </c>
      <c r="Q197" s="584" t="s">
        <v>579</v>
      </c>
      <c r="R197" s="17"/>
      <c r="S197" s="583" t="s">
        <v>580</v>
      </c>
      <c r="T197" s="464" t="str">
        <f>"ETA of Self-Upgrade
(@x0.35 Foot&amp;Hide/Harvest)"</f>
        <v>ETA of Self-Upgrade
(@x0.35 Foot&amp;Hide/Harvest)</v>
      </c>
    </row>
    <row r="198">
      <c r="B198" s="586"/>
      <c r="C198" s="587" t="s">
        <v>420</v>
      </c>
      <c r="D198" s="587">
        <v>10.0</v>
      </c>
      <c r="E198" s="588" t="str">
        <f>C197</f>
        <v>Quartz</v>
      </c>
      <c r="F198" s="588" t="str">
        <f>E198</f>
        <v>Quartz</v>
      </c>
      <c r="G198" s="188">
        <f t="shared" ref="G198:G201" si="98">D198*8</f>
        <v>80</v>
      </c>
      <c r="H198" s="187" t="str">
        <f>E198</f>
        <v>Quartz</v>
      </c>
      <c r="I198" s="593">
        <v>22.5</v>
      </c>
      <c r="J198" s="590">
        <f t="shared" ref="J198:J207" si="99">G199*I198/3600*2</f>
        <v>2</v>
      </c>
      <c r="L198" s="586"/>
      <c r="M198" s="587" t="s">
        <v>420</v>
      </c>
      <c r="N198" s="587">
        <v>8.0</v>
      </c>
      <c r="O198" s="588" t="s">
        <v>161</v>
      </c>
      <c r="P198" s="588" t="str">
        <f>O198</f>
        <v>Raw Rabbit</v>
      </c>
      <c r="Q198" s="188">
        <f t="shared" ref="Q198:Q201" si="100">N198*8</f>
        <v>64</v>
      </c>
      <c r="R198" s="187" t="str">
        <f>O198</f>
        <v>Raw Rabbit</v>
      </c>
      <c r="S198" s="589">
        <v>26.0</v>
      </c>
      <c r="T198" s="590">
        <f t="shared" ref="T198:T200" si="101">Q199*S198/3600*2</f>
        <v>1.848888889</v>
      </c>
    </row>
    <row r="199">
      <c r="B199" s="372"/>
      <c r="C199" s="587" t="s">
        <v>582</v>
      </c>
      <c r="D199" s="587">
        <v>20.0</v>
      </c>
      <c r="F199" s="588" t="str">
        <f>F198</f>
        <v>Quartz</v>
      </c>
      <c r="G199" s="188">
        <f t="shared" si="98"/>
        <v>160</v>
      </c>
      <c r="I199" s="593">
        <f>I198</f>
        <v>22.5</v>
      </c>
      <c r="J199" s="590">
        <f t="shared" si="99"/>
        <v>4</v>
      </c>
      <c r="L199" s="372"/>
      <c r="M199" s="587" t="s">
        <v>582</v>
      </c>
      <c r="N199" s="587">
        <v>16.0</v>
      </c>
      <c r="P199" s="588" t="str">
        <f>P198</f>
        <v>Raw Rabbit</v>
      </c>
      <c r="Q199" s="188">
        <f t="shared" si="100"/>
        <v>128</v>
      </c>
      <c r="S199" s="589">
        <f>S198</f>
        <v>26</v>
      </c>
      <c r="T199" s="590">
        <f t="shared" si="101"/>
        <v>3.697777778</v>
      </c>
    </row>
    <row r="200">
      <c r="B200" s="372"/>
      <c r="C200" s="587" t="s">
        <v>433</v>
      </c>
      <c r="D200" s="587">
        <v>40.0</v>
      </c>
      <c r="F200" s="588" t="str">
        <f>F198</f>
        <v>Quartz</v>
      </c>
      <c r="G200" s="188">
        <f t="shared" si="98"/>
        <v>320</v>
      </c>
      <c r="I200" s="589">
        <v>21.0</v>
      </c>
      <c r="J200" s="590">
        <f t="shared" si="99"/>
        <v>5.973333333</v>
      </c>
      <c r="L200" s="372"/>
      <c r="M200" s="587" t="s">
        <v>433</v>
      </c>
      <c r="N200" s="587">
        <v>32.0</v>
      </c>
      <c r="P200" s="588" t="str">
        <f>P198</f>
        <v>Raw Rabbit</v>
      </c>
      <c r="Q200" s="188">
        <f t="shared" si="100"/>
        <v>256</v>
      </c>
      <c r="S200" s="589">
        <v>24.0</v>
      </c>
      <c r="T200" s="590">
        <f t="shared" si="101"/>
        <v>6.826666667</v>
      </c>
    </row>
    <row r="201">
      <c r="B201" s="372"/>
      <c r="C201" s="587" t="s">
        <v>583</v>
      </c>
      <c r="D201" s="587">
        <v>64.0</v>
      </c>
      <c r="F201" s="588" t="str">
        <f>F198</f>
        <v>Quartz</v>
      </c>
      <c r="G201" s="188">
        <f t="shared" si="98"/>
        <v>512</v>
      </c>
      <c r="I201" s="589">
        <f>I200</f>
        <v>21</v>
      </c>
      <c r="J201" s="590">
        <f t="shared" si="99"/>
        <v>14.93333333</v>
      </c>
      <c r="L201" s="372"/>
      <c r="M201" s="587" t="s">
        <v>583</v>
      </c>
      <c r="N201" s="587">
        <v>64.0</v>
      </c>
      <c r="P201" s="588" t="str">
        <f>P198</f>
        <v>Raw Rabbit</v>
      </c>
      <c r="Q201" s="188">
        <f t="shared" si="100"/>
        <v>512</v>
      </c>
      <c r="S201" s="589">
        <f>S200</f>
        <v>24</v>
      </c>
      <c r="T201" s="590">
        <f t="shared" ref="T201:T207" si="102">Q202*S201/3600/0.35*2</f>
        <v>195.047619</v>
      </c>
    </row>
    <row r="202">
      <c r="B202" s="372"/>
      <c r="C202" s="591" t="s">
        <v>417</v>
      </c>
      <c r="D202" s="591">
        <v>1.0</v>
      </c>
      <c r="E202" s="592" t="str">
        <f>"Enchanted "&amp;E198</f>
        <v>Enchanted Quartz</v>
      </c>
      <c r="F202" s="592" t="str">
        <f>E202</f>
        <v>Enchanted Quartz</v>
      </c>
      <c r="G202" s="188">
        <f t="shared" ref="G202:G207" si="103">D202*8*160</f>
        <v>1280</v>
      </c>
      <c r="I202" s="589">
        <v>19.0</v>
      </c>
      <c r="J202" s="590">
        <f t="shared" si="99"/>
        <v>40.53333333</v>
      </c>
      <c r="L202" s="372"/>
      <c r="M202" s="591" t="s">
        <v>417</v>
      </c>
      <c r="N202" s="591">
        <v>4.0</v>
      </c>
      <c r="O202" s="592" t="s">
        <v>592</v>
      </c>
      <c r="P202" s="592" t="str">
        <f>O202</f>
        <v>Enchanted Rabbit's Foot</v>
      </c>
      <c r="Q202" s="188">
        <f t="shared" ref="Q202:Q206" si="104">N202*8*160</f>
        <v>5120</v>
      </c>
      <c r="R202" s="187" t="s">
        <v>373</v>
      </c>
      <c r="S202" s="589">
        <v>22.0</v>
      </c>
      <c r="T202" s="590">
        <f t="shared" si="102"/>
        <v>357.5873016</v>
      </c>
    </row>
    <row r="203">
      <c r="B203" s="372"/>
      <c r="C203" s="591" t="s">
        <v>584</v>
      </c>
      <c r="D203" s="591">
        <v>3.0</v>
      </c>
      <c r="F203" s="592" t="str">
        <f>F202</f>
        <v>Enchanted Quartz</v>
      </c>
      <c r="G203" s="188">
        <f t="shared" si="103"/>
        <v>3840</v>
      </c>
      <c r="I203" s="589">
        <f>I202</f>
        <v>19</v>
      </c>
      <c r="J203" s="590">
        <f t="shared" si="99"/>
        <v>108.0888889</v>
      </c>
      <c r="L203" s="372"/>
      <c r="M203" s="591" t="s">
        <v>584</v>
      </c>
      <c r="N203" s="591">
        <v>8.0</v>
      </c>
      <c r="P203" s="592" t="str">
        <f>P202</f>
        <v>Enchanted Rabbit's Foot</v>
      </c>
      <c r="Q203" s="188">
        <f t="shared" si="104"/>
        <v>10240</v>
      </c>
      <c r="S203" s="589">
        <f>S202</f>
        <v>22</v>
      </c>
      <c r="T203" s="590">
        <f t="shared" si="102"/>
        <v>715.1746032</v>
      </c>
    </row>
    <row r="204">
      <c r="B204" s="372"/>
      <c r="C204" s="591" t="s">
        <v>585</v>
      </c>
      <c r="D204" s="591">
        <v>8.0</v>
      </c>
      <c r="F204" s="592" t="str">
        <f>F202</f>
        <v>Enchanted Quartz</v>
      </c>
      <c r="G204" s="188">
        <f t="shared" si="103"/>
        <v>10240</v>
      </c>
      <c r="I204" s="589">
        <v>17.0</v>
      </c>
      <c r="J204" s="590">
        <f t="shared" si="99"/>
        <v>193.4222222</v>
      </c>
      <c r="L204" s="372"/>
      <c r="M204" s="591" t="s">
        <v>585</v>
      </c>
      <c r="N204" s="591">
        <v>16.0</v>
      </c>
      <c r="P204" s="592" t="str">
        <f>P202</f>
        <v>Enchanted Rabbit's Foot</v>
      </c>
      <c r="Q204" s="188">
        <f t="shared" si="104"/>
        <v>20480</v>
      </c>
      <c r="S204" s="589">
        <v>20.0</v>
      </c>
      <c r="T204" s="590">
        <f t="shared" si="102"/>
        <v>1300.31746</v>
      </c>
    </row>
    <row r="205">
      <c r="B205" s="372"/>
      <c r="C205" s="591" t="s">
        <v>586</v>
      </c>
      <c r="D205" s="591">
        <v>16.0</v>
      </c>
      <c r="F205" s="592" t="str">
        <f>F202</f>
        <v>Enchanted Quartz</v>
      </c>
      <c r="G205" s="188">
        <f t="shared" si="103"/>
        <v>20480</v>
      </c>
      <c r="I205" s="589">
        <f>I204</f>
        <v>17</v>
      </c>
      <c r="J205" s="590">
        <f t="shared" si="99"/>
        <v>386.8444444</v>
      </c>
      <c r="L205" s="372"/>
      <c r="M205" s="591" t="s">
        <v>586</v>
      </c>
      <c r="N205" s="591">
        <v>32.0</v>
      </c>
      <c r="P205" s="592" t="str">
        <f>P202</f>
        <v>Enchanted Rabbit's Foot</v>
      </c>
      <c r="Q205" s="188">
        <f t="shared" si="104"/>
        <v>40960</v>
      </c>
      <c r="S205" s="589">
        <f>S204</f>
        <v>20</v>
      </c>
      <c r="T205" s="590">
        <f t="shared" si="102"/>
        <v>2600.634921</v>
      </c>
    </row>
    <row r="206">
      <c r="B206" s="372"/>
      <c r="C206" s="591" t="s">
        <v>587</v>
      </c>
      <c r="D206" s="591">
        <v>32.0</v>
      </c>
      <c r="F206" s="592" t="str">
        <f>F202</f>
        <v>Enchanted Quartz</v>
      </c>
      <c r="G206" s="188">
        <f t="shared" si="103"/>
        <v>40960</v>
      </c>
      <c r="I206" s="593">
        <v>14.5</v>
      </c>
      <c r="J206" s="590">
        <f t="shared" si="99"/>
        <v>659.9111111</v>
      </c>
      <c r="L206" s="372"/>
      <c r="M206" s="591" t="s">
        <v>587</v>
      </c>
      <c r="N206" s="591">
        <v>64.0</v>
      </c>
      <c r="P206" s="592" t="str">
        <f>P202</f>
        <v>Enchanted Rabbit's Foot</v>
      </c>
      <c r="Q206" s="188">
        <f t="shared" si="104"/>
        <v>81920</v>
      </c>
      <c r="S206" s="589">
        <v>17.0</v>
      </c>
      <c r="T206" s="590">
        <f t="shared" si="102"/>
        <v>3978.971429</v>
      </c>
    </row>
    <row r="207">
      <c r="B207" s="372"/>
      <c r="C207" s="591" t="s">
        <v>114</v>
      </c>
      <c r="D207" s="591">
        <v>64.0</v>
      </c>
      <c r="F207" s="592" t="str">
        <f>F202</f>
        <v>Enchanted Quartz</v>
      </c>
      <c r="G207" s="188">
        <f t="shared" si="103"/>
        <v>81920</v>
      </c>
      <c r="I207" s="593">
        <f>I206</f>
        <v>14.5</v>
      </c>
      <c r="J207" s="590">
        <f t="shared" si="99"/>
        <v>1649.777778</v>
      </c>
      <c r="L207" s="372"/>
      <c r="M207" s="601" t="s">
        <v>114</v>
      </c>
      <c r="N207" s="601">
        <v>32.0</v>
      </c>
      <c r="O207" s="463" t="s">
        <v>376</v>
      </c>
      <c r="P207" s="463" t="str">
        <f>O207</f>
        <v>Enchanted Rabbit Hide</v>
      </c>
      <c r="Q207" s="188">
        <f t="shared" ref="Q207:Q208" si="105">N207*8*64*9</f>
        <v>147456</v>
      </c>
      <c r="R207" s="187" t="s">
        <v>400</v>
      </c>
      <c r="S207" s="589">
        <f>S206</f>
        <v>17</v>
      </c>
      <c r="T207" s="590">
        <f t="shared" si="102"/>
        <v>7957.942857</v>
      </c>
    </row>
    <row r="208">
      <c r="B208" s="393"/>
      <c r="C208" s="602" t="s">
        <v>175</v>
      </c>
      <c r="D208" s="602">
        <v>1.0</v>
      </c>
      <c r="E208" s="603" t="str">
        <f>"Enchanted "&amp;E198&amp;" Block"</f>
        <v>Enchanted Quartz Block</v>
      </c>
      <c r="F208" s="603" t="str">
        <f>E208</f>
        <v>Enchanted Quartz Block</v>
      </c>
      <c r="G208" s="596">
        <f>D208*8*160*160</f>
        <v>204800</v>
      </c>
      <c r="H208" s="6"/>
      <c r="I208" s="605">
        <v>11.5</v>
      </c>
      <c r="J208" s="598" t="s">
        <v>120</v>
      </c>
      <c r="L208" s="393"/>
      <c r="M208" s="602" t="s">
        <v>175</v>
      </c>
      <c r="N208" s="602">
        <v>64.0</v>
      </c>
      <c r="O208" s="6"/>
      <c r="P208" s="603" t="str">
        <f>P207</f>
        <v>Enchanted Rabbit Hide</v>
      </c>
      <c r="Q208" s="596">
        <f t="shared" si="105"/>
        <v>294912</v>
      </c>
      <c r="R208" s="6"/>
      <c r="S208" s="597">
        <v>13.0</v>
      </c>
      <c r="T208" s="598" t="s">
        <v>120</v>
      </c>
    </row>
    <row r="209">
      <c r="B209" s="580"/>
      <c r="L209" s="580"/>
    </row>
    <row r="210" ht="45.0" customHeight="1">
      <c r="B210" s="585" t="str">
        <f>'Minion Checker'!D23</f>
        <v/>
      </c>
      <c r="C210" s="583" t="str">
        <f>'Minion Checker'!E23</f>
        <v>End Stone</v>
      </c>
      <c r="D210" s="583" t="s">
        <v>577</v>
      </c>
      <c r="E210" s="17"/>
      <c r="F210" s="584" t="s">
        <v>578</v>
      </c>
      <c r="G210" s="584" t="s">
        <v>579</v>
      </c>
      <c r="H210" s="17"/>
      <c r="I210" s="583" t="s">
        <v>580</v>
      </c>
      <c r="J210" s="464" t="s">
        <v>581</v>
      </c>
      <c r="L210" s="585" t="str">
        <f>'Minion Checker'!D53</f>
        <v/>
      </c>
      <c r="M210" s="583" t="str">
        <f>'Minion Checker'!E53</f>
        <v>Oak</v>
      </c>
      <c r="N210" s="583" t="s">
        <v>577</v>
      </c>
      <c r="O210" s="17"/>
      <c r="P210" s="584" t="s">
        <v>578</v>
      </c>
      <c r="Q210" s="584" t="s">
        <v>579</v>
      </c>
      <c r="R210" s="17"/>
      <c r="S210" s="583" t="s">
        <v>580</v>
      </c>
      <c r="T210" s="464" t="str">
        <f>"ETA of Self-Upgrade
(@x4 "&amp;M210&amp;"/Harvest)"</f>
        <v>ETA of Self-Upgrade
(@x4 Oak/Harvest)</v>
      </c>
    </row>
    <row r="211">
      <c r="B211" s="586"/>
      <c r="C211" s="587" t="s">
        <v>420</v>
      </c>
      <c r="D211" s="587">
        <v>10.0</v>
      </c>
      <c r="E211" s="588" t="str">
        <f>C210</f>
        <v>End Stone</v>
      </c>
      <c r="F211" s="588" t="str">
        <f>E211</f>
        <v>End Stone</v>
      </c>
      <c r="G211" s="188">
        <f t="shared" ref="G211:G214" si="106">D211*8</f>
        <v>80</v>
      </c>
      <c r="H211" s="187" t="str">
        <f>E211</f>
        <v>End Stone</v>
      </c>
      <c r="I211" s="589">
        <v>26.0</v>
      </c>
      <c r="J211" s="590">
        <f t="shared" ref="J211:J220" si="107">G212*I211/3600*2</f>
        <v>2.311111111</v>
      </c>
      <c r="L211" s="586"/>
      <c r="M211" s="587" t="s">
        <v>420</v>
      </c>
      <c r="N211" s="587">
        <v>10.0</v>
      </c>
      <c r="O211" s="588" t="s">
        <v>162</v>
      </c>
      <c r="P211" s="588" t="str">
        <f>O211</f>
        <v>Oak Wood</v>
      </c>
      <c r="Q211" s="188">
        <f t="shared" ref="Q211:Q214" si="108">N211*8</f>
        <v>80</v>
      </c>
      <c r="R211" s="187" t="str">
        <f>O211</f>
        <v>Oak Wood</v>
      </c>
      <c r="S211" s="589">
        <v>48.0</v>
      </c>
      <c r="T211" s="590">
        <f t="shared" ref="T211:T220" si="109">Q212*S211/3600*2/4</f>
        <v>1.066666667</v>
      </c>
    </row>
    <row r="212">
      <c r="B212" s="372"/>
      <c r="C212" s="587" t="s">
        <v>582</v>
      </c>
      <c r="D212" s="587">
        <v>20.0</v>
      </c>
      <c r="F212" s="588" t="str">
        <f>F211</f>
        <v>End Stone</v>
      </c>
      <c r="G212" s="188">
        <f t="shared" si="106"/>
        <v>160</v>
      </c>
      <c r="I212" s="589">
        <f>I211</f>
        <v>26</v>
      </c>
      <c r="J212" s="590">
        <f t="shared" si="107"/>
        <v>4.622222222</v>
      </c>
      <c r="L212" s="372"/>
      <c r="M212" s="587" t="s">
        <v>582</v>
      </c>
      <c r="N212" s="587">
        <v>20.0</v>
      </c>
      <c r="P212" s="588" t="str">
        <f>P211</f>
        <v>Oak Wood</v>
      </c>
      <c r="Q212" s="188">
        <f t="shared" si="108"/>
        <v>160</v>
      </c>
      <c r="S212" s="589">
        <f>S211</f>
        <v>48</v>
      </c>
      <c r="T212" s="590">
        <f t="shared" si="109"/>
        <v>2.133333333</v>
      </c>
    </row>
    <row r="213">
      <c r="B213" s="372"/>
      <c r="C213" s="587" t="s">
        <v>433</v>
      </c>
      <c r="D213" s="587">
        <v>40.0</v>
      </c>
      <c r="F213" s="588" t="str">
        <f>F211</f>
        <v>End Stone</v>
      </c>
      <c r="G213" s="188">
        <f t="shared" si="106"/>
        <v>320</v>
      </c>
      <c r="I213" s="589">
        <v>24.0</v>
      </c>
      <c r="J213" s="590">
        <f t="shared" si="107"/>
        <v>6.826666667</v>
      </c>
      <c r="L213" s="372"/>
      <c r="M213" s="587" t="s">
        <v>433</v>
      </c>
      <c r="N213" s="587">
        <v>40.0</v>
      </c>
      <c r="P213" s="588" t="str">
        <f>P211</f>
        <v>Oak Wood</v>
      </c>
      <c r="Q213" s="188">
        <f t="shared" si="108"/>
        <v>320</v>
      </c>
      <c r="S213" s="589">
        <v>45.0</v>
      </c>
      <c r="T213" s="590">
        <f t="shared" si="109"/>
        <v>3.2</v>
      </c>
    </row>
    <row r="214">
      <c r="B214" s="372"/>
      <c r="C214" s="587" t="s">
        <v>583</v>
      </c>
      <c r="D214" s="587">
        <v>64.0</v>
      </c>
      <c r="F214" s="588" t="str">
        <f>F211</f>
        <v>End Stone</v>
      </c>
      <c r="G214" s="188">
        <f t="shared" si="106"/>
        <v>512</v>
      </c>
      <c r="I214" s="589">
        <f>I213</f>
        <v>24</v>
      </c>
      <c r="J214" s="590">
        <f t="shared" si="107"/>
        <v>17.06666667</v>
      </c>
      <c r="L214" s="372"/>
      <c r="M214" s="587" t="s">
        <v>583</v>
      </c>
      <c r="N214" s="587">
        <v>64.0</v>
      </c>
      <c r="P214" s="588" t="str">
        <f>P211</f>
        <v>Oak Wood</v>
      </c>
      <c r="Q214" s="188">
        <f t="shared" si="108"/>
        <v>512</v>
      </c>
      <c r="S214" s="589">
        <f>S213</f>
        <v>45</v>
      </c>
      <c r="T214" s="590">
        <f t="shared" si="109"/>
        <v>8</v>
      </c>
    </row>
    <row r="215">
      <c r="B215" s="372"/>
      <c r="C215" s="591" t="s">
        <v>417</v>
      </c>
      <c r="D215" s="591">
        <v>1.0</v>
      </c>
      <c r="E215" s="592" t="str">
        <f>"Enchanted "&amp;E211</f>
        <v>Enchanted End Stone</v>
      </c>
      <c r="F215" s="592" t="str">
        <f>E215</f>
        <v>Enchanted End Stone</v>
      </c>
      <c r="G215" s="188">
        <f t="shared" ref="G215:G221" si="110">D215*8*160</f>
        <v>1280</v>
      </c>
      <c r="I215" s="589">
        <v>22.0</v>
      </c>
      <c r="J215" s="590">
        <f t="shared" si="107"/>
        <v>31.28888889</v>
      </c>
      <c r="L215" s="372"/>
      <c r="M215" s="591" t="s">
        <v>417</v>
      </c>
      <c r="N215" s="591">
        <v>1.0</v>
      </c>
      <c r="O215" s="592" t="str">
        <f>"Enchanted "&amp;O211</f>
        <v>Enchanted Oak Wood</v>
      </c>
      <c r="P215" s="592" t="str">
        <f>O215</f>
        <v>Enchanted Oak Wood</v>
      </c>
      <c r="Q215" s="188">
        <f t="shared" ref="Q215:Q221" si="111">N215*8*160</f>
        <v>1280</v>
      </c>
      <c r="S215" s="589">
        <v>42.0</v>
      </c>
      <c r="T215" s="590">
        <f t="shared" si="109"/>
        <v>14.93333333</v>
      </c>
    </row>
    <row r="216">
      <c r="B216" s="372"/>
      <c r="C216" s="591" t="s">
        <v>584</v>
      </c>
      <c r="D216" s="591">
        <v>2.0</v>
      </c>
      <c r="F216" s="592" t="str">
        <f>F215</f>
        <v>Enchanted End Stone</v>
      </c>
      <c r="G216" s="188">
        <f t="shared" si="110"/>
        <v>2560</v>
      </c>
      <c r="I216" s="589">
        <f>I215</f>
        <v>22</v>
      </c>
      <c r="J216" s="590">
        <f t="shared" si="107"/>
        <v>62.57777778</v>
      </c>
      <c r="L216" s="372"/>
      <c r="M216" s="591" t="s">
        <v>584</v>
      </c>
      <c r="N216" s="591">
        <v>2.0</v>
      </c>
      <c r="P216" s="592" t="str">
        <f>P215</f>
        <v>Enchanted Oak Wood</v>
      </c>
      <c r="Q216" s="188">
        <f t="shared" si="111"/>
        <v>2560</v>
      </c>
      <c r="S216" s="589">
        <f>S215</f>
        <v>42</v>
      </c>
      <c r="T216" s="590">
        <f t="shared" si="109"/>
        <v>29.86666667</v>
      </c>
    </row>
    <row r="217">
      <c r="B217" s="372"/>
      <c r="C217" s="591" t="s">
        <v>585</v>
      </c>
      <c r="D217" s="591">
        <v>4.0</v>
      </c>
      <c r="F217" s="592" t="str">
        <f>F215</f>
        <v>Enchanted End Stone</v>
      </c>
      <c r="G217" s="188">
        <f t="shared" si="110"/>
        <v>5120</v>
      </c>
      <c r="I217" s="589">
        <v>19.0</v>
      </c>
      <c r="J217" s="590">
        <f t="shared" si="107"/>
        <v>108.0888889</v>
      </c>
      <c r="L217" s="372"/>
      <c r="M217" s="591" t="s">
        <v>585</v>
      </c>
      <c r="N217" s="591">
        <v>4.0</v>
      </c>
      <c r="P217" s="592" t="str">
        <f>P215</f>
        <v>Enchanted Oak Wood</v>
      </c>
      <c r="Q217" s="188">
        <f t="shared" si="111"/>
        <v>5120</v>
      </c>
      <c r="S217" s="589">
        <v>38.0</v>
      </c>
      <c r="T217" s="590">
        <f t="shared" si="109"/>
        <v>54.04444444</v>
      </c>
    </row>
    <row r="218">
      <c r="B218" s="372"/>
      <c r="C218" s="591" t="s">
        <v>586</v>
      </c>
      <c r="D218" s="591">
        <v>8.0</v>
      </c>
      <c r="F218" s="592" t="str">
        <f>F215</f>
        <v>Enchanted End Stone</v>
      </c>
      <c r="G218" s="188">
        <f t="shared" si="110"/>
        <v>10240</v>
      </c>
      <c r="I218" s="589">
        <f>I217</f>
        <v>19</v>
      </c>
      <c r="J218" s="590">
        <f t="shared" si="107"/>
        <v>216.1777778</v>
      </c>
      <c r="L218" s="372"/>
      <c r="M218" s="591" t="s">
        <v>586</v>
      </c>
      <c r="N218" s="591">
        <v>8.0</v>
      </c>
      <c r="P218" s="592" t="str">
        <f>P215</f>
        <v>Enchanted Oak Wood</v>
      </c>
      <c r="Q218" s="188">
        <f t="shared" si="111"/>
        <v>10240</v>
      </c>
      <c r="S218" s="589">
        <f>S217</f>
        <v>38</v>
      </c>
      <c r="T218" s="590">
        <f t="shared" si="109"/>
        <v>108.0888889</v>
      </c>
    </row>
    <row r="219">
      <c r="B219" s="372"/>
      <c r="C219" s="591" t="s">
        <v>587</v>
      </c>
      <c r="D219" s="591">
        <v>16.0</v>
      </c>
      <c r="F219" s="592" t="str">
        <f>F215</f>
        <v>Enchanted End Stone</v>
      </c>
      <c r="G219" s="188">
        <f t="shared" si="110"/>
        <v>20480</v>
      </c>
      <c r="I219" s="589">
        <v>16.0</v>
      </c>
      <c r="J219" s="590">
        <f t="shared" si="107"/>
        <v>364.0888889</v>
      </c>
      <c r="L219" s="372"/>
      <c r="M219" s="591" t="s">
        <v>587</v>
      </c>
      <c r="N219" s="591">
        <v>16.0</v>
      </c>
      <c r="P219" s="592" t="str">
        <f>P215</f>
        <v>Enchanted Oak Wood</v>
      </c>
      <c r="Q219" s="188">
        <f t="shared" si="111"/>
        <v>20480</v>
      </c>
      <c r="S219" s="589">
        <v>33.0</v>
      </c>
      <c r="T219" s="590">
        <f t="shared" si="109"/>
        <v>187.7333333</v>
      </c>
    </row>
    <row r="220">
      <c r="B220" s="372"/>
      <c r="C220" s="591" t="s">
        <v>114</v>
      </c>
      <c r="D220" s="591">
        <v>32.0</v>
      </c>
      <c r="F220" s="592" t="str">
        <f>F215</f>
        <v>Enchanted End Stone</v>
      </c>
      <c r="G220" s="188">
        <f t="shared" si="110"/>
        <v>40960</v>
      </c>
      <c r="I220" s="589">
        <f>I219</f>
        <v>16</v>
      </c>
      <c r="J220" s="590">
        <f t="shared" si="107"/>
        <v>728.1777778</v>
      </c>
      <c r="L220" s="372"/>
      <c r="M220" s="591" t="s">
        <v>114</v>
      </c>
      <c r="N220" s="591">
        <v>32.0</v>
      </c>
      <c r="P220" s="592" t="str">
        <f>P215</f>
        <v>Enchanted Oak Wood</v>
      </c>
      <c r="Q220" s="188">
        <f t="shared" si="111"/>
        <v>40960</v>
      </c>
      <c r="S220" s="589">
        <f>S219</f>
        <v>33</v>
      </c>
      <c r="T220" s="590">
        <f t="shared" si="109"/>
        <v>375.4666667</v>
      </c>
    </row>
    <row r="221">
      <c r="B221" s="393"/>
      <c r="C221" s="594" t="s">
        <v>175</v>
      </c>
      <c r="D221" s="594">
        <v>64.0</v>
      </c>
      <c r="E221" s="6"/>
      <c r="F221" s="595" t="str">
        <f>F215</f>
        <v>Enchanted End Stone</v>
      </c>
      <c r="G221" s="596">
        <f t="shared" si="110"/>
        <v>81920</v>
      </c>
      <c r="H221" s="6"/>
      <c r="I221" s="597">
        <v>13.0</v>
      </c>
      <c r="J221" s="598" t="s">
        <v>120</v>
      </c>
      <c r="L221" s="393"/>
      <c r="M221" s="594" t="s">
        <v>175</v>
      </c>
      <c r="N221" s="594">
        <v>64.0</v>
      </c>
      <c r="O221" s="6"/>
      <c r="P221" s="595" t="str">
        <f>P215</f>
        <v>Enchanted Oak Wood</v>
      </c>
      <c r="Q221" s="596">
        <f t="shared" si="111"/>
        <v>81920</v>
      </c>
      <c r="R221" s="6"/>
      <c r="S221" s="597">
        <v>27.0</v>
      </c>
      <c r="T221" s="598" t="s">
        <v>120</v>
      </c>
    </row>
    <row r="222">
      <c r="B222" s="580"/>
      <c r="L222" s="580"/>
    </row>
    <row r="223" ht="45.0" customHeight="1">
      <c r="B223" s="585" t="str">
        <f>'Minion Checker'!D24</f>
        <v/>
      </c>
      <c r="C223" s="583" t="str">
        <f>'Minion Checker'!E24</f>
        <v>Wheat</v>
      </c>
      <c r="D223" s="583" t="s">
        <v>577</v>
      </c>
      <c r="E223" s="17"/>
      <c r="F223" s="584" t="s">
        <v>578</v>
      </c>
      <c r="G223" s="584" t="s">
        <v>579</v>
      </c>
      <c r="H223" s="17"/>
      <c r="I223" s="583" t="s">
        <v>580</v>
      </c>
      <c r="J223" s="464" t="s">
        <v>581</v>
      </c>
      <c r="L223" s="585" t="str">
        <f>'Minion Checker'!D54</f>
        <v/>
      </c>
      <c r="M223" s="583" t="str">
        <f>'Minion Checker'!E54</f>
        <v>Spruce</v>
      </c>
      <c r="N223" s="583" t="s">
        <v>577</v>
      </c>
      <c r="O223" s="17"/>
      <c r="P223" s="584" t="s">
        <v>578</v>
      </c>
      <c r="Q223" s="584" t="s">
        <v>579</v>
      </c>
      <c r="R223" s="17"/>
      <c r="S223" s="583" t="s">
        <v>580</v>
      </c>
      <c r="T223" s="464" t="str">
        <f>"ETA of Self-Upgrade
(@x4 "&amp;M223&amp;"/Harvest)"</f>
        <v>ETA of Self-Upgrade
(@x4 Spruce/Harvest)</v>
      </c>
    </row>
    <row r="224">
      <c r="B224" s="586"/>
      <c r="C224" s="587" t="s">
        <v>420</v>
      </c>
      <c r="D224" s="587">
        <v>10.0</v>
      </c>
      <c r="E224" s="588" t="str">
        <f>C223</f>
        <v>Wheat</v>
      </c>
      <c r="F224" s="588" t="str">
        <f>E224</f>
        <v>Wheat</v>
      </c>
      <c r="G224" s="188">
        <f t="shared" ref="G224:G227" si="112">D224*8</f>
        <v>80</v>
      </c>
      <c r="H224" s="187" t="str">
        <f>E224</f>
        <v>Wheat</v>
      </c>
      <c r="I224" s="589">
        <v>15.0</v>
      </c>
      <c r="J224" s="590">
        <f t="shared" ref="J224:J233" si="113">G225*I224/3600*2</f>
        <v>1.333333333</v>
      </c>
      <c r="L224" s="586"/>
      <c r="M224" s="587" t="s">
        <v>420</v>
      </c>
      <c r="N224" s="587">
        <v>10.0</v>
      </c>
      <c r="O224" s="588" t="s">
        <v>163</v>
      </c>
      <c r="P224" s="588" t="str">
        <f>O224</f>
        <v>Spruce Wood</v>
      </c>
      <c r="Q224" s="188">
        <f t="shared" ref="Q224:Q227" si="114">N224*8</f>
        <v>80</v>
      </c>
      <c r="R224" s="187" t="str">
        <f>O224</f>
        <v>Spruce Wood</v>
      </c>
      <c r="S224" s="589">
        <v>48.0</v>
      </c>
      <c r="T224" s="590">
        <f t="shared" ref="T224:T233" si="115">Q225*S224/3600*2/4</f>
        <v>1.066666667</v>
      </c>
    </row>
    <row r="225">
      <c r="B225" s="372"/>
      <c r="C225" s="587" t="s">
        <v>582</v>
      </c>
      <c r="D225" s="587">
        <v>20.0</v>
      </c>
      <c r="F225" s="588" t="str">
        <f>F224</f>
        <v>Wheat</v>
      </c>
      <c r="G225" s="188">
        <f t="shared" si="112"/>
        <v>160</v>
      </c>
      <c r="I225" s="589">
        <f>I224</f>
        <v>15</v>
      </c>
      <c r="J225" s="590">
        <f t="shared" si="113"/>
        <v>2.666666667</v>
      </c>
      <c r="L225" s="372"/>
      <c r="M225" s="587" t="s">
        <v>582</v>
      </c>
      <c r="N225" s="587">
        <v>20.0</v>
      </c>
      <c r="P225" s="588" t="str">
        <f>P224</f>
        <v>Spruce Wood</v>
      </c>
      <c r="Q225" s="188">
        <f t="shared" si="114"/>
        <v>160</v>
      </c>
      <c r="S225" s="589">
        <f>S224</f>
        <v>48</v>
      </c>
      <c r="T225" s="590">
        <f t="shared" si="115"/>
        <v>2.133333333</v>
      </c>
    </row>
    <row r="226">
      <c r="B226" s="372"/>
      <c r="C226" s="587" t="s">
        <v>433</v>
      </c>
      <c r="D226" s="587">
        <v>40.0</v>
      </c>
      <c r="F226" s="588" t="str">
        <f>F224</f>
        <v>Wheat</v>
      </c>
      <c r="G226" s="188">
        <f t="shared" si="112"/>
        <v>320</v>
      </c>
      <c r="I226" s="589">
        <v>13.0</v>
      </c>
      <c r="J226" s="590">
        <f t="shared" si="113"/>
        <v>3.697777778</v>
      </c>
      <c r="L226" s="372"/>
      <c r="M226" s="587" t="s">
        <v>433</v>
      </c>
      <c r="N226" s="587">
        <v>40.0</v>
      </c>
      <c r="P226" s="588" t="str">
        <f>P224</f>
        <v>Spruce Wood</v>
      </c>
      <c r="Q226" s="188">
        <f t="shared" si="114"/>
        <v>320</v>
      </c>
      <c r="S226" s="589">
        <v>45.0</v>
      </c>
      <c r="T226" s="590">
        <f t="shared" si="115"/>
        <v>3.2</v>
      </c>
    </row>
    <row r="227">
      <c r="B227" s="372"/>
      <c r="C227" s="587" t="s">
        <v>583</v>
      </c>
      <c r="D227" s="587">
        <v>64.0</v>
      </c>
      <c r="F227" s="588" t="str">
        <f>F224</f>
        <v>Wheat</v>
      </c>
      <c r="G227" s="188">
        <f t="shared" si="112"/>
        <v>512</v>
      </c>
      <c r="I227" s="589">
        <f>I226</f>
        <v>13</v>
      </c>
      <c r="J227" s="590">
        <f t="shared" si="113"/>
        <v>6.24</v>
      </c>
      <c r="L227" s="372"/>
      <c r="M227" s="587" t="s">
        <v>583</v>
      </c>
      <c r="N227" s="587">
        <v>64.0</v>
      </c>
      <c r="P227" s="588" t="str">
        <f>P224</f>
        <v>Spruce Wood</v>
      </c>
      <c r="Q227" s="188">
        <f t="shared" si="114"/>
        <v>512</v>
      </c>
      <c r="S227" s="589">
        <f>S226</f>
        <v>45</v>
      </c>
      <c r="T227" s="590">
        <f t="shared" si="115"/>
        <v>8</v>
      </c>
    </row>
    <row r="228">
      <c r="B228" s="372"/>
      <c r="C228" s="591" t="s">
        <v>417</v>
      </c>
      <c r="D228" s="591">
        <v>12.0</v>
      </c>
      <c r="E228" s="592" t="s">
        <v>288</v>
      </c>
      <c r="F228" s="592" t="str">
        <f>E228</f>
        <v>Hay Bale</v>
      </c>
      <c r="G228" s="188">
        <f t="shared" ref="G228:G231" si="116">D228*8*9</f>
        <v>864</v>
      </c>
      <c r="I228" s="589">
        <v>11.0</v>
      </c>
      <c r="J228" s="590">
        <f t="shared" si="113"/>
        <v>10.56</v>
      </c>
      <c r="L228" s="372"/>
      <c r="M228" s="591" t="s">
        <v>417</v>
      </c>
      <c r="N228" s="591">
        <v>1.0</v>
      </c>
      <c r="O228" s="592" t="str">
        <f>"Enchanted "&amp;O224</f>
        <v>Enchanted Spruce Wood</v>
      </c>
      <c r="P228" s="592" t="str">
        <f>O228</f>
        <v>Enchanted Spruce Wood</v>
      </c>
      <c r="Q228" s="188">
        <f t="shared" ref="Q228:Q234" si="117">N228*8*160</f>
        <v>1280</v>
      </c>
      <c r="S228" s="589">
        <v>42.0</v>
      </c>
      <c r="T228" s="590">
        <f t="shared" si="115"/>
        <v>14.93333333</v>
      </c>
    </row>
    <row r="229">
      <c r="B229" s="372"/>
      <c r="C229" s="591" t="s">
        <v>584</v>
      </c>
      <c r="D229" s="591">
        <v>24.0</v>
      </c>
      <c r="F229" s="592" t="str">
        <f>F228</f>
        <v>Hay Bale</v>
      </c>
      <c r="G229" s="188">
        <f t="shared" si="116"/>
        <v>1728</v>
      </c>
      <c r="I229" s="589">
        <f>I228</f>
        <v>11</v>
      </c>
      <c r="J229" s="590">
        <f t="shared" si="113"/>
        <v>21.12</v>
      </c>
      <c r="L229" s="372"/>
      <c r="M229" s="591" t="s">
        <v>584</v>
      </c>
      <c r="N229" s="591">
        <v>2.0</v>
      </c>
      <c r="P229" s="592" t="str">
        <f>P228</f>
        <v>Enchanted Spruce Wood</v>
      </c>
      <c r="Q229" s="188">
        <f t="shared" si="117"/>
        <v>2560</v>
      </c>
      <c r="S229" s="589">
        <f>S228</f>
        <v>42</v>
      </c>
      <c r="T229" s="590">
        <f t="shared" si="115"/>
        <v>29.86666667</v>
      </c>
    </row>
    <row r="230">
      <c r="B230" s="372"/>
      <c r="C230" s="591" t="s">
        <v>585</v>
      </c>
      <c r="D230" s="591">
        <v>48.0</v>
      </c>
      <c r="F230" s="592" t="str">
        <f>F228</f>
        <v>Hay Bale</v>
      </c>
      <c r="G230" s="188">
        <f t="shared" si="116"/>
        <v>3456</v>
      </c>
      <c r="I230" s="589">
        <v>10.0</v>
      </c>
      <c r="J230" s="590">
        <f t="shared" si="113"/>
        <v>25.6</v>
      </c>
      <c r="L230" s="372"/>
      <c r="M230" s="591" t="s">
        <v>585</v>
      </c>
      <c r="N230" s="591">
        <v>4.0</v>
      </c>
      <c r="P230" s="592" t="str">
        <f>P228</f>
        <v>Enchanted Spruce Wood</v>
      </c>
      <c r="Q230" s="188">
        <f t="shared" si="117"/>
        <v>5120</v>
      </c>
      <c r="S230" s="589">
        <v>38.0</v>
      </c>
      <c r="T230" s="590">
        <f t="shared" si="115"/>
        <v>54.04444444</v>
      </c>
    </row>
    <row r="231">
      <c r="B231" s="372"/>
      <c r="C231" s="591" t="s">
        <v>586</v>
      </c>
      <c r="D231" s="591">
        <v>64.0</v>
      </c>
      <c r="F231" s="592" t="str">
        <f>F228</f>
        <v>Hay Bale</v>
      </c>
      <c r="G231" s="188">
        <f t="shared" si="116"/>
        <v>4608</v>
      </c>
      <c r="I231" s="589">
        <f>I230</f>
        <v>10</v>
      </c>
      <c r="J231" s="590">
        <f t="shared" si="113"/>
        <v>57.6</v>
      </c>
      <c r="L231" s="372"/>
      <c r="M231" s="591" t="s">
        <v>586</v>
      </c>
      <c r="N231" s="591">
        <v>8.0</v>
      </c>
      <c r="P231" s="592" t="str">
        <f>P228</f>
        <v>Enchanted Spruce Wood</v>
      </c>
      <c r="Q231" s="188">
        <f t="shared" si="117"/>
        <v>10240</v>
      </c>
      <c r="S231" s="589">
        <f>S230</f>
        <v>38</v>
      </c>
      <c r="T231" s="590">
        <f t="shared" si="115"/>
        <v>108.0888889</v>
      </c>
    </row>
    <row r="232">
      <c r="B232" s="372"/>
      <c r="C232" s="601" t="s">
        <v>587</v>
      </c>
      <c r="D232" s="601">
        <v>1.0</v>
      </c>
      <c r="E232" s="463" t="str">
        <f>"Enchanted "&amp;E228</f>
        <v>Enchanted Hay Bale</v>
      </c>
      <c r="F232" s="463" t="str">
        <f>E232</f>
        <v>Enchanted Hay Bale</v>
      </c>
      <c r="G232" s="188">
        <f t="shared" ref="G232:G234" si="118">D232*8*9*144</f>
        <v>10368</v>
      </c>
      <c r="I232" s="589">
        <v>9.0</v>
      </c>
      <c r="J232" s="590">
        <f t="shared" si="113"/>
        <v>103.68</v>
      </c>
      <c r="L232" s="372"/>
      <c r="M232" s="591" t="s">
        <v>587</v>
      </c>
      <c r="N232" s="591">
        <v>16.0</v>
      </c>
      <c r="P232" s="592" t="str">
        <f>P228</f>
        <v>Enchanted Spruce Wood</v>
      </c>
      <c r="Q232" s="188">
        <f t="shared" si="117"/>
        <v>20480</v>
      </c>
      <c r="S232" s="589">
        <v>33.0</v>
      </c>
      <c r="T232" s="590">
        <f t="shared" si="115"/>
        <v>187.7333333</v>
      </c>
    </row>
    <row r="233">
      <c r="B233" s="372"/>
      <c r="C233" s="601" t="s">
        <v>114</v>
      </c>
      <c r="D233" s="601">
        <v>2.0</v>
      </c>
      <c r="F233" s="463" t="str">
        <f>F232</f>
        <v>Enchanted Hay Bale</v>
      </c>
      <c r="G233" s="188">
        <f t="shared" si="118"/>
        <v>20736</v>
      </c>
      <c r="I233" s="589">
        <f>I232</f>
        <v>9</v>
      </c>
      <c r="J233" s="590">
        <f t="shared" si="113"/>
        <v>207.36</v>
      </c>
      <c r="L233" s="372"/>
      <c r="M233" s="591" t="s">
        <v>114</v>
      </c>
      <c r="N233" s="591">
        <v>32.0</v>
      </c>
      <c r="P233" s="592" t="str">
        <f>P228</f>
        <v>Enchanted Spruce Wood</v>
      </c>
      <c r="Q233" s="188">
        <f t="shared" si="117"/>
        <v>40960</v>
      </c>
      <c r="S233" s="589">
        <f>S232</f>
        <v>33</v>
      </c>
      <c r="T233" s="590">
        <f t="shared" si="115"/>
        <v>375.4666667</v>
      </c>
    </row>
    <row r="234">
      <c r="B234" s="393"/>
      <c r="C234" s="602" t="s">
        <v>175</v>
      </c>
      <c r="D234" s="602">
        <v>4.0</v>
      </c>
      <c r="E234" s="6"/>
      <c r="F234" s="603" t="str">
        <f>F232</f>
        <v>Enchanted Hay Bale</v>
      </c>
      <c r="G234" s="596">
        <f t="shared" si="118"/>
        <v>41472</v>
      </c>
      <c r="H234" s="6"/>
      <c r="I234" s="597">
        <v>8.0</v>
      </c>
      <c r="J234" s="598" t="s">
        <v>120</v>
      </c>
      <c r="L234" s="393"/>
      <c r="M234" s="594" t="s">
        <v>175</v>
      </c>
      <c r="N234" s="594">
        <v>64.0</v>
      </c>
      <c r="O234" s="6"/>
      <c r="P234" s="595" t="str">
        <f>P228</f>
        <v>Enchanted Spruce Wood</v>
      </c>
      <c r="Q234" s="596">
        <f t="shared" si="117"/>
        <v>81920</v>
      </c>
      <c r="R234" s="6"/>
      <c r="S234" s="597">
        <v>27.0</v>
      </c>
      <c r="T234" s="598" t="s">
        <v>120</v>
      </c>
    </row>
    <row r="235">
      <c r="B235" s="580"/>
      <c r="L235" s="580"/>
    </row>
    <row r="236" ht="45.0" customHeight="1">
      <c r="B236" s="585" t="str">
        <f>'Minion Checker'!D25</f>
        <v/>
      </c>
      <c r="C236" s="583" t="str">
        <f>'Minion Checker'!E25</f>
        <v>Melon</v>
      </c>
      <c r="D236" s="583" t="s">
        <v>577</v>
      </c>
      <c r="E236" s="17"/>
      <c r="F236" s="584" t="s">
        <v>578</v>
      </c>
      <c r="G236" s="584" t="s">
        <v>579</v>
      </c>
      <c r="H236" s="17"/>
      <c r="I236" s="583" t="s">
        <v>580</v>
      </c>
      <c r="J236" s="464" t="str">
        <f>"ETA of Self-Upgrade
(@x6 M. Slices/Harvest)"</f>
        <v>ETA of Self-Upgrade
(@x6 M. Slices/Harvest)</v>
      </c>
      <c r="L236" s="585" t="str">
        <f>'Minion Checker'!D55</f>
        <v/>
      </c>
      <c r="M236" s="583" t="str">
        <f>'Minion Checker'!E55</f>
        <v>Birch</v>
      </c>
      <c r="N236" s="583" t="s">
        <v>577</v>
      </c>
      <c r="O236" s="17"/>
      <c r="P236" s="584" t="s">
        <v>578</v>
      </c>
      <c r="Q236" s="584" t="s">
        <v>579</v>
      </c>
      <c r="R236" s="17"/>
      <c r="S236" s="583" t="s">
        <v>580</v>
      </c>
      <c r="T236" s="464" t="str">
        <f>"ETA of Self-Upgrade
(@x4 "&amp;M236&amp;"/Harvest)"</f>
        <v>ETA of Self-Upgrade
(@x4 Birch/Harvest)</v>
      </c>
    </row>
    <row r="237">
      <c r="B237" s="586"/>
      <c r="C237" s="587" t="s">
        <v>420</v>
      </c>
      <c r="D237" s="587">
        <v>32.0</v>
      </c>
      <c r="E237" s="588" t="s">
        <v>146</v>
      </c>
      <c r="F237" s="588" t="str">
        <f>E237</f>
        <v>Melon Slice</v>
      </c>
      <c r="G237" s="188">
        <f t="shared" ref="G237:G238" si="119">D237*8</f>
        <v>256</v>
      </c>
      <c r="H237" s="187" t="str">
        <f>E237</f>
        <v>Melon Slice</v>
      </c>
      <c r="I237" s="589">
        <v>24.0</v>
      </c>
      <c r="J237" s="590">
        <f t="shared" ref="J237:J246" si="120">G238*I237/3600*2/6</f>
        <v>1.137777778</v>
      </c>
      <c r="L237" s="586"/>
      <c r="M237" s="587" t="s">
        <v>420</v>
      </c>
      <c r="N237" s="587">
        <v>10.0</v>
      </c>
      <c r="O237" s="588" t="s">
        <v>164</v>
      </c>
      <c r="P237" s="588" t="str">
        <f>O237</f>
        <v>Birch Wood</v>
      </c>
      <c r="Q237" s="188">
        <f t="shared" ref="Q237:Q240" si="121">N237*8</f>
        <v>80</v>
      </c>
      <c r="R237" s="187" t="str">
        <f>O237</f>
        <v>Birch Wood</v>
      </c>
      <c r="S237" s="589">
        <v>48.0</v>
      </c>
      <c r="T237" s="590">
        <f t="shared" ref="T237:T246" si="122">Q238*S237/3600*2/4</f>
        <v>1.066666667</v>
      </c>
    </row>
    <row r="238">
      <c r="B238" s="372"/>
      <c r="C238" s="587" t="s">
        <v>582</v>
      </c>
      <c r="D238" s="587">
        <v>64.0</v>
      </c>
      <c r="F238" s="588" t="str">
        <f>F237</f>
        <v>Melon Slice</v>
      </c>
      <c r="G238" s="188">
        <f t="shared" si="119"/>
        <v>512</v>
      </c>
      <c r="I238" s="589">
        <f>I237</f>
        <v>24</v>
      </c>
      <c r="J238" s="590">
        <f t="shared" si="120"/>
        <v>2.56</v>
      </c>
      <c r="L238" s="372"/>
      <c r="M238" s="587" t="s">
        <v>582</v>
      </c>
      <c r="N238" s="587">
        <v>20.0</v>
      </c>
      <c r="P238" s="588" t="str">
        <f>P237</f>
        <v>Birch Wood</v>
      </c>
      <c r="Q238" s="188">
        <f t="shared" si="121"/>
        <v>160</v>
      </c>
      <c r="S238" s="589">
        <f>S237</f>
        <v>48</v>
      </c>
      <c r="T238" s="590">
        <f t="shared" si="122"/>
        <v>2.133333333</v>
      </c>
    </row>
    <row r="239">
      <c r="B239" s="372"/>
      <c r="C239" s="618" t="s">
        <v>433</v>
      </c>
      <c r="D239" s="618">
        <v>16.0</v>
      </c>
      <c r="E239" s="600" t="s">
        <v>593</v>
      </c>
      <c r="F239" s="600" t="str">
        <f>E239</f>
        <v>Melon Block</v>
      </c>
      <c r="G239" s="188">
        <f t="shared" ref="G239:G241" si="123">D239*8*9</f>
        <v>1152</v>
      </c>
      <c r="I239" s="593">
        <v>22.5</v>
      </c>
      <c r="J239" s="590">
        <f t="shared" si="120"/>
        <v>4.8</v>
      </c>
      <c r="L239" s="372"/>
      <c r="M239" s="587" t="s">
        <v>433</v>
      </c>
      <c r="N239" s="587">
        <v>40.0</v>
      </c>
      <c r="P239" s="588" t="str">
        <f>P237</f>
        <v>Birch Wood</v>
      </c>
      <c r="Q239" s="188">
        <f t="shared" si="121"/>
        <v>320</v>
      </c>
      <c r="S239" s="589">
        <v>45.0</v>
      </c>
      <c r="T239" s="590">
        <f t="shared" si="122"/>
        <v>3.2</v>
      </c>
    </row>
    <row r="240">
      <c r="B240" s="372"/>
      <c r="C240" s="618" t="s">
        <v>583</v>
      </c>
      <c r="D240" s="618">
        <v>32.0</v>
      </c>
      <c r="F240" s="600" t="str">
        <f>F239</f>
        <v>Melon Block</v>
      </c>
      <c r="G240" s="188">
        <f t="shared" si="123"/>
        <v>2304</v>
      </c>
      <c r="I240" s="593">
        <f>I239</f>
        <v>22.5</v>
      </c>
      <c r="J240" s="590">
        <f t="shared" si="120"/>
        <v>9.6</v>
      </c>
      <c r="L240" s="372"/>
      <c r="M240" s="587" t="s">
        <v>583</v>
      </c>
      <c r="N240" s="587">
        <v>64.0</v>
      </c>
      <c r="P240" s="588" t="str">
        <f>P237</f>
        <v>Birch Wood</v>
      </c>
      <c r="Q240" s="188">
        <f t="shared" si="121"/>
        <v>512</v>
      </c>
      <c r="S240" s="589">
        <f>S239</f>
        <v>45</v>
      </c>
      <c r="T240" s="590">
        <f t="shared" si="122"/>
        <v>8</v>
      </c>
    </row>
    <row r="241">
      <c r="B241" s="372"/>
      <c r="C241" s="618" t="s">
        <v>417</v>
      </c>
      <c r="D241" s="618">
        <v>64.0</v>
      </c>
      <c r="F241" s="600" t="str">
        <f>F239</f>
        <v>Melon Block</v>
      </c>
      <c r="G241" s="188">
        <f t="shared" si="123"/>
        <v>4608</v>
      </c>
      <c r="I241" s="589">
        <v>21.0</v>
      </c>
      <c r="J241" s="590">
        <f t="shared" si="120"/>
        <v>19.91111111</v>
      </c>
      <c r="L241" s="372"/>
      <c r="M241" s="591" t="s">
        <v>417</v>
      </c>
      <c r="N241" s="591">
        <v>1.0</v>
      </c>
      <c r="O241" s="592" t="str">
        <f>"Enchanted "&amp;O237</f>
        <v>Enchanted Birch Wood</v>
      </c>
      <c r="P241" s="592" t="str">
        <f>O241</f>
        <v>Enchanted Birch Wood</v>
      </c>
      <c r="Q241" s="188">
        <f t="shared" ref="Q241:Q247" si="124">N241*8*160</f>
        <v>1280</v>
      </c>
      <c r="S241" s="589">
        <v>42.0</v>
      </c>
      <c r="T241" s="590">
        <f t="shared" si="122"/>
        <v>14.93333333</v>
      </c>
    </row>
    <row r="242">
      <c r="B242" s="372"/>
      <c r="C242" s="601" t="s">
        <v>584</v>
      </c>
      <c r="D242" s="601">
        <v>8.0</v>
      </c>
      <c r="E242" s="463" t="str">
        <f>"Enchanted "&amp;E237</f>
        <v>Enchanted Melon Slice</v>
      </c>
      <c r="F242" s="463" t="str">
        <f>E242</f>
        <v>Enchanted Melon Slice</v>
      </c>
      <c r="G242" s="188">
        <f t="shared" ref="G242:G245" si="125">D242*8*160</f>
        <v>10240</v>
      </c>
      <c r="I242" s="589">
        <f>I241</f>
        <v>21</v>
      </c>
      <c r="J242" s="590">
        <f t="shared" si="120"/>
        <v>39.82222222</v>
      </c>
      <c r="L242" s="372"/>
      <c r="M242" s="591" t="s">
        <v>584</v>
      </c>
      <c r="N242" s="591">
        <v>2.0</v>
      </c>
      <c r="P242" s="592" t="str">
        <f>P241</f>
        <v>Enchanted Birch Wood</v>
      </c>
      <c r="Q242" s="188">
        <f t="shared" si="124"/>
        <v>2560</v>
      </c>
      <c r="S242" s="589">
        <f>S241</f>
        <v>42</v>
      </c>
      <c r="T242" s="590">
        <f t="shared" si="122"/>
        <v>29.86666667</v>
      </c>
    </row>
    <row r="243">
      <c r="B243" s="372"/>
      <c r="C243" s="601" t="s">
        <v>585</v>
      </c>
      <c r="D243" s="601">
        <v>16.0</v>
      </c>
      <c r="F243" s="463" t="str">
        <f>F242</f>
        <v>Enchanted Melon Slice</v>
      </c>
      <c r="G243" s="188">
        <f t="shared" si="125"/>
        <v>20480</v>
      </c>
      <c r="I243" s="593">
        <v>18.5</v>
      </c>
      <c r="J243" s="590">
        <f t="shared" si="120"/>
        <v>70.16296296</v>
      </c>
      <c r="L243" s="372"/>
      <c r="M243" s="591" t="s">
        <v>585</v>
      </c>
      <c r="N243" s="591">
        <v>4.0</v>
      </c>
      <c r="P243" s="592" t="str">
        <f>P241</f>
        <v>Enchanted Birch Wood</v>
      </c>
      <c r="Q243" s="188">
        <f t="shared" si="124"/>
        <v>5120</v>
      </c>
      <c r="S243" s="589">
        <v>38.0</v>
      </c>
      <c r="T243" s="590">
        <f t="shared" si="122"/>
        <v>54.04444444</v>
      </c>
    </row>
    <row r="244">
      <c r="B244" s="372"/>
      <c r="C244" s="601" t="s">
        <v>586</v>
      </c>
      <c r="D244" s="601">
        <v>32.0</v>
      </c>
      <c r="F244" s="463" t="str">
        <f>F242</f>
        <v>Enchanted Melon Slice</v>
      </c>
      <c r="G244" s="188">
        <f t="shared" si="125"/>
        <v>40960</v>
      </c>
      <c r="I244" s="593">
        <f>I243</f>
        <v>18.5</v>
      </c>
      <c r="J244" s="590">
        <f t="shared" si="120"/>
        <v>140.3259259</v>
      </c>
      <c r="L244" s="372"/>
      <c r="M244" s="591" t="s">
        <v>586</v>
      </c>
      <c r="N244" s="591">
        <v>8.0</v>
      </c>
      <c r="P244" s="592" t="str">
        <f>P241</f>
        <v>Enchanted Birch Wood</v>
      </c>
      <c r="Q244" s="188">
        <f t="shared" si="124"/>
        <v>10240</v>
      </c>
      <c r="S244" s="589">
        <f>S243</f>
        <v>38</v>
      </c>
      <c r="T244" s="590">
        <f t="shared" si="122"/>
        <v>108.0888889</v>
      </c>
    </row>
    <row r="245">
      <c r="B245" s="372"/>
      <c r="C245" s="601" t="s">
        <v>587</v>
      </c>
      <c r="D245" s="601">
        <v>64.0</v>
      </c>
      <c r="F245" s="463" t="str">
        <f>F242</f>
        <v>Enchanted Melon Slice</v>
      </c>
      <c r="G245" s="188">
        <f t="shared" si="125"/>
        <v>81920</v>
      </c>
      <c r="I245" s="589">
        <v>16.0</v>
      </c>
      <c r="J245" s="590">
        <f t="shared" si="120"/>
        <v>303.4074074</v>
      </c>
      <c r="L245" s="372"/>
      <c r="M245" s="591" t="s">
        <v>587</v>
      </c>
      <c r="N245" s="591">
        <v>16.0</v>
      </c>
      <c r="P245" s="592" t="str">
        <f>P241</f>
        <v>Enchanted Birch Wood</v>
      </c>
      <c r="Q245" s="188">
        <f t="shared" si="124"/>
        <v>20480</v>
      </c>
      <c r="S245" s="589">
        <v>33.0</v>
      </c>
      <c r="T245" s="590">
        <f t="shared" si="122"/>
        <v>187.7333333</v>
      </c>
    </row>
    <row r="246">
      <c r="B246" s="372"/>
      <c r="C246" s="619" t="s">
        <v>114</v>
      </c>
      <c r="D246" s="619">
        <v>1.0</v>
      </c>
      <c r="E246" s="620" t="s">
        <v>291</v>
      </c>
      <c r="F246" s="620" t="str">
        <f>E246</f>
        <v>Enchanted Melon Block</v>
      </c>
      <c r="G246" s="188">
        <f t="shared" ref="G246:G247" si="126">D246*8*160*160</f>
        <v>204800</v>
      </c>
      <c r="I246" s="589">
        <f>I245</f>
        <v>16</v>
      </c>
      <c r="J246" s="590">
        <f t="shared" si="120"/>
        <v>606.8148148</v>
      </c>
      <c r="L246" s="372"/>
      <c r="M246" s="591" t="s">
        <v>114</v>
      </c>
      <c r="N246" s="591">
        <v>32.0</v>
      </c>
      <c r="P246" s="592" t="str">
        <f>P241</f>
        <v>Enchanted Birch Wood</v>
      </c>
      <c r="Q246" s="188">
        <f t="shared" si="124"/>
        <v>40960</v>
      </c>
      <c r="S246" s="589">
        <f>S245</f>
        <v>33</v>
      </c>
      <c r="T246" s="590">
        <f t="shared" si="122"/>
        <v>375.4666667</v>
      </c>
    </row>
    <row r="247">
      <c r="B247" s="393"/>
      <c r="C247" s="621" t="s">
        <v>175</v>
      </c>
      <c r="D247" s="621">
        <v>2.0</v>
      </c>
      <c r="E247" s="6"/>
      <c r="F247" s="622" t="str">
        <f>F246</f>
        <v>Enchanted Melon Block</v>
      </c>
      <c r="G247" s="596">
        <f t="shared" si="126"/>
        <v>409600</v>
      </c>
      <c r="H247" s="6"/>
      <c r="I247" s="597">
        <v>13.0</v>
      </c>
      <c r="J247" s="598" t="s">
        <v>120</v>
      </c>
      <c r="L247" s="393"/>
      <c r="M247" s="594" t="s">
        <v>175</v>
      </c>
      <c r="N247" s="594">
        <v>64.0</v>
      </c>
      <c r="O247" s="6"/>
      <c r="P247" s="595" t="str">
        <f>P241</f>
        <v>Enchanted Birch Wood</v>
      </c>
      <c r="Q247" s="596">
        <f t="shared" si="124"/>
        <v>81920</v>
      </c>
      <c r="R247" s="6"/>
      <c r="S247" s="597">
        <v>27.0</v>
      </c>
      <c r="T247" s="598" t="s">
        <v>120</v>
      </c>
    </row>
    <row r="248">
      <c r="B248" s="580"/>
      <c r="L248" s="580"/>
    </row>
    <row r="249" ht="45.0" customHeight="1">
      <c r="B249" s="585" t="str">
        <f>'Minion Checker'!D26</f>
        <v/>
      </c>
      <c r="C249" s="583" t="str">
        <f>'Minion Checker'!E26</f>
        <v>Pumpkin</v>
      </c>
      <c r="D249" s="583" t="s">
        <v>577</v>
      </c>
      <c r="E249" s="17"/>
      <c r="F249" s="584" t="s">
        <v>578</v>
      </c>
      <c r="G249" s="584" t="s">
        <v>579</v>
      </c>
      <c r="H249" s="17"/>
      <c r="I249" s="583" t="s">
        <v>580</v>
      </c>
      <c r="J249" s="464" t="s">
        <v>581</v>
      </c>
      <c r="L249" s="585" t="str">
        <f>'Minion Checker'!D56</f>
        <v/>
      </c>
      <c r="M249" s="583" t="str">
        <f>'Minion Checker'!E56</f>
        <v>Dark Oak</v>
      </c>
      <c r="N249" s="583" t="s">
        <v>577</v>
      </c>
      <c r="O249" s="17"/>
      <c r="P249" s="584" t="s">
        <v>578</v>
      </c>
      <c r="Q249" s="584" t="s">
        <v>579</v>
      </c>
      <c r="R249" s="17"/>
      <c r="S249" s="583" t="s">
        <v>580</v>
      </c>
      <c r="T249" s="464" t="str">
        <f>"ETA of Self-Upgrade
(@x4 "&amp;M249&amp;"/Harvest)"</f>
        <v>ETA of Self-Upgrade
(@x4 Dark Oak/Harvest)</v>
      </c>
    </row>
    <row r="250">
      <c r="B250" s="586"/>
      <c r="C250" s="587" t="s">
        <v>420</v>
      </c>
      <c r="D250" s="587">
        <v>10.0</v>
      </c>
      <c r="E250" s="588" t="str">
        <f>C249</f>
        <v>Pumpkin</v>
      </c>
      <c r="F250" s="588" t="str">
        <f>E250</f>
        <v>Pumpkin</v>
      </c>
      <c r="G250" s="188">
        <f t="shared" ref="G250:G253" si="127">D250*8</f>
        <v>80</v>
      </c>
      <c r="H250" s="187" t="str">
        <f>E250</f>
        <v>Pumpkin</v>
      </c>
      <c r="I250" s="589">
        <v>32.0</v>
      </c>
      <c r="J250" s="590">
        <f t="shared" ref="J250:J259" si="128">G251*I250/3600*2</f>
        <v>2.844444444</v>
      </c>
      <c r="L250" s="586"/>
      <c r="M250" s="587" t="s">
        <v>420</v>
      </c>
      <c r="N250" s="587">
        <v>10.0</v>
      </c>
      <c r="O250" s="588" t="s">
        <v>165</v>
      </c>
      <c r="P250" s="588" t="str">
        <f>O250</f>
        <v>Dark Oak Wood</v>
      </c>
      <c r="Q250" s="188">
        <f t="shared" ref="Q250:Q253" si="129">N250*8</f>
        <v>80</v>
      </c>
      <c r="R250" s="187" t="str">
        <f>O250</f>
        <v>Dark Oak Wood</v>
      </c>
      <c r="S250" s="589">
        <v>48.0</v>
      </c>
      <c r="T250" s="590">
        <f t="shared" ref="T250:T259" si="130">Q251*S250/3600*2/4</f>
        <v>1.066666667</v>
      </c>
    </row>
    <row r="251">
      <c r="B251" s="372"/>
      <c r="C251" s="587" t="s">
        <v>582</v>
      </c>
      <c r="D251" s="587">
        <v>20.0</v>
      </c>
      <c r="F251" s="588" t="str">
        <f>F250</f>
        <v>Pumpkin</v>
      </c>
      <c r="G251" s="188">
        <f t="shared" si="127"/>
        <v>160</v>
      </c>
      <c r="I251" s="589">
        <f>I250</f>
        <v>32</v>
      </c>
      <c r="J251" s="590">
        <f t="shared" si="128"/>
        <v>5.688888889</v>
      </c>
      <c r="L251" s="372"/>
      <c r="M251" s="587" t="s">
        <v>582</v>
      </c>
      <c r="N251" s="587">
        <v>20.0</v>
      </c>
      <c r="P251" s="588" t="str">
        <f>P250</f>
        <v>Dark Oak Wood</v>
      </c>
      <c r="Q251" s="188">
        <f t="shared" si="129"/>
        <v>160</v>
      </c>
      <c r="S251" s="589">
        <f>S250</f>
        <v>48</v>
      </c>
      <c r="T251" s="590">
        <f t="shared" si="130"/>
        <v>2.133333333</v>
      </c>
    </row>
    <row r="252">
      <c r="B252" s="372"/>
      <c r="C252" s="587" t="s">
        <v>433</v>
      </c>
      <c r="D252" s="587">
        <v>40.0</v>
      </c>
      <c r="F252" s="588" t="str">
        <f>F250</f>
        <v>Pumpkin</v>
      </c>
      <c r="G252" s="188">
        <f t="shared" si="127"/>
        <v>320</v>
      </c>
      <c r="I252" s="589">
        <v>30.0</v>
      </c>
      <c r="J252" s="590">
        <f t="shared" si="128"/>
        <v>8.533333333</v>
      </c>
      <c r="L252" s="372"/>
      <c r="M252" s="587" t="s">
        <v>433</v>
      </c>
      <c r="N252" s="587">
        <v>40.0</v>
      </c>
      <c r="P252" s="588" t="str">
        <f>P250</f>
        <v>Dark Oak Wood</v>
      </c>
      <c r="Q252" s="188">
        <f t="shared" si="129"/>
        <v>320</v>
      </c>
      <c r="S252" s="589">
        <v>45.0</v>
      </c>
      <c r="T252" s="590">
        <f t="shared" si="130"/>
        <v>3.2</v>
      </c>
    </row>
    <row r="253">
      <c r="B253" s="372"/>
      <c r="C253" s="587" t="s">
        <v>583</v>
      </c>
      <c r="D253" s="587">
        <v>64.0</v>
      </c>
      <c r="F253" s="588" t="str">
        <f>F250</f>
        <v>Pumpkin</v>
      </c>
      <c r="G253" s="188">
        <f t="shared" si="127"/>
        <v>512</v>
      </c>
      <c r="I253" s="589">
        <f>I252</f>
        <v>30</v>
      </c>
      <c r="J253" s="590">
        <f t="shared" si="128"/>
        <v>21.33333333</v>
      </c>
      <c r="L253" s="372"/>
      <c r="M253" s="587" t="s">
        <v>583</v>
      </c>
      <c r="N253" s="587">
        <v>64.0</v>
      </c>
      <c r="P253" s="588" t="str">
        <f>P250</f>
        <v>Dark Oak Wood</v>
      </c>
      <c r="Q253" s="188">
        <f t="shared" si="129"/>
        <v>512</v>
      </c>
      <c r="S253" s="589">
        <f>S252</f>
        <v>45</v>
      </c>
      <c r="T253" s="590">
        <f t="shared" si="130"/>
        <v>8</v>
      </c>
    </row>
    <row r="254">
      <c r="B254" s="372"/>
      <c r="C254" s="591" t="s">
        <v>417</v>
      </c>
      <c r="D254" s="591">
        <v>1.0</v>
      </c>
      <c r="E254" s="592" t="str">
        <f>"Enchanted "&amp;E250</f>
        <v>Enchanted Pumpkin</v>
      </c>
      <c r="F254" s="592" t="str">
        <f>E254</f>
        <v>Enchanted Pumpkin</v>
      </c>
      <c r="G254" s="188">
        <f t="shared" ref="G254:G260" si="131">D254*8*160</f>
        <v>1280</v>
      </c>
      <c r="I254" s="589">
        <v>27.0</v>
      </c>
      <c r="J254" s="590">
        <f t="shared" si="128"/>
        <v>38.4</v>
      </c>
      <c r="L254" s="372"/>
      <c r="M254" s="591" t="s">
        <v>417</v>
      </c>
      <c r="N254" s="591">
        <v>1.0</v>
      </c>
      <c r="O254" s="592" t="str">
        <f>"Enchanted "&amp;O250</f>
        <v>Enchanted Dark Oak Wood</v>
      </c>
      <c r="P254" s="592" t="str">
        <f>O254</f>
        <v>Enchanted Dark Oak Wood</v>
      </c>
      <c r="Q254" s="188">
        <f t="shared" ref="Q254:Q260" si="132">N254*8*160</f>
        <v>1280</v>
      </c>
      <c r="S254" s="589">
        <v>42.0</v>
      </c>
      <c r="T254" s="590">
        <f t="shared" si="130"/>
        <v>14.93333333</v>
      </c>
    </row>
    <row r="255">
      <c r="B255" s="372"/>
      <c r="C255" s="591" t="s">
        <v>584</v>
      </c>
      <c r="D255" s="591">
        <v>2.0</v>
      </c>
      <c r="F255" s="592" t="str">
        <f>F254</f>
        <v>Enchanted Pumpkin</v>
      </c>
      <c r="G255" s="188">
        <f t="shared" si="131"/>
        <v>2560</v>
      </c>
      <c r="I255" s="589">
        <f>I254</f>
        <v>27</v>
      </c>
      <c r="J255" s="590">
        <f t="shared" si="128"/>
        <v>76.8</v>
      </c>
      <c r="L255" s="372"/>
      <c r="M255" s="591" t="s">
        <v>584</v>
      </c>
      <c r="N255" s="591">
        <v>2.0</v>
      </c>
      <c r="P255" s="592" t="str">
        <f>P254</f>
        <v>Enchanted Dark Oak Wood</v>
      </c>
      <c r="Q255" s="188">
        <f t="shared" si="132"/>
        <v>2560</v>
      </c>
      <c r="S255" s="589">
        <f>S254</f>
        <v>42</v>
      </c>
      <c r="T255" s="590">
        <f t="shared" si="130"/>
        <v>29.86666667</v>
      </c>
    </row>
    <row r="256">
      <c r="B256" s="372"/>
      <c r="C256" s="591" t="s">
        <v>585</v>
      </c>
      <c r="D256" s="591">
        <v>4.0</v>
      </c>
      <c r="F256" s="592" t="str">
        <f>F254</f>
        <v>Enchanted Pumpkin</v>
      </c>
      <c r="G256" s="188">
        <f t="shared" si="131"/>
        <v>5120</v>
      </c>
      <c r="I256" s="589">
        <v>24.0</v>
      </c>
      <c r="J256" s="590">
        <f t="shared" si="128"/>
        <v>136.5333333</v>
      </c>
      <c r="L256" s="372"/>
      <c r="M256" s="591" t="s">
        <v>585</v>
      </c>
      <c r="N256" s="591">
        <v>4.0</v>
      </c>
      <c r="P256" s="592" t="str">
        <f>P254</f>
        <v>Enchanted Dark Oak Wood</v>
      </c>
      <c r="Q256" s="188">
        <f t="shared" si="132"/>
        <v>5120</v>
      </c>
      <c r="S256" s="589">
        <v>38.0</v>
      </c>
      <c r="T256" s="590">
        <f t="shared" si="130"/>
        <v>54.04444444</v>
      </c>
    </row>
    <row r="257">
      <c r="B257" s="372"/>
      <c r="C257" s="591" t="s">
        <v>586</v>
      </c>
      <c r="D257" s="591">
        <v>8.0</v>
      </c>
      <c r="F257" s="592" t="str">
        <f>F254</f>
        <v>Enchanted Pumpkin</v>
      </c>
      <c r="G257" s="188">
        <f t="shared" si="131"/>
        <v>10240</v>
      </c>
      <c r="I257" s="589">
        <f>I256</f>
        <v>24</v>
      </c>
      <c r="J257" s="590">
        <f t="shared" si="128"/>
        <v>273.0666667</v>
      </c>
      <c r="L257" s="372"/>
      <c r="M257" s="591" t="s">
        <v>586</v>
      </c>
      <c r="N257" s="591">
        <v>8.0</v>
      </c>
      <c r="P257" s="592" t="str">
        <f>P254</f>
        <v>Enchanted Dark Oak Wood</v>
      </c>
      <c r="Q257" s="188">
        <f t="shared" si="132"/>
        <v>10240</v>
      </c>
      <c r="S257" s="589">
        <f>S256</f>
        <v>38</v>
      </c>
      <c r="T257" s="590">
        <f t="shared" si="130"/>
        <v>108.0888889</v>
      </c>
    </row>
    <row r="258">
      <c r="B258" s="372"/>
      <c r="C258" s="591" t="s">
        <v>587</v>
      </c>
      <c r="D258" s="591">
        <v>16.0</v>
      </c>
      <c r="F258" s="592" t="str">
        <f>F254</f>
        <v>Enchanted Pumpkin</v>
      </c>
      <c r="G258" s="188">
        <f t="shared" si="131"/>
        <v>20480</v>
      </c>
      <c r="I258" s="589">
        <v>20.0</v>
      </c>
      <c r="J258" s="590">
        <f t="shared" si="128"/>
        <v>455.1111111</v>
      </c>
      <c r="L258" s="372"/>
      <c r="M258" s="591" t="s">
        <v>587</v>
      </c>
      <c r="N258" s="591">
        <v>16.0</v>
      </c>
      <c r="P258" s="592" t="str">
        <f>P254</f>
        <v>Enchanted Dark Oak Wood</v>
      </c>
      <c r="Q258" s="188">
        <f t="shared" si="132"/>
        <v>20480</v>
      </c>
      <c r="S258" s="589">
        <v>33.0</v>
      </c>
      <c r="T258" s="590">
        <f t="shared" si="130"/>
        <v>187.7333333</v>
      </c>
    </row>
    <row r="259">
      <c r="B259" s="372"/>
      <c r="C259" s="591" t="s">
        <v>114</v>
      </c>
      <c r="D259" s="591">
        <v>32.0</v>
      </c>
      <c r="F259" s="592" t="str">
        <f>F254</f>
        <v>Enchanted Pumpkin</v>
      </c>
      <c r="G259" s="188">
        <f t="shared" si="131"/>
        <v>40960</v>
      </c>
      <c r="I259" s="589">
        <f>I258</f>
        <v>20</v>
      </c>
      <c r="J259" s="590">
        <f t="shared" si="128"/>
        <v>910.2222222</v>
      </c>
      <c r="L259" s="372"/>
      <c r="M259" s="591" t="s">
        <v>114</v>
      </c>
      <c r="N259" s="591">
        <v>32.0</v>
      </c>
      <c r="P259" s="592" t="str">
        <f>P254</f>
        <v>Enchanted Dark Oak Wood</v>
      </c>
      <c r="Q259" s="188">
        <f t="shared" si="132"/>
        <v>40960</v>
      </c>
      <c r="S259" s="589">
        <f>S258</f>
        <v>33</v>
      </c>
      <c r="T259" s="590">
        <f t="shared" si="130"/>
        <v>375.4666667</v>
      </c>
    </row>
    <row r="260">
      <c r="B260" s="393"/>
      <c r="C260" s="594" t="s">
        <v>175</v>
      </c>
      <c r="D260" s="594">
        <v>64.0</v>
      </c>
      <c r="E260" s="6"/>
      <c r="F260" s="595" t="str">
        <f>F254</f>
        <v>Enchanted Pumpkin</v>
      </c>
      <c r="G260" s="596">
        <f t="shared" si="131"/>
        <v>81920</v>
      </c>
      <c r="H260" s="6"/>
      <c r="I260" s="597">
        <v>16.0</v>
      </c>
      <c r="J260" s="598" t="s">
        <v>120</v>
      </c>
      <c r="L260" s="393"/>
      <c r="M260" s="594" t="s">
        <v>175</v>
      </c>
      <c r="N260" s="594">
        <v>64.0</v>
      </c>
      <c r="O260" s="6"/>
      <c r="P260" s="595" t="str">
        <f>P254</f>
        <v>Enchanted Dark Oak Wood</v>
      </c>
      <c r="Q260" s="596">
        <f t="shared" si="132"/>
        <v>81920</v>
      </c>
      <c r="R260" s="6"/>
      <c r="S260" s="597">
        <v>27.0</v>
      </c>
      <c r="T260" s="598" t="s">
        <v>120</v>
      </c>
    </row>
    <row r="261">
      <c r="B261" s="580"/>
      <c r="L261" s="580"/>
    </row>
    <row r="262" ht="45.0" customHeight="1">
      <c r="B262" s="585" t="str">
        <f>'Minion Checker'!D27</f>
        <v/>
      </c>
      <c r="C262" s="583" t="str">
        <f>'Minion Checker'!E27</f>
        <v>Carrot</v>
      </c>
      <c r="D262" s="583" t="s">
        <v>577</v>
      </c>
      <c r="E262" s="17"/>
      <c r="F262" s="584" t="s">
        <v>578</v>
      </c>
      <c r="G262" s="584" t="s">
        <v>579</v>
      </c>
      <c r="H262" s="17"/>
      <c r="I262" s="583" t="s">
        <v>580</v>
      </c>
      <c r="J262" s="464" t="str">
        <f>"ETA of Self-Upgrade
(@x3 "&amp;C262&amp;" S./Harvest)"</f>
        <v>ETA of Self-Upgrade
(@x3 Carrot S./Harvest)</v>
      </c>
      <c r="L262" s="585" t="str">
        <f>'Minion Checker'!D57</f>
        <v/>
      </c>
      <c r="M262" s="583" t="str">
        <f>'Minion Checker'!E57</f>
        <v>Acacia</v>
      </c>
      <c r="N262" s="583" t="s">
        <v>577</v>
      </c>
      <c r="O262" s="17"/>
      <c r="P262" s="584" t="s">
        <v>578</v>
      </c>
      <c r="Q262" s="584" t="s">
        <v>579</v>
      </c>
      <c r="R262" s="17"/>
      <c r="S262" s="583" t="s">
        <v>580</v>
      </c>
      <c r="T262" s="464" t="str">
        <f>"ETA of Self-Upgrade
(@x4 "&amp;M262&amp;"/Harvest)"</f>
        <v>ETA of Self-Upgrade
(@x4 Acacia/Harvest)</v>
      </c>
    </row>
    <row r="263">
      <c r="B263" s="586"/>
      <c r="C263" s="587" t="s">
        <v>420</v>
      </c>
      <c r="D263" s="587">
        <v>16.0</v>
      </c>
      <c r="E263" s="588" t="str">
        <f>C262</f>
        <v>Carrot</v>
      </c>
      <c r="F263" s="588" t="str">
        <f>E263</f>
        <v>Carrot</v>
      </c>
      <c r="G263" s="188">
        <f t="shared" ref="G263:G265" si="133">D263*8</f>
        <v>128</v>
      </c>
      <c r="H263" s="187" t="str">
        <f>E263</f>
        <v>Carrot</v>
      </c>
      <c r="I263" s="589">
        <v>20.0</v>
      </c>
      <c r="J263" s="590">
        <f t="shared" ref="J263:J272" si="134">G264*I263/3600*2/3</f>
        <v>0.9481481481</v>
      </c>
      <c r="L263" s="586"/>
      <c r="M263" s="587" t="s">
        <v>420</v>
      </c>
      <c r="N263" s="587">
        <v>10.0</v>
      </c>
      <c r="O263" s="588" t="s">
        <v>166</v>
      </c>
      <c r="P263" s="588" t="str">
        <f>O263</f>
        <v>Acacia Wood</v>
      </c>
      <c r="Q263" s="188">
        <f t="shared" ref="Q263:Q266" si="135">N263*8</f>
        <v>80</v>
      </c>
      <c r="R263" s="187" t="str">
        <f>O263</f>
        <v>Acacia Wood</v>
      </c>
      <c r="S263" s="589">
        <v>48.0</v>
      </c>
      <c r="T263" s="590">
        <f t="shared" ref="T263:T272" si="136">Q264*S263/3600*2/4</f>
        <v>1.066666667</v>
      </c>
    </row>
    <row r="264">
      <c r="B264" s="372"/>
      <c r="C264" s="587" t="s">
        <v>582</v>
      </c>
      <c r="D264" s="587">
        <v>32.0</v>
      </c>
      <c r="F264" s="588" t="str">
        <f>F263</f>
        <v>Carrot</v>
      </c>
      <c r="G264" s="188">
        <f t="shared" si="133"/>
        <v>256</v>
      </c>
      <c r="I264" s="589">
        <f>I263</f>
        <v>20</v>
      </c>
      <c r="J264" s="590">
        <f t="shared" si="134"/>
        <v>1.896296296</v>
      </c>
      <c r="L264" s="372"/>
      <c r="M264" s="587" t="s">
        <v>582</v>
      </c>
      <c r="N264" s="587">
        <v>20.0</v>
      </c>
      <c r="P264" s="588" t="str">
        <f>P263</f>
        <v>Acacia Wood</v>
      </c>
      <c r="Q264" s="188">
        <f t="shared" si="135"/>
        <v>160</v>
      </c>
      <c r="S264" s="589">
        <f>S263</f>
        <v>48</v>
      </c>
      <c r="T264" s="590">
        <f t="shared" si="136"/>
        <v>2.133333333</v>
      </c>
    </row>
    <row r="265">
      <c r="B265" s="372"/>
      <c r="C265" s="587" t="s">
        <v>433</v>
      </c>
      <c r="D265" s="587">
        <v>64.0</v>
      </c>
      <c r="F265" s="588" t="str">
        <f>F263</f>
        <v>Carrot</v>
      </c>
      <c r="G265" s="188">
        <f t="shared" si="133"/>
        <v>512</v>
      </c>
      <c r="I265" s="589">
        <v>18.0</v>
      </c>
      <c r="J265" s="590">
        <f t="shared" si="134"/>
        <v>4.266666667</v>
      </c>
      <c r="L265" s="372"/>
      <c r="M265" s="587" t="s">
        <v>433</v>
      </c>
      <c r="N265" s="587">
        <v>40.0</v>
      </c>
      <c r="P265" s="588" t="str">
        <f>P263</f>
        <v>Acacia Wood</v>
      </c>
      <c r="Q265" s="188">
        <f t="shared" si="135"/>
        <v>320</v>
      </c>
      <c r="S265" s="589">
        <v>45.0</v>
      </c>
      <c r="T265" s="590">
        <f t="shared" si="136"/>
        <v>3.2</v>
      </c>
    </row>
    <row r="266">
      <c r="B266" s="372"/>
      <c r="C266" s="591" t="s">
        <v>583</v>
      </c>
      <c r="D266" s="591">
        <v>1.0</v>
      </c>
      <c r="E266" s="592" t="str">
        <f>"Enchanted "&amp;E263</f>
        <v>Enchanted Carrot</v>
      </c>
      <c r="F266" s="600" t="str">
        <f>E266</f>
        <v>Enchanted Carrot</v>
      </c>
      <c r="G266" s="188">
        <f t="shared" ref="G266:G271" si="137">D266*8*160</f>
        <v>1280</v>
      </c>
      <c r="I266" s="589">
        <f>I265</f>
        <v>18</v>
      </c>
      <c r="J266" s="590">
        <f t="shared" si="134"/>
        <v>12.8</v>
      </c>
      <c r="L266" s="372"/>
      <c r="M266" s="587" t="s">
        <v>583</v>
      </c>
      <c r="N266" s="587">
        <v>64.0</v>
      </c>
      <c r="P266" s="588" t="str">
        <f>P263</f>
        <v>Acacia Wood</v>
      </c>
      <c r="Q266" s="188">
        <f t="shared" si="135"/>
        <v>512</v>
      </c>
      <c r="S266" s="589">
        <f>S265</f>
        <v>45</v>
      </c>
      <c r="T266" s="590">
        <f t="shared" si="136"/>
        <v>8</v>
      </c>
    </row>
    <row r="267">
      <c r="B267" s="372"/>
      <c r="C267" s="591" t="s">
        <v>417</v>
      </c>
      <c r="D267" s="591">
        <v>3.0</v>
      </c>
      <c r="F267" s="592" t="str">
        <f>F266</f>
        <v>Enchanted Carrot</v>
      </c>
      <c r="G267" s="188">
        <f t="shared" si="137"/>
        <v>3840</v>
      </c>
      <c r="I267" s="589">
        <v>16.0</v>
      </c>
      <c r="J267" s="590">
        <f t="shared" si="134"/>
        <v>30.34074074</v>
      </c>
      <c r="L267" s="372"/>
      <c r="M267" s="591" t="s">
        <v>417</v>
      </c>
      <c r="N267" s="591">
        <v>1.0</v>
      </c>
      <c r="O267" s="592" t="str">
        <f>"Enchanted "&amp;O263</f>
        <v>Enchanted Acacia Wood</v>
      </c>
      <c r="P267" s="592" t="str">
        <f>O267</f>
        <v>Enchanted Acacia Wood</v>
      </c>
      <c r="Q267" s="188">
        <f t="shared" ref="Q267:Q273" si="138">N267*8*160</f>
        <v>1280</v>
      </c>
      <c r="S267" s="589">
        <v>42.0</v>
      </c>
      <c r="T267" s="590">
        <f t="shared" si="136"/>
        <v>14.93333333</v>
      </c>
    </row>
    <row r="268">
      <c r="B268" s="372"/>
      <c r="C268" s="591" t="s">
        <v>584</v>
      </c>
      <c r="D268" s="591">
        <v>8.0</v>
      </c>
      <c r="F268" s="592" t="str">
        <f>F266</f>
        <v>Enchanted Carrot</v>
      </c>
      <c r="G268" s="188">
        <f t="shared" si="137"/>
        <v>10240</v>
      </c>
      <c r="I268" s="589">
        <f>I267</f>
        <v>16</v>
      </c>
      <c r="J268" s="590">
        <f t="shared" si="134"/>
        <v>60.68148148</v>
      </c>
      <c r="L268" s="372"/>
      <c r="M268" s="591" t="s">
        <v>584</v>
      </c>
      <c r="N268" s="591">
        <v>2.0</v>
      </c>
      <c r="P268" s="592" t="str">
        <f>P267</f>
        <v>Enchanted Acacia Wood</v>
      </c>
      <c r="Q268" s="188">
        <f t="shared" si="138"/>
        <v>2560</v>
      </c>
      <c r="S268" s="589">
        <f>S267</f>
        <v>42</v>
      </c>
      <c r="T268" s="590">
        <f t="shared" si="136"/>
        <v>29.86666667</v>
      </c>
    </row>
    <row r="269">
      <c r="B269" s="372"/>
      <c r="C269" s="591" t="s">
        <v>585</v>
      </c>
      <c r="D269" s="591">
        <v>16.0</v>
      </c>
      <c r="F269" s="592" t="str">
        <f>F266</f>
        <v>Enchanted Carrot</v>
      </c>
      <c r="G269" s="188">
        <f t="shared" si="137"/>
        <v>20480</v>
      </c>
      <c r="I269" s="589">
        <v>14.0</v>
      </c>
      <c r="J269" s="590">
        <f t="shared" si="134"/>
        <v>106.1925926</v>
      </c>
      <c r="L269" s="372"/>
      <c r="M269" s="591" t="s">
        <v>585</v>
      </c>
      <c r="N269" s="591">
        <v>4.0</v>
      </c>
      <c r="P269" s="592" t="str">
        <f>P267</f>
        <v>Enchanted Acacia Wood</v>
      </c>
      <c r="Q269" s="188">
        <f t="shared" si="138"/>
        <v>5120</v>
      </c>
      <c r="S269" s="589">
        <v>38.0</v>
      </c>
      <c r="T269" s="590">
        <f t="shared" si="136"/>
        <v>54.04444444</v>
      </c>
    </row>
    <row r="270">
      <c r="B270" s="372"/>
      <c r="C270" s="591" t="s">
        <v>586</v>
      </c>
      <c r="D270" s="591">
        <v>32.0</v>
      </c>
      <c r="F270" s="592" t="str">
        <f>F266</f>
        <v>Enchanted Carrot</v>
      </c>
      <c r="G270" s="188">
        <f t="shared" si="137"/>
        <v>40960</v>
      </c>
      <c r="I270" s="589">
        <f>I269</f>
        <v>14</v>
      </c>
      <c r="J270" s="590">
        <f t="shared" si="134"/>
        <v>212.3851852</v>
      </c>
      <c r="L270" s="372"/>
      <c r="M270" s="591" t="s">
        <v>586</v>
      </c>
      <c r="N270" s="591">
        <v>8.0</v>
      </c>
      <c r="P270" s="592" t="str">
        <f>P267</f>
        <v>Enchanted Acacia Wood</v>
      </c>
      <c r="Q270" s="188">
        <f t="shared" si="138"/>
        <v>10240</v>
      </c>
      <c r="S270" s="589">
        <f>S269</f>
        <v>38</v>
      </c>
      <c r="T270" s="590">
        <f t="shared" si="136"/>
        <v>108.0888889</v>
      </c>
    </row>
    <row r="271">
      <c r="B271" s="372"/>
      <c r="C271" s="591" t="s">
        <v>587</v>
      </c>
      <c r="D271" s="591">
        <v>64.0</v>
      </c>
      <c r="F271" s="592" t="str">
        <f>F266</f>
        <v>Enchanted Carrot</v>
      </c>
      <c r="G271" s="188">
        <f t="shared" si="137"/>
        <v>81920</v>
      </c>
      <c r="I271" s="589">
        <v>12.0</v>
      </c>
      <c r="J271" s="590">
        <f t="shared" si="134"/>
        <v>364.6577778</v>
      </c>
      <c r="L271" s="372"/>
      <c r="M271" s="591" t="s">
        <v>587</v>
      </c>
      <c r="N271" s="591">
        <v>16.0</v>
      </c>
      <c r="P271" s="592" t="str">
        <f>P267</f>
        <v>Enchanted Acacia Wood</v>
      </c>
      <c r="Q271" s="188">
        <f t="shared" si="138"/>
        <v>20480</v>
      </c>
      <c r="S271" s="589">
        <v>33.0</v>
      </c>
      <c r="T271" s="590">
        <f t="shared" si="136"/>
        <v>187.7333333</v>
      </c>
    </row>
    <row r="272">
      <c r="B272" s="372"/>
      <c r="C272" s="601" t="s">
        <v>114</v>
      </c>
      <c r="D272" s="601">
        <v>1.0</v>
      </c>
      <c r="E272" s="463" t="s">
        <v>297</v>
      </c>
      <c r="F272" s="463" t="str">
        <f>E272</f>
        <v>Enchanted Golden Carrot</v>
      </c>
      <c r="G272" s="188">
        <f t="shared" ref="G272:G273" si="139">D272*8*(128*160+32)</f>
        <v>164096</v>
      </c>
      <c r="I272" s="589">
        <f>I271</f>
        <v>12</v>
      </c>
      <c r="J272" s="590">
        <f t="shared" si="134"/>
        <v>729.3155556</v>
      </c>
      <c r="L272" s="372"/>
      <c r="M272" s="591" t="s">
        <v>114</v>
      </c>
      <c r="N272" s="591">
        <v>32.0</v>
      </c>
      <c r="P272" s="592" t="str">
        <f>P267</f>
        <v>Enchanted Acacia Wood</v>
      </c>
      <c r="Q272" s="188">
        <f t="shared" si="138"/>
        <v>40960</v>
      </c>
      <c r="S272" s="589">
        <f>S271</f>
        <v>33</v>
      </c>
      <c r="T272" s="590">
        <f t="shared" si="136"/>
        <v>375.4666667</v>
      </c>
    </row>
    <row r="273">
      <c r="B273" s="393"/>
      <c r="C273" s="602" t="s">
        <v>175</v>
      </c>
      <c r="D273" s="602">
        <v>2.0</v>
      </c>
      <c r="E273" s="6"/>
      <c r="F273" s="603" t="str">
        <f>E272</f>
        <v>Enchanted Golden Carrot</v>
      </c>
      <c r="G273" s="596">
        <f t="shared" si="139"/>
        <v>328192</v>
      </c>
      <c r="H273" s="6"/>
      <c r="I273" s="597">
        <v>10.0</v>
      </c>
      <c r="J273" s="598" t="s">
        <v>120</v>
      </c>
      <c r="L273" s="393"/>
      <c r="M273" s="594" t="s">
        <v>175</v>
      </c>
      <c r="N273" s="594">
        <v>64.0</v>
      </c>
      <c r="O273" s="6"/>
      <c r="P273" s="595" t="str">
        <f>P267</f>
        <v>Enchanted Acacia Wood</v>
      </c>
      <c r="Q273" s="596">
        <f t="shared" si="138"/>
        <v>81920</v>
      </c>
      <c r="R273" s="6"/>
      <c r="S273" s="597">
        <v>27.0</v>
      </c>
      <c r="T273" s="598" t="s">
        <v>120</v>
      </c>
    </row>
    <row r="274">
      <c r="B274" s="580"/>
      <c r="L274" s="580"/>
    </row>
    <row r="275" ht="45.0" customHeight="1">
      <c r="B275" s="585" t="str">
        <f>'Minion Checker'!D28</f>
        <v/>
      </c>
      <c r="C275" s="583" t="str">
        <f>'Minion Checker'!E28</f>
        <v>Potato</v>
      </c>
      <c r="D275" s="583" t="s">
        <v>577</v>
      </c>
      <c r="E275" s="17"/>
      <c r="F275" s="584" t="s">
        <v>578</v>
      </c>
      <c r="G275" s="584" t="s">
        <v>579</v>
      </c>
      <c r="H275" s="17"/>
      <c r="I275" s="583" t="s">
        <v>580</v>
      </c>
      <c r="J275" s="464" t="str">
        <f>"ETA of Self-Upgrade
(@x3 "&amp;C275&amp;" S./Harvest)"</f>
        <v>ETA of Self-Upgrade
(@x3 Potato S./Harvest)</v>
      </c>
      <c r="L275" s="585" t="str">
        <f>'Minion Checker'!D58</f>
        <v/>
      </c>
      <c r="M275" s="583" t="str">
        <f>'Minion Checker'!E58</f>
        <v>Jungle</v>
      </c>
      <c r="N275" s="583" t="s">
        <v>577</v>
      </c>
      <c r="O275" s="17"/>
      <c r="P275" s="584" t="s">
        <v>578</v>
      </c>
      <c r="Q275" s="584" t="s">
        <v>579</v>
      </c>
      <c r="R275" s="17"/>
      <c r="S275" s="583" t="s">
        <v>580</v>
      </c>
      <c r="T275" s="464" t="str">
        <f>"ETA of Self-Upgrade
(@x4 "&amp;M275&amp;"/Harvest)"</f>
        <v>ETA of Self-Upgrade
(@x4 Jungle/Harvest)</v>
      </c>
    </row>
    <row r="276">
      <c r="B276" s="586"/>
      <c r="C276" s="587" t="s">
        <v>420</v>
      </c>
      <c r="D276" s="587">
        <v>16.0</v>
      </c>
      <c r="E276" s="588" t="str">
        <f>C275</f>
        <v>Potato</v>
      </c>
      <c r="F276" s="588" t="str">
        <f>E276</f>
        <v>Potato</v>
      </c>
      <c r="G276" s="188">
        <f t="shared" ref="G276:G278" si="140">D276*8</f>
        <v>128</v>
      </c>
      <c r="H276" s="187" t="str">
        <f>E276</f>
        <v>Potato</v>
      </c>
      <c r="I276" s="589">
        <v>20.0</v>
      </c>
      <c r="J276" s="590">
        <f t="shared" ref="J276:J285" si="141">G277*I276/3600*2/3</f>
        <v>0.9481481481</v>
      </c>
      <c r="L276" s="586"/>
      <c r="M276" s="587" t="s">
        <v>420</v>
      </c>
      <c r="N276" s="587">
        <v>10.0</v>
      </c>
      <c r="O276" s="588" t="s">
        <v>167</v>
      </c>
      <c r="P276" s="588" t="str">
        <f>O276</f>
        <v>Jungle Wood</v>
      </c>
      <c r="Q276" s="188">
        <f t="shared" ref="Q276:Q279" si="142">N276*8</f>
        <v>80</v>
      </c>
      <c r="R276" s="187" t="str">
        <f>O276</f>
        <v>Jungle Wood</v>
      </c>
      <c r="S276" s="589">
        <v>48.0</v>
      </c>
      <c r="T276" s="590">
        <f t="shared" ref="T276:T285" si="143">Q277*S276/3600*2/4</f>
        <v>1.066666667</v>
      </c>
    </row>
    <row r="277">
      <c r="B277" s="372"/>
      <c r="C277" s="587" t="s">
        <v>582</v>
      </c>
      <c r="D277" s="587">
        <v>32.0</v>
      </c>
      <c r="F277" s="588" t="str">
        <f>F276</f>
        <v>Potato</v>
      </c>
      <c r="G277" s="188">
        <f t="shared" si="140"/>
        <v>256</v>
      </c>
      <c r="I277" s="589">
        <f>I276</f>
        <v>20</v>
      </c>
      <c r="J277" s="590">
        <f t="shared" si="141"/>
        <v>1.896296296</v>
      </c>
      <c r="L277" s="372"/>
      <c r="M277" s="587" t="s">
        <v>582</v>
      </c>
      <c r="N277" s="587">
        <v>20.0</v>
      </c>
      <c r="P277" s="588" t="str">
        <f>P276</f>
        <v>Jungle Wood</v>
      </c>
      <c r="Q277" s="188">
        <f t="shared" si="142"/>
        <v>160</v>
      </c>
      <c r="S277" s="589">
        <f>S276</f>
        <v>48</v>
      </c>
      <c r="T277" s="590">
        <f t="shared" si="143"/>
        <v>2.133333333</v>
      </c>
    </row>
    <row r="278">
      <c r="B278" s="372"/>
      <c r="C278" s="587" t="s">
        <v>433</v>
      </c>
      <c r="D278" s="587">
        <v>64.0</v>
      </c>
      <c r="F278" s="588" t="str">
        <f>F276</f>
        <v>Potato</v>
      </c>
      <c r="G278" s="188">
        <f t="shared" si="140"/>
        <v>512</v>
      </c>
      <c r="I278" s="589">
        <v>18.0</v>
      </c>
      <c r="J278" s="590">
        <f t="shared" si="141"/>
        <v>4.266666667</v>
      </c>
      <c r="L278" s="372"/>
      <c r="M278" s="587" t="s">
        <v>433</v>
      </c>
      <c r="N278" s="587">
        <v>40.0</v>
      </c>
      <c r="P278" s="588" t="str">
        <f>P276</f>
        <v>Jungle Wood</v>
      </c>
      <c r="Q278" s="188">
        <f t="shared" si="142"/>
        <v>320</v>
      </c>
      <c r="S278" s="589">
        <v>45.0</v>
      </c>
      <c r="T278" s="590">
        <f t="shared" si="143"/>
        <v>3.2</v>
      </c>
    </row>
    <row r="279">
      <c r="B279" s="372"/>
      <c r="C279" s="591" t="s">
        <v>583</v>
      </c>
      <c r="D279" s="591">
        <v>1.0</v>
      </c>
      <c r="E279" s="592" t="str">
        <f>"Enchanted "&amp;E276</f>
        <v>Enchanted Potato</v>
      </c>
      <c r="F279" s="600" t="str">
        <f>E279</f>
        <v>Enchanted Potato</v>
      </c>
      <c r="G279" s="188">
        <f t="shared" ref="G279:G284" si="144">D279*8*160</f>
        <v>1280</v>
      </c>
      <c r="I279" s="589">
        <f>I278</f>
        <v>18</v>
      </c>
      <c r="J279" s="590">
        <f t="shared" si="141"/>
        <v>12.8</v>
      </c>
      <c r="L279" s="372"/>
      <c r="M279" s="587" t="s">
        <v>583</v>
      </c>
      <c r="N279" s="587">
        <v>64.0</v>
      </c>
      <c r="P279" s="588" t="str">
        <f>P276</f>
        <v>Jungle Wood</v>
      </c>
      <c r="Q279" s="188">
        <f t="shared" si="142"/>
        <v>512</v>
      </c>
      <c r="S279" s="589">
        <f>S278</f>
        <v>45</v>
      </c>
      <c r="T279" s="590">
        <f t="shared" si="143"/>
        <v>8</v>
      </c>
    </row>
    <row r="280">
      <c r="B280" s="372"/>
      <c r="C280" s="591" t="s">
        <v>417</v>
      </c>
      <c r="D280" s="591">
        <v>3.0</v>
      </c>
      <c r="F280" s="592" t="str">
        <f>F279</f>
        <v>Enchanted Potato</v>
      </c>
      <c r="G280" s="188">
        <f t="shared" si="144"/>
        <v>3840</v>
      </c>
      <c r="I280" s="589">
        <v>16.0</v>
      </c>
      <c r="J280" s="590">
        <f t="shared" si="141"/>
        <v>30.34074074</v>
      </c>
      <c r="L280" s="372"/>
      <c r="M280" s="591" t="s">
        <v>417</v>
      </c>
      <c r="N280" s="591">
        <v>1.0</v>
      </c>
      <c r="O280" s="592" t="str">
        <f>"Enchanted "&amp;O276</f>
        <v>Enchanted Jungle Wood</v>
      </c>
      <c r="P280" s="592" t="str">
        <f>O280</f>
        <v>Enchanted Jungle Wood</v>
      </c>
      <c r="Q280" s="188">
        <f t="shared" ref="Q280:Q286" si="145">N280*8*160</f>
        <v>1280</v>
      </c>
      <c r="S280" s="589">
        <v>42.0</v>
      </c>
      <c r="T280" s="590">
        <f t="shared" si="143"/>
        <v>14.93333333</v>
      </c>
    </row>
    <row r="281">
      <c r="B281" s="372"/>
      <c r="C281" s="591" t="s">
        <v>584</v>
      </c>
      <c r="D281" s="591">
        <v>8.0</v>
      </c>
      <c r="F281" s="592" t="str">
        <f>F279</f>
        <v>Enchanted Potato</v>
      </c>
      <c r="G281" s="188">
        <f t="shared" si="144"/>
        <v>10240</v>
      </c>
      <c r="I281" s="589">
        <f>I280</f>
        <v>16</v>
      </c>
      <c r="J281" s="590">
        <f t="shared" si="141"/>
        <v>60.68148148</v>
      </c>
      <c r="L281" s="372"/>
      <c r="M281" s="591" t="s">
        <v>584</v>
      </c>
      <c r="N281" s="591">
        <v>2.0</v>
      </c>
      <c r="P281" s="592" t="str">
        <f>P280</f>
        <v>Enchanted Jungle Wood</v>
      </c>
      <c r="Q281" s="188">
        <f t="shared" si="145"/>
        <v>2560</v>
      </c>
      <c r="S281" s="589">
        <f>S280</f>
        <v>42</v>
      </c>
      <c r="T281" s="590">
        <f t="shared" si="143"/>
        <v>29.86666667</v>
      </c>
    </row>
    <row r="282">
      <c r="B282" s="372"/>
      <c r="C282" s="591" t="s">
        <v>585</v>
      </c>
      <c r="D282" s="591">
        <v>16.0</v>
      </c>
      <c r="F282" s="592" t="str">
        <f>F279</f>
        <v>Enchanted Potato</v>
      </c>
      <c r="G282" s="188">
        <f t="shared" si="144"/>
        <v>20480</v>
      </c>
      <c r="I282" s="589">
        <v>14.0</v>
      </c>
      <c r="J282" s="590">
        <f t="shared" si="141"/>
        <v>106.1925926</v>
      </c>
      <c r="L282" s="372"/>
      <c r="M282" s="591" t="s">
        <v>585</v>
      </c>
      <c r="N282" s="591">
        <v>4.0</v>
      </c>
      <c r="P282" s="592" t="str">
        <f>P280</f>
        <v>Enchanted Jungle Wood</v>
      </c>
      <c r="Q282" s="188">
        <f t="shared" si="145"/>
        <v>5120</v>
      </c>
      <c r="S282" s="589">
        <v>38.0</v>
      </c>
      <c r="T282" s="590">
        <f t="shared" si="143"/>
        <v>54.04444444</v>
      </c>
    </row>
    <row r="283">
      <c r="B283" s="372"/>
      <c r="C283" s="591" t="s">
        <v>586</v>
      </c>
      <c r="D283" s="591">
        <v>32.0</v>
      </c>
      <c r="F283" s="592" t="str">
        <f>F279</f>
        <v>Enchanted Potato</v>
      </c>
      <c r="G283" s="188">
        <f t="shared" si="144"/>
        <v>40960</v>
      </c>
      <c r="I283" s="589">
        <f>I282</f>
        <v>14</v>
      </c>
      <c r="J283" s="590">
        <f t="shared" si="141"/>
        <v>212.3851852</v>
      </c>
      <c r="L283" s="372"/>
      <c r="M283" s="591" t="s">
        <v>586</v>
      </c>
      <c r="N283" s="591">
        <v>8.0</v>
      </c>
      <c r="P283" s="592" t="str">
        <f>P280</f>
        <v>Enchanted Jungle Wood</v>
      </c>
      <c r="Q283" s="188">
        <f t="shared" si="145"/>
        <v>10240</v>
      </c>
      <c r="S283" s="589">
        <f>S282</f>
        <v>38</v>
      </c>
      <c r="T283" s="590">
        <f t="shared" si="143"/>
        <v>108.0888889</v>
      </c>
    </row>
    <row r="284">
      <c r="B284" s="372"/>
      <c r="C284" s="591" t="s">
        <v>587</v>
      </c>
      <c r="D284" s="591">
        <v>64.0</v>
      </c>
      <c r="F284" s="592" t="str">
        <f>F279</f>
        <v>Enchanted Potato</v>
      </c>
      <c r="G284" s="188">
        <f t="shared" si="144"/>
        <v>81920</v>
      </c>
      <c r="I284" s="589">
        <v>12.0</v>
      </c>
      <c r="J284" s="590">
        <f t="shared" si="141"/>
        <v>455.1111111</v>
      </c>
      <c r="L284" s="372"/>
      <c r="M284" s="591" t="s">
        <v>587</v>
      </c>
      <c r="N284" s="591">
        <v>16.0</v>
      </c>
      <c r="P284" s="592" t="str">
        <f>P280</f>
        <v>Enchanted Jungle Wood</v>
      </c>
      <c r="Q284" s="188">
        <f t="shared" si="145"/>
        <v>20480</v>
      </c>
      <c r="S284" s="589">
        <v>33.0</v>
      </c>
      <c r="T284" s="590">
        <f t="shared" si="143"/>
        <v>187.7333333</v>
      </c>
    </row>
    <row r="285">
      <c r="B285" s="372"/>
      <c r="C285" s="601" t="s">
        <v>114</v>
      </c>
      <c r="D285" s="601">
        <v>1.0</v>
      </c>
      <c r="E285" s="463" t="s">
        <v>301</v>
      </c>
      <c r="F285" s="463" t="str">
        <f>E285</f>
        <v>Enchanted Baked Potato</v>
      </c>
      <c r="G285" s="188">
        <f t="shared" ref="G285:G286" si="146">D285*8*160*160</f>
        <v>204800</v>
      </c>
      <c r="I285" s="589">
        <f>I284</f>
        <v>12</v>
      </c>
      <c r="J285" s="590">
        <f t="shared" si="141"/>
        <v>910.2222222</v>
      </c>
      <c r="L285" s="372"/>
      <c r="M285" s="591" t="s">
        <v>114</v>
      </c>
      <c r="N285" s="591">
        <v>32.0</v>
      </c>
      <c r="P285" s="592" t="str">
        <f>P280</f>
        <v>Enchanted Jungle Wood</v>
      </c>
      <c r="Q285" s="188">
        <f t="shared" si="145"/>
        <v>40960</v>
      </c>
      <c r="S285" s="589">
        <f>S284</f>
        <v>33</v>
      </c>
      <c r="T285" s="590">
        <f t="shared" si="143"/>
        <v>375.4666667</v>
      </c>
    </row>
    <row r="286">
      <c r="B286" s="393"/>
      <c r="C286" s="602" t="s">
        <v>175</v>
      </c>
      <c r="D286" s="602">
        <v>2.0</v>
      </c>
      <c r="E286" s="6"/>
      <c r="F286" s="603" t="str">
        <f>E285</f>
        <v>Enchanted Baked Potato</v>
      </c>
      <c r="G286" s="596">
        <f t="shared" si="146"/>
        <v>409600</v>
      </c>
      <c r="H286" s="6"/>
      <c r="I286" s="597">
        <v>10.0</v>
      </c>
      <c r="J286" s="598" t="s">
        <v>120</v>
      </c>
      <c r="L286" s="393"/>
      <c r="M286" s="594" t="s">
        <v>175</v>
      </c>
      <c r="N286" s="594">
        <v>64.0</v>
      </c>
      <c r="O286" s="6"/>
      <c r="P286" s="595" t="str">
        <f>P280</f>
        <v>Enchanted Jungle Wood</v>
      </c>
      <c r="Q286" s="596">
        <f t="shared" si="145"/>
        <v>81920</v>
      </c>
      <c r="R286" s="6"/>
      <c r="S286" s="597">
        <v>27.0</v>
      </c>
      <c r="T286" s="598" t="s">
        <v>120</v>
      </c>
    </row>
    <row r="287">
      <c r="B287" s="580"/>
      <c r="L287" s="580"/>
      <c r="M287" s="580"/>
      <c r="N287" s="580"/>
      <c r="O287" s="580"/>
      <c r="P287" s="580"/>
      <c r="Q287" s="580"/>
      <c r="R287" s="580"/>
      <c r="S287" s="580"/>
      <c r="T287" s="580"/>
    </row>
    <row r="288" ht="45.0" customHeight="1">
      <c r="B288" s="585" t="str">
        <f>'Minion Checker'!D29</f>
        <v/>
      </c>
      <c r="C288" s="583" t="str">
        <f>'Minion Checker'!E29</f>
        <v>Mushroom</v>
      </c>
      <c r="D288" s="583" t="s">
        <v>577</v>
      </c>
      <c r="E288" s="17"/>
      <c r="F288" s="584" t="s">
        <v>578</v>
      </c>
      <c r="G288" s="584" t="s">
        <v>579</v>
      </c>
      <c r="H288" s="17"/>
      <c r="I288" s="583" t="s">
        <v>580</v>
      </c>
      <c r="J288" s="464" t="s">
        <v>581</v>
      </c>
      <c r="L288" s="585" t="str">
        <f>'Minion Checker'!D59</f>
        <v/>
      </c>
      <c r="M288" s="583" t="str">
        <f>'Minion Checker'!E59</f>
        <v>Mithril</v>
      </c>
      <c r="N288" s="583" t="s">
        <v>577</v>
      </c>
      <c r="O288" s="17"/>
      <c r="P288" s="584" t="s">
        <v>578</v>
      </c>
      <c r="Q288" s="584" t="s">
        <v>579</v>
      </c>
      <c r="R288" s="17"/>
      <c r="S288" s="583" t="s">
        <v>580</v>
      </c>
      <c r="T288" s="464" t="str">
        <f>"ETA of Self-Upgrade
(@x2 "&amp;M288&amp;"/Harvest)"</f>
        <v>ETA of Self-Upgrade
(@x2 Mithril/Harvest)</v>
      </c>
    </row>
    <row r="289">
      <c r="B289" s="586"/>
      <c r="C289" s="587" t="s">
        <v>420</v>
      </c>
      <c r="D289" s="587">
        <v>10.0</v>
      </c>
      <c r="E289" s="588" t="s">
        <v>52</v>
      </c>
      <c r="F289" s="588" t="str">
        <f>E289</f>
        <v>Mushroom</v>
      </c>
      <c r="G289" s="188">
        <f t="shared" ref="G289:G292" si="147">D289*8</f>
        <v>80</v>
      </c>
      <c r="H289" s="187" t="str">
        <f>E289</f>
        <v>Mushroom</v>
      </c>
      <c r="I289" s="589">
        <v>30.0</v>
      </c>
      <c r="J289" s="590">
        <f t="shared" ref="J289:J298" si="148">G290*I289/3600*2</f>
        <v>2.666666667</v>
      </c>
      <c r="L289" s="586"/>
      <c r="M289" s="587" t="s">
        <v>420</v>
      </c>
      <c r="N289" s="587">
        <v>10.0</v>
      </c>
      <c r="O289" s="588" t="s">
        <v>86</v>
      </c>
      <c r="P289" s="588" t="str">
        <f>O289</f>
        <v>Mithril</v>
      </c>
      <c r="Q289" s="188">
        <f t="shared" ref="Q289:Q292" si="149">N289*8</f>
        <v>80</v>
      </c>
      <c r="R289" s="187" t="str">
        <f>O289</f>
        <v>Mithril</v>
      </c>
      <c r="S289" s="589">
        <v>80.0</v>
      </c>
      <c r="T289" s="590">
        <f t="shared" ref="T289:T298" si="150">Q290*S289/3600</f>
        <v>3.555555556</v>
      </c>
    </row>
    <row r="290">
      <c r="B290" s="372"/>
      <c r="C290" s="587" t="s">
        <v>582</v>
      </c>
      <c r="D290" s="587">
        <v>20.0</v>
      </c>
      <c r="F290" s="588" t="str">
        <f>F289</f>
        <v>Mushroom</v>
      </c>
      <c r="G290" s="188">
        <f t="shared" si="147"/>
        <v>160</v>
      </c>
      <c r="I290" s="589">
        <f>I289</f>
        <v>30</v>
      </c>
      <c r="J290" s="590">
        <f t="shared" si="148"/>
        <v>5.333333333</v>
      </c>
      <c r="L290" s="372"/>
      <c r="M290" s="587" t="s">
        <v>582</v>
      </c>
      <c r="N290" s="587">
        <v>20.0</v>
      </c>
      <c r="P290" s="588" t="str">
        <f>P289</f>
        <v>Mithril</v>
      </c>
      <c r="Q290" s="188">
        <f t="shared" si="149"/>
        <v>160</v>
      </c>
      <c r="S290" s="589">
        <f>S289</f>
        <v>80</v>
      </c>
      <c r="T290" s="590">
        <f t="shared" si="150"/>
        <v>7.111111111</v>
      </c>
    </row>
    <row r="291">
      <c r="B291" s="372"/>
      <c r="C291" s="587" t="s">
        <v>433</v>
      </c>
      <c r="D291" s="587">
        <v>40.0</v>
      </c>
      <c r="F291" s="588" t="str">
        <f>F289</f>
        <v>Mushroom</v>
      </c>
      <c r="G291" s="188">
        <f t="shared" si="147"/>
        <v>320</v>
      </c>
      <c r="I291" s="589">
        <v>28.0</v>
      </c>
      <c r="J291" s="590">
        <f t="shared" si="148"/>
        <v>7.964444444</v>
      </c>
      <c r="L291" s="372"/>
      <c r="M291" s="587" t="s">
        <v>433</v>
      </c>
      <c r="N291" s="587">
        <v>40.0</v>
      </c>
      <c r="P291" s="588" t="str">
        <f>P289</f>
        <v>Mithril</v>
      </c>
      <c r="Q291" s="188">
        <f t="shared" si="149"/>
        <v>320</v>
      </c>
      <c r="S291" s="589">
        <v>75.0</v>
      </c>
      <c r="T291" s="590">
        <f t="shared" si="150"/>
        <v>10.66666667</v>
      </c>
    </row>
    <row r="292">
      <c r="B292" s="372"/>
      <c r="C292" s="587" t="s">
        <v>583</v>
      </c>
      <c r="D292" s="587">
        <v>64.0</v>
      </c>
      <c r="F292" s="588" t="str">
        <f>F289</f>
        <v>Mushroom</v>
      </c>
      <c r="G292" s="188">
        <f t="shared" si="147"/>
        <v>512</v>
      </c>
      <c r="I292" s="589">
        <f>I291</f>
        <v>28</v>
      </c>
      <c r="J292" s="590">
        <f t="shared" si="148"/>
        <v>19.91111111</v>
      </c>
      <c r="L292" s="372"/>
      <c r="M292" s="587" t="s">
        <v>583</v>
      </c>
      <c r="N292" s="587">
        <v>64.0</v>
      </c>
      <c r="P292" s="588" t="str">
        <f>P289</f>
        <v>Mithril</v>
      </c>
      <c r="Q292" s="188">
        <f t="shared" si="149"/>
        <v>512</v>
      </c>
      <c r="S292" s="589">
        <f>S291</f>
        <v>75</v>
      </c>
      <c r="T292" s="590">
        <f t="shared" si="150"/>
        <v>26.66666667</v>
      </c>
    </row>
    <row r="293">
      <c r="B293" s="372"/>
      <c r="C293" s="591" t="s">
        <v>417</v>
      </c>
      <c r="D293" s="591">
        <v>1.0</v>
      </c>
      <c r="E293" s="592" t="str">
        <f>"Enchanted "&amp;E289</f>
        <v>Enchanted Mushroom</v>
      </c>
      <c r="F293" s="592" t="str">
        <f>E293</f>
        <v>Enchanted Mushroom</v>
      </c>
      <c r="G293" s="188">
        <f t="shared" ref="G293:G299" si="151">D293*8*160</f>
        <v>1280</v>
      </c>
      <c r="I293" s="589">
        <v>26.0</v>
      </c>
      <c r="J293" s="590">
        <f t="shared" si="148"/>
        <v>36.97777778</v>
      </c>
      <c r="L293" s="372"/>
      <c r="M293" s="591" t="s">
        <v>417</v>
      </c>
      <c r="N293" s="591">
        <v>1.0</v>
      </c>
      <c r="O293" s="592" t="str">
        <f>"Enchanted "&amp;O289</f>
        <v>Enchanted Mithril</v>
      </c>
      <c r="P293" s="592" t="str">
        <f>O293</f>
        <v>Enchanted Mithril</v>
      </c>
      <c r="Q293" s="188">
        <f t="shared" ref="Q293:Q298" si="152">N293*8*160</f>
        <v>1280</v>
      </c>
      <c r="S293" s="589">
        <v>70.0</v>
      </c>
      <c r="T293" s="590">
        <f t="shared" si="150"/>
        <v>74.66666667</v>
      </c>
    </row>
    <row r="294">
      <c r="B294" s="372"/>
      <c r="C294" s="591" t="s">
        <v>584</v>
      </c>
      <c r="D294" s="591">
        <v>2.0</v>
      </c>
      <c r="F294" s="592" t="str">
        <f>F293</f>
        <v>Enchanted Mushroom</v>
      </c>
      <c r="G294" s="188">
        <f t="shared" si="151"/>
        <v>2560</v>
      </c>
      <c r="I294" s="589">
        <f>I293</f>
        <v>26</v>
      </c>
      <c r="J294" s="590">
        <f t="shared" si="148"/>
        <v>73.95555556</v>
      </c>
      <c r="L294" s="372"/>
      <c r="M294" s="591" t="s">
        <v>584</v>
      </c>
      <c r="N294" s="591">
        <v>3.0</v>
      </c>
      <c r="P294" s="592" t="str">
        <f>P293</f>
        <v>Enchanted Mithril</v>
      </c>
      <c r="Q294" s="188">
        <f t="shared" si="152"/>
        <v>3840</v>
      </c>
      <c r="S294" s="589">
        <f>S293</f>
        <v>70</v>
      </c>
      <c r="T294" s="590">
        <f t="shared" si="150"/>
        <v>199.1111111</v>
      </c>
    </row>
    <row r="295">
      <c r="B295" s="372"/>
      <c r="C295" s="591" t="s">
        <v>585</v>
      </c>
      <c r="D295" s="591">
        <v>4.0</v>
      </c>
      <c r="F295" s="592" t="str">
        <f>F293</f>
        <v>Enchanted Mushroom</v>
      </c>
      <c r="G295" s="188">
        <f t="shared" si="151"/>
        <v>5120</v>
      </c>
      <c r="I295" s="589">
        <v>23.0</v>
      </c>
      <c r="J295" s="590">
        <f t="shared" si="148"/>
        <v>130.8444444</v>
      </c>
      <c r="L295" s="372"/>
      <c r="M295" s="591" t="s">
        <v>585</v>
      </c>
      <c r="N295" s="591">
        <v>8.0</v>
      </c>
      <c r="P295" s="592" t="str">
        <f>P293</f>
        <v>Enchanted Mithril</v>
      </c>
      <c r="Q295" s="188">
        <f t="shared" si="152"/>
        <v>10240</v>
      </c>
      <c r="S295" s="589">
        <v>65.0</v>
      </c>
      <c r="T295" s="590">
        <f t="shared" si="150"/>
        <v>369.7777778</v>
      </c>
    </row>
    <row r="296">
      <c r="B296" s="372"/>
      <c r="C296" s="591" t="s">
        <v>586</v>
      </c>
      <c r="D296" s="591">
        <v>8.0</v>
      </c>
      <c r="F296" s="592" t="str">
        <f>F293</f>
        <v>Enchanted Mushroom</v>
      </c>
      <c r="G296" s="188">
        <f t="shared" si="151"/>
        <v>10240</v>
      </c>
      <c r="I296" s="589">
        <f>I295</f>
        <v>23</v>
      </c>
      <c r="J296" s="590">
        <f t="shared" si="148"/>
        <v>261.6888889</v>
      </c>
      <c r="L296" s="372"/>
      <c r="M296" s="591" t="s">
        <v>586</v>
      </c>
      <c r="N296" s="591">
        <v>16.0</v>
      </c>
      <c r="P296" s="592" t="str">
        <f>P293</f>
        <v>Enchanted Mithril</v>
      </c>
      <c r="Q296" s="188">
        <f t="shared" si="152"/>
        <v>20480</v>
      </c>
      <c r="S296" s="589">
        <f>S295</f>
        <v>65</v>
      </c>
      <c r="T296" s="590">
        <f t="shared" si="150"/>
        <v>739.5555556</v>
      </c>
    </row>
    <row r="297">
      <c r="B297" s="372"/>
      <c r="C297" s="591" t="s">
        <v>587</v>
      </c>
      <c r="D297" s="591">
        <v>16.0</v>
      </c>
      <c r="F297" s="592" t="str">
        <f>F293</f>
        <v>Enchanted Mushroom</v>
      </c>
      <c r="G297" s="188">
        <f t="shared" si="151"/>
        <v>20480</v>
      </c>
      <c r="I297" s="589">
        <v>20.0</v>
      </c>
      <c r="J297" s="590">
        <f t="shared" si="148"/>
        <v>455.1111111</v>
      </c>
      <c r="L297" s="372"/>
      <c r="M297" s="591" t="s">
        <v>587</v>
      </c>
      <c r="N297" s="591">
        <v>32.0</v>
      </c>
      <c r="P297" s="592" t="str">
        <f>P293</f>
        <v>Enchanted Mithril</v>
      </c>
      <c r="Q297" s="188">
        <f t="shared" si="152"/>
        <v>40960</v>
      </c>
      <c r="S297" s="589">
        <v>60.0</v>
      </c>
      <c r="T297" s="590">
        <f t="shared" si="150"/>
        <v>1365.333333</v>
      </c>
    </row>
    <row r="298">
      <c r="B298" s="372"/>
      <c r="C298" s="591" t="s">
        <v>114</v>
      </c>
      <c r="D298" s="591">
        <v>32.0</v>
      </c>
      <c r="F298" s="592" t="str">
        <f>F293</f>
        <v>Enchanted Mushroom</v>
      </c>
      <c r="G298" s="188">
        <f t="shared" si="151"/>
        <v>40960</v>
      </c>
      <c r="I298" s="589">
        <f>I297</f>
        <v>20</v>
      </c>
      <c r="J298" s="590">
        <f t="shared" si="148"/>
        <v>910.2222222</v>
      </c>
      <c r="L298" s="372"/>
      <c r="M298" s="591" t="s">
        <v>114</v>
      </c>
      <c r="N298" s="591">
        <v>64.0</v>
      </c>
      <c r="P298" s="592" t="str">
        <f>P293</f>
        <v>Enchanted Mithril</v>
      </c>
      <c r="Q298" s="188">
        <f t="shared" si="152"/>
        <v>81920</v>
      </c>
      <c r="S298" s="589">
        <f>S297</f>
        <v>60</v>
      </c>
      <c r="T298" s="590">
        <f t="shared" si="150"/>
        <v>3413.333333</v>
      </c>
    </row>
    <row r="299">
      <c r="B299" s="393"/>
      <c r="C299" s="594" t="s">
        <v>175</v>
      </c>
      <c r="D299" s="594">
        <v>64.0</v>
      </c>
      <c r="E299" s="6"/>
      <c r="F299" s="595" t="str">
        <f>F293</f>
        <v>Enchanted Mushroom</v>
      </c>
      <c r="G299" s="596">
        <f t="shared" si="151"/>
        <v>81920</v>
      </c>
      <c r="H299" s="6"/>
      <c r="I299" s="597">
        <v>16.0</v>
      </c>
      <c r="J299" s="598" t="s">
        <v>120</v>
      </c>
      <c r="L299" s="393"/>
      <c r="M299" s="602" t="s">
        <v>175</v>
      </c>
      <c r="N299" s="602">
        <v>1.0</v>
      </c>
      <c r="O299" s="603" t="s">
        <v>386</v>
      </c>
      <c r="P299" s="603" t="str">
        <f>O299</f>
        <v>Refined Mithril</v>
      </c>
      <c r="Q299" s="596">
        <f>N299*8*160*160</f>
        <v>204800</v>
      </c>
      <c r="R299" s="6"/>
      <c r="S299" s="597">
        <v>55.0</v>
      </c>
      <c r="T299" s="598" t="s">
        <v>120</v>
      </c>
    </row>
    <row r="300">
      <c r="B300" s="580"/>
      <c r="L300" s="580"/>
    </row>
    <row r="301" ht="45.0" customHeight="1">
      <c r="B301" s="585" t="str">
        <f>'Minion Checker'!D30</f>
        <v/>
      </c>
      <c r="C301" s="583" t="str">
        <f>'Minion Checker'!E30</f>
        <v>Cactus</v>
      </c>
      <c r="D301" s="583" t="s">
        <v>577</v>
      </c>
      <c r="E301" s="17"/>
      <c r="F301" s="584" t="s">
        <v>578</v>
      </c>
      <c r="G301" s="584" t="s">
        <v>579</v>
      </c>
      <c r="H301" s="17"/>
      <c r="I301" s="583" t="s">
        <v>580</v>
      </c>
      <c r="J301" s="464" t="str">
        <f>"ETA of Self-Upgrade
(@x1 "&amp;C301&amp;"/Harvest)"</f>
        <v>ETA of Self-Upgrade
(@x1 Cactus/Harvest)</v>
      </c>
    </row>
    <row r="302">
      <c r="B302" s="586"/>
      <c r="C302" s="587" t="s">
        <v>420</v>
      </c>
      <c r="D302" s="587">
        <v>16.0</v>
      </c>
      <c r="E302" s="588" t="str">
        <f>C301</f>
        <v>Cactus</v>
      </c>
      <c r="F302" s="588" t="str">
        <f>E302</f>
        <v>Cactus</v>
      </c>
      <c r="G302" s="188">
        <f t="shared" ref="G302:G304" si="153">D302*8</f>
        <v>128</v>
      </c>
      <c r="H302" s="187" t="str">
        <f>E302</f>
        <v>Cactus</v>
      </c>
      <c r="I302" s="589">
        <v>27.0</v>
      </c>
      <c r="J302" s="590">
        <f t="shared" ref="J302:J311" si="154">G303*I302/3600*2</f>
        <v>3.84</v>
      </c>
    </row>
    <row r="303">
      <c r="B303" s="372"/>
      <c r="C303" s="587" t="s">
        <v>582</v>
      </c>
      <c r="D303" s="587">
        <v>32.0</v>
      </c>
      <c r="F303" s="588" t="str">
        <f>F302</f>
        <v>Cactus</v>
      </c>
      <c r="G303" s="188">
        <f t="shared" si="153"/>
        <v>256</v>
      </c>
      <c r="I303" s="589">
        <f>I302</f>
        <v>27</v>
      </c>
      <c r="J303" s="590">
        <f t="shared" si="154"/>
        <v>7.68</v>
      </c>
    </row>
    <row r="304">
      <c r="B304" s="372"/>
      <c r="C304" s="587" t="s">
        <v>433</v>
      </c>
      <c r="D304" s="587">
        <v>64.0</v>
      </c>
      <c r="F304" s="623" t="str">
        <f>F302</f>
        <v>Cactus</v>
      </c>
      <c r="G304" s="188">
        <f t="shared" si="153"/>
        <v>512</v>
      </c>
      <c r="I304" s="589">
        <v>25.0</v>
      </c>
      <c r="J304" s="590">
        <f t="shared" si="154"/>
        <v>17.77777778</v>
      </c>
    </row>
    <row r="305">
      <c r="B305" s="372"/>
      <c r="C305" s="591" t="s">
        <v>583</v>
      </c>
      <c r="D305" s="591">
        <v>1.0</v>
      </c>
      <c r="E305" s="592" t="s">
        <v>461</v>
      </c>
      <c r="F305" s="592" t="str">
        <f>E305</f>
        <v>Enchanted Cactus Green</v>
      </c>
      <c r="G305" s="188">
        <f t="shared" ref="G305:G310" si="155">D305*8*160</f>
        <v>1280</v>
      </c>
      <c r="I305" s="589">
        <f>I304</f>
        <v>25</v>
      </c>
      <c r="J305" s="590">
        <f t="shared" si="154"/>
        <v>53.33333333</v>
      </c>
    </row>
    <row r="306">
      <c r="B306" s="372"/>
      <c r="C306" s="591" t="s">
        <v>417</v>
      </c>
      <c r="D306" s="591">
        <v>3.0</v>
      </c>
      <c r="F306" s="592" t="str">
        <f>F305</f>
        <v>Enchanted Cactus Green</v>
      </c>
      <c r="G306" s="188">
        <f t="shared" si="155"/>
        <v>3840</v>
      </c>
      <c r="I306" s="589">
        <v>23.0</v>
      </c>
      <c r="J306" s="590">
        <f t="shared" si="154"/>
        <v>130.8444444</v>
      </c>
    </row>
    <row r="307">
      <c r="B307" s="372"/>
      <c r="C307" s="591" t="s">
        <v>584</v>
      </c>
      <c r="D307" s="591">
        <v>8.0</v>
      </c>
      <c r="F307" s="592" t="str">
        <f>F305</f>
        <v>Enchanted Cactus Green</v>
      </c>
      <c r="G307" s="188">
        <f t="shared" si="155"/>
        <v>10240</v>
      </c>
      <c r="I307" s="589">
        <f>I306</f>
        <v>23</v>
      </c>
      <c r="J307" s="590">
        <f t="shared" si="154"/>
        <v>261.6888889</v>
      </c>
    </row>
    <row r="308">
      <c r="B308" s="372"/>
      <c r="C308" s="591" t="s">
        <v>585</v>
      </c>
      <c r="D308" s="591">
        <v>16.0</v>
      </c>
      <c r="F308" s="592" t="str">
        <f>F305</f>
        <v>Enchanted Cactus Green</v>
      </c>
      <c r="G308" s="188">
        <f t="shared" si="155"/>
        <v>20480</v>
      </c>
      <c r="I308" s="589">
        <v>21.0</v>
      </c>
      <c r="J308" s="590">
        <f t="shared" si="154"/>
        <v>477.8666667</v>
      </c>
    </row>
    <row r="309">
      <c r="B309" s="372"/>
      <c r="C309" s="591" t="s">
        <v>586</v>
      </c>
      <c r="D309" s="591">
        <v>32.0</v>
      </c>
      <c r="F309" s="592" t="str">
        <f>F305</f>
        <v>Enchanted Cactus Green</v>
      </c>
      <c r="G309" s="188">
        <f t="shared" si="155"/>
        <v>40960</v>
      </c>
      <c r="I309" s="589">
        <f>I308</f>
        <v>21</v>
      </c>
      <c r="J309" s="590">
        <f t="shared" si="154"/>
        <v>955.7333333</v>
      </c>
    </row>
    <row r="310">
      <c r="B310" s="372"/>
      <c r="C310" s="591" t="s">
        <v>587</v>
      </c>
      <c r="D310" s="591">
        <v>64.0</v>
      </c>
      <c r="F310" s="592" t="str">
        <f>F305</f>
        <v>Enchanted Cactus Green</v>
      </c>
      <c r="G310" s="188">
        <f t="shared" si="155"/>
        <v>81920</v>
      </c>
      <c r="I310" s="589">
        <v>18.0</v>
      </c>
      <c r="J310" s="590">
        <f t="shared" si="154"/>
        <v>2048</v>
      </c>
    </row>
    <row r="311">
      <c r="B311" s="372"/>
      <c r="C311" s="601" t="s">
        <v>114</v>
      </c>
      <c r="D311" s="601">
        <v>1.0</v>
      </c>
      <c r="E311" s="463" t="str">
        <f>"Enchanted "&amp;E302</f>
        <v>Enchanted Cactus</v>
      </c>
      <c r="F311" s="463" t="str">
        <f>E311</f>
        <v>Enchanted Cactus</v>
      </c>
      <c r="G311" s="188">
        <f t="shared" ref="G311:G312" si="156">D311*8*160*160</f>
        <v>204800</v>
      </c>
      <c r="I311" s="589">
        <f>I310</f>
        <v>18</v>
      </c>
      <c r="J311" s="590">
        <f t="shared" si="154"/>
        <v>4096</v>
      </c>
    </row>
    <row r="312">
      <c r="B312" s="393"/>
      <c r="C312" s="602" t="s">
        <v>175</v>
      </c>
      <c r="D312" s="602">
        <v>2.0</v>
      </c>
      <c r="E312" s="6"/>
      <c r="F312" s="603" t="str">
        <f>F311</f>
        <v>Enchanted Cactus</v>
      </c>
      <c r="G312" s="596">
        <f t="shared" si="156"/>
        <v>409600</v>
      </c>
      <c r="H312" s="6"/>
      <c r="I312" s="597">
        <v>15.0</v>
      </c>
      <c r="J312" s="598" t="s">
        <v>120</v>
      </c>
    </row>
    <row r="313">
      <c r="B313" s="580"/>
    </row>
    <row r="314" ht="45.0" customHeight="1">
      <c r="B314" s="585" t="str">
        <f>'Minion Checker'!D31</f>
        <v/>
      </c>
      <c r="C314" s="583" t="str">
        <f>'Minion Checker'!E31</f>
        <v>Cocoa Beans</v>
      </c>
      <c r="D314" s="583" t="s">
        <v>577</v>
      </c>
      <c r="E314" s="17"/>
      <c r="F314" s="584" t="s">
        <v>578</v>
      </c>
      <c r="G314" s="584" t="s">
        <v>579</v>
      </c>
      <c r="H314" s="17"/>
      <c r="I314" s="583" t="s">
        <v>580</v>
      </c>
      <c r="J314" s="464" t="str">
        <f>"ETA of Self-Upgrade
(@x3 "&amp;C314&amp;"/Harvest)"</f>
        <v>ETA of Self-Upgrade
(@x3 Cocoa Beans/Harvest)</v>
      </c>
    </row>
    <row r="315">
      <c r="B315" s="586"/>
      <c r="C315" s="587" t="s">
        <v>420</v>
      </c>
      <c r="D315" s="587">
        <v>10.0</v>
      </c>
      <c r="E315" s="588" t="str">
        <f>C314</f>
        <v>Cocoa Beans</v>
      </c>
      <c r="F315" s="588" t="str">
        <f>E315</f>
        <v>Cocoa Beans</v>
      </c>
      <c r="G315" s="188">
        <f t="shared" ref="G315:G318" si="157">D315*8</f>
        <v>80</v>
      </c>
      <c r="H315" s="187" t="str">
        <f>E315</f>
        <v>Cocoa Beans</v>
      </c>
      <c r="I315" s="589">
        <v>27.0</v>
      </c>
      <c r="J315" s="590">
        <f t="shared" ref="J315:J324" si="158">G316*I315/3600*2/3</f>
        <v>0.8</v>
      </c>
    </row>
    <row r="316">
      <c r="B316" s="372"/>
      <c r="C316" s="587" t="s">
        <v>582</v>
      </c>
      <c r="D316" s="587">
        <v>20.0</v>
      </c>
      <c r="F316" s="588" t="str">
        <f>F315</f>
        <v>Cocoa Beans</v>
      </c>
      <c r="G316" s="188">
        <f t="shared" si="157"/>
        <v>160</v>
      </c>
      <c r="I316" s="589">
        <f>I315</f>
        <v>27</v>
      </c>
      <c r="J316" s="590">
        <f t="shared" si="158"/>
        <v>1.6</v>
      </c>
    </row>
    <row r="317">
      <c r="B317" s="372"/>
      <c r="C317" s="587" t="s">
        <v>433</v>
      </c>
      <c r="D317" s="587">
        <v>40.0</v>
      </c>
      <c r="F317" s="588" t="str">
        <f>F315</f>
        <v>Cocoa Beans</v>
      </c>
      <c r="G317" s="188">
        <f t="shared" si="157"/>
        <v>320</v>
      </c>
      <c r="I317" s="589">
        <v>25.0</v>
      </c>
      <c r="J317" s="590">
        <f t="shared" si="158"/>
        <v>2.37037037</v>
      </c>
    </row>
    <row r="318">
      <c r="B318" s="372"/>
      <c r="C318" s="587" t="s">
        <v>583</v>
      </c>
      <c r="D318" s="587">
        <v>64.0</v>
      </c>
      <c r="F318" s="588" t="str">
        <f>F315</f>
        <v>Cocoa Beans</v>
      </c>
      <c r="G318" s="188">
        <f t="shared" si="157"/>
        <v>512</v>
      </c>
      <c r="I318" s="589">
        <f>I317</f>
        <v>25</v>
      </c>
      <c r="J318" s="590">
        <f t="shared" si="158"/>
        <v>5.925925926</v>
      </c>
    </row>
    <row r="319">
      <c r="B319" s="372"/>
      <c r="C319" s="591" t="s">
        <v>417</v>
      </c>
      <c r="D319" s="591">
        <v>1.0</v>
      </c>
      <c r="E319" s="592" t="str">
        <f>"Enchanted "&amp;E315</f>
        <v>Enchanted Cocoa Beans</v>
      </c>
      <c r="F319" s="592" t="str">
        <f>E319</f>
        <v>Enchanted Cocoa Beans</v>
      </c>
      <c r="G319" s="188">
        <f t="shared" ref="G319:G324" si="159">D319*8*160</f>
        <v>1280</v>
      </c>
      <c r="I319" s="589">
        <v>23.0</v>
      </c>
      <c r="J319" s="590">
        <f t="shared" si="158"/>
        <v>16.35555556</v>
      </c>
    </row>
    <row r="320">
      <c r="B320" s="372"/>
      <c r="C320" s="591" t="s">
        <v>584</v>
      </c>
      <c r="D320" s="591">
        <v>3.0</v>
      </c>
      <c r="F320" s="592" t="str">
        <f>F319</f>
        <v>Enchanted Cocoa Beans</v>
      </c>
      <c r="G320" s="188">
        <f t="shared" si="159"/>
        <v>3840</v>
      </c>
      <c r="I320" s="589">
        <f>I319</f>
        <v>23</v>
      </c>
      <c r="J320" s="590">
        <f t="shared" si="158"/>
        <v>43.61481481</v>
      </c>
    </row>
    <row r="321">
      <c r="B321" s="372"/>
      <c r="C321" s="591" t="s">
        <v>585</v>
      </c>
      <c r="D321" s="591">
        <v>8.0</v>
      </c>
      <c r="F321" s="592" t="str">
        <f>F319</f>
        <v>Enchanted Cocoa Beans</v>
      </c>
      <c r="G321" s="188">
        <f t="shared" si="159"/>
        <v>10240</v>
      </c>
      <c r="I321" s="589">
        <v>21.0</v>
      </c>
      <c r="J321" s="590">
        <f t="shared" si="158"/>
        <v>79.64444444</v>
      </c>
    </row>
    <row r="322">
      <c r="B322" s="372"/>
      <c r="C322" s="591" t="s">
        <v>586</v>
      </c>
      <c r="D322" s="591">
        <v>16.0</v>
      </c>
      <c r="F322" s="592" t="str">
        <f>F319</f>
        <v>Enchanted Cocoa Beans</v>
      </c>
      <c r="G322" s="188">
        <f t="shared" si="159"/>
        <v>20480</v>
      </c>
      <c r="I322" s="589">
        <f>I321</f>
        <v>21</v>
      </c>
      <c r="J322" s="590">
        <f t="shared" si="158"/>
        <v>159.2888889</v>
      </c>
    </row>
    <row r="323">
      <c r="B323" s="372"/>
      <c r="C323" s="591" t="s">
        <v>587</v>
      </c>
      <c r="D323" s="591">
        <v>32.0</v>
      </c>
      <c r="F323" s="592" t="str">
        <f>F319</f>
        <v>Enchanted Cocoa Beans</v>
      </c>
      <c r="G323" s="188">
        <f t="shared" si="159"/>
        <v>40960</v>
      </c>
      <c r="I323" s="589">
        <v>18.0</v>
      </c>
      <c r="J323" s="590">
        <f t="shared" si="158"/>
        <v>273.0666667</v>
      </c>
    </row>
    <row r="324">
      <c r="B324" s="372"/>
      <c r="C324" s="591" t="s">
        <v>114</v>
      </c>
      <c r="D324" s="591">
        <v>64.0</v>
      </c>
      <c r="F324" s="592" t="str">
        <f>F319</f>
        <v>Enchanted Cocoa Beans</v>
      </c>
      <c r="G324" s="188">
        <f t="shared" si="159"/>
        <v>81920</v>
      </c>
      <c r="I324" s="589">
        <f>I323</f>
        <v>18</v>
      </c>
      <c r="J324" s="590">
        <f t="shared" si="158"/>
        <v>546.1333333</v>
      </c>
    </row>
    <row r="325">
      <c r="B325" s="393"/>
      <c r="C325" s="594" t="s">
        <v>175</v>
      </c>
      <c r="D325" s="594">
        <v>1.0</v>
      </c>
      <c r="E325" s="595" t="s">
        <v>426</v>
      </c>
      <c r="F325" s="595" t="str">
        <f>E325</f>
        <v>Enchanted Cookie</v>
      </c>
      <c r="G325" s="596">
        <f>D325*8*160*128</f>
        <v>163840</v>
      </c>
      <c r="H325" s="6"/>
      <c r="I325" s="597">
        <v>15.0</v>
      </c>
      <c r="J325" s="598" t="s">
        <v>120</v>
      </c>
    </row>
    <row r="326">
      <c r="B326" s="580"/>
    </row>
    <row r="327" ht="45.0" customHeight="1">
      <c r="B327" s="585" t="str">
        <f>'Minion Checker'!D32</f>
        <v/>
      </c>
      <c r="C327" s="583" t="str">
        <f>'Minion Checker'!E32</f>
        <v>Sugar Cane</v>
      </c>
      <c r="D327" s="583" t="s">
        <v>577</v>
      </c>
      <c r="E327" s="17"/>
      <c r="F327" s="584" t="s">
        <v>578</v>
      </c>
      <c r="G327" s="584" t="s">
        <v>579</v>
      </c>
      <c r="H327" s="17"/>
      <c r="I327" s="583" t="s">
        <v>580</v>
      </c>
      <c r="J327" s="464" t="str">
        <f>"ETA of Self-Upgrade
(@x1 "&amp;C327&amp;"/Harvest)"</f>
        <v>ETA of Self-Upgrade
(@x1 Sugar Cane/Harvest)</v>
      </c>
    </row>
    <row r="328">
      <c r="B328" s="586"/>
      <c r="C328" s="587" t="s">
        <v>420</v>
      </c>
      <c r="D328" s="587">
        <v>16.0</v>
      </c>
      <c r="E328" s="588" t="str">
        <f>C327</f>
        <v>Sugar Cane</v>
      </c>
      <c r="F328" s="588" t="str">
        <f>E328</f>
        <v>Sugar Cane</v>
      </c>
      <c r="G328" s="188">
        <f t="shared" ref="G328:G330" si="160">D328*8</f>
        <v>128</v>
      </c>
      <c r="H328" s="187" t="str">
        <f>E328</f>
        <v>Sugar Cane</v>
      </c>
      <c r="I328" s="589">
        <v>22.0</v>
      </c>
      <c r="J328" s="590">
        <f t="shared" ref="J328:J337" si="161">G329*I328/3600*2</f>
        <v>3.128888889</v>
      </c>
    </row>
    <row r="329">
      <c r="B329" s="372"/>
      <c r="C329" s="587" t="s">
        <v>582</v>
      </c>
      <c r="D329" s="587">
        <v>32.0</v>
      </c>
      <c r="F329" s="588" t="str">
        <f>F328</f>
        <v>Sugar Cane</v>
      </c>
      <c r="G329" s="188">
        <f t="shared" si="160"/>
        <v>256</v>
      </c>
      <c r="I329" s="589">
        <f>I328</f>
        <v>22</v>
      </c>
      <c r="J329" s="590">
        <f t="shared" si="161"/>
        <v>6.257777778</v>
      </c>
    </row>
    <row r="330">
      <c r="B330" s="372"/>
      <c r="C330" s="587" t="s">
        <v>433</v>
      </c>
      <c r="D330" s="587">
        <v>64.0</v>
      </c>
      <c r="F330" s="588" t="str">
        <f>F328</f>
        <v>Sugar Cane</v>
      </c>
      <c r="G330" s="188">
        <f t="shared" si="160"/>
        <v>512</v>
      </c>
      <c r="I330" s="589">
        <v>20.0</v>
      </c>
      <c r="J330" s="590">
        <f t="shared" si="161"/>
        <v>14.22222222</v>
      </c>
    </row>
    <row r="331">
      <c r="B331" s="372"/>
      <c r="C331" s="618" t="s">
        <v>583</v>
      </c>
      <c r="D331" s="618">
        <v>1.0</v>
      </c>
      <c r="E331" s="600" t="s">
        <v>313</v>
      </c>
      <c r="F331" s="600" t="str">
        <f>E331</f>
        <v>Enchanted Sugar</v>
      </c>
      <c r="G331" s="188">
        <f t="shared" ref="G331:G336" si="162">D331*8*160</f>
        <v>1280</v>
      </c>
      <c r="I331" s="589">
        <f>I330</f>
        <v>20</v>
      </c>
      <c r="J331" s="590">
        <f t="shared" si="161"/>
        <v>42.66666667</v>
      </c>
    </row>
    <row r="332">
      <c r="B332" s="372"/>
      <c r="C332" s="618" t="s">
        <v>417</v>
      </c>
      <c r="D332" s="618">
        <v>3.0</v>
      </c>
      <c r="F332" s="592" t="str">
        <f>F331</f>
        <v>Enchanted Sugar</v>
      </c>
      <c r="G332" s="188">
        <f t="shared" si="162"/>
        <v>3840</v>
      </c>
      <c r="I332" s="589">
        <v>18.0</v>
      </c>
      <c r="J332" s="590">
        <f t="shared" si="161"/>
        <v>102.4</v>
      </c>
    </row>
    <row r="333">
      <c r="B333" s="372"/>
      <c r="C333" s="618" t="s">
        <v>584</v>
      </c>
      <c r="D333" s="618">
        <v>8.0</v>
      </c>
      <c r="F333" s="592" t="str">
        <f>F331</f>
        <v>Enchanted Sugar</v>
      </c>
      <c r="G333" s="188">
        <f t="shared" si="162"/>
        <v>10240</v>
      </c>
      <c r="I333" s="589">
        <f>I332</f>
        <v>18</v>
      </c>
      <c r="J333" s="590">
        <f t="shared" si="161"/>
        <v>204.8</v>
      </c>
    </row>
    <row r="334">
      <c r="B334" s="372"/>
      <c r="C334" s="618" t="s">
        <v>585</v>
      </c>
      <c r="D334" s="618">
        <v>16.0</v>
      </c>
      <c r="F334" s="592" t="str">
        <f>F331</f>
        <v>Enchanted Sugar</v>
      </c>
      <c r="G334" s="188">
        <f t="shared" si="162"/>
        <v>20480</v>
      </c>
      <c r="I334" s="589">
        <v>16.0</v>
      </c>
      <c r="J334" s="590">
        <f t="shared" si="161"/>
        <v>364.0888889</v>
      </c>
    </row>
    <row r="335">
      <c r="B335" s="372"/>
      <c r="C335" s="618" t="s">
        <v>586</v>
      </c>
      <c r="D335" s="618">
        <v>32.0</v>
      </c>
      <c r="F335" s="592" t="str">
        <f>F331</f>
        <v>Enchanted Sugar</v>
      </c>
      <c r="G335" s="188">
        <f t="shared" si="162"/>
        <v>40960</v>
      </c>
      <c r="I335" s="589">
        <f>I334</f>
        <v>16</v>
      </c>
      <c r="J335" s="590">
        <f t="shared" si="161"/>
        <v>728.1777778</v>
      </c>
    </row>
    <row r="336">
      <c r="B336" s="372"/>
      <c r="C336" s="618" t="s">
        <v>587</v>
      </c>
      <c r="D336" s="618">
        <v>64.0</v>
      </c>
      <c r="F336" s="592" t="str">
        <f>F331</f>
        <v>Enchanted Sugar</v>
      </c>
      <c r="G336" s="188">
        <f t="shared" si="162"/>
        <v>81920</v>
      </c>
      <c r="I336" s="593">
        <v>14.5</v>
      </c>
      <c r="J336" s="590">
        <f t="shared" si="161"/>
        <v>1649.777778</v>
      </c>
    </row>
    <row r="337">
      <c r="B337" s="372"/>
      <c r="C337" s="601" t="s">
        <v>114</v>
      </c>
      <c r="D337" s="601">
        <v>1.0</v>
      </c>
      <c r="E337" s="463" t="str">
        <f>"Enchanted "&amp;E328</f>
        <v>Enchanted Sugar Cane</v>
      </c>
      <c r="F337" s="463" t="str">
        <f>E337</f>
        <v>Enchanted Sugar Cane</v>
      </c>
      <c r="G337" s="188">
        <f t="shared" ref="G337:G338" si="163">D337*8*160*160</f>
        <v>204800</v>
      </c>
      <c r="I337" s="593">
        <f>I336</f>
        <v>14.5</v>
      </c>
      <c r="J337" s="590">
        <f t="shared" si="161"/>
        <v>3299.555556</v>
      </c>
    </row>
    <row r="338">
      <c r="B338" s="393"/>
      <c r="C338" s="602" t="s">
        <v>175</v>
      </c>
      <c r="D338" s="602">
        <v>2.0</v>
      </c>
      <c r="E338" s="6"/>
      <c r="F338" s="603" t="str">
        <f>F337</f>
        <v>Enchanted Sugar Cane</v>
      </c>
      <c r="G338" s="596">
        <f t="shared" si="163"/>
        <v>409600</v>
      </c>
      <c r="H338" s="6"/>
      <c r="I338" s="597">
        <v>12.0</v>
      </c>
      <c r="J338" s="598" t="s">
        <v>120</v>
      </c>
    </row>
    <row r="339">
      <c r="B339" s="580"/>
    </row>
    <row r="340" ht="45.0" customHeight="1">
      <c r="B340" s="585" t="str">
        <f>'Minion Checker'!D33</f>
        <v/>
      </c>
      <c r="C340" s="583" t="str">
        <f>'Minion Checker'!E33</f>
        <v>Nether Wart</v>
      </c>
      <c r="D340" s="583" t="s">
        <v>577</v>
      </c>
      <c r="E340" s="17"/>
      <c r="F340" s="584" t="s">
        <v>578</v>
      </c>
      <c r="G340" s="584" t="s">
        <v>579</v>
      </c>
      <c r="H340" s="17"/>
      <c r="I340" s="583" t="s">
        <v>580</v>
      </c>
      <c r="J340" s="464" t="str">
        <f>"ETA of Self-Upgrade
(@x3 "&amp;C340&amp;"/Harvest)"</f>
        <v>ETA of Self-Upgrade
(@x3 Nether Wart/Harvest)</v>
      </c>
    </row>
    <row r="341">
      <c r="B341" s="586"/>
      <c r="C341" s="587" t="s">
        <v>420</v>
      </c>
      <c r="D341" s="587">
        <v>10.0</v>
      </c>
      <c r="E341" s="588" t="str">
        <f>C340</f>
        <v>Nether Wart</v>
      </c>
      <c r="F341" s="588" t="str">
        <f>E341</f>
        <v>Nether Wart</v>
      </c>
      <c r="G341" s="188">
        <f t="shared" ref="G341:G344" si="164">D341*8</f>
        <v>80</v>
      </c>
      <c r="H341" s="187" t="str">
        <f>E341</f>
        <v>Nether Wart</v>
      </c>
      <c r="I341" s="589">
        <v>50.0</v>
      </c>
      <c r="J341" s="590">
        <f t="shared" ref="J341:J350" si="165">G342*I341/3600*2/3</f>
        <v>1.481481481</v>
      </c>
    </row>
    <row r="342">
      <c r="B342" s="372"/>
      <c r="C342" s="587" t="s">
        <v>582</v>
      </c>
      <c r="D342" s="587">
        <v>20.0</v>
      </c>
      <c r="F342" s="588" t="str">
        <f>F341</f>
        <v>Nether Wart</v>
      </c>
      <c r="G342" s="188">
        <f t="shared" si="164"/>
        <v>160</v>
      </c>
      <c r="I342" s="589">
        <f>I341</f>
        <v>50</v>
      </c>
      <c r="J342" s="590">
        <f t="shared" si="165"/>
        <v>2.962962963</v>
      </c>
    </row>
    <row r="343">
      <c r="B343" s="372"/>
      <c r="C343" s="587" t="s">
        <v>433</v>
      </c>
      <c r="D343" s="587">
        <v>40.0</v>
      </c>
      <c r="F343" s="588" t="str">
        <f>F341</f>
        <v>Nether Wart</v>
      </c>
      <c r="G343" s="188">
        <f t="shared" si="164"/>
        <v>320</v>
      </c>
      <c r="I343" s="589">
        <v>47.0</v>
      </c>
      <c r="J343" s="590">
        <f t="shared" si="165"/>
        <v>4.456296296</v>
      </c>
    </row>
    <row r="344">
      <c r="B344" s="372"/>
      <c r="C344" s="587" t="s">
        <v>583</v>
      </c>
      <c r="D344" s="587">
        <v>64.0</v>
      </c>
      <c r="F344" s="588" t="str">
        <f>F341</f>
        <v>Nether Wart</v>
      </c>
      <c r="G344" s="188">
        <f t="shared" si="164"/>
        <v>512</v>
      </c>
      <c r="I344" s="589">
        <f>I343</f>
        <v>47</v>
      </c>
      <c r="J344" s="590">
        <f t="shared" si="165"/>
        <v>11.14074074</v>
      </c>
    </row>
    <row r="345">
      <c r="B345" s="372"/>
      <c r="C345" s="591" t="s">
        <v>417</v>
      </c>
      <c r="D345" s="591">
        <v>1.0</v>
      </c>
      <c r="E345" s="592" t="str">
        <f>"Enchanted "&amp;E341</f>
        <v>Enchanted Nether Wart</v>
      </c>
      <c r="F345" s="592" t="str">
        <f>E345</f>
        <v>Enchanted Nether Wart</v>
      </c>
      <c r="G345" s="188">
        <f t="shared" ref="G345:G351" si="166">D345*8*160</f>
        <v>1280</v>
      </c>
      <c r="I345" s="589">
        <v>44.0</v>
      </c>
      <c r="J345" s="590">
        <f t="shared" si="165"/>
        <v>20.85925926</v>
      </c>
    </row>
    <row r="346">
      <c r="B346" s="372"/>
      <c r="C346" s="591" t="s">
        <v>584</v>
      </c>
      <c r="D346" s="591">
        <v>2.0</v>
      </c>
      <c r="F346" s="592" t="str">
        <f>F345</f>
        <v>Enchanted Nether Wart</v>
      </c>
      <c r="G346" s="188">
        <f t="shared" si="166"/>
        <v>2560</v>
      </c>
      <c r="I346" s="589">
        <f>I345</f>
        <v>44</v>
      </c>
      <c r="J346" s="590">
        <f t="shared" si="165"/>
        <v>41.71851852</v>
      </c>
    </row>
    <row r="347">
      <c r="B347" s="372"/>
      <c r="C347" s="591" t="s">
        <v>585</v>
      </c>
      <c r="D347" s="591">
        <v>4.0</v>
      </c>
      <c r="F347" s="592" t="str">
        <f>F345</f>
        <v>Enchanted Nether Wart</v>
      </c>
      <c r="G347" s="188">
        <f t="shared" si="166"/>
        <v>5120</v>
      </c>
      <c r="I347" s="589">
        <v>41.0</v>
      </c>
      <c r="J347" s="590">
        <f t="shared" si="165"/>
        <v>77.74814815</v>
      </c>
    </row>
    <row r="348">
      <c r="B348" s="372"/>
      <c r="C348" s="591" t="s">
        <v>586</v>
      </c>
      <c r="D348" s="591">
        <v>8.0</v>
      </c>
      <c r="F348" s="592" t="str">
        <f>F345</f>
        <v>Enchanted Nether Wart</v>
      </c>
      <c r="G348" s="188">
        <f t="shared" si="166"/>
        <v>10240</v>
      </c>
      <c r="I348" s="589">
        <f>I347</f>
        <v>41</v>
      </c>
      <c r="J348" s="590">
        <f t="shared" si="165"/>
        <v>155.4962963</v>
      </c>
    </row>
    <row r="349">
      <c r="B349" s="372"/>
      <c r="C349" s="591" t="s">
        <v>587</v>
      </c>
      <c r="D349" s="591">
        <v>16.0</v>
      </c>
      <c r="F349" s="592" t="str">
        <f>F345</f>
        <v>Enchanted Nether Wart</v>
      </c>
      <c r="G349" s="188">
        <f t="shared" si="166"/>
        <v>20480</v>
      </c>
      <c r="I349" s="589">
        <v>38.0</v>
      </c>
      <c r="J349" s="590">
        <f t="shared" si="165"/>
        <v>288.237037</v>
      </c>
    </row>
    <row r="350">
      <c r="B350" s="372"/>
      <c r="C350" s="591" t="s">
        <v>114</v>
      </c>
      <c r="D350" s="591">
        <v>32.0</v>
      </c>
      <c r="F350" s="592" t="str">
        <f>F345</f>
        <v>Enchanted Nether Wart</v>
      </c>
      <c r="G350" s="188">
        <f t="shared" si="166"/>
        <v>40960</v>
      </c>
      <c r="I350" s="589">
        <f>I349</f>
        <v>38</v>
      </c>
      <c r="J350" s="590">
        <f t="shared" si="165"/>
        <v>576.4740741</v>
      </c>
    </row>
    <row r="351">
      <c r="B351" s="393"/>
      <c r="C351" s="594" t="s">
        <v>175</v>
      </c>
      <c r="D351" s="594">
        <v>64.0</v>
      </c>
      <c r="E351" s="6"/>
      <c r="F351" s="595" t="str">
        <f>F345</f>
        <v>Enchanted Nether Wart</v>
      </c>
      <c r="G351" s="596">
        <f t="shared" si="166"/>
        <v>81920</v>
      </c>
      <c r="H351" s="6"/>
      <c r="I351" s="597">
        <v>32.0</v>
      </c>
      <c r="J351" s="598" t="s">
        <v>120</v>
      </c>
    </row>
    <row r="352">
      <c r="B352" s="580"/>
    </row>
    <row r="353" ht="45.0" customHeight="1">
      <c r="B353" s="585" t="str">
        <f>'Minion Checker'!D34</f>
        <v/>
      </c>
      <c r="C353" s="583" t="str">
        <f>'Minion Checker'!E34</f>
        <v>Flower</v>
      </c>
      <c r="D353" s="583" t="s">
        <v>577</v>
      </c>
      <c r="E353" s="17"/>
      <c r="F353" s="584" t="s">
        <v>578</v>
      </c>
      <c r="G353" s="584" t="s">
        <v>579</v>
      </c>
      <c r="H353" s="17"/>
      <c r="I353" s="583" t="s">
        <v>580</v>
      </c>
      <c r="J353" s="464" t="s">
        <v>594</v>
      </c>
    </row>
    <row r="354">
      <c r="B354" s="586"/>
      <c r="C354" s="587" t="s">
        <v>420</v>
      </c>
      <c r="D354" s="587" t="s">
        <v>120</v>
      </c>
      <c r="E354" s="588" t="s">
        <v>595</v>
      </c>
      <c r="F354" s="588" t="str">
        <f>E354</f>
        <v>Dandelion</v>
      </c>
      <c r="G354" s="187" t="s">
        <v>120</v>
      </c>
      <c r="H354" s="187" t="str">
        <f>E354</f>
        <v>Dandelion</v>
      </c>
      <c r="I354" s="589">
        <v>30.0</v>
      </c>
      <c r="J354" s="590">
        <f t="shared" ref="J354:J363" si="167">G355*I354/(3600*0.33)*2</f>
        <v>8.080808081</v>
      </c>
    </row>
    <row r="355">
      <c r="B355" s="372"/>
      <c r="C355" s="587" t="s">
        <v>582</v>
      </c>
      <c r="D355" s="587">
        <v>20.0</v>
      </c>
      <c r="F355" s="588" t="str">
        <f>F354</f>
        <v>Dandelion</v>
      </c>
      <c r="G355" s="188">
        <f t="shared" ref="G355:G357" si="168">D355*8</f>
        <v>160</v>
      </c>
      <c r="I355" s="589">
        <v>29.0</v>
      </c>
      <c r="J355" s="590">
        <f t="shared" si="167"/>
        <v>15.62289562</v>
      </c>
    </row>
    <row r="356">
      <c r="B356" s="372"/>
      <c r="C356" s="587" t="s">
        <v>433</v>
      </c>
      <c r="D356" s="587">
        <v>40.0</v>
      </c>
      <c r="F356" s="588" t="str">
        <f>F354</f>
        <v>Dandelion</v>
      </c>
      <c r="G356" s="188">
        <f t="shared" si="168"/>
        <v>320</v>
      </c>
      <c r="I356" s="589">
        <v>28.0</v>
      </c>
      <c r="J356" s="590">
        <f t="shared" si="167"/>
        <v>24.13468013</v>
      </c>
    </row>
    <row r="357">
      <c r="B357" s="372"/>
      <c r="C357" s="587" t="s">
        <v>583</v>
      </c>
      <c r="D357" s="587">
        <v>64.0</v>
      </c>
      <c r="F357" s="588" t="str">
        <f>F354</f>
        <v>Dandelion</v>
      </c>
      <c r="G357" s="188">
        <f t="shared" si="168"/>
        <v>512</v>
      </c>
      <c r="I357" s="589">
        <v>27.0</v>
      </c>
      <c r="J357" s="590">
        <f t="shared" si="167"/>
        <v>58.18181818</v>
      </c>
    </row>
    <row r="358">
      <c r="B358" s="372"/>
      <c r="C358" s="591" t="s">
        <v>417</v>
      </c>
      <c r="D358" s="591">
        <v>1.0</v>
      </c>
      <c r="E358" s="592" t="str">
        <f>"Enchanted "&amp;E354</f>
        <v>Enchanted Dandelion</v>
      </c>
      <c r="F358" s="592" t="str">
        <f>E358</f>
        <v>Enchanted Dandelion</v>
      </c>
      <c r="G358" s="188">
        <f t="shared" ref="G358:G363" si="169">D358*8*160</f>
        <v>1280</v>
      </c>
      <c r="I358" s="589">
        <v>26.0</v>
      </c>
      <c r="J358" s="590">
        <f t="shared" si="167"/>
        <v>168.0808081</v>
      </c>
    </row>
    <row r="359">
      <c r="B359" s="372"/>
      <c r="C359" s="591" t="s">
        <v>584</v>
      </c>
      <c r="D359" s="591">
        <v>3.0</v>
      </c>
      <c r="F359" s="592" t="str">
        <f>F358</f>
        <v>Enchanted Dandelion</v>
      </c>
      <c r="G359" s="188">
        <f t="shared" si="169"/>
        <v>3840</v>
      </c>
      <c r="I359" s="589">
        <v>25.0</v>
      </c>
      <c r="J359" s="590">
        <f t="shared" si="167"/>
        <v>430.976431</v>
      </c>
    </row>
    <row r="360">
      <c r="B360" s="372"/>
      <c r="C360" s="591" t="s">
        <v>585</v>
      </c>
      <c r="D360" s="591">
        <v>8.0</v>
      </c>
      <c r="F360" s="592" t="str">
        <f>F358</f>
        <v>Enchanted Dandelion</v>
      </c>
      <c r="G360" s="188">
        <f t="shared" si="169"/>
        <v>10240</v>
      </c>
      <c r="I360" s="589">
        <v>24.0</v>
      </c>
      <c r="J360" s="590">
        <f t="shared" si="167"/>
        <v>827.4747475</v>
      </c>
    </row>
    <row r="361">
      <c r="B361" s="372"/>
      <c r="C361" s="591" t="s">
        <v>586</v>
      </c>
      <c r="D361" s="591">
        <v>16.0</v>
      </c>
      <c r="F361" s="592" t="str">
        <f>F358</f>
        <v>Enchanted Dandelion</v>
      </c>
      <c r="G361" s="188">
        <f t="shared" si="169"/>
        <v>20480</v>
      </c>
      <c r="I361" s="589">
        <v>23.0</v>
      </c>
      <c r="J361" s="590">
        <f t="shared" si="167"/>
        <v>1585.993266</v>
      </c>
    </row>
    <row r="362">
      <c r="B362" s="372"/>
      <c r="C362" s="591" t="s">
        <v>587</v>
      </c>
      <c r="D362" s="591">
        <v>32.0</v>
      </c>
      <c r="F362" s="592" t="str">
        <f>F358</f>
        <v>Enchanted Dandelion</v>
      </c>
      <c r="G362" s="188">
        <f t="shared" si="169"/>
        <v>40960</v>
      </c>
      <c r="I362" s="589">
        <v>22.0</v>
      </c>
      <c r="J362" s="590">
        <f t="shared" si="167"/>
        <v>3034.074074</v>
      </c>
    </row>
    <row r="363">
      <c r="B363" s="372"/>
      <c r="C363" s="591" t="s">
        <v>114</v>
      </c>
      <c r="D363" s="591">
        <v>64.0</v>
      </c>
      <c r="F363" s="592" t="str">
        <f>F358</f>
        <v>Enchanted Dandelion</v>
      </c>
      <c r="G363" s="188">
        <f t="shared" si="169"/>
        <v>81920</v>
      </c>
      <c r="I363" s="589">
        <v>21.0</v>
      </c>
      <c r="J363" s="590">
        <f t="shared" si="167"/>
        <v>162.9090909</v>
      </c>
    </row>
    <row r="364">
      <c r="B364" s="393"/>
      <c r="C364" s="602" t="s">
        <v>175</v>
      </c>
      <c r="D364" s="602">
        <v>1.0</v>
      </c>
      <c r="E364" s="603" t="s">
        <v>596</v>
      </c>
      <c r="F364" s="603" t="str">
        <f>E364</f>
        <v>Enchanted Poppy</v>
      </c>
      <c r="G364" s="476">
        <f>D364*64*9*8</f>
        <v>4608</v>
      </c>
      <c r="H364" s="476" t="s">
        <v>597</v>
      </c>
      <c r="I364" s="597">
        <v>20.0</v>
      </c>
      <c r="J364" s="598" t="s">
        <v>120</v>
      </c>
    </row>
    <row r="365">
      <c r="B365" s="580"/>
    </row>
    <row r="366" ht="45.0" customHeight="1">
      <c r="B366" s="585" t="str">
        <f>'Minion Checker'!D35</f>
        <v/>
      </c>
      <c r="C366" s="583" t="str">
        <f>'Minion Checker'!E35</f>
        <v>Fish</v>
      </c>
      <c r="D366" s="583" t="s">
        <v>577</v>
      </c>
      <c r="E366" s="17"/>
      <c r="F366" s="584" t="s">
        <v>578</v>
      </c>
      <c r="G366" s="584" t="s">
        <v>579</v>
      </c>
      <c r="H366" s="17"/>
      <c r="I366" s="583" t="s">
        <v>580</v>
      </c>
      <c r="J366" s="464" t="s">
        <v>598</v>
      </c>
    </row>
    <row r="367">
      <c r="B367" s="586"/>
      <c r="C367" s="587" t="s">
        <v>420</v>
      </c>
      <c r="D367" s="587">
        <v>8.0</v>
      </c>
      <c r="E367" s="588" t="s">
        <v>321</v>
      </c>
      <c r="F367" s="588" t="str">
        <f>E367</f>
        <v>Raw Fish</v>
      </c>
      <c r="G367" s="188">
        <f t="shared" ref="G367:G370" si="170">D367*8</f>
        <v>64</v>
      </c>
      <c r="H367" s="187" t="str">
        <f>E367</f>
        <v>Raw Fish</v>
      </c>
      <c r="I367" s="589">
        <v>78.0</v>
      </c>
      <c r="J367" s="590">
        <f t="shared" ref="J367:J376" si="171">G368*I367/(3600*0.5)</f>
        <v>5.546666667</v>
      </c>
    </row>
    <row r="368">
      <c r="B368" s="372"/>
      <c r="C368" s="587" t="s">
        <v>582</v>
      </c>
      <c r="D368" s="587">
        <v>16.0</v>
      </c>
      <c r="F368" s="588" t="str">
        <f>F367</f>
        <v>Raw Fish</v>
      </c>
      <c r="G368" s="188">
        <f t="shared" si="170"/>
        <v>128</v>
      </c>
      <c r="I368" s="589">
        <v>75.0</v>
      </c>
      <c r="J368" s="590">
        <f t="shared" si="171"/>
        <v>10.66666667</v>
      </c>
    </row>
    <row r="369">
      <c r="B369" s="372"/>
      <c r="C369" s="587" t="s">
        <v>433</v>
      </c>
      <c r="D369" s="587">
        <v>32.0</v>
      </c>
      <c r="F369" s="588" t="str">
        <f>F367</f>
        <v>Raw Fish</v>
      </c>
      <c r="G369" s="188">
        <f t="shared" si="170"/>
        <v>256</v>
      </c>
      <c r="I369" s="589">
        <v>72.0</v>
      </c>
      <c r="J369" s="590">
        <f t="shared" si="171"/>
        <v>20.48</v>
      </c>
    </row>
    <row r="370">
      <c r="B370" s="372"/>
      <c r="C370" s="587" t="s">
        <v>583</v>
      </c>
      <c r="D370" s="587">
        <v>64.0</v>
      </c>
      <c r="F370" s="588" t="str">
        <f>F367</f>
        <v>Raw Fish</v>
      </c>
      <c r="G370" s="188">
        <f t="shared" si="170"/>
        <v>512</v>
      </c>
      <c r="I370" s="589">
        <v>72.0</v>
      </c>
      <c r="J370" s="590">
        <f t="shared" si="171"/>
        <v>51.2</v>
      </c>
    </row>
    <row r="371">
      <c r="B371" s="372"/>
      <c r="C371" s="591" t="s">
        <v>417</v>
      </c>
      <c r="D371" s="591">
        <v>1.0</v>
      </c>
      <c r="E371" s="592" t="str">
        <f>"Enchanted "&amp;E367</f>
        <v>Enchanted Raw Fish</v>
      </c>
      <c r="F371" s="592" t="str">
        <f>E371</f>
        <v>Enchanted Raw Fish</v>
      </c>
      <c r="G371" s="188">
        <f t="shared" ref="G371:G376" si="172">D371*8*160</f>
        <v>1280</v>
      </c>
      <c r="I371" s="589">
        <v>68.0</v>
      </c>
      <c r="J371" s="590">
        <f t="shared" si="171"/>
        <v>145.0666667</v>
      </c>
    </row>
    <row r="372">
      <c r="B372" s="372"/>
      <c r="C372" s="591" t="s">
        <v>584</v>
      </c>
      <c r="D372" s="591">
        <v>3.0</v>
      </c>
      <c r="F372" s="592" t="str">
        <f>F371</f>
        <v>Enchanted Raw Fish</v>
      </c>
      <c r="G372" s="188">
        <f t="shared" si="172"/>
        <v>3840</v>
      </c>
      <c r="I372" s="589">
        <v>68.0</v>
      </c>
      <c r="J372" s="590">
        <f t="shared" si="171"/>
        <v>386.8444444</v>
      </c>
    </row>
    <row r="373">
      <c r="B373" s="372"/>
      <c r="C373" s="591" t="s">
        <v>585</v>
      </c>
      <c r="D373" s="591">
        <v>8.0</v>
      </c>
      <c r="F373" s="592" t="str">
        <f>F371</f>
        <v>Enchanted Raw Fish</v>
      </c>
      <c r="G373" s="188">
        <f t="shared" si="172"/>
        <v>10240</v>
      </c>
      <c r="I373" s="593">
        <v>62.5</v>
      </c>
      <c r="J373" s="590">
        <f t="shared" si="171"/>
        <v>711.1111111</v>
      </c>
    </row>
    <row r="374">
      <c r="B374" s="372"/>
      <c r="C374" s="591" t="s">
        <v>586</v>
      </c>
      <c r="D374" s="591">
        <v>16.0</v>
      </c>
      <c r="F374" s="592" t="str">
        <f>F371</f>
        <v>Enchanted Raw Fish</v>
      </c>
      <c r="G374" s="188">
        <f t="shared" si="172"/>
        <v>20480</v>
      </c>
      <c r="I374" s="593">
        <v>62.5</v>
      </c>
      <c r="J374" s="590">
        <f t="shared" si="171"/>
        <v>1422.222222</v>
      </c>
    </row>
    <row r="375">
      <c r="B375" s="372"/>
      <c r="C375" s="591" t="s">
        <v>587</v>
      </c>
      <c r="D375" s="591">
        <v>32.0</v>
      </c>
      <c r="F375" s="592" t="str">
        <f>F371</f>
        <v>Enchanted Raw Fish</v>
      </c>
      <c r="G375" s="188">
        <f t="shared" si="172"/>
        <v>40960</v>
      </c>
      <c r="I375" s="589">
        <v>53.0</v>
      </c>
      <c r="J375" s="590">
        <f t="shared" si="171"/>
        <v>2412.088889</v>
      </c>
    </row>
    <row r="376">
      <c r="B376" s="372"/>
      <c r="C376" s="591" t="s">
        <v>114</v>
      </c>
      <c r="D376" s="591">
        <v>64.0</v>
      </c>
      <c r="F376" s="592" t="str">
        <f>F371</f>
        <v>Enchanted Raw Fish</v>
      </c>
      <c r="G376" s="188">
        <f t="shared" si="172"/>
        <v>81920</v>
      </c>
      <c r="I376" s="589">
        <f>I375</f>
        <v>53</v>
      </c>
      <c r="J376" s="590">
        <f t="shared" si="171"/>
        <v>6030.222222</v>
      </c>
    </row>
    <row r="377">
      <c r="B377" s="393"/>
      <c r="C377" s="602" t="s">
        <v>175</v>
      </c>
      <c r="D377" s="602">
        <v>1.0</v>
      </c>
      <c r="E377" s="603" t="s">
        <v>323</v>
      </c>
      <c r="F377" s="603" t="str">
        <f>E377</f>
        <v>Enchanted Cooked Fish</v>
      </c>
      <c r="G377" s="596">
        <f>D377*8*160*160</f>
        <v>204800</v>
      </c>
      <c r="H377" s="6"/>
      <c r="I377" s="597">
        <v>35.0</v>
      </c>
      <c r="J377" s="598" t="s">
        <v>120</v>
      </c>
    </row>
    <row r="378">
      <c r="B378" s="580"/>
    </row>
    <row r="379" ht="45.0" customHeight="1">
      <c r="B379" s="585" t="str">
        <f>'Minion Checker'!D36</f>
        <v/>
      </c>
      <c r="C379" s="583" t="str">
        <f>'Minion Checker'!E36</f>
        <v>Zombie</v>
      </c>
      <c r="D379" s="583" t="s">
        <v>577</v>
      </c>
      <c r="E379" s="17"/>
      <c r="F379" s="584" t="s">
        <v>578</v>
      </c>
      <c r="G379" s="584" t="s">
        <v>579</v>
      </c>
      <c r="H379" s="17"/>
      <c r="I379" s="583" t="s">
        <v>580</v>
      </c>
      <c r="J379" s="464" t="s">
        <v>581</v>
      </c>
    </row>
    <row r="380">
      <c r="B380" s="586"/>
      <c r="C380" s="587" t="s">
        <v>420</v>
      </c>
      <c r="D380" s="587">
        <v>10.0</v>
      </c>
      <c r="E380" s="588" t="s">
        <v>147</v>
      </c>
      <c r="F380" s="588" t="str">
        <f>E380</f>
        <v>Rotten Flesh</v>
      </c>
      <c r="G380" s="188">
        <f t="shared" ref="G380:G383" si="173">D380*8</f>
        <v>80</v>
      </c>
      <c r="H380" s="187" t="str">
        <f>E380</f>
        <v>Rotten Flesh</v>
      </c>
      <c r="I380" s="589">
        <v>26.0</v>
      </c>
      <c r="J380" s="590">
        <f t="shared" ref="J380:J389" si="174">G381*I380/3600*2</f>
        <v>2.311111111</v>
      </c>
    </row>
    <row r="381">
      <c r="B381" s="372"/>
      <c r="C381" s="587" t="s">
        <v>582</v>
      </c>
      <c r="D381" s="587">
        <v>20.0</v>
      </c>
      <c r="F381" s="588" t="str">
        <f>F380</f>
        <v>Rotten Flesh</v>
      </c>
      <c r="G381" s="188">
        <f t="shared" si="173"/>
        <v>160</v>
      </c>
      <c r="I381" s="589">
        <f>I380</f>
        <v>26</v>
      </c>
      <c r="J381" s="590">
        <f t="shared" si="174"/>
        <v>4.622222222</v>
      </c>
    </row>
    <row r="382">
      <c r="B382" s="372"/>
      <c r="C382" s="587" t="s">
        <v>433</v>
      </c>
      <c r="D382" s="587">
        <v>40.0</v>
      </c>
      <c r="F382" s="588" t="str">
        <f>F380</f>
        <v>Rotten Flesh</v>
      </c>
      <c r="G382" s="188">
        <f t="shared" si="173"/>
        <v>320</v>
      </c>
      <c r="I382" s="589">
        <v>24.0</v>
      </c>
      <c r="J382" s="590">
        <f t="shared" si="174"/>
        <v>6.826666667</v>
      </c>
    </row>
    <row r="383">
      <c r="B383" s="372"/>
      <c r="C383" s="587" t="s">
        <v>583</v>
      </c>
      <c r="D383" s="587">
        <v>64.0</v>
      </c>
      <c r="F383" s="588" t="str">
        <f>F380</f>
        <v>Rotten Flesh</v>
      </c>
      <c r="G383" s="188">
        <f t="shared" si="173"/>
        <v>512</v>
      </c>
      <c r="I383" s="589">
        <f>I382</f>
        <v>24</v>
      </c>
      <c r="J383" s="590">
        <f t="shared" si="174"/>
        <v>17.06666667</v>
      </c>
    </row>
    <row r="384">
      <c r="B384" s="372"/>
      <c r="C384" s="591" t="s">
        <v>417</v>
      </c>
      <c r="D384" s="591">
        <v>1.0</v>
      </c>
      <c r="E384" s="592" t="str">
        <f>"Enchanted "&amp;E380</f>
        <v>Enchanted Rotten Flesh</v>
      </c>
      <c r="F384" s="592" t="str">
        <f>E384</f>
        <v>Enchanted Rotten Flesh</v>
      </c>
      <c r="G384" s="188">
        <f t="shared" ref="G384:G390" si="175">D384*8*160</f>
        <v>1280</v>
      </c>
      <c r="I384" s="589">
        <v>22.0</v>
      </c>
      <c r="J384" s="590">
        <f t="shared" si="174"/>
        <v>31.28888889</v>
      </c>
    </row>
    <row r="385">
      <c r="B385" s="372"/>
      <c r="C385" s="591" t="s">
        <v>584</v>
      </c>
      <c r="D385" s="591">
        <v>2.0</v>
      </c>
      <c r="F385" s="592" t="str">
        <f>F384</f>
        <v>Enchanted Rotten Flesh</v>
      </c>
      <c r="G385" s="188">
        <f t="shared" si="175"/>
        <v>2560</v>
      </c>
      <c r="I385" s="589">
        <f>I384</f>
        <v>22</v>
      </c>
      <c r="J385" s="590">
        <f t="shared" si="174"/>
        <v>62.57777778</v>
      </c>
    </row>
    <row r="386">
      <c r="B386" s="372"/>
      <c r="C386" s="591" t="s">
        <v>585</v>
      </c>
      <c r="D386" s="591">
        <v>4.0</v>
      </c>
      <c r="F386" s="592" t="str">
        <f>F384</f>
        <v>Enchanted Rotten Flesh</v>
      </c>
      <c r="G386" s="188">
        <f t="shared" si="175"/>
        <v>5120</v>
      </c>
      <c r="I386" s="589">
        <v>20.0</v>
      </c>
      <c r="J386" s="590">
        <f t="shared" si="174"/>
        <v>113.7777778</v>
      </c>
    </row>
    <row r="387">
      <c r="B387" s="372"/>
      <c r="C387" s="591" t="s">
        <v>586</v>
      </c>
      <c r="D387" s="591">
        <v>8.0</v>
      </c>
      <c r="F387" s="592" t="str">
        <f>F384</f>
        <v>Enchanted Rotten Flesh</v>
      </c>
      <c r="G387" s="188">
        <f t="shared" si="175"/>
        <v>10240</v>
      </c>
      <c r="I387" s="589">
        <f>I386</f>
        <v>20</v>
      </c>
      <c r="J387" s="590">
        <f t="shared" si="174"/>
        <v>227.5555556</v>
      </c>
    </row>
    <row r="388">
      <c r="B388" s="372"/>
      <c r="C388" s="591" t="s">
        <v>587</v>
      </c>
      <c r="D388" s="591">
        <v>16.0</v>
      </c>
      <c r="F388" s="592" t="str">
        <f>F384</f>
        <v>Enchanted Rotten Flesh</v>
      </c>
      <c r="G388" s="188">
        <f t="shared" si="175"/>
        <v>20480</v>
      </c>
      <c r="I388" s="589">
        <v>17.0</v>
      </c>
      <c r="J388" s="590">
        <f t="shared" si="174"/>
        <v>386.8444444</v>
      </c>
    </row>
    <row r="389">
      <c r="B389" s="372"/>
      <c r="C389" s="591" t="s">
        <v>114</v>
      </c>
      <c r="D389" s="591">
        <v>32.0</v>
      </c>
      <c r="F389" s="592" t="str">
        <f>F384</f>
        <v>Enchanted Rotten Flesh</v>
      </c>
      <c r="G389" s="188">
        <f t="shared" si="175"/>
        <v>40960</v>
      </c>
      <c r="I389" s="589">
        <f>I388</f>
        <v>17</v>
      </c>
      <c r="J389" s="590">
        <f t="shared" si="174"/>
        <v>773.6888889</v>
      </c>
    </row>
    <row r="390">
      <c r="B390" s="393"/>
      <c r="C390" s="594" t="s">
        <v>175</v>
      </c>
      <c r="D390" s="594">
        <v>64.0</v>
      </c>
      <c r="E390" s="6"/>
      <c r="F390" s="595" t="str">
        <f>F384</f>
        <v>Enchanted Rotten Flesh</v>
      </c>
      <c r="G390" s="596">
        <f t="shared" si="175"/>
        <v>81920</v>
      </c>
      <c r="H390" s="6"/>
      <c r="I390" s="597">
        <v>13.0</v>
      </c>
      <c r="J390" s="598" t="s">
        <v>120</v>
      </c>
    </row>
    <row r="391">
      <c r="B391" s="580"/>
    </row>
  </sheetData>
  <mergeCells count="391">
    <mergeCell ref="N2:O2"/>
    <mergeCell ref="Q2:R2"/>
    <mergeCell ref="D2:E2"/>
    <mergeCell ref="E3:E6"/>
    <mergeCell ref="H3:H13"/>
    <mergeCell ref="L3:L13"/>
    <mergeCell ref="O3:O6"/>
    <mergeCell ref="R3:R13"/>
    <mergeCell ref="O7:O13"/>
    <mergeCell ref="L14:T14"/>
    <mergeCell ref="D15:E15"/>
    <mergeCell ref="G15:H15"/>
    <mergeCell ref="N15:O15"/>
    <mergeCell ref="Q15:R15"/>
    <mergeCell ref="B16:B26"/>
    <mergeCell ref="E16:E19"/>
    <mergeCell ref="H16:H26"/>
    <mergeCell ref="L16:L26"/>
    <mergeCell ref="E7:E13"/>
    <mergeCell ref="B14:J14"/>
    <mergeCell ref="O16:O19"/>
    <mergeCell ref="R16:R26"/>
    <mergeCell ref="O20:O26"/>
    <mergeCell ref="L27:T27"/>
    <mergeCell ref="D28:E28"/>
    <mergeCell ref="G28:H28"/>
    <mergeCell ref="N28:O28"/>
    <mergeCell ref="Q28:R28"/>
    <mergeCell ref="B29:B39"/>
    <mergeCell ref="E29:E31"/>
    <mergeCell ref="E32:E37"/>
    <mergeCell ref="E38:E39"/>
    <mergeCell ref="H29:H39"/>
    <mergeCell ref="L29:L39"/>
    <mergeCell ref="O29:O32"/>
    <mergeCell ref="R29:R39"/>
    <mergeCell ref="O33:O38"/>
    <mergeCell ref="B40:J40"/>
    <mergeCell ref="L40:T40"/>
    <mergeCell ref="D41:E41"/>
    <mergeCell ref="G41:H41"/>
    <mergeCell ref="N41:O41"/>
    <mergeCell ref="Q41:R41"/>
    <mergeCell ref="B42:B52"/>
    <mergeCell ref="E42:E45"/>
    <mergeCell ref="E46:E52"/>
    <mergeCell ref="H42:H52"/>
    <mergeCell ref="L42:L52"/>
    <mergeCell ref="O42:O45"/>
    <mergeCell ref="R42:R52"/>
    <mergeCell ref="O46:O52"/>
    <mergeCell ref="B53:J53"/>
    <mergeCell ref="L53:T53"/>
    <mergeCell ref="D54:E54"/>
    <mergeCell ref="G54:H54"/>
    <mergeCell ref="N54:O54"/>
    <mergeCell ref="Q54:R54"/>
    <mergeCell ref="B55:B65"/>
    <mergeCell ref="E55:E58"/>
    <mergeCell ref="E59:E65"/>
    <mergeCell ref="H55:H65"/>
    <mergeCell ref="L55:L65"/>
    <mergeCell ref="O55:O58"/>
    <mergeCell ref="R55:R65"/>
    <mergeCell ref="O59:O65"/>
    <mergeCell ref="B66:J66"/>
    <mergeCell ref="L66:T66"/>
    <mergeCell ref="D67:E67"/>
    <mergeCell ref="G67:H67"/>
    <mergeCell ref="N67:O67"/>
    <mergeCell ref="Q67:R67"/>
    <mergeCell ref="B68:B78"/>
    <mergeCell ref="E68:E71"/>
    <mergeCell ref="E72:E78"/>
    <mergeCell ref="H68:H78"/>
    <mergeCell ref="L68:L78"/>
    <mergeCell ref="O68:O71"/>
    <mergeCell ref="R68:R78"/>
    <mergeCell ref="O72:O77"/>
    <mergeCell ref="B79:J79"/>
    <mergeCell ref="L79:T79"/>
    <mergeCell ref="D80:E80"/>
    <mergeCell ref="G80:H80"/>
    <mergeCell ref="N80:O80"/>
    <mergeCell ref="Q80:R80"/>
    <mergeCell ref="B81:B91"/>
    <mergeCell ref="E81:E84"/>
    <mergeCell ref="H81:H91"/>
    <mergeCell ref="L81:L91"/>
    <mergeCell ref="O81:O84"/>
    <mergeCell ref="R81:R91"/>
    <mergeCell ref="O85:O90"/>
    <mergeCell ref="E85:E87"/>
    <mergeCell ref="E88:E91"/>
    <mergeCell ref="B92:J92"/>
    <mergeCell ref="L92:T92"/>
    <mergeCell ref="D93:E93"/>
    <mergeCell ref="G93:H93"/>
    <mergeCell ref="N93:O93"/>
    <mergeCell ref="Q93:R93"/>
    <mergeCell ref="B94:B104"/>
    <mergeCell ref="E94:E99"/>
    <mergeCell ref="H94:H104"/>
    <mergeCell ref="L94:L104"/>
    <mergeCell ref="O94:O97"/>
    <mergeCell ref="R94:R104"/>
    <mergeCell ref="O98:O104"/>
    <mergeCell ref="E100:E104"/>
    <mergeCell ref="B105:J105"/>
    <mergeCell ref="L105:T105"/>
    <mergeCell ref="D106:E106"/>
    <mergeCell ref="G106:H106"/>
    <mergeCell ref="N106:O106"/>
    <mergeCell ref="Q106:R106"/>
    <mergeCell ref="B107:B117"/>
    <mergeCell ref="E107:E110"/>
    <mergeCell ref="H107:H117"/>
    <mergeCell ref="L107:L117"/>
    <mergeCell ref="O107:O108"/>
    <mergeCell ref="R107:R117"/>
    <mergeCell ref="E20:E26"/>
    <mergeCell ref="B27:J27"/>
    <mergeCell ref="O113:O117"/>
    <mergeCell ref="B118:J118"/>
    <mergeCell ref="L118:T118"/>
    <mergeCell ref="D119:E119"/>
    <mergeCell ref="G119:H119"/>
    <mergeCell ref="N119:O119"/>
    <mergeCell ref="Q119:R119"/>
    <mergeCell ref="B120:B130"/>
    <mergeCell ref="E120:E123"/>
    <mergeCell ref="E124:E129"/>
    <mergeCell ref="H120:H130"/>
    <mergeCell ref="L120:L130"/>
    <mergeCell ref="O120:O123"/>
    <mergeCell ref="R120:R130"/>
    <mergeCell ref="O124:O125"/>
    <mergeCell ref="O126:O130"/>
    <mergeCell ref="B131:J131"/>
    <mergeCell ref="L131:T131"/>
    <mergeCell ref="D132:E132"/>
    <mergeCell ref="G132:H132"/>
    <mergeCell ref="N132:O132"/>
    <mergeCell ref="Q132:R132"/>
    <mergeCell ref="B133:B143"/>
    <mergeCell ref="E133:E136"/>
    <mergeCell ref="E137:E142"/>
    <mergeCell ref="H133:H143"/>
    <mergeCell ref="L133:L143"/>
    <mergeCell ref="O133:O136"/>
    <mergeCell ref="R133:R143"/>
    <mergeCell ref="O137:O142"/>
    <mergeCell ref="B144:J144"/>
    <mergeCell ref="L144:T144"/>
    <mergeCell ref="D145:E145"/>
    <mergeCell ref="G145:H145"/>
    <mergeCell ref="N145:O145"/>
    <mergeCell ref="Q145:R145"/>
    <mergeCell ref="B146:B156"/>
    <mergeCell ref="E146:E149"/>
    <mergeCell ref="E150:E155"/>
    <mergeCell ref="H146:H156"/>
    <mergeCell ref="L146:L156"/>
    <mergeCell ref="O146:O149"/>
    <mergeCell ref="R146:R155"/>
    <mergeCell ref="O150:O155"/>
    <mergeCell ref="B157:J157"/>
    <mergeCell ref="L157:T157"/>
    <mergeCell ref="D158:E158"/>
    <mergeCell ref="G158:H158"/>
    <mergeCell ref="N158:O158"/>
    <mergeCell ref="Q158:R158"/>
    <mergeCell ref="B159:B169"/>
    <mergeCell ref="E159:E160"/>
    <mergeCell ref="E161:E166"/>
    <mergeCell ref="E167:E169"/>
    <mergeCell ref="H159:H169"/>
    <mergeCell ref="L159:L169"/>
    <mergeCell ref="O159:O162"/>
    <mergeCell ref="R159:R169"/>
    <mergeCell ref="O163:O168"/>
    <mergeCell ref="B170:J170"/>
    <mergeCell ref="L170:T170"/>
    <mergeCell ref="D171:E171"/>
    <mergeCell ref="G171:H171"/>
    <mergeCell ref="N171:O171"/>
    <mergeCell ref="Q171:R171"/>
    <mergeCell ref="B172:B182"/>
    <mergeCell ref="E172:E174"/>
    <mergeCell ref="H172:H182"/>
    <mergeCell ref="L172:L182"/>
    <mergeCell ref="O172:O175"/>
    <mergeCell ref="R172:R182"/>
    <mergeCell ref="O176:O182"/>
    <mergeCell ref="E175:E180"/>
    <mergeCell ref="E181:E182"/>
    <mergeCell ref="B183:J183"/>
    <mergeCell ref="L183:T183"/>
    <mergeCell ref="D184:E184"/>
    <mergeCell ref="G184:H184"/>
    <mergeCell ref="N184:O184"/>
    <mergeCell ref="Q184:R184"/>
    <mergeCell ref="B185:B195"/>
    <mergeCell ref="E185:E188"/>
    <mergeCell ref="H185:H195"/>
    <mergeCell ref="L185:L195"/>
    <mergeCell ref="O185:O188"/>
    <mergeCell ref="R185:R195"/>
    <mergeCell ref="O189:O194"/>
    <mergeCell ref="E189:E194"/>
    <mergeCell ref="B196:J196"/>
    <mergeCell ref="L196:T196"/>
    <mergeCell ref="D197:E197"/>
    <mergeCell ref="G197:H197"/>
    <mergeCell ref="N197:O197"/>
    <mergeCell ref="Q197:R197"/>
    <mergeCell ref="B198:B208"/>
    <mergeCell ref="E198:E201"/>
    <mergeCell ref="H198:H208"/>
    <mergeCell ref="L198:L208"/>
    <mergeCell ref="O198:O201"/>
    <mergeCell ref="R198:R201"/>
    <mergeCell ref="E202:E207"/>
    <mergeCell ref="O202:O206"/>
    <mergeCell ref="R202:R206"/>
    <mergeCell ref="O207:O208"/>
    <mergeCell ref="R207:R208"/>
    <mergeCell ref="B209:J209"/>
    <mergeCell ref="L209:T209"/>
    <mergeCell ref="D210:E210"/>
    <mergeCell ref="G210:H210"/>
    <mergeCell ref="N210:O210"/>
    <mergeCell ref="Q210:R210"/>
    <mergeCell ref="B211:B221"/>
    <mergeCell ref="E211:E214"/>
    <mergeCell ref="H211:H221"/>
    <mergeCell ref="L211:L221"/>
    <mergeCell ref="E371:E376"/>
    <mergeCell ref="B378:J378"/>
    <mergeCell ref="D379:E379"/>
    <mergeCell ref="G379:H379"/>
    <mergeCell ref="B380:B390"/>
    <mergeCell ref="E380:E383"/>
    <mergeCell ref="A1:A391"/>
    <mergeCell ref="B1:J1"/>
    <mergeCell ref="K1:K391"/>
    <mergeCell ref="L1:T1"/>
    <mergeCell ref="U1:U391"/>
    <mergeCell ref="G2:H2"/>
    <mergeCell ref="B3:B13"/>
    <mergeCell ref="B391:J391"/>
    <mergeCell ref="H380:H390"/>
    <mergeCell ref="E384:E390"/>
    <mergeCell ref="L300:T391"/>
    <mergeCell ref="D301:E301"/>
    <mergeCell ref="G301:H301"/>
    <mergeCell ref="E302:E304"/>
    <mergeCell ref="H302:H312"/>
    <mergeCell ref="E305:E310"/>
    <mergeCell ref="H315:H325"/>
    <mergeCell ref="E345:E351"/>
    <mergeCell ref="D353:E353"/>
    <mergeCell ref="B352:J352"/>
    <mergeCell ref="G353:H353"/>
    <mergeCell ref="E354:E357"/>
    <mergeCell ref="H354:H363"/>
    <mergeCell ref="B354:B364"/>
    <mergeCell ref="E358:E363"/>
    <mergeCell ref="D366:E366"/>
    <mergeCell ref="G366:H366"/>
    <mergeCell ref="B365:J365"/>
    <mergeCell ref="B367:B377"/>
    <mergeCell ref="E367:E370"/>
    <mergeCell ref="H367:H377"/>
    <mergeCell ref="O211:O214"/>
    <mergeCell ref="R211:R221"/>
    <mergeCell ref="O215:O221"/>
    <mergeCell ref="E215:E221"/>
    <mergeCell ref="B222:J222"/>
    <mergeCell ref="L222:T222"/>
    <mergeCell ref="D223:E223"/>
    <mergeCell ref="G223:H223"/>
    <mergeCell ref="N223:O223"/>
    <mergeCell ref="Q223:R223"/>
    <mergeCell ref="B224:B234"/>
    <mergeCell ref="E224:E227"/>
    <mergeCell ref="E228:E231"/>
    <mergeCell ref="E232:E234"/>
    <mergeCell ref="H224:H234"/>
    <mergeCell ref="L224:L234"/>
    <mergeCell ref="O224:O227"/>
    <mergeCell ref="R224:R234"/>
    <mergeCell ref="O228:O234"/>
    <mergeCell ref="B235:J235"/>
    <mergeCell ref="L235:T235"/>
    <mergeCell ref="D236:E236"/>
    <mergeCell ref="G236:H236"/>
    <mergeCell ref="N236:O236"/>
    <mergeCell ref="Q236:R236"/>
    <mergeCell ref="B237:B247"/>
    <mergeCell ref="E237:E238"/>
    <mergeCell ref="E239:E241"/>
    <mergeCell ref="E242:E245"/>
    <mergeCell ref="E246:E247"/>
    <mergeCell ref="H237:H247"/>
    <mergeCell ref="L237:L247"/>
    <mergeCell ref="O237:O240"/>
    <mergeCell ref="R237:R247"/>
    <mergeCell ref="O241:O247"/>
    <mergeCell ref="B248:J248"/>
    <mergeCell ref="L248:T248"/>
    <mergeCell ref="D249:E249"/>
    <mergeCell ref="G249:H249"/>
    <mergeCell ref="N249:O249"/>
    <mergeCell ref="Q249:R249"/>
    <mergeCell ref="B250:B260"/>
    <mergeCell ref="E250:E253"/>
    <mergeCell ref="E254:E260"/>
    <mergeCell ref="H250:H260"/>
    <mergeCell ref="L250:L260"/>
    <mergeCell ref="O250:O253"/>
    <mergeCell ref="R250:R260"/>
    <mergeCell ref="O254:O260"/>
    <mergeCell ref="B261:J261"/>
    <mergeCell ref="L261:T261"/>
    <mergeCell ref="D262:E262"/>
    <mergeCell ref="G262:H262"/>
    <mergeCell ref="N262:O262"/>
    <mergeCell ref="Q262:R262"/>
    <mergeCell ref="B263:B273"/>
    <mergeCell ref="E263:E265"/>
    <mergeCell ref="E266:E271"/>
    <mergeCell ref="E272:E273"/>
    <mergeCell ref="H263:H273"/>
    <mergeCell ref="L263:L273"/>
    <mergeCell ref="O263:O266"/>
    <mergeCell ref="R263:R273"/>
    <mergeCell ref="O267:O273"/>
    <mergeCell ref="B274:J274"/>
    <mergeCell ref="L274:T274"/>
    <mergeCell ref="D275:E275"/>
    <mergeCell ref="G275:H275"/>
    <mergeCell ref="N275:O275"/>
    <mergeCell ref="Q275:R275"/>
    <mergeCell ref="B276:B286"/>
    <mergeCell ref="E276:E278"/>
    <mergeCell ref="H276:H286"/>
    <mergeCell ref="L276:L286"/>
    <mergeCell ref="O276:O279"/>
    <mergeCell ref="R276:R286"/>
    <mergeCell ref="O280:O286"/>
    <mergeCell ref="E279:E284"/>
    <mergeCell ref="E285:E286"/>
    <mergeCell ref="B287:J287"/>
    <mergeCell ref="D288:E288"/>
    <mergeCell ref="G288:H288"/>
    <mergeCell ref="N288:O288"/>
    <mergeCell ref="Q288:R288"/>
    <mergeCell ref="B289:B299"/>
    <mergeCell ref="E289:E292"/>
    <mergeCell ref="H289:H299"/>
    <mergeCell ref="L289:L299"/>
    <mergeCell ref="O109:O112"/>
    <mergeCell ref="E111:E116"/>
    <mergeCell ref="O289:O292"/>
    <mergeCell ref="R289:R299"/>
    <mergeCell ref="O293:O298"/>
    <mergeCell ref="E293:E299"/>
    <mergeCell ref="B300:J300"/>
    <mergeCell ref="B302:B312"/>
    <mergeCell ref="B313:J313"/>
    <mergeCell ref="D314:E314"/>
    <mergeCell ref="G314:H314"/>
    <mergeCell ref="B315:B325"/>
    <mergeCell ref="E315:E318"/>
    <mergeCell ref="E311:E312"/>
    <mergeCell ref="E319:E324"/>
    <mergeCell ref="B326:J326"/>
    <mergeCell ref="D327:E327"/>
    <mergeCell ref="G327:H327"/>
    <mergeCell ref="E328:E330"/>
    <mergeCell ref="B328:B338"/>
    <mergeCell ref="H328:H338"/>
    <mergeCell ref="E331:E336"/>
    <mergeCell ref="E337:E338"/>
    <mergeCell ref="B339:J339"/>
    <mergeCell ref="D340:E340"/>
    <mergeCell ref="G340:H340"/>
    <mergeCell ref="E341:E344"/>
    <mergeCell ref="B341:B351"/>
    <mergeCell ref="H341:H351"/>
  </mergeCell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2.63" defaultRowHeight="15.75"/>
  <cols>
    <col customWidth="1" min="1" max="1" width="12.63"/>
    <col customWidth="1" hidden="1" min="2" max="2" width="3.25"/>
    <col customWidth="1" hidden="1" min="3" max="3" width="2.13"/>
    <col customWidth="1" min="4" max="4" width="3.25"/>
    <col customWidth="1" min="6" max="16" width="3.88"/>
    <col customWidth="1" hidden="1" min="17" max="17" width="3.25"/>
    <col customWidth="1" hidden="1" min="18" max="20" width="9.5"/>
    <col customWidth="1" min="21" max="21" width="9.5"/>
    <col customWidth="1" hidden="1" min="22" max="23" width="3.25"/>
    <col customWidth="1" min="24" max="24" width="3.25"/>
    <col customWidth="1" min="26" max="36" width="3.88"/>
    <col customWidth="1" min="37" max="37" width="9.5"/>
    <col customWidth="1" min="38" max="38" width="3.25"/>
    <col customWidth="1" min="40" max="40" width="13.88"/>
    <col customWidth="1" hidden="1" min="41" max="41" width="13.88"/>
    <col customWidth="1" min="42" max="42" width="13.88"/>
    <col customWidth="1" min="43" max="43" width="12.63"/>
  </cols>
  <sheetData>
    <row r="1">
      <c r="A1" s="80"/>
      <c r="B1" s="80"/>
      <c r="F1" s="80"/>
      <c r="Q1" s="80"/>
      <c r="R1" s="80"/>
      <c r="S1" s="80"/>
      <c r="T1" s="80"/>
      <c r="U1" s="80"/>
      <c r="V1" s="80"/>
      <c r="Z1" s="80"/>
      <c r="AK1" s="80"/>
      <c r="AL1" s="80"/>
      <c r="AQ1" s="80"/>
    </row>
    <row r="2">
      <c r="F2" s="624" t="s">
        <v>599</v>
      </c>
      <c r="G2" s="3"/>
      <c r="H2" s="3"/>
      <c r="I2" s="3"/>
      <c r="J2" s="3"/>
      <c r="K2" s="3"/>
      <c r="L2" s="3"/>
      <c r="M2" s="3"/>
      <c r="N2" s="3"/>
      <c r="O2" s="3"/>
      <c r="P2" s="4"/>
      <c r="Q2" s="624" t="s">
        <v>600</v>
      </c>
      <c r="R2" s="624" t="s">
        <v>601</v>
      </c>
      <c r="S2" s="625" t="str">
        <f>IF($B$6,"Bazaar","NPC")&amp;" Sell Value"</f>
        <v>NPC Sell Value</v>
      </c>
      <c r="T2" s="625" t="s">
        <v>602</v>
      </c>
      <c r="Z2" s="624" t="s">
        <v>603</v>
      </c>
      <c r="AA2" s="3"/>
      <c r="AB2" s="3"/>
      <c r="AC2" s="3"/>
      <c r="AD2" s="3"/>
      <c r="AE2" s="3"/>
      <c r="AF2" s="3"/>
      <c r="AG2" s="3"/>
      <c r="AH2" s="3"/>
      <c r="AI2" s="3"/>
      <c r="AJ2" s="4"/>
      <c r="AL2" s="624" t="str">
        <f>"~Total Potential-Coins Spent: "&amp;TEXT(SUM(T4:T55),"#,##0")</f>
        <v>~Total Potential-Coins Spent: 50,954</v>
      </c>
      <c r="AM2" s="3"/>
      <c r="AN2" s="3"/>
      <c r="AO2" s="3"/>
      <c r="AP2" s="4"/>
    </row>
    <row r="3">
      <c r="B3" s="624" t="s">
        <v>604</v>
      </c>
      <c r="C3" s="99" t="s">
        <v>101</v>
      </c>
      <c r="D3" s="17"/>
      <c r="E3" s="17"/>
      <c r="F3" s="436" t="s">
        <v>420</v>
      </c>
      <c r="G3" s="436" t="s">
        <v>582</v>
      </c>
      <c r="H3" s="436" t="s">
        <v>433</v>
      </c>
      <c r="I3" s="436" t="s">
        <v>583</v>
      </c>
      <c r="J3" s="436" t="s">
        <v>417</v>
      </c>
      <c r="K3" s="436" t="s">
        <v>584</v>
      </c>
      <c r="L3" s="436" t="s">
        <v>585</v>
      </c>
      <c r="M3" s="436" t="s">
        <v>586</v>
      </c>
      <c r="N3" s="436" t="s">
        <v>587</v>
      </c>
      <c r="O3" s="436" t="s">
        <v>114</v>
      </c>
      <c r="P3" s="626" t="s">
        <v>175</v>
      </c>
      <c r="Q3" s="393"/>
      <c r="R3" s="393"/>
      <c r="S3" s="460"/>
      <c r="T3" s="460"/>
      <c r="V3" s="624" t="s">
        <v>604</v>
      </c>
      <c r="W3" s="99" t="s">
        <v>101</v>
      </c>
      <c r="X3" s="17"/>
      <c r="Y3" s="17"/>
      <c r="Z3" s="436" t="s">
        <v>420</v>
      </c>
      <c r="AA3" s="436" t="s">
        <v>582</v>
      </c>
      <c r="AB3" s="436" t="s">
        <v>433</v>
      </c>
      <c r="AC3" s="436" t="s">
        <v>583</v>
      </c>
      <c r="AD3" s="436" t="s">
        <v>417</v>
      </c>
      <c r="AE3" s="436" t="s">
        <v>584</v>
      </c>
      <c r="AF3" s="436" t="s">
        <v>585</v>
      </c>
      <c r="AG3" s="436" t="s">
        <v>586</v>
      </c>
      <c r="AH3" s="436" t="s">
        <v>587</v>
      </c>
      <c r="AI3" s="436" t="s">
        <v>114</v>
      </c>
      <c r="AJ3" s="626" t="s">
        <v>175</v>
      </c>
      <c r="AL3" s="99" t="s">
        <v>101</v>
      </c>
      <c r="AM3" s="17"/>
      <c r="AN3" s="101" t="s">
        <v>605</v>
      </c>
      <c r="AO3" s="101" t="str">
        <f>S2</f>
        <v>NPC Sell Value</v>
      </c>
      <c r="AP3" s="627" t="s">
        <v>602</v>
      </c>
    </row>
    <row r="4" ht="12.75" customHeight="1">
      <c r="B4" s="628">
        <f>'Minion Checker'!H7</f>
        <v>0</v>
      </c>
      <c r="C4" s="629" t="str">
        <f>IMAGE("https://i.imgur.com/eYaWccx.png")</f>
        <v/>
      </c>
      <c r="D4" s="27" t="str">
        <f>'Minion Checker'!D7</f>
        <v/>
      </c>
      <c r="E4" s="34" t="str">
        <f>'Minion Checker'!E7</f>
        <v>Cobblestone</v>
      </c>
      <c r="F4" s="630" t="str">
        <f t="shared" ref="F4:P4" si="1">IF(ARABIC(F$3)&lt;=$B4,"✓","✗")</f>
        <v>✗</v>
      </c>
      <c r="G4" s="630" t="str">
        <f t="shared" si="1"/>
        <v>✗</v>
      </c>
      <c r="H4" s="630" t="str">
        <f t="shared" si="1"/>
        <v>✗</v>
      </c>
      <c r="I4" s="630" t="str">
        <f t="shared" si="1"/>
        <v>✗</v>
      </c>
      <c r="J4" s="630" t="str">
        <f t="shared" si="1"/>
        <v>✗</v>
      </c>
      <c r="K4" s="630" t="str">
        <f t="shared" si="1"/>
        <v>✗</v>
      </c>
      <c r="L4" s="630" t="str">
        <f t="shared" si="1"/>
        <v>✗</v>
      </c>
      <c r="M4" s="630" t="str">
        <f t="shared" si="1"/>
        <v>✗</v>
      </c>
      <c r="N4" s="630" t="str">
        <f t="shared" si="1"/>
        <v>✗</v>
      </c>
      <c r="O4" s="630" t="str">
        <f t="shared" si="1"/>
        <v>✗</v>
      </c>
      <c r="P4" s="631" t="str">
        <f t="shared" si="1"/>
        <v>✗</v>
      </c>
      <c r="Q4" s="40">
        <v>3.0</v>
      </c>
      <c r="R4" s="580">
        <f t="shared" ref="R4:R30" si="3">SUM(INDIRECT("'Minion Tiers'!G"&amp;Q4&amp;":G"&amp;Q4-1+B4))</f>
        <v>80</v>
      </c>
      <c r="S4" s="632">
        <f t="array" ref="S4:S57">IF(Bazaar!$B$1,'Minion Sales'!X3:X57,'Minion Sales'!R3:R57)</f>
        <v>5.00096875</v>
      </c>
      <c r="T4" s="580">
        <f t="shared" ref="T4:T30" si="4">R4*S4</f>
        <v>400.0775</v>
      </c>
      <c r="V4" s="628">
        <f t="array" ref="V4:AJ56">SORT(B4:P56,1,FALSE)</f>
        <v>0</v>
      </c>
      <c r="W4" s="34"/>
      <c r="X4" s="27"/>
      <c r="Y4" s="34" t="s">
        <v>29</v>
      </c>
      <c r="Z4" s="630" t="s">
        <v>606</v>
      </c>
      <c r="AA4" s="630" t="s">
        <v>606</v>
      </c>
      <c r="AB4" s="630" t="s">
        <v>606</v>
      </c>
      <c r="AC4" s="630" t="s">
        <v>606</v>
      </c>
      <c r="AD4" s="630" t="s">
        <v>606</v>
      </c>
      <c r="AE4" s="630" t="s">
        <v>606</v>
      </c>
      <c r="AF4" s="630" t="s">
        <v>606</v>
      </c>
      <c r="AG4" s="630" t="s">
        <v>606</v>
      </c>
      <c r="AH4" s="630" t="s">
        <v>606</v>
      </c>
      <c r="AI4" s="630" t="s">
        <v>606</v>
      </c>
      <c r="AJ4" s="631" t="s">
        <v>606</v>
      </c>
      <c r="AL4" s="27" t="str">
        <f t="array" ref="AL4:AP55">SORT({D4:E55,R4:T55},5,FALSE)</f>
        <v/>
      </c>
      <c r="AM4" s="34" t="s">
        <v>72</v>
      </c>
      <c r="AN4" s="188">
        <v>64.0</v>
      </c>
      <c r="AO4" s="633">
        <v>117.94480000000001</v>
      </c>
      <c r="AP4" s="191">
        <v>7548.467200000001</v>
      </c>
    </row>
    <row r="5" ht="12.75" customHeight="1">
      <c r="B5" s="634">
        <f>'Minion Checker'!H8</f>
        <v>0</v>
      </c>
      <c r="C5" s="629" t="str">
        <f>IMAGE("https://i.imgur.com/iUaLrRt.png")</f>
        <v/>
      </c>
      <c r="D5" s="27" t="str">
        <f>'Minion Checker'!D8</f>
        <v/>
      </c>
      <c r="E5" s="34" t="str">
        <f>'Minion Checker'!E8</f>
        <v>Obsidian</v>
      </c>
      <c r="F5" s="635" t="str">
        <f t="shared" ref="F5:P5" si="2">IF(ARABIC(F$3)&lt;=$B5,"✓","✗")</f>
        <v>✗</v>
      </c>
      <c r="G5" s="635" t="str">
        <f t="shared" si="2"/>
        <v>✗</v>
      </c>
      <c r="H5" s="635" t="str">
        <f t="shared" si="2"/>
        <v>✗</v>
      </c>
      <c r="I5" s="635" t="str">
        <f t="shared" si="2"/>
        <v>✗</v>
      </c>
      <c r="J5" s="635" t="str">
        <f t="shared" si="2"/>
        <v>✗</v>
      </c>
      <c r="K5" s="635" t="str">
        <f t="shared" si="2"/>
        <v>✗</v>
      </c>
      <c r="L5" s="635" t="str">
        <f t="shared" si="2"/>
        <v>✗</v>
      </c>
      <c r="M5" s="635" t="str">
        <f t="shared" si="2"/>
        <v>✗</v>
      </c>
      <c r="N5" s="635" t="str">
        <f t="shared" si="2"/>
        <v>✗</v>
      </c>
      <c r="O5" s="635" t="str">
        <f t="shared" si="2"/>
        <v>✗</v>
      </c>
      <c r="P5" s="636" t="str">
        <f t="shared" si="2"/>
        <v>✗</v>
      </c>
      <c r="Q5" s="80">
        <f t="shared" ref="Q5:Q33" si="6">Q4+13</f>
        <v>16</v>
      </c>
      <c r="R5" s="580">
        <f t="shared" si="3"/>
        <v>80</v>
      </c>
      <c r="S5" s="632">
        <v>27.499374999999997</v>
      </c>
      <c r="T5" s="580">
        <f t="shared" si="4"/>
        <v>2199.95</v>
      </c>
      <c r="V5" s="634">
        <v>0.0</v>
      </c>
      <c r="W5" s="34"/>
      <c r="X5" s="27"/>
      <c r="Y5" s="34" t="s">
        <v>30</v>
      </c>
      <c r="Z5" s="635" t="s">
        <v>606</v>
      </c>
      <c r="AA5" s="635" t="s">
        <v>606</v>
      </c>
      <c r="AB5" s="635" t="s">
        <v>606</v>
      </c>
      <c r="AC5" s="635" t="s">
        <v>606</v>
      </c>
      <c r="AD5" s="635" t="s">
        <v>606</v>
      </c>
      <c r="AE5" s="635" t="s">
        <v>606</v>
      </c>
      <c r="AF5" s="635" t="s">
        <v>606</v>
      </c>
      <c r="AG5" s="635" t="s">
        <v>606</v>
      </c>
      <c r="AH5" s="635" t="s">
        <v>606</v>
      </c>
      <c r="AI5" s="635" t="s">
        <v>606</v>
      </c>
      <c r="AJ5" s="636" t="s">
        <v>606</v>
      </c>
      <c r="AL5" s="25"/>
      <c r="AM5" s="37" t="s">
        <v>32</v>
      </c>
      <c r="AN5" s="201">
        <v>80.0</v>
      </c>
      <c r="AO5" s="637">
        <v>41.32125</v>
      </c>
      <c r="AP5" s="204">
        <v>3305.7</v>
      </c>
    </row>
    <row r="6" ht="12.75" customHeight="1">
      <c r="B6" s="634">
        <f>'Minion Checker'!H9</f>
        <v>0</v>
      </c>
      <c r="C6" s="629" t="str">
        <f>IMAGE("https://i.imgur.com/8tH1EhD.png")</f>
        <v/>
      </c>
      <c r="D6" s="27" t="str">
        <f>'Minion Checker'!D9</f>
        <v/>
      </c>
      <c r="E6" s="34" t="str">
        <f>'Minion Checker'!E9</f>
        <v>Glowstone</v>
      </c>
      <c r="F6" s="630" t="str">
        <f t="shared" ref="F6:P6" si="5">IF(ARABIC(F$3)&lt;=$B6,"✓","✗")</f>
        <v>✗</v>
      </c>
      <c r="G6" s="630" t="str">
        <f t="shared" si="5"/>
        <v>✗</v>
      </c>
      <c r="H6" s="630" t="str">
        <f t="shared" si="5"/>
        <v>✗</v>
      </c>
      <c r="I6" s="630" t="str">
        <f t="shared" si="5"/>
        <v>✗</v>
      </c>
      <c r="J6" s="630" t="str">
        <f t="shared" si="5"/>
        <v>✗</v>
      </c>
      <c r="K6" s="630" t="str">
        <f t="shared" si="5"/>
        <v>✗</v>
      </c>
      <c r="L6" s="630" t="str">
        <f t="shared" si="5"/>
        <v>✗</v>
      </c>
      <c r="M6" s="630" t="str">
        <f t="shared" si="5"/>
        <v>✗</v>
      </c>
      <c r="N6" s="630" t="str">
        <f t="shared" si="5"/>
        <v>✗</v>
      </c>
      <c r="O6" s="630" t="str">
        <f t="shared" si="5"/>
        <v>✗</v>
      </c>
      <c r="P6" s="631" t="str">
        <f t="shared" si="5"/>
        <v>✗</v>
      </c>
      <c r="Q6" s="80">
        <f t="shared" si="6"/>
        <v>29</v>
      </c>
      <c r="R6" s="580">
        <f t="shared" si="3"/>
        <v>128</v>
      </c>
      <c r="S6" s="632">
        <v>11.841381250000001</v>
      </c>
      <c r="T6" s="580">
        <f t="shared" si="4"/>
        <v>1515.6968</v>
      </c>
      <c r="V6" s="634">
        <v>0.0</v>
      </c>
      <c r="W6" s="34"/>
      <c r="X6" s="27"/>
      <c r="Y6" s="34" t="s">
        <v>31</v>
      </c>
      <c r="Z6" s="630" t="s">
        <v>606</v>
      </c>
      <c r="AA6" s="630" t="s">
        <v>606</v>
      </c>
      <c r="AB6" s="630" t="s">
        <v>606</v>
      </c>
      <c r="AC6" s="630" t="s">
        <v>606</v>
      </c>
      <c r="AD6" s="630" t="s">
        <v>606</v>
      </c>
      <c r="AE6" s="630" t="s">
        <v>606</v>
      </c>
      <c r="AF6" s="630" t="s">
        <v>606</v>
      </c>
      <c r="AG6" s="630" t="s">
        <v>606</v>
      </c>
      <c r="AH6" s="630" t="s">
        <v>606</v>
      </c>
      <c r="AI6" s="630" t="s">
        <v>606</v>
      </c>
      <c r="AJ6" s="631" t="s">
        <v>606</v>
      </c>
      <c r="AL6" s="27"/>
      <c r="AM6" s="34" t="s">
        <v>75</v>
      </c>
      <c r="AN6" s="188">
        <v>64.0</v>
      </c>
      <c r="AO6" s="633">
        <v>42.9084625</v>
      </c>
      <c r="AP6" s="191">
        <v>2746.1416</v>
      </c>
    </row>
    <row r="7" ht="12.75" customHeight="1">
      <c r="B7" s="634">
        <f>'Minion Checker'!H10</f>
        <v>0</v>
      </c>
      <c r="C7" s="629" t="str">
        <f>IMAGE("https://i.imgur.com/FBsDjQO.png")</f>
        <v/>
      </c>
      <c r="D7" s="27" t="str">
        <f>'Minion Checker'!D10</f>
        <v/>
      </c>
      <c r="E7" s="34" t="str">
        <f>'Minion Checker'!E10</f>
        <v>Gravel</v>
      </c>
      <c r="F7" s="635" t="str">
        <f t="shared" ref="F7:P7" si="7">IF(ARABIC(F$3)&lt;=$B7,"✓","✗")</f>
        <v>✗</v>
      </c>
      <c r="G7" s="635" t="str">
        <f t="shared" si="7"/>
        <v>✗</v>
      </c>
      <c r="H7" s="635" t="str">
        <f t="shared" si="7"/>
        <v>✗</v>
      </c>
      <c r="I7" s="635" t="str">
        <f t="shared" si="7"/>
        <v>✗</v>
      </c>
      <c r="J7" s="635" t="str">
        <f t="shared" si="7"/>
        <v>✗</v>
      </c>
      <c r="K7" s="635" t="str">
        <f t="shared" si="7"/>
        <v>✗</v>
      </c>
      <c r="L7" s="635" t="str">
        <f t="shared" si="7"/>
        <v>✗</v>
      </c>
      <c r="M7" s="635" t="str">
        <f t="shared" si="7"/>
        <v>✗</v>
      </c>
      <c r="N7" s="635" t="str">
        <f t="shared" si="7"/>
        <v>✗</v>
      </c>
      <c r="O7" s="635" t="str">
        <f t="shared" si="7"/>
        <v>✗</v>
      </c>
      <c r="P7" s="636" t="str">
        <f t="shared" si="7"/>
        <v>✗</v>
      </c>
      <c r="Q7" s="80">
        <f t="shared" si="6"/>
        <v>42</v>
      </c>
      <c r="R7" s="580">
        <f t="shared" si="3"/>
        <v>80</v>
      </c>
      <c r="S7" s="632">
        <v>41.32125</v>
      </c>
      <c r="T7" s="580">
        <f t="shared" si="4"/>
        <v>3305.7</v>
      </c>
      <c r="V7" s="634">
        <v>0.0</v>
      </c>
      <c r="W7" s="34"/>
      <c r="X7" s="27"/>
      <c r="Y7" s="34" t="s">
        <v>32</v>
      </c>
      <c r="Z7" s="635" t="s">
        <v>606</v>
      </c>
      <c r="AA7" s="635" t="s">
        <v>606</v>
      </c>
      <c r="AB7" s="635" t="s">
        <v>606</v>
      </c>
      <c r="AC7" s="635" t="s">
        <v>606</v>
      </c>
      <c r="AD7" s="635" t="s">
        <v>606</v>
      </c>
      <c r="AE7" s="635" t="s">
        <v>606</v>
      </c>
      <c r="AF7" s="635" t="s">
        <v>606</v>
      </c>
      <c r="AG7" s="635" t="s">
        <v>606</v>
      </c>
      <c r="AH7" s="635" t="s">
        <v>606</v>
      </c>
      <c r="AI7" s="635" t="s">
        <v>606</v>
      </c>
      <c r="AJ7" s="636" t="s">
        <v>606</v>
      </c>
      <c r="AL7" s="25"/>
      <c r="AM7" s="37" t="s">
        <v>30</v>
      </c>
      <c r="AN7" s="201">
        <v>80.0</v>
      </c>
      <c r="AO7" s="637">
        <v>27.499374999999997</v>
      </c>
      <c r="AP7" s="204">
        <v>2199.95</v>
      </c>
    </row>
    <row r="8" ht="12.75" customHeight="1">
      <c r="B8" s="634">
        <f>'Minion Checker'!H11</f>
        <v>0</v>
      </c>
      <c r="C8" s="629" t="str">
        <f>IMAGE("https://i.imgur.com/VmhUTbz.png")</f>
        <v/>
      </c>
      <c r="D8" s="27" t="str">
        <f>'Minion Checker'!D11</f>
        <v/>
      </c>
      <c r="E8" s="34" t="str">
        <f>'Minion Checker'!E11</f>
        <v>Sand</v>
      </c>
      <c r="F8" s="630" t="str">
        <f t="shared" ref="F8:P8" si="8">IF(ARABIC(F$3)&lt;=$B8,"✓","✗")</f>
        <v>✗</v>
      </c>
      <c r="G8" s="630" t="str">
        <f t="shared" si="8"/>
        <v>✗</v>
      </c>
      <c r="H8" s="630" t="str">
        <f t="shared" si="8"/>
        <v>✗</v>
      </c>
      <c r="I8" s="630" t="str">
        <f t="shared" si="8"/>
        <v>✗</v>
      </c>
      <c r="J8" s="630" t="str">
        <f t="shared" si="8"/>
        <v>✗</v>
      </c>
      <c r="K8" s="630" t="str">
        <f t="shared" si="8"/>
        <v>✗</v>
      </c>
      <c r="L8" s="630" t="str">
        <f t="shared" si="8"/>
        <v>✗</v>
      </c>
      <c r="M8" s="630" t="str">
        <f t="shared" si="8"/>
        <v>✗</v>
      </c>
      <c r="N8" s="630" t="str">
        <f t="shared" si="8"/>
        <v>✗</v>
      </c>
      <c r="O8" s="630" t="str">
        <f t="shared" si="8"/>
        <v>✗</v>
      </c>
      <c r="P8" s="631" t="str">
        <f t="shared" si="8"/>
        <v>✗</v>
      </c>
      <c r="Q8" s="80">
        <f t="shared" si="6"/>
        <v>55</v>
      </c>
      <c r="R8" s="580">
        <f t="shared" si="3"/>
        <v>80</v>
      </c>
      <c r="S8" s="632">
        <v>17.7163625</v>
      </c>
      <c r="T8" s="580">
        <f t="shared" si="4"/>
        <v>1417.309</v>
      </c>
      <c r="V8" s="634">
        <v>0.0</v>
      </c>
      <c r="W8" s="34"/>
      <c r="X8" s="27"/>
      <c r="Y8" s="34" t="s">
        <v>33</v>
      </c>
      <c r="Z8" s="630" t="s">
        <v>606</v>
      </c>
      <c r="AA8" s="630" t="s">
        <v>606</v>
      </c>
      <c r="AB8" s="630" t="s">
        <v>606</v>
      </c>
      <c r="AC8" s="630" t="s">
        <v>606</v>
      </c>
      <c r="AD8" s="630" t="s">
        <v>606</v>
      </c>
      <c r="AE8" s="630" t="s">
        <v>606</v>
      </c>
      <c r="AF8" s="630" t="s">
        <v>606</v>
      </c>
      <c r="AG8" s="630" t="s">
        <v>606</v>
      </c>
      <c r="AH8" s="630" t="s">
        <v>606</v>
      </c>
      <c r="AI8" s="630" t="s">
        <v>606</v>
      </c>
      <c r="AJ8" s="631" t="s">
        <v>606</v>
      </c>
      <c r="AL8" s="27"/>
      <c r="AM8" s="34" t="s">
        <v>64</v>
      </c>
      <c r="AN8" s="188">
        <v>80.0</v>
      </c>
      <c r="AO8" s="633">
        <v>27.345625000000002</v>
      </c>
      <c r="AP8" s="191">
        <v>2187.65</v>
      </c>
    </row>
    <row r="9" ht="12.75" customHeight="1">
      <c r="B9" s="634">
        <f>'Minion Checker'!H12</f>
        <v>0</v>
      </c>
      <c r="C9" s="629" t="str">
        <f>IMAGE("https://i.imgur.com/WVnxqGX.png")</f>
        <v/>
      </c>
      <c r="D9" s="27" t="str">
        <f>'Minion Checker'!D12</f>
        <v/>
      </c>
      <c r="E9" s="34" t="str">
        <f>'Minion Checker'!E12</f>
        <v>Clay</v>
      </c>
      <c r="F9" s="635" t="str">
        <f t="shared" ref="F9:P9" si="9">IF(ARABIC(F$3)&lt;=$B9,"✓","✗")</f>
        <v>✗</v>
      </c>
      <c r="G9" s="635" t="str">
        <f t="shared" si="9"/>
        <v>✗</v>
      </c>
      <c r="H9" s="635" t="str">
        <f t="shared" si="9"/>
        <v>✗</v>
      </c>
      <c r="I9" s="635" t="str">
        <f t="shared" si="9"/>
        <v>✗</v>
      </c>
      <c r="J9" s="635" t="str">
        <f t="shared" si="9"/>
        <v>✗</v>
      </c>
      <c r="K9" s="635" t="str">
        <f t="shared" si="9"/>
        <v>✗</v>
      </c>
      <c r="L9" s="635" t="str">
        <f t="shared" si="9"/>
        <v>✗</v>
      </c>
      <c r="M9" s="635" t="str">
        <f t="shared" si="9"/>
        <v>✗</v>
      </c>
      <c r="N9" s="635" t="str">
        <f t="shared" si="9"/>
        <v>✗</v>
      </c>
      <c r="O9" s="635" t="str">
        <f t="shared" si="9"/>
        <v>✗</v>
      </c>
      <c r="P9" s="636" t="str">
        <f t="shared" si="9"/>
        <v>✗</v>
      </c>
      <c r="Q9" s="80">
        <f t="shared" si="6"/>
        <v>68</v>
      </c>
      <c r="R9" s="580">
        <f t="shared" si="3"/>
        <v>80</v>
      </c>
      <c r="S9" s="632">
        <v>2.8641125</v>
      </c>
      <c r="T9" s="580">
        <f t="shared" si="4"/>
        <v>229.129</v>
      </c>
      <c r="V9" s="634">
        <v>0.0</v>
      </c>
      <c r="W9" s="34"/>
      <c r="X9" s="27"/>
      <c r="Y9" s="34" t="s">
        <v>34</v>
      </c>
      <c r="Z9" s="635" t="s">
        <v>606</v>
      </c>
      <c r="AA9" s="635" t="s">
        <v>606</v>
      </c>
      <c r="AB9" s="635" t="s">
        <v>606</v>
      </c>
      <c r="AC9" s="635" t="s">
        <v>606</v>
      </c>
      <c r="AD9" s="635" t="s">
        <v>606</v>
      </c>
      <c r="AE9" s="635" t="s">
        <v>606</v>
      </c>
      <c r="AF9" s="635" t="s">
        <v>606</v>
      </c>
      <c r="AG9" s="635" t="s">
        <v>606</v>
      </c>
      <c r="AH9" s="635" t="s">
        <v>606</v>
      </c>
      <c r="AI9" s="635" t="s">
        <v>606</v>
      </c>
      <c r="AJ9" s="636" t="s">
        <v>606</v>
      </c>
      <c r="AL9" s="25"/>
      <c r="AM9" s="37" t="s">
        <v>69</v>
      </c>
      <c r="AN9" s="201">
        <v>80.0</v>
      </c>
      <c r="AO9" s="637">
        <v>24.99156875</v>
      </c>
      <c r="AP9" s="204">
        <v>1999.3255</v>
      </c>
    </row>
    <row r="10" ht="12.75" customHeight="1">
      <c r="B10" s="634">
        <f>'Minion Checker'!H13</f>
        <v>0</v>
      </c>
      <c r="C10" s="629" t="str">
        <f>IMAGE("https://i.imgur.com/y8kXAo1.png")</f>
        <v/>
      </c>
      <c r="D10" s="27" t="str">
        <f>'Minion Checker'!D13</f>
        <v/>
      </c>
      <c r="E10" s="34" t="str">
        <f>'Minion Checker'!E13</f>
        <v>Ice</v>
      </c>
      <c r="F10" s="630" t="str">
        <f t="shared" ref="F10:P10" si="10">IF(ARABIC(F$3)&lt;=$B10,"✓","✗")</f>
        <v>✗</v>
      </c>
      <c r="G10" s="630" t="str">
        <f t="shared" si="10"/>
        <v>✗</v>
      </c>
      <c r="H10" s="630" t="str">
        <f t="shared" si="10"/>
        <v>✗</v>
      </c>
      <c r="I10" s="630" t="str">
        <f t="shared" si="10"/>
        <v>✗</v>
      </c>
      <c r="J10" s="630" t="str">
        <f t="shared" si="10"/>
        <v>✗</v>
      </c>
      <c r="K10" s="630" t="str">
        <f t="shared" si="10"/>
        <v>✗</v>
      </c>
      <c r="L10" s="630" t="str">
        <f t="shared" si="10"/>
        <v>✗</v>
      </c>
      <c r="M10" s="630" t="str">
        <f t="shared" si="10"/>
        <v>✗</v>
      </c>
      <c r="N10" s="630" t="str">
        <f t="shared" si="10"/>
        <v>✗</v>
      </c>
      <c r="O10" s="630" t="str">
        <f t="shared" si="10"/>
        <v>✗</v>
      </c>
      <c r="P10" s="631" t="str">
        <f t="shared" si="10"/>
        <v>✗</v>
      </c>
      <c r="Q10" s="80">
        <f t="shared" si="6"/>
        <v>81</v>
      </c>
      <c r="R10" s="580">
        <f t="shared" si="3"/>
        <v>80</v>
      </c>
      <c r="S10" s="632">
        <v>4.4082187500000005</v>
      </c>
      <c r="T10" s="580">
        <f t="shared" si="4"/>
        <v>352.6575</v>
      </c>
      <c r="V10" s="634">
        <v>0.0</v>
      </c>
      <c r="W10" s="34"/>
      <c r="X10" s="27"/>
      <c r="Y10" s="34" t="s">
        <v>35</v>
      </c>
      <c r="Z10" s="630" t="s">
        <v>606</v>
      </c>
      <c r="AA10" s="630" t="s">
        <v>606</v>
      </c>
      <c r="AB10" s="630" t="s">
        <v>606</v>
      </c>
      <c r="AC10" s="630" t="s">
        <v>606</v>
      </c>
      <c r="AD10" s="630" t="s">
        <v>606</v>
      </c>
      <c r="AE10" s="630" t="s">
        <v>606</v>
      </c>
      <c r="AF10" s="630" t="s">
        <v>606</v>
      </c>
      <c r="AG10" s="630" t="s">
        <v>606</v>
      </c>
      <c r="AH10" s="630" t="s">
        <v>606</v>
      </c>
      <c r="AI10" s="630" t="s">
        <v>606</v>
      </c>
      <c r="AJ10" s="631" t="s">
        <v>606</v>
      </c>
      <c r="AL10" s="27"/>
      <c r="AM10" s="34" t="s">
        <v>44</v>
      </c>
      <c r="AN10" s="188">
        <v>80.0</v>
      </c>
      <c r="AO10" s="633">
        <v>24.77013125</v>
      </c>
      <c r="AP10" s="191">
        <v>1981.6104999999998</v>
      </c>
    </row>
    <row r="11" ht="12.75" customHeight="1">
      <c r="B11" s="634">
        <f>'Minion Checker'!H14</f>
        <v>0</v>
      </c>
      <c r="C11" s="629" t="str">
        <f>IMAGE("https://i.imgur.com/6aa4qEv.png")</f>
        <v/>
      </c>
      <c r="D11" s="27" t="str">
        <f>'Minion Checker'!D14</f>
        <v/>
      </c>
      <c r="E11" s="34" t="str">
        <f>'Minion Checker'!E14</f>
        <v>Snow</v>
      </c>
      <c r="F11" s="635" t="str">
        <f t="shared" ref="F11:P11" si="11">IF(ARABIC(F$3)&lt;=$B11,"✓","✗")</f>
        <v>✗</v>
      </c>
      <c r="G11" s="635" t="str">
        <f t="shared" si="11"/>
        <v>✗</v>
      </c>
      <c r="H11" s="635" t="str">
        <f t="shared" si="11"/>
        <v>✗</v>
      </c>
      <c r="I11" s="635" t="str">
        <f t="shared" si="11"/>
        <v>✗</v>
      </c>
      <c r="J11" s="635" t="str">
        <f t="shared" si="11"/>
        <v>✗</v>
      </c>
      <c r="K11" s="635" t="str">
        <f t="shared" si="11"/>
        <v>✗</v>
      </c>
      <c r="L11" s="635" t="str">
        <f t="shared" si="11"/>
        <v>✗</v>
      </c>
      <c r="M11" s="635" t="str">
        <f t="shared" si="11"/>
        <v>✗</v>
      </c>
      <c r="N11" s="635" t="str">
        <f t="shared" si="11"/>
        <v>✗</v>
      </c>
      <c r="O11" s="635" t="str">
        <f t="shared" si="11"/>
        <v>✗</v>
      </c>
      <c r="P11" s="636" t="str">
        <f t="shared" si="11"/>
        <v>✗</v>
      </c>
      <c r="Q11" s="80">
        <f t="shared" si="6"/>
        <v>94</v>
      </c>
      <c r="R11" s="580">
        <f t="shared" si="3"/>
        <v>0</v>
      </c>
      <c r="S11" s="632">
        <v>0.914525</v>
      </c>
      <c r="T11" s="580">
        <f t="shared" si="4"/>
        <v>0</v>
      </c>
      <c r="V11" s="634">
        <v>0.0</v>
      </c>
      <c r="W11" s="34"/>
      <c r="X11" s="27"/>
      <c r="Y11" s="34" t="s">
        <v>36</v>
      </c>
      <c r="Z11" s="635" t="s">
        <v>606</v>
      </c>
      <c r="AA11" s="635" t="s">
        <v>606</v>
      </c>
      <c r="AB11" s="635" t="s">
        <v>606</v>
      </c>
      <c r="AC11" s="635" t="s">
        <v>606</v>
      </c>
      <c r="AD11" s="635" t="s">
        <v>606</v>
      </c>
      <c r="AE11" s="635" t="s">
        <v>606</v>
      </c>
      <c r="AF11" s="635" t="s">
        <v>606</v>
      </c>
      <c r="AG11" s="635" t="s">
        <v>606</v>
      </c>
      <c r="AH11" s="635" t="s">
        <v>606</v>
      </c>
      <c r="AI11" s="635" t="s">
        <v>606</v>
      </c>
      <c r="AJ11" s="636" t="s">
        <v>606</v>
      </c>
      <c r="AL11" s="25"/>
      <c r="AM11" s="37" t="s">
        <v>77</v>
      </c>
      <c r="AN11" s="201">
        <v>64.0</v>
      </c>
      <c r="AO11" s="637">
        <v>28.177018750000002</v>
      </c>
      <c r="AP11" s="204">
        <v>1803.3292000000001</v>
      </c>
    </row>
    <row r="12" ht="12.75" customHeight="1">
      <c r="B12" s="634">
        <f>'Minion Checker'!H15</f>
        <v>0</v>
      </c>
      <c r="C12" s="629" t="str">
        <f>IMAGE("https://i.imgur.com/XuOT1Vx.png")</f>
        <v/>
      </c>
      <c r="D12" s="27" t="str">
        <f>'Minion Checker'!D15</f>
        <v/>
      </c>
      <c r="E12" s="34" t="str">
        <f>'Minion Checker'!E15</f>
        <v>Coal</v>
      </c>
      <c r="F12" s="630" t="str">
        <f t="shared" ref="F12:P12" si="12">IF(ARABIC(F$3)&lt;=$B12,"✓","✗")</f>
        <v>✗</v>
      </c>
      <c r="G12" s="630" t="str">
        <f t="shared" si="12"/>
        <v>✗</v>
      </c>
      <c r="H12" s="630" t="str">
        <f t="shared" si="12"/>
        <v>✗</v>
      </c>
      <c r="I12" s="630" t="str">
        <f t="shared" si="12"/>
        <v>✗</v>
      </c>
      <c r="J12" s="630" t="str">
        <f t="shared" si="12"/>
        <v>✗</v>
      </c>
      <c r="K12" s="630" t="str">
        <f t="shared" si="12"/>
        <v>✗</v>
      </c>
      <c r="L12" s="630" t="str">
        <f t="shared" si="12"/>
        <v>✗</v>
      </c>
      <c r="M12" s="630" t="str">
        <f t="shared" si="12"/>
        <v>✗</v>
      </c>
      <c r="N12" s="630" t="str">
        <f t="shared" si="12"/>
        <v>✗</v>
      </c>
      <c r="O12" s="630" t="str">
        <f t="shared" si="12"/>
        <v>✗</v>
      </c>
      <c r="P12" s="631" t="str">
        <f t="shared" si="12"/>
        <v>✗</v>
      </c>
      <c r="Q12" s="80">
        <f t="shared" si="6"/>
        <v>107</v>
      </c>
      <c r="R12" s="580">
        <f t="shared" si="3"/>
        <v>80</v>
      </c>
      <c r="S12" s="632">
        <v>5.89105</v>
      </c>
      <c r="T12" s="580">
        <f t="shared" si="4"/>
        <v>471.284</v>
      </c>
      <c r="V12" s="634">
        <v>0.0</v>
      </c>
      <c r="W12" s="34"/>
      <c r="X12" s="27"/>
      <c r="Y12" s="34" t="s">
        <v>37</v>
      </c>
      <c r="Z12" s="630" t="s">
        <v>606</v>
      </c>
      <c r="AA12" s="630" t="s">
        <v>606</v>
      </c>
      <c r="AB12" s="630" t="s">
        <v>606</v>
      </c>
      <c r="AC12" s="630" t="s">
        <v>606</v>
      </c>
      <c r="AD12" s="630" t="s">
        <v>606</v>
      </c>
      <c r="AE12" s="630" t="s">
        <v>606</v>
      </c>
      <c r="AF12" s="630" t="s">
        <v>606</v>
      </c>
      <c r="AG12" s="630" t="s">
        <v>606</v>
      </c>
      <c r="AH12" s="630" t="s">
        <v>606</v>
      </c>
      <c r="AI12" s="630" t="s">
        <v>606</v>
      </c>
      <c r="AJ12" s="631" t="s">
        <v>606</v>
      </c>
      <c r="AL12" s="27"/>
      <c r="AM12" s="34" t="s">
        <v>31</v>
      </c>
      <c r="AN12" s="188">
        <v>128.0</v>
      </c>
      <c r="AO12" s="633">
        <v>11.841381250000001</v>
      </c>
      <c r="AP12" s="191">
        <v>1515.6968000000002</v>
      </c>
    </row>
    <row r="13" ht="12.75" customHeight="1">
      <c r="B13" s="634">
        <f>'Minion Checker'!H16</f>
        <v>0</v>
      </c>
      <c r="C13" s="629" t="str">
        <f>IMAGE("https://i.imgur.com/iSTMgpR.png")</f>
        <v/>
      </c>
      <c r="D13" s="27" t="str">
        <f>'Minion Checker'!D16</f>
        <v/>
      </c>
      <c r="E13" s="34" t="str">
        <f>'Minion Checker'!E16</f>
        <v>Iron</v>
      </c>
      <c r="F13" s="635" t="str">
        <f t="shared" ref="F13:P13" si="13">IF(ARABIC(F$3)&lt;=$B13,"✓","✗")</f>
        <v>✗</v>
      </c>
      <c r="G13" s="635" t="str">
        <f t="shared" si="13"/>
        <v>✗</v>
      </c>
      <c r="H13" s="635" t="str">
        <f t="shared" si="13"/>
        <v>✗</v>
      </c>
      <c r="I13" s="635" t="str">
        <f t="shared" si="13"/>
        <v>✗</v>
      </c>
      <c r="J13" s="635" t="str">
        <f t="shared" si="13"/>
        <v>✗</v>
      </c>
      <c r="K13" s="635" t="str">
        <f t="shared" si="13"/>
        <v>✗</v>
      </c>
      <c r="L13" s="635" t="str">
        <f t="shared" si="13"/>
        <v>✗</v>
      </c>
      <c r="M13" s="635" t="str">
        <f t="shared" si="13"/>
        <v>✗</v>
      </c>
      <c r="N13" s="635" t="str">
        <f t="shared" si="13"/>
        <v>✗</v>
      </c>
      <c r="O13" s="635" t="str">
        <f t="shared" si="13"/>
        <v>✗</v>
      </c>
      <c r="P13" s="636" t="str">
        <f t="shared" si="13"/>
        <v>✗</v>
      </c>
      <c r="Q13" s="80">
        <f t="shared" si="6"/>
        <v>120</v>
      </c>
      <c r="R13" s="580">
        <f t="shared" si="3"/>
        <v>80</v>
      </c>
      <c r="S13" s="632">
        <v>10.8015625</v>
      </c>
      <c r="T13" s="580">
        <f t="shared" si="4"/>
        <v>864.125</v>
      </c>
      <c r="V13" s="634">
        <v>0.0</v>
      </c>
      <c r="W13" s="34"/>
      <c r="X13" s="27"/>
      <c r="Y13" s="34" t="s">
        <v>38</v>
      </c>
      <c r="Z13" s="635" t="s">
        <v>606</v>
      </c>
      <c r="AA13" s="635" t="s">
        <v>606</v>
      </c>
      <c r="AB13" s="635" t="s">
        <v>606</v>
      </c>
      <c r="AC13" s="635" t="s">
        <v>606</v>
      </c>
      <c r="AD13" s="635" t="s">
        <v>606</v>
      </c>
      <c r="AE13" s="635" t="s">
        <v>606</v>
      </c>
      <c r="AF13" s="635" t="s">
        <v>606</v>
      </c>
      <c r="AG13" s="635" t="s">
        <v>606</v>
      </c>
      <c r="AH13" s="635" t="s">
        <v>606</v>
      </c>
      <c r="AI13" s="635" t="s">
        <v>606</v>
      </c>
      <c r="AJ13" s="636" t="s">
        <v>606</v>
      </c>
      <c r="AL13" s="25"/>
      <c r="AM13" s="37" t="s">
        <v>33</v>
      </c>
      <c r="AN13" s="201">
        <v>80.0</v>
      </c>
      <c r="AO13" s="637">
        <v>17.7163625</v>
      </c>
      <c r="AP13" s="204">
        <v>1417.309</v>
      </c>
    </row>
    <row r="14" ht="12.75" customHeight="1">
      <c r="B14" s="634">
        <f>'Minion Checker'!H17</f>
        <v>0</v>
      </c>
      <c r="C14" s="629" t="str">
        <f>IMAGE("https://i.imgur.com/q4g5mRo.png")</f>
        <v/>
      </c>
      <c r="D14" s="27" t="str">
        <f>'Minion Checker'!D17</f>
        <v/>
      </c>
      <c r="E14" s="34" t="str">
        <f>'Minion Checker'!E17</f>
        <v>Gold</v>
      </c>
      <c r="F14" s="630" t="str">
        <f t="shared" ref="F14:P14" si="14">IF(ARABIC(F$3)&lt;=$B14,"✓","✗")</f>
        <v>✗</v>
      </c>
      <c r="G14" s="630" t="str">
        <f t="shared" si="14"/>
        <v>✗</v>
      </c>
      <c r="H14" s="630" t="str">
        <f t="shared" si="14"/>
        <v>✗</v>
      </c>
      <c r="I14" s="630" t="str">
        <f t="shared" si="14"/>
        <v>✗</v>
      </c>
      <c r="J14" s="630" t="str">
        <f t="shared" si="14"/>
        <v>✗</v>
      </c>
      <c r="K14" s="630" t="str">
        <f t="shared" si="14"/>
        <v>✗</v>
      </c>
      <c r="L14" s="630" t="str">
        <f t="shared" si="14"/>
        <v>✗</v>
      </c>
      <c r="M14" s="630" t="str">
        <f t="shared" si="14"/>
        <v>✗</v>
      </c>
      <c r="N14" s="630" t="str">
        <f t="shared" si="14"/>
        <v>✗</v>
      </c>
      <c r="O14" s="630" t="str">
        <f t="shared" si="14"/>
        <v>✗</v>
      </c>
      <c r="P14" s="631" t="str">
        <f t="shared" si="14"/>
        <v>✗</v>
      </c>
      <c r="Q14" s="80">
        <f t="shared" si="6"/>
        <v>133</v>
      </c>
      <c r="R14" s="580">
        <f t="shared" si="3"/>
        <v>80</v>
      </c>
      <c r="S14" s="632">
        <v>3.9784374999999996</v>
      </c>
      <c r="T14" s="580">
        <f t="shared" si="4"/>
        <v>318.275</v>
      </c>
      <c r="V14" s="634">
        <v>0.0</v>
      </c>
      <c r="W14" s="34"/>
      <c r="X14" s="27"/>
      <c r="Y14" s="34" t="s">
        <v>39</v>
      </c>
      <c r="Z14" s="630" t="s">
        <v>606</v>
      </c>
      <c r="AA14" s="630" t="s">
        <v>606</v>
      </c>
      <c r="AB14" s="630" t="s">
        <v>606</v>
      </c>
      <c r="AC14" s="630" t="s">
        <v>606</v>
      </c>
      <c r="AD14" s="630" t="s">
        <v>606</v>
      </c>
      <c r="AE14" s="630" t="s">
        <v>606</v>
      </c>
      <c r="AF14" s="630" t="s">
        <v>606</v>
      </c>
      <c r="AG14" s="630" t="s">
        <v>606</v>
      </c>
      <c r="AH14" s="630" t="s">
        <v>606</v>
      </c>
      <c r="AI14" s="630" t="s">
        <v>606</v>
      </c>
      <c r="AJ14" s="631" t="s">
        <v>606</v>
      </c>
      <c r="AL14" s="27"/>
      <c r="AM14" s="34" t="s">
        <v>41</v>
      </c>
      <c r="AN14" s="188">
        <v>256.0</v>
      </c>
      <c r="AO14" s="633">
        <v>5.51914375</v>
      </c>
      <c r="AP14" s="191">
        <v>1412.9008</v>
      </c>
    </row>
    <row r="15" ht="12.75" customHeight="1">
      <c r="B15" s="634">
        <f>'Minion Checker'!H18</f>
        <v>0</v>
      </c>
      <c r="C15" s="629" t="str">
        <f>IMAGE("https://i.imgur.com/hUBAPTs.png")</f>
        <v/>
      </c>
      <c r="D15" s="27" t="str">
        <f>'Minion Checker'!D18</f>
        <v/>
      </c>
      <c r="E15" s="34" t="str">
        <f>'Minion Checker'!E18</f>
        <v>Diamond</v>
      </c>
      <c r="F15" s="635" t="str">
        <f t="shared" ref="F15:P15" si="15">IF(ARABIC(F$3)&lt;=$B15,"✓","✗")</f>
        <v>✗</v>
      </c>
      <c r="G15" s="635" t="str">
        <f t="shared" si="15"/>
        <v>✗</v>
      </c>
      <c r="H15" s="635" t="str">
        <f t="shared" si="15"/>
        <v>✗</v>
      </c>
      <c r="I15" s="635" t="str">
        <f t="shared" si="15"/>
        <v>✗</v>
      </c>
      <c r="J15" s="635" t="str">
        <f t="shared" si="15"/>
        <v>✗</v>
      </c>
      <c r="K15" s="635" t="str">
        <f t="shared" si="15"/>
        <v>✗</v>
      </c>
      <c r="L15" s="635" t="str">
        <f t="shared" si="15"/>
        <v>✗</v>
      </c>
      <c r="M15" s="635" t="str">
        <f t="shared" si="15"/>
        <v>✗</v>
      </c>
      <c r="N15" s="635" t="str">
        <f t="shared" si="15"/>
        <v>✗</v>
      </c>
      <c r="O15" s="635" t="str">
        <f t="shared" si="15"/>
        <v>✗</v>
      </c>
      <c r="P15" s="636" t="str">
        <f t="shared" si="15"/>
        <v>✗</v>
      </c>
      <c r="Q15" s="80">
        <f t="shared" si="6"/>
        <v>146</v>
      </c>
      <c r="R15" s="580">
        <f t="shared" si="3"/>
        <v>80</v>
      </c>
      <c r="S15" s="632">
        <v>8.56876875</v>
      </c>
      <c r="T15" s="580">
        <f t="shared" si="4"/>
        <v>685.5015</v>
      </c>
      <c r="V15" s="634">
        <v>0.0</v>
      </c>
      <c r="W15" s="34"/>
      <c r="X15" s="27"/>
      <c r="Y15" s="34" t="s">
        <v>40</v>
      </c>
      <c r="Z15" s="635" t="s">
        <v>606</v>
      </c>
      <c r="AA15" s="635" t="s">
        <v>606</v>
      </c>
      <c r="AB15" s="635" t="s">
        <v>606</v>
      </c>
      <c r="AC15" s="635" t="s">
        <v>606</v>
      </c>
      <c r="AD15" s="635" t="s">
        <v>606</v>
      </c>
      <c r="AE15" s="635" t="s">
        <v>606</v>
      </c>
      <c r="AF15" s="635" t="s">
        <v>606</v>
      </c>
      <c r="AG15" s="635" t="s">
        <v>606</v>
      </c>
      <c r="AH15" s="635" t="s">
        <v>606</v>
      </c>
      <c r="AI15" s="635" t="s">
        <v>606</v>
      </c>
      <c r="AJ15" s="636" t="s">
        <v>606</v>
      </c>
      <c r="AL15" s="25"/>
      <c r="AM15" s="37" t="s">
        <v>68</v>
      </c>
      <c r="AN15" s="201">
        <v>80.0</v>
      </c>
      <c r="AO15" s="637">
        <v>16.202481249999998</v>
      </c>
      <c r="AP15" s="204">
        <v>1296.1985</v>
      </c>
    </row>
    <row r="16" ht="12.75" customHeight="1">
      <c r="B16" s="634">
        <f>'Minion Checker'!H19</f>
        <v>0</v>
      </c>
      <c r="C16" s="629" t="str">
        <f>IMAGE("https://i.imgur.com/woLyZRn.png")</f>
        <v/>
      </c>
      <c r="D16" s="27" t="str">
        <f>'Minion Checker'!D19</f>
        <v/>
      </c>
      <c r="E16" s="34" t="str">
        <f>'Minion Checker'!E19</f>
        <v>Lapis</v>
      </c>
      <c r="F16" s="630" t="str">
        <f t="shared" ref="F16:P16" si="16">IF(ARABIC(F$3)&lt;=$B16,"✓","✗")</f>
        <v>✗</v>
      </c>
      <c r="G16" s="630" t="str">
        <f t="shared" si="16"/>
        <v>✗</v>
      </c>
      <c r="H16" s="630" t="str">
        <f t="shared" si="16"/>
        <v>✗</v>
      </c>
      <c r="I16" s="630" t="str">
        <f t="shared" si="16"/>
        <v>✗</v>
      </c>
      <c r="J16" s="630" t="str">
        <f t="shared" si="16"/>
        <v>✗</v>
      </c>
      <c r="K16" s="630" t="str">
        <f t="shared" si="16"/>
        <v>✗</v>
      </c>
      <c r="L16" s="630" t="str">
        <f t="shared" si="16"/>
        <v>✗</v>
      </c>
      <c r="M16" s="630" t="str">
        <f t="shared" si="16"/>
        <v>✗</v>
      </c>
      <c r="N16" s="630" t="str">
        <f t="shared" si="16"/>
        <v>✗</v>
      </c>
      <c r="O16" s="630" t="str">
        <f t="shared" si="16"/>
        <v>✗</v>
      </c>
      <c r="P16" s="631" t="str">
        <f t="shared" si="16"/>
        <v>✗</v>
      </c>
      <c r="Q16" s="80">
        <f t="shared" si="6"/>
        <v>159</v>
      </c>
      <c r="R16" s="580">
        <f t="shared" si="3"/>
        <v>256</v>
      </c>
      <c r="S16" s="632">
        <v>5.51914375</v>
      </c>
      <c r="T16" s="580">
        <f t="shared" si="4"/>
        <v>1412.9008</v>
      </c>
      <c r="V16" s="634">
        <v>0.0</v>
      </c>
      <c r="W16" s="34"/>
      <c r="X16" s="27"/>
      <c r="Y16" s="34" t="s">
        <v>41</v>
      </c>
      <c r="Z16" s="630" t="s">
        <v>606</v>
      </c>
      <c r="AA16" s="630" t="s">
        <v>606</v>
      </c>
      <c r="AB16" s="630" t="s">
        <v>606</v>
      </c>
      <c r="AC16" s="630" t="s">
        <v>606</v>
      </c>
      <c r="AD16" s="630" t="s">
        <v>606</v>
      </c>
      <c r="AE16" s="630" t="s">
        <v>606</v>
      </c>
      <c r="AF16" s="630" t="s">
        <v>606</v>
      </c>
      <c r="AG16" s="630" t="s">
        <v>606</v>
      </c>
      <c r="AH16" s="630" t="s">
        <v>606</v>
      </c>
      <c r="AI16" s="630" t="s">
        <v>606</v>
      </c>
      <c r="AJ16" s="631" t="s">
        <v>606</v>
      </c>
      <c r="AL16" s="27"/>
      <c r="AM16" s="34" t="s">
        <v>85</v>
      </c>
      <c r="AN16" s="188">
        <v>80.0</v>
      </c>
      <c r="AO16" s="633">
        <v>15.3036</v>
      </c>
      <c r="AP16" s="191">
        <v>1224.288</v>
      </c>
    </row>
    <row r="17" ht="12.75" customHeight="1">
      <c r="B17" s="634">
        <f>'Minion Checker'!H20</f>
        <v>0</v>
      </c>
      <c r="C17" s="629" t="str">
        <f>IMAGE("https://i.imgur.com/VUWkBTG.png")</f>
        <v/>
      </c>
      <c r="D17" s="27" t="str">
        <f>'Minion Checker'!D20</f>
        <v/>
      </c>
      <c r="E17" s="34" t="str">
        <f>'Minion Checker'!E20</f>
        <v>Redstone</v>
      </c>
      <c r="F17" s="635" t="str">
        <f t="shared" ref="F17:P17" si="17">IF(ARABIC(F$3)&lt;=$B17,"✓","✗")</f>
        <v>✗</v>
      </c>
      <c r="G17" s="635" t="str">
        <f t="shared" si="17"/>
        <v>✗</v>
      </c>
      <c r="H17" s="635" t="str">
        <f t="shared" si="17"/>
        <v>✗</v>
      </c>
      <c r="I17" s="635" t="str">
        <f t="shared" si="17"/>
        <v>✗</v>
      </c>
      <c r="J17" s="635" t="str">
        <f t="shared" si="17"/>
        <v>✗</v>
      </c>
      <c r="K17" s="635" t="str">
        <f t="shared" si="17"/>
        <v>✗</v>
      </c>
      <c r="L17" s="635" t="str">
        <f t="shared" si="17"/>
        <v>✗</v>
      </c>
      <c r="M17" s="635" t="str">
        <f t="shared" si="17"/>
        <v>✗</v>
      </c>
      <c r="N17" s="635" t="str">
        <f t="shared" si="17"/>
        <v>✗</v>
      </c>
      <c r="O17" s="635" t="str">
        <f t="shared" si="17"/>
        <v>✗</v>
      </c>
      <c r="P17" s="636" t="str">
        <f t="shared" si="17"/>
        <v>✗</v>
      </c>
      <c r="Q17" s="80">
        <f t="shared" si="6"/>
        <v>172</v>
      </c>
      <c r="R17" s="580">
        <f t="shared" si="3"/>
        <v>128</v>
      </c>
      <c r="S17" s="632">
        <v>2.0303125</v>
      </c>
      <c r="T17" s="580">
        <f t="shared" si="4"/>
        <v>259.88</v>
      </c>
      <c r="V17" s="634">
        <v>0.0</v>
      </c>
      <c r="W17" s="34"/>
      <c r="X17" s="27"/>
      <c r="Y17" s="34" t="s">
        <v>42</v>
      </c>
      <c r="Z17" s="635" t="s">
        <v>606</v>
      </c>
      <c r="AA17" s="635" t="s">
        <v>606</v>
      </c>
      <c r="AB17" s="635" t="s">
        <v>606</v>
      </c>
      <c r="AC17" s="635" t="s">
        <v>606</v>
      </c>
      <c r="AD17" s="635" t="s">
        <v>606</v>
      </c>
      <c r="AE17" s="635" t="s">
        <v>606</v>
      </c>
      <c r="AF17" s="635" t="s">
        <v>606</v>
      </c>
      <c r="AG17" s="635" t="s">
        <v>606</v>
      </c>
      <c r="AH17" s="635" t="s">
        <v>606</v>
      </c>
      <c r="AI17" s="635" t="s">
        <v>606</v>
      </c>
      <c r="AJ17" s="636" t="s">
        <v>606</v>
      </c>
      <c r="AL17" s="25"/>
      <c r="AM17" s="37" t="s">
        <v>84</v>
      </c>
      <c r="AN17" s="201">
        <v>80.0</v>
      </c>
      <c r="AO17" s="637">
        <v>14.527975000000001</v>
      </c>
      <c r="AP17" s="204">
        <v>1162.238</v>
      </c>
    </row>
    <row r="18" ht="12.75" customHeight="1">
      <c r="B18" s="634">
        <f>'Minion Checker'!H21</f>
        <v>0</v>
      </c>
      <c r="C18" s="629" t="str">
        <f>IMAGE("https://i.imgur.com/xbGQ1XJ.png")</f>
        <v/>
      </c>
      <c r="D18" s="27" t="str">
        <f>'Minion Checker'!D21</f>
        <v/>
      </c>
      <c r="E18" s="34" t="str">
        <f>'Minion Checker'!E21</f>
        <v>Emerald</v>
      </c>
      <c r="F18" s="630" t="str">
        <f t="shared" ref="F18:P18" si="18">IF(ARABIC(F$3)&lt;=$B18,"✓","✗")</f>
        <v>✗</v>
      </c>
      <c r="G18" s="630" t="str">
        <f t="shared" si="18"/>
        <v>✗</v>
      </c>
      <c r="H18" s="630" t="str">
        <f t="shared" si="18"/>
        <v>✗</v>
      </c>
      <c r="I18" s="630" t="str">
        <f t="shared" si="18"/>
        <v>✗</v>
      </c>
      <c r="J18" s="630" t="str">
        <f t="shared" si="18"/>
        <v>✗</v>
      </c>
      <c r="K18" s="630" t="str">
        <f t="shared" si="18"/>
        <v>✗</v>
      </c>
      <c r="L18" s="630" t="str">
        <f t="shared" si="18"/>
        <v>✗</v>
      </c>
      <c r="M18" s="630" t="str">
        <f t="shared" si="18"/>
        <v>✗</v>
      </c>
      <c r="N18" s="630" t="str">
        <f t="shared" si="18"/>
        <v>✗</v>
      </c>
      <c r="O18" s="630" t="str">
        <f t="shared" si="18"/>
        <v>✗</v>
      </c>
      <c r="P18" s="631" t="str">
        <f t="shared" si="18"/>
        <v>✗</v>
      </c>
      <c r="Q18" s="80">
        <f t="shared" si="6"/>
        <v>185</v>
      </c>
      <c r="R18" s="580">
        <f t="shared" si="3"/>
        <v>80</v>
      </c>
      <c r="S18" s="632">
        <v>7.009475</v>
      </c>
      <c r="T18" s="580">
        <f t="shared" si="4"/>
        <v>560.758</v>
      </c>
      <c r="V18" s="634">
        <v>0.0</v>
      </c>
      <c r="W18" s="34"/>
      <c r="X18" s="27"/>
      <c r="Y18" s="34" t="s">
        <v>43</v>
      </c>
      <c r="Z18" s="630" t="s">
        <v>606</v>
      </c>
      <c r="AA18" s="630" t="s">
        <v>606</v>
      </c>
      <c r="AB18" s="630" t="s">
        <v>606</v>
      </c>
      <c r="AC18" s="630" t="s">
        <v>606</v>
      </c>
      <c r="AD18" s="630" t="s">
        <v>606</v>
      </c>
      <c r="AE18" s="630" t="s">
        <v>606</v>
      </c>
      <c r="AF18" s="630" t="s">
        <v>606</v>
      </c>
      <c r="AG18" s="630" t="s">
        <v>606</v>
      </c>
      <c r="AH18" s="630" t="s">
        <v>606</v>
      </c>
      <c r="AI18" s="630" t="s">
        <v>606</v>
      </c>
      <c r="AJ18" s="631" t="s">
        <v>606</v>
      </c>
      <c r="AL18" s="27"/>
      <c r="AM18" s="34" t="s">
        <v>80</v>
      </c>
      <c r="AN18" s="188">
        <v>80.0</v>
      </c>
      <c r="AO18" s="633">
        <v>12.985737499999999</v>
      </c>
      <c r="AP18" s="191">
        <v>1038.859</v>
      </c>
    </row>
    <row r="19" ht="12.75" customHeight="1">
      <c r="B19" s="634">
        <f>'Minion Checker'!H22</f>
        <v>0</v>
      </c>
      <c r="C19" s="629" t="str">
        <f>IMAGE("https://i.imgur.com/SfwOl2T.png")</f>
        <v/>
      </c>
      <c r="D19" s="27" t="str">
        <f>'Minion Checker'!D22</f>
        <v/>
      </c>
      <c r="E19" s="34" t="str">
        <f>'Minion Checker'!E22</f>
        <v>Quartz</v>
      </c>
      <c r="F19" s="635" t="str">
        <f t="shared" ref="F19:P19" si="19">IF(ARABIC(F$3)&lt;=$B19,"✓","✗")</f>
        <v>✗</v>
      </c>
      <c r="G19" s="635" t="str">
        <f t="shared" si="19"/>
        <v>✗</v>
      </c>
      <c r="H19" s="635" t="str">
        <f t="shared" si="19"/>
        <v>✗</v>
      </c>
      <c r="I19" s="635" t="str">
        <f t="shared" si="19"/>
        <v>✗</v>
      </c>
      <c r="J19" s="635" t="str">
        <f t="shared" si="19"/>
        <v>✗</v>
      </c>
      <c r="K19" s="635" t="str">
        <f t="shared" si="19"/>
        <v>✗</v>
      </c>
      <c r="L19" s="635" t="str">
        <f t="shared" si="19"/>
        <v>✗</v>
      </c>
      <c r="M19" s="635" t="str">
        <f t="shared" si="19"/>
        <v>✗</v>
      </c>
      <c r="N19" s="635" t="str">
        <f t="shared" si="19"/>
        <v>✗</v>
      </c>
      <c r="O19" s="635" t="str">
        <f t="shared" si="19"/>
        <v>✗</v>
      </c>
      <c r="P19" s="636" t="str">
        <f t="shared" si="19"/>
        <v>✗</v>
      </c>
      <c r="Q19" s="80">
        <f t="shared" si="6"/>
        <v>198</v>
      </c>
      <c r="R19" s="580">
        <f t="shared" si="3"/>
        <v>80</v>
      </c>
      <c r="S19" s="632">
        <v>24.77013125</v>
      </c>
      <c r="T19" s="580">
        <f t="shared" si="4"/>
        <v>1981.6105</v>
      </c>
      <c r="V19" s="634">
        <v>0.0</v>
      </c>
      <c r="W19" s="34"/>
      <c r="X19" s="27"/>
      <c r="Y19" s="34" t="s">
        <v>44</v>
      </c>
      <c r="Z19" s="635" t="s">
        <v>606</v>
      </c>
      <c r="AA19" s="635" t="s">
        <v>606</v>
      </c>
      <c r="AB19" s="635" t="s">
        <v>606</v>
      </c>
      <c r="AC19" s="635" t="s">
        <v>606</v>
      </c>
      <c r="AD19" s="635" t="s">
        <v>606</v>
      </c>
      <c r="AE19" s="635" t="s">
        <v>606</v>
      </c>
      <c r="AF19" s="635" t="s">
        <v>606</v>
      </c>
      <c r="AG19" s="635" t="s">
        <v>606</v>
      </c>
      <c r="AH19" s="635" t="s">
        <v>606</v>
      </c>
      <c r="AI19" s="635" t="s">
        <v>606</v>
      </c>
      <c r="AJ19" s="636" t="s">
        <v>606</v>
      </c>
      <c r="AL19" s="25"/>
      <c r="AM19" s="37" t="s">
        <v>73</v>
      </c>
      <c r="AN19" s="201">
        <v>80.0</v>
      </c>
      <c r="AO19" s="637">
        <v>12.176781250000001</v>
      </c>
      <c r="AP19" s="204">
        <v>974.1425000000002</v>
      </c>
    </row>
    <row r="20" ht="12.75" customHeight="1">
      <c r="B20" s="634">
        <f>'Minion Checker'!H23</f>
        <v>0</v>
      </c>
      <c r="C20" s="629" t="str">
        <f>IMAGE("https://i.imgur.com/NVVPhjv.png")</f>
        <v/>
      </c>
      <c r="D20" s="27" t="str">
        <f>'Minion Checker'!D23</f>
        <v/>
      </c>
      <c r="E20" s="34" t="str">
        <f>'Minion Checker'!E23</f>
        <v>End Stone</v>
      </c>
      <c r="F20" s="630" t="str">
        <f t="shared" ref="F20:P20" si="20">IF(ARABIC(F$3)&lt;=$B20,"✓","✗")</f>
        <v>✗</v>
      </c>
      <c r="G20" s="630" t="str">
        <f t="shared" si="20"/>
        <v>✗</v>
      </c>
      <c r="H20" s="630" t="str">
        <f t="shared" si="20"/>
        <v>✗</v>
      </c>
      <c r="I20" s="630" t="str">
        <f t="shared" si="20"/>
        <v>✗</v>
      </c>
      <c r="J20" s="630" t="str">
        <f t="shared" si="20"/>
        <v>✗</v>
      </c>
      <c r="K20" s="630" t="str">
        <f t="shared" si="20"/>
        <v>✗</v>
      </c>
      <c r="L20" s="630" t="str">
        <f t="shared" si="20"/>
        <v>✗</v>
      </c>
      <c r="M20" s="630" t="str">
        <f t="shared" si="20"/>
        <v>✗</v>
      </c>
      <c r="N20" s="630" t="str">
        <f t="shared" si="20"/>
        <v>✗</v>
      </c>
      <c r="O20" s="630" t="str">
        <f t="shared" si="20"/>
        <v>✗</v>
      </c>
      <c r="P20" s="631" t="str">
        <f t="shared" si="20"/>
        <v>✗</v>
      </c>
      <c r="Q20" s="80">
        <f t="shared" si="6"/>
        <v>211</v>
      </c>
      <c r="R20" s="580">
        <f t="shared" si="3"/>
        <v>80</v>
      </c>
      <c r="S20" s="632">
        <v>1.9921875</v>
      </c>
      <c r="T20" s="580">
        <f t="shared" si="4"/>
        <v>159.375</v>
      </c>
      <c r="V20" s="634">
        <v>0.0</v>
      </c>
      <c r="W20" s="34"/>
      <c r="X20" s="27"/>
      <c r="Y20" s="34" t="s">
        <v>117</v>
      </c>
      <c r="Z20" s="630" t="s">
        <v>606</v>
      </c>
      <c r="AA20" s="630" t="s">
        <v>606</v>
      </c>
      <c r="AB20" s="630" t="s">
        <v>606</v>
      </c>
      <c r="AC20" s="630" t="s">
        <v>606</v>
      </c>
      <c r="AD20" s="630" t="s">
        <v>606</v>
      </c>
      <c r="AE20" s="630" t="s">
        <v>606</v>
      </c>
      <c r="AF20" s="630" t="s">
        <v>606</v>
      </c>
      <c r="AG20" s="630" t="s">
        <v>606</v>
      </c>
      <c r="AH20" s="630" t="s">
        <v>606</v>
      </c>
      <c r="AI20" s="630" t="s">
        <v>606</v>
      </c>
      <c r="AJ20" s="631" t="s">
        <v>606</v>
      </c>
      <c r="AL20" s="27"/>
      <c r="AM20" s="34" t="s">
        <v>65</v>
      </c>
      <c r="AN20" s="188">
        <v>80.0</v>
      </c>
      <c r="AO20" s="633">
        <v>12.015286458333334</v>
      </c>
      <c r="AP20" s="191">
        <v>961.2229166666667</v>
      </c>
    </row>
    <row r="21" ht="12.75" customHeight="1">
      <c r="B21" s="634">
        <f>'Minion Checker'!H24</f>
        <v>0</v>
      </c>
      <c r="C21" s="629" t="str">
        <f>IMAGE("https://i.imgur.com/y5qmSDn.png")</f>
        <v/>
      </c>
      <c r="D21" s="27" t="str">
        <f>'Minion Checker'!D24</f>
        <v/>
      </c>
      <c r="E21" s="34" t="str">
        <f>'Minion Checker'!E24</f>
        <v>Wheat</v>
      </c>
      <c r="F21" s="635" t="str">
        <f t="shared" ref="F21:P21" si="21">IF(ARABIC(F$3)&lt;=$B21,"✓","✗")</f>
        <v>✗</v>
      </c>
      <c r="G21" s="635" t="str">
        <f t="shared" si="21"/>
        <v>✗</v>
      </c>
      <c r="H21" s="635" t="str">
        <f t="shared" si="21"/>
        <v>✗</v>
      </c>
      <c r="I21" s="635" t="str">
        <f t="shared" si="21"/>
        <v>✗</v>
      </c>
      <c r="J21" s="635" t="str">
        <f t="shared" si="21"/>
        <v>✗</v>
      </c>
      <c r="K21" s="635" t="str">
        <f t="shared" si="21"/>
        <v>✗</v>
      </c>
      <c r="L21" s="635" t="str">
        <f t="shared" si="21"/>
        <v>✗</v>
      </c>
      <c r="M21" s="635" t="str">
        <f t="shared" si="21"/>
        <v>✗</v>
      </c>
      <c r="N21" s="635" t="str">
        <f t="shared" si="21"/>
        <v>✗</v>
      </c>
      <c r="O21" s="635" t="str">
        <f t="shared" si="21"/>
        <v>✗</v>
      </c>
      <c r="P21" s="636" t="str">
        <f t="shared" si="21"/>
        <v>✗</v>
      </c>
      <c r="Q21" s="80">
        <f t="shared" si="6"/>
        <v>224</v>
      </c>
      <c r="R21" s="580">
        <f t="shared" si="3"/>
        <v>80</v>
      </c>
      <c r="S21" s="632">
        <v>4.999</v>
      </c>
      <c r="T21" s="580">
        <f t="shared" si="4"/>
        <v>399.92</v>
      </c>
      <c r="V21" s="634">
        <v>0.0</v>
      </c>
      <c r="W21" s="34"/>
      <c r="X21" s="27"/>
      <c r="Y21" s="34" t="s">
        <v>47</v>
      </c>
      <c r="Z21" s="635" t="s">
        <v>606</v>
      </c>
      <c r="AA21" s="635" t="s">
        <v>606</v>
      </c>
      <c r="AB21" s="635" t="s">
        <v>606</v>
      </c>
      <c r="AC21" s="635" t="s">
        <v>606</v>
      </c>
      <c r="AD21" s="635" t="s">
        <v>606</v>
      </c>
      <c r="AE21" s="635" t="s">
        <v>606</v>
      </c>
      <c r="AF21" s="635" t="s">
        <v>606</v>
      </c>
      <c r="AG21" s="635" t="s">
        <v>606</v>
      </c>
      <c r="AH21" s="635" t="s">
        <v>606</v>
      </c>
      <c r="AI21" s="635" t="s">
        <v>606</v>
      </c>
      <c r="AJ21" s="636" t="s">
        <v>606</v>
      </c>
      <c r="AL21" s="638"/>
      <c r="AM21" s="639" t="s">
        <v>38</v>
      </c>
      <c r="AN21" s="201">
        <v>80.0</v>
      </c>
      <c r="AO21" s="637">
        <v>10.8015625</v>
      </c>
      <c r="AP21" s="204">
        <v>864.125</v>
      </c>
    </row>
    <row r="22" ht="12.75" customHeight="1">
      <c r="B22" s="634">
        <f>'Minion Checker'!H25</f>
        <v>0</v>
      </c>
      <c r="C22" s="629" t="str">
        <f>IMAGE("https://i.imgur.com/0jWkIny.png")</f>
        <v/>
      </c>
      <c r="D22" s="27" t="str">
        <f>'Minion Checker'!D25</f>
        <v/>
      </c>
      <c r="E22" s="34" t="str">
        <f>'Minion Checker'!E25</f>
        <v>Melon</v>
      </c>
      <c r="F22" s="630" t="str">
        <f t="shared" ref="F22:P22" si="22">IF(ARABIC(F$3)&lt;=$B22,"✓","✗")</f>
        <v>✗</v>
      </c>
      <c r="G22" s="630" t="str">
        <f t="shared" si="22"/>
        <v>✗</v>
      </c>
      <c r="H22" s="630" t="str">
        <f t="shared" si="22"/>
        <v>✗</v>
      </c>
      <c r="I22" s="630" t="str">
        <f t="shared" si="22"/>
        <v>✗</v>
      </c>
      <c r="J22" s="630" t="str">
        <f t="shared" si="22"/>
        <v>✗</v>
      </c>
      <c r="K22" s="630" t="str">
        <f t="shared" si="22"/>
        <v>✗</v>
      </c>
      <c r="L22" s="630" t="str">
        <f t="shared" si="22"/>
        <v>✗</v>
      </c>
      <c r="M22" s="630" t="str">
        <f t="shared" si="22"/>
        <v>✗</v>
      </c>
      <c r="N22" s="630" t="str">
        <f t="shared" si="22"/>
        <v>✗</v>
      </c>
      <c r="O22" s="630" t="str">
        <f t="shared" si="22"/>
        <v>✗</v>
      </c>
      <c r="P22" s="631" t="str">
        <f t="shared" si="22"/>
        <v>✗</v>
      </c>
      <c r="Q22" s="80">
        <f t="shared" si="6"/>
        <v>237</v>
      </c>
      <c r="R22" s="580">
        <f t="shared" si="3"/>
        <v>256</v>
      </c>
      <c r="S22" s="632">
        <v>2.1715062499999997</v>
      </c>
      <c r="T22" s="580">
        <f t="shared" si="4"/>
        <v>555.9056</v>
      </c>
      <c r="V22" s="634">
        <v>0.0</v>
      </c>
      <c r="W22" s="34"/>
      <c r="X22" s="27"/>
      <c r="Y22" s="34" t="s">
        <v>48</v>
      </c>
      <c r="Z22" s="630" t="s">
        <v>606</v>
      </c>
      <c r="AA22" s="630" t="s">
        <v>606</v>
      </c>
      <c r="AB22" s="630" t="s">
        <v>606</v>
      </c>
      <c r="AC22" s="630" t="s">
        <v>606</v>
      </c>
      <c r="AD22" s="630" t="s">
        <v>606</v>
      </c>
      <c r="AE22" s="630" t="s">
        <v>606</v>
      </c>
      <c r="AF22" s="630" t="s">
        <v>606</v>
      </c>
      <c r="AG22" s="630" t="s">
        <v>606</v>
      </c>
      <c r="AH22" s="630" t="s">
        <v>606</v>
      </c>
      <c r="AI22" s="630" t="s">
        <v>606</v>
      </c>
      <c r="AJ22" s="631" t="s">
        <v>606</v>
      </c>
      <c r="AL22" s="629"/>
      <c r="AM22" s="640" t="s">
        <v>53</v>
      </c>
      <c r="AN22" s="188">
        <v>128.0</v>
      </c>
      <c r="AO22" s="633">
        <v>6.6450000000000005</v>
      </c>
      <c r="AP22" s="191">
        <v>850.5600000000001</v>
      </c>
    </row>
    <row r="23" ht="12.75" customHeight="1">
      <c r="B23" s="634">
        <f>'Minion Checker'!H26</f>
        <v>0</v>
      </c>
      <c r="C23" s="629" t="str">
        <f>IMAGE("https://i.imgur.com/ys98S6o.png")</f>
        <v/>
      </c>
      <c r="D23" s="27" t="str">
        <f>'Minion Checker'!D26</f>
        <v/>
      </c>
      <c r="E23" s="34" t="str">
        <f>'Minion Checker'!E26</f>
        <v>Pumpkin</v>
      </c>
      <c r="F23" s="635" t="str">
        <f t="shared" ref="F23:P23" si="23">IF(ARABIC(F$3)&lt;=$B23,"✓","✗")</f>
        <v>✗</v>
      </c>
      <c r="G23" s="635" t="str">
        <f t="shared" si="23"/>
        <v>✗</v>
      </c>
      <c r="H23" s="635" t="str">
        <f t="shared" si="23"/>
        <v>✗</v>
      </c>
      <c r="I23" s="635" t="str">
        <f t="shared" si="23"/>
        <v>✗</v>
      </c>
      <c r="J23" s="635" t="str">
        <f t="shared" si="23"/>
        <v>✗</v>
      </c>
      <c r="K23" s="635" t="str">
        <f t="shared" si="23"/>
        <v>✗</v>
      </c>
      <c r="L23" s="635" t="str">
        <f t="shared" si="23"/>
        <v>✗</v>
      </c>
      <c r="M23" s="635" t="str">
        <f t="shared" si="23"/>
        <v>✗</v>
      </c>
      <c r="N23" s="635" t="str">
        <f t="shared" si="23"/>
        <v>✗</v>
      </c>
      <c r="O23" s="635" t="str">
        <f t="shared" si="23"/>
        <v>✗</v>
      </c>
      <c r="P23" s="636" t="str">
        <f t="shared" si="23"/>
        <v>✗</v>
      </c>
      <c r="Q23" s="80">
        <f t="shared" si="6"/>
        <v>250</v>
      </c>
      <c r="R23" s="580">
        <f t="shared" si="3"/>
        <v>80</v>
      </c>
      <c r="S23" s="632">
        <v>9.9573875</v>
      </c>
      <c r="T23" s="580">
        <f t="shared" si="4"/>
        <v>796.591</v>
      </c>
      <c r="V23" s="634">
        <v>0.0</v>
      </c>
      <c r="W23" s="34"/>
      <c r="X23" s="27"/>
      <c r="Y23" s="34" t="s">
        <v>49</v>
      </c>
      <c r="Z23" s="635" t="s">
        <v>606</v>
      </c>
      <c r="AA23" s="635" t="s">
        <v>606</v>
      </c>
      <c r="AB23" s="635" t="s">
        <v>606</v>
      </c>
      <c r="AC23" s="635" t="s">
        <v>606</v>
      </c>
      <c r="AD23" s="635" t="s">
        <v>606</v>
      </c>
      <c r="AE23" s="635" t="s">
        <v>606</v>
      </c>
      <c r="AF23" s="635" t="s">
        <v>606</v>
      </c>
      <c r="AG23" s="635" t="s">
        <v>606</v>
      </c>
      <c r="AH23" s="635" t="s">
        <v>606</v>
      </c>
      <c r="AI23" s="635" t="s">
        <v>606</v>
      </c>
      <c r="AJ23" s="636" t="s">
        <v>606</v>
      </c>
      <c r="AL23" s="638"/>
      <c r="AM23" s="639" t="s">
        <v>66</v>
      </c>
      <c r="AN23" s="201">
        <v>70.0</v>
      </c>
      <c r="AO23" s="637">
        <v>12.015286458333334</v>
      </c>
      <c r="AP23" s="204">
        <v>841.0700520833334</v>
      </c>
    </row>
    <row r="24" ht="12.75" customHeight="1">
      <c r="B24" s="634">
        <f>'Minion Checker'!H27</f>
        <v>0</v>
      </c>
      <c r="C24" s="629" t="str">
        <f>IMAGE("https://i.imgur.com/VhJmC0a.png")</f>
        <v/>
      </c>
      <c r="D24" s="27" t="str">
        <f>'Minion Checker'!D27</f>
        <v/>
      </c>
      <c r="E24" s="34" t="str">
        <f>'Minion Checker'!E27</f>
        <v>Carrot</v>
      </c>
      <c r="F24" s="630" t="str">
        <f t="shared" ref="F24:P24" si="24">IF(ARABIC(F$3)&lt;=$B24,"✓","✗")</f>
        <v>✗</v>
      </c>
      <c r="G24" s="630" t="str">
        <f t="shared" si="24"/>
        <v>✗</v>
      </c>
      <c r="H24" s="630" t="str">
        <f t="shared" si="24"/>
        <v>✗</v>
      </c>
      <c r="I24" s="630" t="str">
        <f t="shared" si="24"/>
        <v>✗</v>
      </c>
      <c r="J24" s="630" t="str">
        <f t="shared" si="24"/>
        <v>✗</v>
      </c>
      <c r="K24" s="630" t="str">
        <f t="shared" si="24"/>
        <v>✗</v>
      </c>
      <c r="L24" s="630" t="str">
        <f t="shared" si="24"/>
        <v>✗</v>
      </c>
      <c r="M24" s="630" t="str">
        <f t="shared" si="24"/>
        <v>✗</v>
      </c>
      <c r="N24" s="630" t="str">
        <f t="shared" si="24"/>
        <v>✗</v>
      </c>
      <c r="O24" s="630" t="str">
        <f t="shared" si="24"/>
        <v>✗</v>
      </c>
      <c r="P24" s="631" t="str">
        <f t="shared" si="24"/>
        <v>✗</v>
      </c>
      <c r="Q24" s="80">
        <f t="shared" si="6"/>
        <v>263</v>
      </c>
      <c r="R24" s="580">
        <f t="shared" si="3"/>
        <v>128</v>
      </c>
      <c r="S24" s="632">
        <v>3.7170125</v>
      </c>
      <c r="T24" s="580">
        <f t="shared" si="4"/>
        <v>475.7776</v>
      </c>
      <c r="V24" s="634">
        <v>0.0</v>
      </c>
      <c r="W24" s="34"/>
      <c r="X24" s="27"/>
      <c r="Y24" s="34" t="s">
        <v>50</v>
      </c>
      <c r="Z24" s="630" t="s">
        <v>606</v>
      </c>
      <c r="AA24" s="630" t="s">
        <v>606</v>
      </c>
      <c r="AB24" s="630" t="s">
        <v>606</v>
      </c>
      <c r="AC24" s="630" t="s">
        <v>606</v>
      </c>
      <c r="AD24" s="630" t="s">
        <v>606</v>
      </c>
      <c r="AE24" s="630" t="s">
        <v>606</v>
      </c>
      <c r="AF24" s="630" t="s">
        <v>606</v>
      </c>
      <c r="AG24" s="630" t="s">
        <v>606</v>
      </c>
      <c r="AH24" s="630" t="s">
        <v>606</v>
      </c>
      <c r="AI24" s="630" t="s">
        <v>606</v>
      </c>
      <c r="AJ24" s="631" t="s">
        <v>606</v>
      </c>
      <c r="AL24" s="629"/>
      <c r="AM24" s="640" t="s">
        <v>49</v>
      </c>
      <c r="AN24" s="188">
        <v>80.0</v>
      </c>
      <c r="AO24" s="633">
        <v>9.9573875</v>
      </c>
      <c r="AP24" s="191">
        <v>796.5909999999999</v>
      </c>
    </row>
    <row r="25" ht="12.75" customHeight="1">
      <c r="B25" s="634">
        <f>'Minion Checker'!H28</f>
        <v>0</v>
      </c>
      <c r="C25" s="629" t="str">
        <f>IMAGE("https://i.imgur.com/tEEsqfH.png")</f>
        <v/>
      </c>
      <c r="D25" s="27" t="str">
        <f>'Minion Checker'!D28</f>
        <v/>
      </c>
      <c r="E25" s="34" t="str">
        <f>'Minion Checker'!E28</f>
        <v>Potato</v>
      </c>
      <c r="F25" s="635" t="str">
        <f t="shared" ref="F25:P25" si="25">IF(ARABIC(F$3)&lt;=$B25,"✓","✗")</f>
        <v>✗</v>
      </c>
      <c r="G25" s="635" t="str">
        <f t="shared" si="25"/>
        <v>✗</v>
      </c>
      <c r="H25" s="635" t="str">
        <f t="shared" si="25"/>
        <v>✗</v>
      </c>
      <c r="I25" s="635" t="str">
        <f t="shared" si="25"/>
        <v>✗</v>
      </c>
      <c r="J25" s="635" t="str">
        <f t="shared" si="25"/>
        <v>✗</v>
      </c>
      <c r="K25" s="635" t="str">
        <f t="shared" si="25"/>
        <v>✗</v>
      </c>
      <c r="L25" s="635" t="str">
        <f t="shared" si="25"/>
        <v>✗</v>
      </c>
      <c r="M25" s="635" t="str">
        <f t="shared" si="25"/>
        <v>✗</v>
      </c>
      <c r="N25" s="635" t="str">
        <f t="shared" si="25"/>
        <v>✗</v>
      </c>
      <c r="O25" s="635" t="str">
        <f t="shared" si="25"/>
        <v>✗</v>
      </c>
      <c r="P25" s="636" t="str">
        <f t="shared" si="25"/>
        <v>✗</v>
      </c>
      <c r="Q25" s="80">
        <f t="shared" si="6"/>
        <v>276</v>
      </c>
      <c r="R25" s="580">
        <f t="shared" si="3"/>
        <v>128</v>
      </c>
      <c r="S25" s="632">
        <v>3.0522375</v>
      </c>
      <c r="T25" s="580">
        <f t="shared" si="4"/>
        <v>390.6864</v>
      </c>
      <c r="V25" s="634">
        <v>0.0</v>
      </c>
      <c r="W25" s="34"/>
      <c r="X25" s="27"/>
      <c r="Y25" s="34" t="s">
        <v>51</v>
      </c>
      <c r="Z25" s="635" t="s">
        <v>606</v>
      </c>
      <c r="AA25" s="635" t="s">
        <v>606</v>
      </c>
      <c r="AB25" s="635" t="s">
        <v>606</v>
      </c>
      <c r="AC25" s="635" t="s">
        <v>606</v>
      </c>
      <c r="AD25" s="635" t="s">
        <v>606</v>
      </c>
      <c r="AE25" s="635" t="s">
        <v>606</v>
      </c>
      <c r="AF25" s="635" t="s">
        <v>606</v>
      </c>
      <c r="AG25" s="635" t="s">
        <v>606</v>
      </c>
      <c r="AH25" s="635" t="s">
        <v>606</v>
      </c>
      <c r="AI25" s="635" t="s">
        <v>606</v>
      </c>
      <c r="AJ25" s="636" t="s">
        <v>606</v>
      </c>
      <c r="AL25" s="638"/>
      <c r="AM25" s="639" t="s">
        <v>118</v>
      </c>
      <c r="AN25" s="201">
        <v>80.0</v>
      </c>
      <c r="AO25" s="637">
        <v>9.932187500000001</v>
      </c>
      <c r="AP25" s="204">
        <v>794.575</v>
      </c>
    </row>
    <row r="26" ht="12.75" customHeight="1">
      <c r="B26" s="634">
        <f>'Minion Checker'!H29</f>
        <v>0</v>
      </c>
      <c r="C26" s="629" t="str">
        <f>IMAGE("https://i.imgur.com/8EJlNEn.png")</f>
        <v/>
      </c>
      <c r="D26" s="27" t="str">
        <f>'Minion Checker'!D29</f>
        <v/>
      </c>
      <c r="E26" s="34" t="str">
        <f>'Minion Checker'!E29</f>
        <v>Mushroom</v>
      </c>
      <c r="F26" s="630" t="str">
        <f t="shared" ref="F26:P26" si="26">IF(ARABIC(F$3)&lt;=$B26,"✓","✗")</f>
        <v>✗</v>
      </c>
      <c r="G26" s="630" t="str">
        <f t="shared" si="26"/>
        <v>✗</v>
      </c>
      <c r="H26" s="630" t="str">
        <f t="shared" si="26"/>
        <v>✗</v>
      </c>
      <c r="I26" s="630" t="str">
        <f t="shared" si="26"/>
        <v>✗</v>
      </c>
      <c r="J26" s="630" t="str">
        <f t="shared" si="26"/>
        <v>✗</v>
      </c>
      <c r="K26" s="630" t="str">
        <f t="shared" si="26"/>
        <v>✗</v>
      </c>
      <c r="L26" s="630" t="str">
        <f t="shared" si="26"/>
        <v>✗</v>
      </c>
      <c r="M26" s="630" t="str">
        <f t="shared" si="26"/>
        <v>✗</v>
      </c>
      <c r="N26" s="630" t="str">
        <f t="shared" si="26"/>
        <v>✗</v>
      </c>
      <c r="O26" s="630" t="str">
        <f t="shared" si="26"/>
        <v>✗</v>
      </c>
      <c r="P26" s="631" t="str">
        <f t="shared" si="26"/>
        <v>✗</v>
      </c>
      <c r="Q26" s="80">
        <f t="shared" si="6"/>
        <v>289</v>
      </c>
      <c r="R26" s="580">
        <f t="shared" si="3"/>
        <v>80</v>
      </c>
      <c r="S26" s="632">
        <v>9.8755375</v>
      </c>
      <c r="T26" s="580">
        <f t="shared" si="4"/>
        <v>790.043</v>
      </c>
      <c r="V26" s="634">
        <v>0.0</v>
      </c>
      <c r="W26" s="34"/>
      <c r="X26" s="27"/>
      <c r="Y26" s="34" t="s">
        <v>52</v>
      </c>
      <c r="Z26" s="630" t="s">
        <v>606</v>
      </c>
      <c r="AA26" s="630" t="s">
        <v>606</v>
      </c>
      <c r="AB26" s="630" t="s">
        <v>606</v>
      </c>
      <c r="AC26" s="630" t="s">
        <v>606</v>
      </c>
      <c r="AD26" s="630" t="s">
        <v>606</v>
      </c>
      <c r="AE26" s="630" t="s">
        <v>606</v>
      </c>
      <c r="AF26" s="630" t="s">
        <v>606</v>
      </c>
      <c r="AG26" s="630" t="s">
        <v>606</v>
      </c>
      <c r="AH26" s="630" t="s">
        <v>606</v>
      </c>
      <c r="AI26" s="630" t="s">
        <v>606</v>
      </c>
      <c r="AJ26" s="631" t="s">
        <v>606</v>
      </c>
      <c r="AL26" s="629"/>
      <c r="AM26" s="640" t="s">
        <v>52</v>
      </c>
      <c r="AN26" s="188">
        <v>80.0</v>
      </c>
      <c r="AO26" s="633">
        <v>9.8755375</v>
      </c>
      <c r="AP26" s="191">
        <v>790.043</v>
      </c>
    </row>
    <row r="27" ht="12.75" customHeight="1">
      <c r="B27" s="634">
        <f>'Minion Checker'!H30</f>
        <v>0</v>
      </c>
      <c r="C27" s="629" t="str">
        <f>IMAGE("https://i.imgur.com/kZj1RzP.png")</f>
        <v/>
      </c>
      <c r="D27" s="27" t="str">
        <f>'Minion Checker'!D30</f>
        <v/>
      </c>
      <c r="E27" s="34" t="str">
        <f>'Minion Checker'!E30</f>
        <v>Cactus</v>
      </c>
      <c r="F27" s="635" t="str">
        <f t="shared" ref="F27:P27" si="27">IF(ARABIC(F$3)&lt;=$B27,"✓","✗")</f>
        <v>✗</v>
      </c>
      <c r="G27" s="635" t="str">
        <f t="shared" si="27"/>
        <v>✗</v>
      </c>
      <c r="H27" s="635" t="str">
        <f t="shared" si="27"/>
        <v>✗</v>
      </c>
      <c r="I27" s="635" t="str">
        <f t="shared" si="27"/>
        <v>✗</v>
      </c>
      <c r="J27" s="635" t="str">
        <f t="shared" si="27"/>
        <v>✗</v>
      </c>
      <c r="K27" s="635" t="str">
        <f t="shared" si="27"/>
        <v>✗</v>
      </c>
      <c r="L27" s="635" t="str">
        <f t="shared" si="27"/>
        <v>✗</v>
      </c>
      <c r="M27" s="635" t="str">
        <f t="shared" si="27"/>
        <v>✗</v>
      </c>
      <c r="N27" s="635" t="str">
        <f t="shared" si="27"/>
        <v>✗</v>
      </c>
      <c r="O27" s="635" t="str">
        <f t="shared" si="27"/>
        <v>✗</v>
      </c>
      <c r="P27" s="636" t="str">
        <f t="shared" si="27"/>
        <v>✗</v>
      </c>
      <c r="Q27" s="80">
        <f t="shared" si="6"/>
        <v>302</v>
      </c>
      <c r="R27" s="580">
        <f t="shared" si="3"/>
        <v>128</v>
      </c>
      <c r="S27" s="632">
        <v>6.6450000000000005</v>
      </c>
      <c r="T27" s="580">
        <f t="shared" si="4"/>
        <v>850.56</v>
      </c>
      <c r="V27" s="634">
        <v>0.0</v>
      </c>
      <c r="W27" s="34"/>
      <c r="X27" s="27"/>
      <c r="Y27" s="34" t="s">
        <v>53</v>
      </c>
      <c r="Z27" s="635" t="s">
        <v>606</v>
      </c>
      <c r="AA27" s="635" t="s">
        <v>606</v>
      </c>
      <c r="AB27" s="635" t="s">
        <v>606</v>
      </c>
      <c r="AC27" s="635" t="s">
        <v>606</v>
      </c>
      <c r="AD27" s="635" t="s">
        <v>606</v>
      </c>
      <c r="AE27" s="635" t="s">
        <v>606</v>
      </c>
      <c r="AF27" s="635" t="s">
        <v>606</v>
      </c>
      <c r="AG27" s="635" t="s">
        <v>606</v>
      </c>
      <c r="AH27" s="635" t="s">
        <v>606</v>
      </c>
      <c r="AI27" s="635" t="s">
        <v>606</v>
      </c>
      <c r="AJ27" s="636" t="s">
        <v>606</v>
      </c>
      <c r="AL27" s="638"/>
      <c r="AM27" s="639" t="s">
        <v>82</v>
      </c>
      <c r="AN27" s="201">
        <v>80.0</v>
      </c>
      <c r="AO27" s="637">
        <v>8.891256250000001</v>
      </c>
      <c r="AP27" s="204">
        <v>711.3005</v>
      </c>
    </row>
    <row r="28" ht="12.75" customHeight="1">
      <c r="B28" s="634">
        <f>'Minion Checker'!H31</f>
        <v>0</v>
      </c>
      <c r="C28" s="629" t="str">
        <f>IMAGE("https://i.imgur.com/3V31xXh.png")</f>
        <v/>
      </c>
      <c r="D28" s="27" t="str">
        <f>'Minion Checker'!D31</f>
        <v/>
      </c>
      <c r="E28" s="34" t="str">
        <f>'Minion Checker'!E31</f>
        <v>Cocoa Beans</v>
      </c>
      <c r="F28" s="630" t="str">
        <f t="shared" ref="F28:P28" si="28">IF(ARABIC(F$3)&lt;=$B28,"✓","✗")</f>
        <v>✗</v>
      </c>
      <c r="G28" s="630" t="str">
        <f t="shared" si="28"/>
        <v>✗</v>
      </c>
      <c r="H28" s="630" t="str">
        <f t="shared" si="28"/>
        <v>✗</v>
      </c>
      <c r="I28" s="630" t="str">
        <f t="shared" si="28"/>
        <v>✗</v>
      </c>
      <c r="J28" s="630" t="str">
        <f t="shared" si="28"/>
        <v>✗</v>
      </c>
      <c r="K28" s="630" t="str">
        <f t="shared" si="28"/>
        <v>✗</v>
      </c>
      <c r="L28" s="630" t="str">
        <f t="shared" si="28"/>
        <v>✗</v>
      </c>
      <c r="M28" s="630" t="str">
        <f t="shared" si="28"/>
        <v>✗</v>
      </c>
      <c r="N28" s="630" t="str">
        <f t="shared" si="28"/>
        <v>✗</v>
      </c>
      <c r="O28" s="630" t="str">
        <f t="shared" si="28"/>
        <v>✗</v>
      </c>
      <c r="P28" s="631" t="str">
        <f t="shared" si="28"/>
        <v>✗</v>
      </c>
      <c r="Q28" s="80">
        <f t="shared" si="6"/>
        <v>315</v>
      </c>
      <c r="R28" s="580">
        <f t="shared" si="3"/>
        <v>80</v>
      </c>
      <c r="S28" s="632">
        <v>4.070225</v>
      </c>
      <c r="T28" s="580">
        <f t="shared" si="4"/>
        <v>325.618</v>
      </c>
      <c r="V28" s="634">
        <v>0.0</v>
      </c>
      <c r="W28" s="34"/>
      <c r="X28" s="27"/>
      <c r="Y28" s="34" t="s">
        <v>115</v>
      </c>
      <c r="Z28" s="630" t="s">
        <v>606</v>
      </c>
      <c r="AA28" s="630" t="s">
        <v>606</v>
      </c>
      <c r="AB28" s="630" t="s">
        <v>606</v>
      </c>
      <c r="AC28" s="630" t="s">
        <v>606</v>
      </c>
      <c r="AD28" s="630" t="s">
        <v>606</v>
      </c>
      <c r="AE28" s="630" t="s">
        <v>606</v>
      </c>
      <c r="AF28" s="630" t="s">
        <v>606</v>
      </c>
      <c r="AG28" s="630" t="s">
        <v>606</v>
      </c>
      <c r="AH28" s="630" t="s">
        <v>606</v>
      </c>
      <c r="AI28" s="630" t="s">
        <v>606</v>
      </c>
      <c r="AJ28" s="631" t="s">
        <v>606</v>
      </c>
      <c r="AL28" s="27"/>
      <c r="AM28" s="34" t="s">
        <v>79</v>
      </c>
      <c r="AN28" s="188">
        <v>80.0</v>
      </c>
      <c r="AO28" s="633">
        <v>8.844375</v>
      </c>
      <c r="AP28" s="191">
        <v>707.55</v>
      </c>
    </row>
    <row r="29" ht="12.75" customHeight="1">
      <c r="B29" s="634">
        <f>'Minion Checker'!H32</f>
        <v>0</v>
      </c>
      <c r="C29" s="629" t="str">
        <f>IMAGE("https://i.imgur.com/kF6FqXK.png")</f>
        <v/>
      </c>
      <c r="D29" s="27" t="str">
        <f>'Minion Checker'!D32</f>
        <v/>
      </c>
      <c r="E29" s="34" t="str">
        <f>'Minion Checker'!E32</f>
        <v>Sugar Cane</v>
      </c>
      <c r="F29" s="635" t="str">
        <f t="shared" ref="F29:P29" si="29">IF(ARABIC(F$3)&lt;=$B29,"✓","✗")</f>
        <v>✗</v>
      </c>
      <c r="G29" s="635" t="str">
        <f t="shared" si="29"/>
        <v>✗</v>
      </c>
      <c r="H29" s="635" t="str">
        <f t="shared" si="29"/>
        <v>✗</v>
      </c>
      <c r="I29" s="635" t="str">
        <f t="shared" si="29"/>
        <v>✗</v>
      </c>
      <c r="J29" s="635" t="str">
        <f t="shared" si="29"/>
        <v>✗</v>
      </c>
      <c r="K29" s="635" t="str">
        <f t="shared" si="29"/>
        <v>✗</v>
      </c>
      <c r="L29" s="635" t="str">
        <f t="shared" si="29"/>
        <v>✗</v>
      </c>
      <c r="M29" s="635" t="str">
        <f t="shared" si="29"/>
        <v>✗</v>
      </c>
      <c r="N29" s="635" t="str">
        <f t="shared" si="29"/>
        <v>✗</v>
      </c>
      <c r="O29" s="635" t="str">
        <f t="shared" si="29"/>
        <v>✗</v>
      </c>
      <c r="P29" s="636" t="str">
        <f t="shared" si="29"/>
        <v>✗</v>
      </c>
      <c r="Q29" s="80">
        <f t="shared" si="6"/>
        <v>328</v>
      </c>
      <c r="R29" s="580">
        <f t="shared" si="3"/>
        <v>128</v>
      </c>
      <c r="S29" s="632">
        <v>4.3012625</v>
      </c>
      <c r="T29" s="580">
        <f t="shared" si="4"/>
        <v>550.5616</v>
      </c>
      <c r="V29" s="634">
        <v>0.0</v>
      </c>
      <c r="W29" s="34"/>
      <c r="X29" s="27"/>
      <c r="Y29" s="34" t="s">
        <v>55</v>
      </c>
      <c r="Z29" s="635" t="s">
        <v>606</v>
      </c>
      <c r="AA29" s="635" t="s">
        <v>606</v>
      </c>
      <c r="AB29" s="635" t="s">
        <v>606</v>
      </c>
      <c r="AC29" s="635" t="s">
        <v>606</v>
      </c>
      <c r="AD29" s="635" t="s">
        <v>606</v>
      </c>
      <c r="AE29" s="635" t="s">
        <v>606</v>
      </c>
      <c r="AF29" s="635" t="s">
        <v>606</v>
      </c>
      <c r="AG29" s="635" t="s">
        <v>606</v>
      </c>
      <c r="AH29" s="635" t="s">
        <v>606</v>
      </c>
      <c r="AI29" s="635" t="s">
        <v>606</v>
      </c>
      <c r="AJ29" s="636" t="s">
        <v>606</v>
      </c>
      <c r="AL29" s="25"/>
      <c r="AM29" s="37" t="s">
        <v>40</v>
      </c>
      <c r="AN29" s="201">
        <v>80.0</v>
      </c>
      <c r="AO29" s="637">
        <v>8.56876875</v>
      </c>
      <c r="AP29" s="204">
        <v>685.5015000000001</v>
      </c>
    </row>
    <row r="30" ht="12.75" customHeight="1">
      <c r="B30" s="634">
        <f>'Minion Checker'!H33</f>
        <v>0</v>
      </c>
      <c r="C30" s="629" t="str">
        <f>IMAGE("https://i.imgur.com/V01iV9f.png")</f>
        <v/>
      </c>
      <c r="D30" s="27" t="str">
        <f>'Minion Checker'!D33</f>
        <v/>
      </c>
      <c r="E30" s="34" t="str">
        <f>'Minion Checker'!E33</f>
        <v>Nether Wart</v>
      </c>
      <c r="F30" s="630" t="str">
        <f t="shared" ref="F30:P30" si="30">IF(ARABIC(F$3)&lt;=$B30,"✓","✗")</f>
        <v>✗</v>
      </c>
      <c r="G30" s="630" t="str">
        <f t="shared" si="30"/>
        <v>✗</v>
      </c>
      <c r="H30" s="630" t="str">
        <f t="shared" si="30"/>
        <v>✗</v>
      </c>
      <c r="I30" s="630" t="str">
        <f t="shared" si="30"/>
        <v>✗</v>
      </c>
      <c r="J30" s="630" t="str">
        <f t="shared" si="30"/>
        <v>✗</v>
      </c>
      <c r="K30" s="630" t="str">
        <f t="shared" si="30"/>
        <v>✗</v>
      </c>
      <c r="L30" s="630" t="str">
        <f t="shared" si="30"/>
        <v>✗</v>
      </c>
      <c r="M30" s="630" t="str">
        <f t="shared" si="30"/>
        <v>✗</v>
      </c>
      <c r="N30" s="630" t="str">
        <f t="shared" si="30"/>
        <v>✗</v>
      </c>
      <c r="O30" s="630" t="str">
        <f t="shared" si="30"/>
        <v>✗</v>
      </c>
      <c r="P30" s="631" t="str">
        <f t="shared" si="30"/>
        <v>✗</v>
      </c>
      <c r="Q30" s="80">
        <f t="shared" si="6"/>
        <v>341</v>
      </c>
      <c r="R30" s="580">
        <f t="shared" si="3"/>
        <v>80</v>
      </c>
      <c r="S30" s="632">
        <v>3.9606250000000003</v>
      </c>
      <c r="T30" s="580">
        <f t="shared" si="4"/>
        <v>316.85</v>
      </c>
      <c r="V30" s="634">
        <v>0.0</v>
      </c>
      <c r="W30" s="34"/>
      <c r="X30" s="27"/>
      <c r="Y30" s="34" t="s">
        <v>116</v>
      </c>
      <c r="Z30" s="630" t="s">
        <v>606</v>
      </c>
      <c r="AA30" s="630" t="s">
        <v>606</v>
      </c>
      <c r="AB30" s="630" t="s">
        <v>606</v>
      </c>
      <c r="AC30" s="630" t="s">
        <v>606</v>
      </c>
      <c r="AD30" s="630" t="s">
        <v>606</v>
      </c>
      <c r="AE30" s="630" t="s">
        <v>606</v>
      </c>
      <c r="AF30" s="630" t="s">
        <v>606</v>
      </c>
      <c r="AG30" s="630" t="s">
        <v>606</v>
      </c>
      <c r="AH30" s="630" t="s">
        <v>606</v>
      </c>
      <c r="AI30" s="630" t="s">
        <v>606</v>
      </c>
      <c r="AJ30" s="631" t="s">
        <v>606</v>
      </c>
      <c r="AL30" s="27"/>
      <c r="AM30" s="34" t="s">
        <v>81</v>
      </c>
      <c r="AN30" s="188">
        <v>80.0</v>
      </c>
      <c r="AO30" s="633">
        <v>7.6425</v>
      </c>
      <c r="AP30" s="191">
        <v>611.4</v>
      </c>
    </row>
    <row r="31" ht="12.75" customHeight="1">
      <c r="B31" s="634">
        <f>'Minion Checker'!H34</f>
        <v>0</v>
      </c>
      <c r="C31" s="629" t="str">
        <f>IMAGE("https://i.imgur.com/71M6MmR.png")</f>
        <v/>
      </c>
      <c r="D31" s="27" t="str">
        <f>'Minion Checker'!D34</f>
        <v/>
      </c>
      <c r="E31" s="34" t="str">
        <f>'Minion Checker'!E34</f>
        <v>Flower</v>
      </c>
      <c r="F31" s="635" t="str">
        <f t="shared" ref="F31:P31" si="31">IF(ARABIC(F$3)&lt;=$B31,"✓","✗")</f>
        <v>✗</v>
      </c>
      <c r="G31" s="635" t="str">
        <f t="shared" si="31"/>
        <v>✗</v>
      </c>
      <c r="H31" s="635" t="str">
        <f t="shared" si="31"/>
        <v>✗</v>
      </c>
      <c r="I31" s="635" t="str">
        <f t="shared" si="31"/>
        <v>✗</v>
      </c>
      <c r="J31" s="635" t="str">
        <f t="shared" si="31"/>
        <v>✗</v>
      </c>
      <c r="K31" s="635" t="str">
        <f t="shared" si="31"/>
        <v>✗</v>
      </c>
      <c r="L31" s="635" t="str">
        <f t="shared" si="31"/>
        <v>✗</v>
      </c>
      <c r="M31" s="635" t="str">
        <f t="shared" si="31"/>
        <v>✗</v>
      </c>
      <c r="N31" s="635" t="str">
        <f t="shared" si="31"/>
        <v>✗</v>
      </c>
      <c r="O31" s="635" t="str">
        <f t="shared" si="31"/>
        <v>✗</v>
      </c>
      <c r="P31" s="636" t="str">
        <f t="shared" si="31"/>
        <v>✗</v>
      </c>
      <c r="Q31" s="80">
        <f t="shared" si="6"/>
        <v>354</v>
      </c>
      <c r="R31" s="80"/>
      <c r="S31" s="641"/>
      <c r="T31" s="580"/>
      <c r="V31" s="634">
        <v>0.0</v>
      </c>
      <c r="W31" s="34"/>
      <c r="X31" s="27"/>
      <c r="Y31" s="34" t="s">
        <v>59</v>
      </c>
      <c r="Z31" s="635" t="s">
        <v>606</v>
      </c>
      <c r="AA31" s="635" t="s">
        <v>606</v>
      </c>
      <c r="AB31" s="635" t="s">
        <v>606</v>
      </c>
      <c r="AC31" s="635" t="s">
        <v>606</v>
      </c>
      <c r="AD31" s="635" t="s">
        <v>606</v>
      </c>
      <c r="AE31" s="635" t="s">
        <v>606</v>
      </c>
      <c r="AF31" s="635" t="s">
        <v>606</v>
      </c>
      <c r="AG31" s="635" t="s">
        <v>606</v>
      </c>
      <c r="AH31" s="635" t="s">
        <v>606</v>
      </c>
      <c r="AI31" s="635" t="s">
        <v>606</v>
      </c>
      <c r="AJ31" s="636" t="s">
        <v>606</v>
      </c>
      <c r="AL31" s="25"/>
      <c r="AM31" s="37" t="s">
        <v>43</v>
      </c>
      <c r="AN31" s="201">
        <v>80.0</v>
      </c>
      <c r="AO31" s="637">
        <v>7.009475</v>
      </c>
      <c r="AP31" s="204">
        <v>560.758</v>
      </c>
    </row>
    <row r="32" ht="12.75" customHeight="1">
      <c r="B32" s="634">
        <f>'Minion Checker'!H35</f>
        <v>0</v>
      </c>
      <c r="C32" s="629" t="str">
        <f>IMAGE("https://i.imgur.com/sDeR3Dp.png")</f>
        <v/>
      </c>
      <c r="D32" s="27" t="str">
        <f>'Minion Checker'!D35</f>
        <v/>
      </c>
      <c r="E32" s="34" t="str">
        <f>'Minion Checker'!E35</f>
        <v>Fish</v>
      </c>
      <c r="F32" s="630" t="str">
        <f t="shared" ref="F32:P32" si="32">IF(ARABIC(F$3)&lt;=$B32,"✓","✗")</f>
        <v>✗</v>
      </c>
      <c r="G32" s="630" t="str">
        <f t="shared" si="32"/>
        <v>✗</v>
      </c>
      <c r="H32" s="630" t="str">
        <f t="shared" si="32"/>
        <v>✗</v>
      </c>
      <c r="I32" s="630" t="str">
        <f t="shared" si="32"/>
        <v>✗</v>
      </c>
      <c r="J32" s="630" t="str">
        <f t="shared" si="32"/>
        <v>✗</v>
      </c>
      <c r="K32" s="630" t="str">
        <f t="shared" si="32"/>
        <v>✗</v>
      </c>
      <c r="L32" s="630" t="str">
        <f t="shared" si="32"/>
        <v>✗</v>
      </c>
      <c r="M32" s="630" t="str">
        <f t="shared" si="32"/>
        <v>✗</v>
      </c>
      <c r="N32" s="630" t="str">
        <f t="shared" si="32"/>
        <v>✗</v>
      </c>
      <c r="O32" s="630" t="str">
        <f t="shared" si="32"/>
        <v>✗</v>
      </c>
      <c r="P32" s="631" t="str">
        <f t="shared" si="32"/>
        <v>✗</v>
      </c>
      <c r="Q32" s="80">
        <f t="shared" si="6"/>
        <v>367</v>
      </c>
      <c r="R32" s="580">
        <f t="shared" ref="R32:R33" si="34">SUM(INDIRECT("'Minion Tiers'!G"&amp;Q32&amp;":G"&amp;Q32-1+B32))</f>
        <v>64</v>
      </c>
      <c r="S32" s="641">
        <v>6.90453125</v>
      </c>
      <c r="T32" s="580">
        <f t="shared" ref="T32:T55" si="35">R32*S32</f>
        <v>441.89</v>
      </c>
      <c r="V32" s="634">
        <v>0.0</v>
      </c>
      <c r="W32" s="34"/>
      <c r="X32" s="27"/>
      <c r="Y32" s="34" t="s">
        <v>119</v>
      </c>
      <c r="Z32" s="630" t="s">
        <v>606</v>
      </c>
      <c r="AA32" s="630" t="s">
        <v>606</v>
      </c>
      <c r="AB32" s="630" t="s">
        <v>606</v>
      </c>
      <c r="AC32" s="630" t="s">
        <v>606</v>
      </c>
      <c r="AD32" s="630" t="s">
        <v>606</v>
      </c>
      <c r="AE32" s="630" t="s">
        <v>606</v>
      </c>
      <c r="AF32" s="630" t="s">
        <v>606</v>
      </c>
      <c r="AG32" s="630" t="s">
        <v>606</v>
      </c>
      <c r="AH32" s="630" t="s">
        <v>606</v>
      </c>
      <c r="AI32" s="630" t="s">
        <v>606</v>
      </c>
      <c r="AJ32" s="631" t="s">
        <v>606</v>
      </c>
      <c r="AL32" s="27"/>
      <c r="AM32" s="34" t="s">
        <v>48</v>
      </c>
      <c r="AN32" s="188">
        <v>256.0</v>
      </c>
      <c r="AO32" s="633">
        <v>2.1715062499999997</v>
      </c>
      <c r="AP32" s="191">
        <v>555.9055999999999</v>
      </c>
    </row>
    <row r="33" ht="12.75" customHeight="1">
      <c r="B33" s="634">
        <f>'Minion Checker'!H36</f>
        <v>0</v>
      </c>
      <c r="C33" s="629" t="str">
        <f>IMAGE("https://i.imgur.com/0kIyj7u.png")</f>
        <v/>
      </c>
      <c r="D33" s="27" t="str">
        <f>'Minion Checker'!D36</f>
        <v/>
      </c>
      <c r="E33" s="34" t="str">
        <f>'Minion Checker'!E36</f>
        <v>Zombie</v>
      </c>
      <c r="F33" s="635" t="str">
        <f t="shared" ref="F33:P33" si="33">IF(ARABIC(F$3)&lt;=$B33,"✓","✗")</f>
        <v>✗</v>
      </c>
      <c r="G33" s="635" t="str">
        <f t="shared" si="33"/>
        <v>✗</v>
      </c>
      <c r="H33" s="635" t="str">
        <f t="shared" si="33"/>
        <v>✗</v>
      </c>
      <c r="I33" s="635" t="str">
        <f t="shared" si="33"/>
        <v>✗</v>
      </c>
      <c r="J33" s="635" t="str">
        <f t="shared" si="33"/>
        <v>✗</v>
      </c>
      <c r="K33" s="635" t="str">
        <f t="shared" si="33"/>
        <v>✗</v>
      </c>
      <c r="L33" s="635" t="str">
        <f t="shared" si="33"/>
        <v>✗</v>
      </c>
      <c r="M33" s="635" t="str">
        <f t="shared" si="33"/>
        <v>✗</v>
      </c>
      <c r="N33" s="635" t="str">
        <f t="shared" si="33"/>
        <v>✗</v>
      </c>
      <c r="O33" s="635" t="str">
        <f t="shared" si="33"/>
        <v>✗</v>
      </c>
      <c r="P33" s="636" t="str">
        <f t="shared" si="33"/>
        <v>✗</v>
      </c>
      <c r="Q33" s="80">
        <f t="shared" si="6"/>
        <v>380</v>
      </c>
      <c r="R33" s="580">
        <f t="shared" si="34"/>
        <v>80</v>
      </c>
      <c r="S33" s="632">
        <v>5.6248249999999995</v>
      </c>
      <c r="T33" s="580">
        <f t="shared" si="35"/>
        <v>449.986</v>
      </c>
      <c r="V33" s="634">
        <v>0.0</v>
      </c>
      <c r="W33" s="34"/>
      <c r="X33" s="27"/>
      <c r="Y33" s="34" t="s">
        <v>61</v>
      </c>
      <c r="Z33" s="635" t="s">
        <v>606</v>
      </c>
      <c r="AA33" s="635" t="s">
        <v>606</v>
      </c>
      <c r="AB33" s="635" t="s">
        <v>606</v>
      </c>
      <c r="AC33" s="635" t="s">
        <v>606</v>
      </c>
      <c r="AD33" s="635" t="s">
        <v>606</v>
      </c>
      <c r="AE33" s="635" t="s">
        <v>606</v>
      </c>
      <c r="AF33" s="635" t="s">
        <v>606</v>
      </c>
      <c r="AG33" s="635" t="s">
        <v>606</v>
      </c>
      <c r="AH33" s="635" t="s">
        <v>606</v>
      </c>
      <c r="AI33" s="635" t="s">
        <v>606</v>
      </c>
      <c r="AJ33" s="636" t="s">
        <v>606</v>
      </c>
      <c r="AL33" s="25"/>
      <c r="AM33" s="37" t="s">
        <v>55</v>
      </c>
      <c r="AN33" s="201">
        <v>128.0</v>
      </c>
      <c r="AO33" s="637">
        <v>4.3012625</v>
      </c>
      <c r="AP33" s="204">
        <v>550.5616</v>
      </c>
    </row>
    <row r="34" ht="12.75" customHeight="1">
      <c r="B34" s="634">
        <f>'Minion Checker'!H37</f>
        <v>0</v>
      </c>
      <c r="C34" s="629" t="str">
        <f>IMAGE("https://i.imgur.com/RC902rh.png")</f>
        <v/>
      </c>
      <c r="D34" s="27" t="str">
        <f>'Minion Checker'!D37</f>
        <v/>
      </c>
      <c r="E34" s="34" t="str">
        <f>'Minion Checker'!E37</f>
        <v>Revenant</v>
      </c>
      <c r="F34" s="630" t="str">
        <f t="shared" ref="F34:P34" si="36">IF(ARABIC(F$3)&lt;=$B34,"✓","✗")</f>
        <v>✗</v>
      </c>
      <c r="G34" s="630" t="str">
        <f t="shared" si="36"/>
        <v>✗</v>
      </c>
      <c r="H34" s="630" t="str">
        <f t="shared" si="36"/>
        <v>✗</v>
      </c>
      <c r="I34" s="630" t="str">
        <f t="shared" si="36"/>
        <v>✗</v>
      </c>
      <c r="J34" s="630" t="str">
        <f t="shared" si="36"/>
        <v>✗</v>
      </c>
      <c r="K34" s="630" t="str">
        <f t="shared" si="36"/>
        <v>✗</v>
      </c>
      <c r="L34" s="630" t="str">
        <f t="shared" si="36"/>
        <v>✗</v>
      </c>
      <c r="M34" s="630" t="str">
        <f t="shared" si="36"/>
        <v>✗</v>
      </c>
      <c r="N34" s="630" t="str">
        <f t="shared" si="36"/>
        <v>✗</v>
      </c>
      <c r="O34" s="630" t="str">
        <f t="shared" si="36"/>
        <v>✗</v>
      </c>
      <c r="P34" s="631" t="str">
        <f t="shared" si="36"/>
        <v>✗</v>
      </c>
      <c r="Q34" s="40">
        <v>3.0</v>
      </c>
      <c r="R34" s="580">
        <f t="shared" ref="R34:R55" si="38">SUM(INDIRECT("'Minion Tiers'!Q"&amp;Q34&amp;":Q"&amp;Q34-1+B34))</f>
        <v>70</v>
      </c>
      <c r="S34" s="632">
        <v>5.6248249999999995</v>
      </c>
      <c r="T34" s="580">
        <f t="shared" si="35"/>
        <v>393.73775</v>
      </c>
      <c r="V34" s="634">
        <v>0.0</v>
      </c>
      <c r="W34" s="34"/>
      <c r="X34" s="27"/>
      <c r="Y34" s="34" t="s">
        <v>62</v>
      </c>
      <c r="Z34" s="630" t="s">
        <v>606</v>
      </c>
      <c r="AA34" s="630" t="s">
        <v>606</v>
      </c>
      <c r="AB34" s="630" t="s">
        <v>606</v>
      </c>
      <c r="AC34" s="630" t="s">
        <v>606</v>
      </c>
      <c r="AD34" s="630" t="s">
        <v>606</v>
      </c>
      <c r="AE34" s="630" t="s">
        <v>606</v>
      </c>
      <c r="AF34" s="630" t="s">
        <v>606</v>
      </c>
      <c r="AG34" s="630" t="s">
        <v>606</v>
      </c>
      <c r="AH34" s="630" t="s">
        <v>606</v>
      </c>
      <c r="AI34" s="630" t="s">
        <v>606</v>
      </c>
      <c r="AJ34" s="631" t="s">
        <v>606</v>
      </c>
      <c r="AL34" s="27"/>
      <c r="AM34" s="34" t="s">
        <v>50</v>
      </c>
      <c r="AN34" s="188">
        <v>128.0</v>
      </c>
      <c r="AO34" s="633">
        <v>3.7170125</v>
      </c>
      <c r="AP34" s="191">
        <v>475.7776</v>
      </c>
    </row>
    <row r="35" ht="12.75" customHeight="1">
      <c r="B35" s="634">
        <f>'Minion Checker'!H38</f>
        <v>0</v>
      </c>
      <c r="C35" s="629" t="str">
        <f>IMAGE("https://i.imgur.com/TAIBFoY.png")</f>
        <v/>
      </c>
      <c r="D35" s="27" t="str">
        <f>'Minion Checker'!D38</f>
        <v/>
      </c>
      <c r="E35" s="34" t="str">
        <f>'Minion Checker'!E38</f>
        <v>Skeleton</v>
      </c>
      <c r="F35" s="635" t="str">
        <f t="shared" ref="F35:P35" si="37">IF(ARABIC(F$3)&lt;=$B35,"✓","✗")</f>
        <v>✗</v>
      </c>
      <c r="G35" s="635" t="str">
        <f t="shared" si="37"/>
        <v>✗</v>
      </c>
      <c r="H35" s="635" t="str">
        <f t="shared" si="37"/>
        <v>✗</v>
      </c>
      <c r="I35" s="635" t="str">
        <f t="shared" si="37"/>
        <v>✗</v>
      </c>
      <c r="J35" s="635" t="str">
        <f t="shared" si="37"/>
        <v>✗</v>
      </c>
      <c r="K35" s="635" t="str">
        <f t="shared" si="37"/>
        <v>✗</v>
      </c>
      <c r="L35" s="635" t="str">
        <f t="shared" si="37"/>
        <v>✗</v>
      </c>
      <c r="M35" s="635" t="str">
        <f t="shared" si="37"/>
        <v>✗</v>
      </c>
      <c r="N35" s="635" t="str">
        <f t="shared" si="37"/>
        <v>✗</v>
      </c>
      <c r="O35" s="635" t="str">
        <f t="shared" si="37"/>
        <v>✗</v>
      </c>
      <c r="P35" s="636" t="str">
        <f t="shared" si="37"/>
        <v>✗</v>
      </c>
      <c r="Q35" s="40">
        <f t="shared" ref="Q35:Q55" si="40">Q34+13</f>
        <v>16</v>
      </c>
      <c r="R35" s="580">
        <f t="shared" si="38"/>
        <v>80</v>
      </c>
      <c r="S35" s="632">
        <v>5.860675</v>
      </c>
      <c r="T35" s="580">
        <f t="shared" si="35"/>
        <v>468.854</v>
      </c>
      <c r="V35" s="634">
        <v>0.0</v>
      </c>
      <c r="W35" s="34"/>
      <c r="X35" s="27"/>
      <c r="Y35" s="34" t="s">
        <v>63</v>
      </c>
      <c r="Z35" s="635" t="s">
        <v>606</v>
      </c>
      <c r="AA35" s="635" t="s">
        <v>606</v>
      </c>
      <c r="AB35" s="635" t="s">
        <v>606</v>
      </c>
      <c r="AC35" s="635" t="s">
        <v>606</v>
      </c>
      <c r="AD35" s="635" t="s">
        <v>606</v>
      </c>
      <c r="AE35" s="635" t="s">
        <v>606</v>
      </c>
      <c r="AF35" s="635" t="s">
        <v>606</v>
      </c>
      <c r="AG35" s="635" t="s">
        <v>606</v>
      </c>
      <c r="AH35" s="635" t="s">
        <v>606</v>
      </c>
      <c r="AI35" s="635" t="s">
        <v>606</v>
      </c>
      <c r="AJ35" s="636" t="s">
        <v>606</v>
      </c>
      <c r="AL35" s="25"/>
      <c r="AM35" s="37" t="s">
        <v>37</v>
      </c>
      <c r="AN35" s="201">
        <v>80.0</v>
      </c>
      <c r="AO35" s="637">
        <v>5.89105</v>
      </c>
      <c r="AP35" s="204">
        <v>471.284</v>
      </c>
    </row>
    <row r="36" ht="12.75" customHeight="1">
      <c r="B36" s="634">
        <f>'Minion Checker'!H39</f>
        <v>0</v>
      </c>
      <c r="C36" s="629" t="str">
        <f>IMAGE("https://i.imgur.com/tFahDQH.png")</f>
        <v/>
      </c>
      <c r="D36" s="27" t="str">
        <f>'Minion Checker'!D39</f>
        <v/>
      </c>
      <c r="E36" s="34" t="str">
        <f>'Minion Checker'!E39</f>
        <v>Creeper</v>
      </c>
      <c r="F36" s="630" t="str">
        <f t="shared" ref="F36:P36" si="39">IF(ARABIC(F$3)&lt;=$B36,"✓","✗")</f>
        <v>✗</v>
      </c>
      <c r="G36" s="630" t="str">
        <f t="shared" si="39"/>
        <v>✗</v>
      </c>
      <c r="H36" s="630" t="str">
        <f t="shared" si="39"/>
        <v>✗</v>
      </c>
      <c r="I36" s="630" t="str">
        <f t="shared" si="39"/>
        <v>✗</v>
      </c>
      <c r="J36" s="630" t="str">
        <f t="shared" si="39"/>
        <v>✗</v>
      </c>
      <c r="K36" s="630" t="str">
        <f t="shared" si="39"/>
        <v>✗</v>
      </c>
      <c r="L36" s="630" t="str">
        <f t="shared" si="39"/>
        <v>✗</v>
      </c>
      <c r="M36" s="630" t="str">
        <f t="shared" si="39"/>
        <v>✗</v>
      </c>
      <c r="N36" s="630" t="str">
        <f t="shared" si="39"/>
        <v>✗</v>
      </c>
      <c r="O36" s="630" t="str">
        <f t="shared" si="39"/>
        <v>✗</v>
      </c>
      <c r="P36" s="631" t="str">
        <f t="shared" si="39"/>
        <v>✗</v>
      </c>
      <c r="Q36" s="40">
        <f t="shared" si="40"/>
        <v>29</v>
      </c>
      <c r="R36" s="580">
        <f t="shared" si="38"/>
        <v>80</v>
      </c>
      <c r="S36" s="632">
        <v>27.345625000000002</v>
      </c>
      <c r="T36" s="580">
        <f t="shared" si="35"/>
        <v>2187.65</v>
      </c>
      <c r="V36" s="634">
        <v>0.0</v>
      </c>
      <c r="W36" s="34"/>
      <c r="X36" s="27"/>
      <c r="Y36" s="34" t="s">
        <v>64</v>
      </c>
      <c r="Z36" s="630" t="s">
        <v>606</v>
      </c>
      <c r="AA36" s="630" t="s">
        <v>606</v>
      </c>
      <c r="AB36" s="630" t="s">
        <v>606</v>
      </c>
      <c r="AC36" s="630" t="s">
        <v>606</v>
      </c>
      <c r="AD36" s="630" t="s">
        <v>606</v>
      </c>
      <c r="AE36" s="630" t="s">
        <v>606</v>
      </c>
      <c r="AF36" s="630" t="s">
        <v>606</v>
      </c>
      <c r="AG36" s="630" t="s">
        <v>606</v>
      </c>
      <c r="AH36" s="630" t="s">
        <v>606</v>
      </c>
      <c r="AI36" s="630" t="s">
        <v>606</v>
      </c>
      <c r="AJ36" s="631" t="s">
        <v>606</v>
      </c>
      <c r="AL36" s="27"/>
      <c r="AM36" s="34" t="s">
        <v>63</v>
      </c>
      <c r="AN36" s="188">
        <v>80.0</v>
      </c>
      <c r="AO36" s="633">
        <v>5.860675</v>
      </c>
      <c r="AP36" s="191">
        <v>468.854</v>
      </c>
    </row>
    <row r="37" ht="12.75" customHeight="1">
      <c r="B37" s="634">
        <f>'Minion Checker'!H40</f>
        <v>0</v>
      </c>
      <c r="C37" s="642" t="str">
        <f>IMAGE("https://i.imgur.com/AlPZGoE.png")</f>
        <v/>
      </c>
      <c r="D37" s="27" t="str">
        <f>'Minion Checker'!D40</f>
        <v/>
      </c>
      <c r="E37" s="34" t="str">
        <f>'Minion Checker'!E40</f>
        <v>Spider</v>
      </c>
      <c r="F37" s="635" t="str">
        <f t="shared" ref="F37:P37" si="41">IF(ARABIC(F$3)&lt;=$B37,"✓","✗")</f>
        <v>✗</v>
      </c>
      <c r="G37" s="635" t="str">
        <f t="shared" si="41"/>
        <v>✗</v>
      </c>
      <c r="H37" s="635" t="str">
        <f t="shared" si="41"/>
        <v>✗</v>
      </c>
      <c r="I37" s="635" t="str">
        <f t="shared" si="41"/>
        <v>✗</v>
      </c>
      <c r="J37" s="635" t="str">
        <f t="shared" si="41"/>
        <v>✗</v>
      </c>
      <c r="K37" s="635" t="str">
        <f t="shared" si="41"/>
        <v>✗</v>
      </c>
      <c r="L37" s="635" t="str">
        <f t="shared" si="41"/>
        <v>✗</v>
      </c>
      <c r="M37" s="635" t="str">
        <f t="shared" si="41"/>
        <v>✗</v>
      </c>
      <c r="N37" s="635" t="str">
        <f t="shared" si="41"/>
        <v>✗</v>
      </c>
      <c r="O37" s="635" t="str">
        <f t="shared" si="41"/>
        <v>✗</v>
      </c>
      <c r="P37" s="636" t="str">
        <f t="shared" si="41"/>
        <v>✗</v>
      </c>
      <c r="Q37" s="80">
        <f t="shared" si="40"/>
        <v>42</v>
      </c>
      <c r="R37" s="580">
        <f t="shared" si="38"/>
        <v>80</v>
      </c>
      <c r="S37" s="641">
        <v>12.015286458333334</v>
      </c>
      <c r="T37" s="580">
        <f t="shared" si="35"/>
        <v>961.2229167</v>
      </c>
      <c r="V37" s="634">
        <v>0.0</v>
      </c>
      <c r="W37" s="34"/>
      <c r="X37" s="27"/>
      <c r="Y37" s="34" t="s">
        <v>65</v>
      </c>
      <c r="Z37" s="635" t="s">
        <v>606</v>
      </c>
      <c r="AA37" s="635" t="s">
        <v>606</v>
      </c>
      <c r="AB37" s="635" t="s">
        <v>606</v>
      </c>
      <c r="AC37" s="635" t="s">
        <v>606</v>
      </c>
      <c r="AD37" s="635" t="s">
        <v>606</v>
      </c>
      <c r="AE37" s="635" t="s">
        <v>606</v>
      </c>
      <c r="AF37" s="635" t="s">
        <v>606</v>
      </c>
      <c r="AG37" s="635" t="s">
        <v>606</v>
      </c>
      <c r="AH37" s="635" t="s">
        <v>606</v>
      </c>
      <c r="AI37" s="635" t="s">
        <v>606</v>
      </c>
      <c r="AJ37" s="636" t="s">
        <v>606</v>
      </c>
      <c r="AL37" s="25"/>
      <c r="AM37" s="37" t="s">
        <v>71</v>
      </c>
      <c r="AN37" s="201">
        <v>64.0</v>
      </c>
      <c r="AO37" s="637">
        <v>7.2204999999999995</v>
      </c>
      <c r="AP37" s="204">
        <v>462.11199999999997</v>
      </c>
    </row>
    <row r="38" ht="12.75" customHeight="1">
      <c r="B38" s="634">
        <f>'Minion Checker'!H41</f>
        <v>0</v>
      </c>
      <c r="C38" s="629" t="str">
        <f>IMAGE("https://i.imgur.com/pgp3u6e.png")</f>
        <v/>
      </c>
      <c r="D38" s="27" t="str">
        <f>'Minion Checker'!D41</f>
        <v/>
      </c>
      <c r="E38" s="34" t="str">
        <f>'Minion Checker'!E41</f>
        <v>Tarantula</v>
      </c>
      <c r="F38" s="630" t="str">
        <f t="shared" ref="F38:P38" si="42">IF(ARABIC(F$3)&lt;=$B38,"✓","✗")</f>
        <v>✗</v>
      </c>
      <c r="G38" s="630" t="str">
        <f t="shared" si="42"/>
        <v>✗</v>
      </c>
      <c r="H38" s="630" t="str">
        <f t="shared" si="42"/>
        <v>✗</v>
      </c>
      <c r="I38" s="630" t="str">
        <f t="shared" si="42"/>
        <v>✗</v>
      </c>
      <c r="J38" s="630" t="str">
        <f t="shared" si="42"/>
        <v>✗</v>
      </c>
      <c r="K38" s="630" t="str">
        <f t="shared" si="42"/>
        <v>✗</v>
      </c>
      <c r="L38" s="630" t="str">
        <f t="shared" si="42"/>
        <v>✗</v>
      </c>
      <c r="M38" s="630" t="str">
        <f t="shared" si="42"/>
        <v>✗</v>
      </c>
      <c r="N38" s="630" t="str">
        <f t="shared" si="42"/>
        <v>✗</v>
      </c>
      <c r="O38" s="630" t="str">
        <f t="shared" si="42"/>
        <v>✗</v>
      </c>
      <c r="P38" s="631" t="str">
        <f t="shared" si="42"/>
        <v>✗</v>
      </c>
      <c r="Q38" s="80">
        <f t="shared" si="40"/>
        <v>55</v>
      </c>
      <c r="R38" s="580">
        <f t="shared" si="38"/>
        <v>70</v>
      </c>
      <c r="S38" s="632">
        <v>12.015286458333334</v>
      </c>
      <c r="T38" s="580">
        <f t="shared" si="35"/>
        <v>841.0700521</v>
      </c>
      <c r="V38" s="634">
        <v>0.0</v>
      </c>
      <c r="W38" s="34"/>
      <c r="X38" s="27"/>
      <c r="Y38" s="34" t="s">
        <v>66</v>
      </c>
      <c r="Z38" s="630" t="s">
        <v>606</v>
      </c>
      <c r="AA38" s="630" t="s">
        <v>606</v>
      </c>
      <c r="AB38" s="630" t="s">
        <v>606</v>
      </c>
      <c r="AC38" s="630" t="s">
        <v>606</v>
      </c>
      <c r="AD38" s="630" t="s">
        <v>606</v>
      </c>
      <c r="AE38" s="630" t="s">
        <v>606</v>
      </c>
      <c r="AF38" s="630" t="s">
        <v>606</v>
      </c>
      <c r="AG38" s="630" t="s">
        <v>606</v>
      </c>
      <c r="AH38" s="630" t="s">
        <v>606</v>
      </c>
      <c r="AI38" s="630" t="s">
        <v>606</v>
      </c>
      <c r="AJ38" s="631" t="s">
        <v>606</v>
      </c>
      <c r="AL38" s="27"/>
      <c r="AM38" s="34" t="s">
        <v>61</v>
      </c>
      <c r="AN38" s="188">
        <v>80.0</v>
      </c>
      <c r="AO38" s="633">
        <v>5.6248249999999995</v>
      </c>
      <c r="AP38" s="191">
        <v>449.986</v>
      </c>
    </row>
    <row r="39" ht="12.75" customHeight="1">
      <c r="B39" s="634">
        <f>'Minion Checker'!H42</f>
        <v>0</v>
      </c>
      <c r="C39" s="629" t="str">
        <f>IMAGE("https://i.imgur.com/wNrGZg6.png")</f>
        <v/>
      </c>
      <c r="D39" s="27" t="str">
        <f>'Minion Checker'!D42</f>
        <v/>
      </c>
      <c r="E39" s="34" t="str">
        <f>'Minion Checker'!E42</f>
        <v>Cave Spider</v>
      </c>
      <c r="F39" s="635" t="str">
        <f t="shared" ref="F39:P39" si="43">IF(ARABIC(F$3)&lt;=$B39,"✓","✗")</f>
        <v>✗</v>
      </c>
      <c r="G39" s="635" t="str">
        <f t="shared" si="43"/>
        <v>✗</v>
      </c>
      <c r="H39" s="635" t="str">
        <f t="shared" si="43"/>
        <v>✗</v>
      </c>
      <c r="I39" s="635" t="str">
        <f t="shared" si="43"/>
        <v>✗</v>
      </c>
      <c r="J39" s="635" t="str">
        <f t="shared" si="43"/>
        <v>✗</v>
      </c>
      <c r="K39" s="635" t="str">
        <f t="shared" si="43"/>
        <v>✗</v>
      </c>
      <c r="L39" s="635" t="str">
        <f t="shared" si="43"/>
        <v>✗</v>
      </c>
      <c r="M39" s="635" t="str">
        <f t="shared" si="43"/>
        <v>✗</v>
      </c>
      <c r="N39" s="635" t="str">
        <f t="shared" si="43"/>
        <v>✗</v>
      </c>
      <c r="O39" s="635" t="str">
        <f t="shared" si="43"/>
        <v>✗</v>
      </c>
      <c r="P39" s="636" t="str">
        <f t="shared" si="43"/>
        <v>✗</v>
      </c>
      <c r="Q39" s="80">
        <f t="shared" si="40"/>
        <v>68</v>
      </c>
      <c r="R39" s="580">
        <f t="shared" si="38"/>
        <v>80</v>
      </c>
      <c r="S39" s="641">
        <v>9.932187500000001</v>
      </c>
      <c r="T39" s="580">
        <f t="shared" si="35"/>
        <v>794.575</v>
      </c>
      <c r="V39" s="634">
        <v>0.0</v>
      </c>
      <c r="W39" s="34"/>
      <c r="X39" s="27"/>
      <c r="Y39" s="34" t="s">
        <v>118</v>
      </c>
      <c r="Z39" s="635" t="s">
        <v>606</v>
      </c>
      <c r="AA39" s="635" t="s">
        <v>606</v>
      </c>
      <c r="AB39" s="635" t="s">
        <v>606</v>
      </c>
      <c r="AC39" s="635" t="s">
        <v>606</v>
      </c>
      <c r="AD39" s="635" t="s">
        <v>606</v>
      </c>
      <c r="AE39" s="635" t="s">
        <v>606</v>
      </c>
      <c r="AF39" s="635" t="s">
        <v>606</v>
      </c>
      <c r="AG39" s="635" t="s">
        <v>606</v>
      </c>
      <c r="AH39" s="635" t="s">
        <v>606</v>
      </c>
      <c r="AI39" s="635" t="s">
        <v>606</v>
      </c>
      <c r="AJ39" s="636" t="s">
        <v>606</v>
      </c>
      <c r="AL39" s="25"/>
      <c r="AM39" s="37" t="s">
        <v>119</v>
      </c>
      <c r="AN39" s="201">
        <v>64.0</v>
      </c>
      <c r="AO39" s="637">
        <v>6.90453125</v>
      </c>
      <c r="AP39" s="204">
        <v>441.89</v>
      </c>
    </row>
    <row r="40" ht="12.75" customHeight="1">
      <c r="B40" s="634">
        <f>'Minion Checker'!H43</f>
        <v>0</v>
      </c>
      <c r="C40" s="629" t="str">
        <f>IMAGE("https://i.imgur.com/J1wTOFV.png")</f>
        <v/>
      </c>
      <c r="D40" s="27" t="str">
        <f>'Minion Checker'!D43</f>
        <v/>
      </c>
      <c r="E40" s="34" t="str">
        <f>'Minion Checker'!E43</f>
        <v>Blaze</v>
      </c>
      <c r="F40" s="630" t="str">
        <f t="shared" ref="F40:P40" si="44">IF(ARABIC(F$3)&lt;=$B40,"✓","✗")</f>
        <v>✗</v>
      </c>
      <c r="G40" s="630" t="str">
        <f t="shared" si="44"/>
        <v>✗</v>
      </c>
      <c r="H40" s="630" t="str">
        <f t="shared" si="44"/>
        <v>✗</v>
      </c>
      <c r="I40" s="630" t="str">
        <f t="shared" si="44"/>
        <v>✗</v>
      </c>
      <c r="J40" s="630" t="str">
        <f t="shared" si="44"/>
        <v>✗</v>
      </c>
      <c r="K40" s="630" t="str">
        <f t="shared" si="44"/>
        <v>✗</v>
      </c>
      <c r="L40" s="630" t="str">
        <f t="shared" si="44"/>
        <v>✗</v>
      </c>
      <c r="M40" s="630" t="str">
        <f t="shared" si="44"/>
        <v>✗</v>
      </c>
      <c r="N40" s="630" t="str">
        <f t="shared" si="44"/>
        <v>✗</v>
      </c>
      <c r="O40" s="630" t="str">
        <f t="shared" si="44"/>
        <v>✗</v>
      </c>
      <c r="P40" s="631" t="str">
        <f t="shared" si="44"/>
        <v>✗</v>
      </c>
      <c r="Q40" s="80">
        <f t="shared" si="40"/>
        <v>81</v>
      </c>
      <c r="R40" s="580">
        <f t="shared" si="38"/>
        <v>80</v>
      </c>
      <c r="S40" s="632">
        <v>16.202481249999998</v>
      </c>
      <c r="T40" s="580">
        <f t="shared" si="35"/>
        <v>1296.1985</v>
      </c>
      <c r="V40" s="634">
        <v>0.0</v>
      </c>
      <c r="W40" s="34"/>
      <c r="X40" s="27"/>
      <c r="Y40" s="34" t="s">
        <v>68</v>
      </c>
      <c r="Z40" s="630" t="s">
        <v>606</v>
      </c>
      <c r="AA40" s="630" t="s">
        <v>606</v>
      </c>
      <c r="AB40" s="630" t="s">
        <v>606</v>
      </c>
      <c r="AC40" s="630" t="s">
        <v>606</v>
      </c>
      <c r="AD40" s="630" t="s">
        <v>606</v>
      </c>
      <c r="AE40" s="630" t="s">
        <v>606</v>
      </c>
      <c r="AF40" s="630" t="s">
        <v>606</v>
      </c>
      <c r="AG40" s="630" t="s">
        <v>606</v>
      </c>
      <c r="AH40" s="630" t="s">
        <v>606</v>
      </c>
      <c r="AI40" s="630" t="s">
        <v>606</v>
      </c>
      <c r="AJ40" s="631" t="s">
        <v>606</v>
      </c>
      <c r="AL40" s="27"/>
      <c r="AM40" s="34" t="s">
        <v>29</v>
      </c>
      <c r="AN40" s="188">
        <v>80.0</v>
      </c>
      <c r="AO40" s="633">
        <v>5.00096875</v>
      </c>
      <c r="AP40" s="191">
        <v>400.0775</v>
      </c>
    </row>
    <row r="41" ht="12.75" customHeight="1">
      <c r="B41" s="634">
        <f>'Minion Checker'!H44</f>
        <v>0</v>
      </c>
      <c r="C41" s="629" t="str">
        <f>IMAGE("https://i.imgur.com/SdIB659.png")</f>
        <v/>
      </c>
      <c r="D41" s="27" t="str">
        <f>'Minion Checker'!D44</f>
        <v/>
      </c>
      <c r="E41" s="34" t="str">
        <f>'Minion Checker'!E44</f>
        <v>Magma Cube</v>
      </c>
      <c r="F41" s="635" t="str">
        <f t="shared" ref="F41:P41" si="45">IF(ARABIC(F$3)&lt;=$B41,"✓","✗")</f>
        <v>✗</v>
      </c>
      <c r="G41" s="635" t="str">
        <f t="shared" si="45"/>
        <v>✗</v>
      </c>
      <c r="H41" s="635" t="str">
        <f t="shared" si="45"/>
        <v>✗</v>
      </c>
      <c r="I41" s="635" t="str">
        <f t="shared" si="45"/>
        <v>✗</v>
      </c>
      <c r="J41" s="635" t="str">
        <f t="shared" si="45"/>
        <v>✗</v>
      </c>
      <c r="K41" s="635" t="str">
        <f t="shared" si="45"/>
        <v>✗</v>
      </c>
      <c r="L41" s="635" t="str">
        <f t="shared" si="45"/>
        <v>✗</v>
      </c>
      <c r="M41" s="635" t="str">
        <f t="shared" si="45"/>
        <v>✗</v>
      </c>
      <c r="N41" s="635" t="str">
        <f t="shared" si="45"/>
        <v>✗</v>
      </c>
      <c r="O41" s="635" t="str">
        <f t="shared" si="45"/>
        <v>✗</v>
      </c>
      <c r="P41" s="636" t="str">
        <f t="shared" si="45"/>
        <v>✗</v>
      </c>
      <c r="Q41" s="80">
        <f t="shared" si="40"/>
        <v>94</v>
      </c>
      <c r="R41" s="580">
        <f t="shared" si="38"/>
        <v>80</v>
      </c>
      <c r="S41" s="632">
        <v>24.99156875</v>
      </c>
      <c r="T41" s="580">
        <f t="shared" si="35"/>
        <v>1999.3255</v>
      </c>
      <c r="V41" s="634">
        <v>0.0</v>
      </c>
      <c r="W41" s="34"/>
      <c r="X41" s="27"/>
      <c r="Y41" s="34" t="s">
        <v>69</v>
      </c>
      <c r="Z41" s="635" t="s">
        <v>606</v>
      </c>
      <c r="AA41" s="635" t="s">
        <v>606</v>
      </c>
      <c r="AB41" s="635" t="s">
        <v>606</v>
      </c>
      <c r="AC41" s="635" t="s">
        <v>606</v>
      </c>
      <c r="AD41" s="635" t="s">
        <v>606</v>
      </c>
      <c r="AE41" s="635" t="s">
        <v>606</v>
      </c>
      <c r="AF41" s="635" t="s">
        <v>606</v>
      </c>
      <c r="AG41" s="635" t="s">
        <v>606</v>
      </c>
      <c r="AH41" s="635" t="s">
        <v>606</v>
      </c>
      <c r="AI41" s="635" t="s">
        <v>606</v>
      </c>
      <c r="AJ41" s="636" t="s">
        <v>606</v>
      </c>
      <c r="AL41" s="25"/>
      <c r="AM41" s="37" t="s">
        <v>47</v>
      </c>
      <c r="AN41" s="201">
        <v>80.0</v>
      </c>
      <c r="AO41" s="637">
        <v>4.999</v>
      </c>
      <c r="AP41" s="204">
        <v>399.91999999999996</v>
      </c>
    </row>
    <row r="42" ht="12.75" customHeight="1">
      <c r="B42" s="634">
        <f>'Minion Checker'!H45</f>
        <v>0</v>
      </c>
      <c r="C42" s="629" t="str">
        <f>IMAGE("https://i.imgur.com/IXvuQth.png")</f>
        <v/>
      </c>
      <c r="D42" s="27" t="str">
        <f>'Minion Checker'!D45</f>
        <v/>
      </c>
      <c r="E42" s="34" t="str">
        <f>'Minion Checker'!E45</f>
        <v>Enderman</v>
      </c>
      <c r="F42" s="630" t="str">
        <f t="shared" ref="F42:P42" si="46">IF(ARABIC(F$3)&lt;=$B42,"✓","✗")</f>
        <v>✗</v>
      </c>
      <c r="G42" s="630" t="str">
        <f t="shared" si="46"/>
        <v>✗</v>
      </c>
      <c r="H42" s="630" t="str">
        <f t="shared" si="46"/>
        <v>✗</v>
      </c>
      <c r="I42" s="630" t="str">
        <f t="shared" si="46"/>
        <v>✗</v>
      </c>
      <c r="J42" s="630" t="str">
        <f t="shared" si="46"/>
        <v>✗</v>
      </c>
      <c r="K42" s="630" t="str">
        <f t="shared" si="46"/>
        <v>✗</v>
      </c>
      <c r="L42" s="630" t="str">
        <f t="shared" si="46"/>
        <v>✗</v>
      </c>
      <c r="M42" s="630" t="str">
        <f t="shared" si="46"/>
        <v>✗</v>
      </c>
      <c r="N42" s="630" t="str">
        <f t="shared" si="46"/>
        <v>✗</v>
      </c>
      <c r="O42" s="630" t="str">
        <f t="shared" si="46"/>
        <v>✗</v>
      </c>
      <c r="P42" s="631" t="str">
        <f t="shared" si="46"/>
        <v>✗</v>
      </c>
      <c r="Q42" s="80">
        <f t="shared" si="40"/>
        <v>107</v>
      </c>
      <c r="R42" s="580">
        <f t="shared" si="38"/>
        <v>64</v>
      </c>
      <c r="S42" s="632">
        <v>7.2204999999999995</v>
      </c>
      <c r="T42" s="580">
        <f t="shared" si="35"/>
        <v>462.112</v>
      </c>
      <c r="V42" s="634">
        <v>0.0</v>
      </c>
      <c r="W42" s="34"/>
      <c r="X42" s="27"/>
      <c r="Y42" s="34" t="s">
        <v>71</v>
      </c>
      <c r="Z42" s="630" t="s">
        <v>606</v>
      </c>
      <c r="AA42" s="630" t="s">
        <v>606</v>
      </c>
      <c r="AB42" s="630" t="s">
        <v>606</v>
      </c>
      <c r="AC42" s="630" t="s">
        <v>606</v>
      </c>
      <c r="AD42" s="630" t="s">
        <v>606</v>
      </c>
      <c r="AE42" s="630" t="s">
        <v>606</v>
      </c>
      <c r="AF42" s="630" t="s">
        <v>606</v>
      </c>
      <c r="AG42" s="630" t="s">
        <v>606</v>
      </c>
      <c r="AH42" s="630" t="s">
        <v>606</v>
      </c>
      <c r="AI42" s="630" t="s">
        <v>606</v>
      </c>
      <c r="AJ42" s="631" t="s">
        <v>606</v>
      </c>
      <c r="AL42" s="27"/>
      <c r="AM42" s="34" t="s">
        <v>62</v>
      </c>
      <c r="AN42" s="188">
        <v>70.0</v>
      </c>
      <c r="AO42" s="633">
        <v>5.6248249999999995</v>
      </c>
      <c r="AP42" s="191">
        <v>393.73774999999995</v>
      </c>
    </row>
    <row r="43" ht="12.75" customHeight="1">
      <c r="B43" s="634">
        <f>'Minion Checker'!H46</f>
        <v>0</v>
      </c>
      <c r="C43" s="629" t="str">
        <f>IMAGE("https://i.imgur.com/YbAlq8i.png")</f>
        <v/>
      </c>
      <c r="D43" s="27" t="str">
        <f>'Minion Checker'!D46</f>
        <v/>
      </c>
      <c r="E43" s="34" t="str">
        <f>'Minion Checker'!E46</f>
        <v>Ghast</v>
      </c>
      <c r="F43" s="635" t="str">
        <f t="shared" ref="F43:P43" si="47">IF(ARABIC(F$3)&lt;=$B43,"✓","✗")</f>
        <v>✗</v>
      </c>
      <c r="G43" s="635" t="str">
        <f t="shared" si="47"/>
        <v>✗</v>
      </c>
      <c r="H43" s="635" t="str">
        <f t="shared" si="47"/>
        <v>✗</v>
      </c>
      <c r="I43" s="635" t="str">
        <f t="shared" si="47"/>
        <v>✗</v>
      </c>
      <c r="J43" s="635" t="str">
        <f t="shared" si="47"/>
        <v>✗</v>
      </c>
      <c r="K43" s="635" t="str">
        <f t="shared" si="47"/>
        <v>✗</v>
      </c>
      <c r="L43" s="635" t="str">
        <f t="shared" si="47"/>
        <v>✗</v>
      </c>
      <c r="M43" s="635" t="str">
        <f t="shared" si="47"/>
        <v>✗</v>
      </c>
      <c r="N43" s="635" t="str">
        <f t="shared" si="47"/>
        <v>✗</v>
      </c>
      <c r="O43" s="635" t="str">
        <f t="shared" si="47"/>
        <v>✗</v>
      </c>
      <c r="P43" s="636" t="str">
        <f t="shared" si="47"/>
        <v>✗</v>
      </c>
      <c r="Q43" s="80">
        <f t="shared" si="40"/>
        <v>120</v>
      </c>
      <c r="R43" s="580">
        <f t="shared" si="38"/>
        <v>64</v>
      </c>
      <c r="S43" s="632">
        <v>117.94480000000001</v>
      </c>
      <c r="T43" s="580">
        <f t="shared" si="35"/>
        <v>7548.4672</v>
      </c>
      <c r="V43" s="634">
        <v>0.0</v>
      </c>
      <c r="W43" s="34"/>
      <c r="X43" s="27"/>
      <c r="Y43" s="34" t="s">
        <v>72</v>
      </c>
      <c r="Z43" s="635" t="s">
        <v>606</v>
      </c>
      <c r="AA43" s="635" t="s">
        <v>606</v>
      </c>
      <c r="AB43" s="635" t="s">
        <v>606</v>
      </c>
      <c r="AC43" s="635" t="s">
        <v>606</v>
      </c>
      <c r="AD43" s="635" t="s">
        <v>606</v>
      </c>
      <c r="AE43" s="635" t="s">
        <v>606</v>
      </c>
      <c r="AF43" s="635" t="s">
        <v>606</v>
      </c>
      <c r="AG43" s="635" t="s">
        <v>606</v>
      </c>
      <c r="AH43" s="635" t="s">
        <v>606</v>
      </c>
      <c r="AI43" s="635" t="s">
        <v>606</v>
      </c>
      <c r="AJ43" s="636" t="s">
        <v>606</v>
      </c>
      <c r="AL43" s="25"/>
      <c r="AM43" s="37" t="s">
        <v>51</v>
      </c>
      <c r="AN43" s="201">
        <v>128.0</v>
      </c>
      <c r="AO43" s="637">
        <v>3.0522375</v>
      </c>
      <c r="AP43" s="204">
        <v>390.6864</v>
      </c>
    </row>
    <row r="44" ht="12.75" customHeight="1">
      <c r="B44" s="634">
        <f>'Minion Checker'!H47</f>
        <v>0</v>
      </c>
      <c r="C44" s="629" t="str">
        <f>IMAGE("https://i.imgur.com/59rxpx3.png")</f>
        <v/>
      </c>
      <c r="D44" s="27" t="str">
        <f>'Minion Checker'!D47</f>
        <v/>
      </c>
      <c r="E44" s="34" t="str">
        <f>'Minion Checker'!E47</f>
        <v>Slime</v>
      </c>
      <c r="F44" s="630" t="str">
        <f t="shared" ref="F44:P44" si="48">IF(ARABIC(F$3)&lt;=$B44,"✓","✗")</f>
        <v>✗</v>
      </c>
      <c r="G44" s="630" t="str">
        <f t="shared" si="48"/>
        <v>✗</v>
      </c>
      <c r="H44" s="630" t="str">
        <f t="shared" si="48"/>
        <v>✗</v>
      </c>
      <c r="I44" s="630" t="str">
        <f t="shared" si="48"/>
        <v>✗</v>
      </c>
      <c r="J44" s="630" t="str">
        <f t="shared" si="48"/>
        <v>✗</v>
      </c>
      <c r="K44" s="630" t="str">
        <f t="shared" si="48"/>
        <v>✗</v>
      </c>
      <c r="L44" s="630" t="str">
        <f t="shared" si="48"/>
        <v>✗</v>
      </c>
      <c r="M44" s="630" t="str">
        <f t="shared" si="48"/>
        <v>✗</v>
      </c>
      <c r="N44" s="630" t="str">
        <f t="shared" si="48"/>
        <v>✗</v>
      </c>
      <c r="O44" s="630" t="str">
        <f t="shared" si="48"/>
        <v>✗</v>
      </c>
      <c r="P44" s="631" t="str">
        <f t="shared" si="48"/>
        <v>✗</v>
      </c>
      <c r="Q44" s="80">
        <f t="shared" si="40"/>
        <v>133</v>
      </c>
      <c r="R44" s="580">
        <f t="shared" si="38"/>
        <v>80</v>
      </c>
      <c r="S44" s="632">
        <v>12.176781250000001</v>
      </c>
      <c r="T44" s="580">
        <f t="shared" si="35"/>
        <v>974.1425</v>
      </c>
      <c r="V44" s="634">
        <v>0.0</v>
      </c>
      <c r="W44" s="34"/>
      <c r="X44" s="27"/>
      <c r="Y44" s="34" t="s">
        <v>73</v>
      </c>
      <c r="Z44" s="630" t="s">
        <v>606</v>
      </c>
      <c r="AA44" s="630" t="s">
        <v>606</v>
      </c>
      <c r="AB44" s="630" t="s">
        <v>606</v>
      </c>
      <c r="AC44" s="630" t="s">
        <v>606</v>
      </c>
      <c r="AD44" s="630" t="s">
        <v>606</v>
      </c>
      <c r="AE44" s="630" t="s">
        <v>606</v>
      </c>
      <c r="AF44" s="630" t="s">
        <v>606</v>
      </c>
      <c r="AG44" s="630" t="s">
        <v>606</v>
      </c>
      <c r="AH44" s="630" t="s">
        <v>606</v>
      </c>
      <c r="AI44" s="630" t="s">
        <v>606</v>
      </c>
      <c r="AJ44" s="631" t="s">
        <v>606</v>
      </c>
      <c r="AL44" s="27"/>
      <c r="AM44" s="34" t="s">
        <v>35</v>
      </c>
      <c r="AN44" s="188">
        <v>80.0</v>
      </c>
      <c r="AO44" s="633">
        <v>4.4082187500000005</v>
      </c>
      <c r="AP44" s="191">
        <v>352.6575</v>
      </c>
    </row>
    <row r="45" ht="12.75" customHeight="1">
      <c r="B45" s="634">
        <f>'Minion Checker'!H48</f>
        <v>0</v>
      </c>
      <c r="C45" s="629" t="str">
        <f>IMAGE("https://i.imgur.com/aYPrav0.png")</f>
        <v/>
      </c>
      <c r="D45" s="27" t="str">
        <f>'Minion Checker'!D48</f>
        <v/>
      </c>
      <c r="E45" s="34" t="str">
        <f>'Minion Checker'!E48</f>
        <v>Cow</v>
      </c>
      <c r="F45" s="635" t="str">
        <f t="shared" ref="F45:P45" si="49">IF(ARABIC(F$3)&lt;=$B45,"✓","✗")</f>
        <v>✗</v>
      </c>
      <c r="G45" s="635" t="str">
        <f t="shared" si="49"/>
        <v>✗</v>
      </c>
      <c r="H45" s="635" t="str">
        <f t="shared" si="49"/>
        <v>✗</v>
      </c>
      <c r="I45" s="635" t="str">
        <f t="shared" si="49"/>
        <v>✗</v>
      </c>
      <c r="J45" s="635" t="str">
        <f t="shared" si="49"/>
        <v>✗</v>
      </c>
      <c r="K45" s="635" t="str">
        <f t="shared" si="49"/>
        <v>✗</v>
      </c>
      <c r="L45" s="635" t="str">
        <f t="shared" si="49"/>
        <v>✗</v>
      </c>
      <c r="M45" s="635" t="str">
        <f t="shared" si="49"/>
        <v>✗</v>
      </c>
      <c r="N45" s="635" t="str">
        <f t="shared" si="49"/>
        <v>✗</v>
      </c>
      <c r="O45" s="635" t="str">
        <f t="shared" si="49"/>
        <v>✗</v>
      </c>
      <c r="P45" s="636" t="str">
        <f t="shared" si="49"/>
        <v>✗</v>
      </c>
      <c r="Q45" s="80">
        <f t="shared" si="40"/>
        <v>146</v>
      </c>
      <c r="R45" s="580">
        <f t="shared" si="38"/>
        <v>64</v>
      </c>
      <c r="S45" s="641">
        <v>3.8234375</v>
      </c>
      <c r="T45" s="580">
        <f t="shared" si="35"/>
        <v>244.7</v>
      </c>
      <c r="V45" s="634">
        <v>0.0</v>
      </c>
      <c r="W45" s="34"/>
      <c r="X45" s="27"/>
      <c r="Y45" s="34" t="s">
        <v>74</v>
      </c>
      <c r="Z45" s="635" t="s">
        <v>606</v>
      </c>
      <c r="AA45" s="635" t="s">
        <v>606</v>
      </c>
      <c r="AB45" s="635" t="s">
        <v>606</v>
      </c>
      <c r="AC45" s="635" t="s">
        <v>606</v>
      </c>
      <c r="AD45" s="635" t="s">
        <v>606</v>
      </c>
      <c r="AE45" s="635" t="s">
        <v>606</v>
      </c>
      <c r="AF45" s="635" t="s">
        <v>606</v>
      </c>
      <c r="AG45" s="635" t="s">
        <v>606</v>
      </c>
      <c r="AH45" s="635" t="s">
        <v>606</v>
      </c>
      <c r="AI45" s="635" t="s">
        <v>606</v>
      </c>
      <c r="AJ45" s="636" t="s">
        <v>606</v>
      </c>
      <c r="AL45" s="638"/>
      <c r="AM45" s="639" t="s">
        <v>115</v>
      </c>
      <c r="AN45" s="201">
        <v>80.0</v>
      </c>
      <c r="AO45" s="637">
        <v>4.070225</v>
      </c>
      <c r="AP45" s="204">
        <v>325.618</v>
      </c>
    </row>
    <row r="46" ht="12.75" customHeight="1">
      <c r="B46" s="634">
        <f>'Minion Checker'!H49</f>
        <v>0</v>
      </c>
      <c r="C46" s="629" t="str">
        <f>IMAGE("https://i.imgur.com/1bFrgr3.png")</f>
        <v/>
      </c>
      <c r="D46" s="27" t="str">
        <f>'Minion Checker'!D49</f>
        <v/>
      </c>
      <c r="E46" s="34" t="str">
        <f>'Minion Checker'!E49</f>
        <v>Pig</v>
      </c>
      <c r="F46" s="630" t="str">
        <f t="shared" ref="F46:P46" si="50">IF(ARABIC(F$3)&lt;=$B46,"✓","✗")</f>
        <v>✗</v>
      </c>
      <c r="G46" s="630" t="str">
        <f t="shared" si="50"/>
        <v>✗</v>
      </c>
      <c r="H46" s="630" t="str">
        <f t="shared" si="50"/>
        <v>✗</v>
      </c>
      <c r="I46" s="630" t="str">
        <f t="shared" si="50"/>
        <v>✗</v>
      </c>
      <c r="J46" s="630" t="str">
        <f t="shared" si="50"/>
        <v>✗</v>
      </c>
      <c r="K46" s="630" t="str">
        <f t="shared" si="50"/>
        <v>✗</v>
      </c>
      <c r="L46" s="630" t="str">
        <f t="shared" si="50"/>
        <v>✗</v>
      </c>
      <c r="M46" s="630" t="str">
        <f t="shared" si="50"/>
        <v>✗</v>
      </c>
      <c r="N46" s="630" t="str">
        <f t="shared" si="50"/>
        <v>✗</v>
      </c>
      <c r="O46" s="630" t="str">
        <f t="shared" si="50"/>
        <v>✗</v>
      </c>
      <c r="P46" s="631" t="str">
        <f t="shared" si="50"/>
        <v>✗</v>
      </c>
      <c r="Q46" s="80">
        <f t="shared" si="40"/>
        <v>159</v>
      </c>
      <c r="R46" s="580">
        <f t="shared" si="38"/>
        <v>64</v>
      </c>
      <c r="S46" s="632">
        <v>42.9084625</v>
      </c>
      <c r="T46" s="580">
        <f t="shared" si="35"/>
        <v>2746.1416</v>
      </c>
      <c r="V46" s="634">
        <v>0.0</v>
      </c>
      <c r="W46" s="34"/>
      <c r="X46" s="27"/>
      <c r="Y46" s="34" t="s">
        <v>75</v>
      </c>
      <c r="Z46" s="630" t="s">
        <v>606</v>
      </c>
      <c r="AA46" s="630" t="s">
        <v>606</v>
      </c>
      <c r="AB46" s="630" t="s">
        <v>606</v>
      </c>
      <c r="AC46" s="630" t="s">
        <v>606</v>
      </c>
      <c r="AD46" s="630" t="s">
        <v>606</v>
      </c>
      <c r="AE46" s="630" t="s">
        <v>606</v>
      </c>
      <c r="AF46" s="630" t="s">
        <v>606</v>
      </c>
      <c r="AG46" s="630" t="s">
        <v>606</v>
      </c>
      <c r="AH46" s="630" t="s">
        <v>606</v>
      </c>
      <c r="AI46" s="630" t="s">
        <v>606</v>
      </c>
      <c r="AJ46" s="631" t="s">
        <v>606</v>
      </c>
      <c r="AL46" s="629"/>
      <c r="AM46" s="640" t="s">
        <v>39</v>
      </c>
      <c r="AN46" s="188">
        <v>80.0</v>
      </c>
      <c r="AO46" s="633">
        <v>3.9784374999999996</v>
      </c>
      <c r="AP46" s="191">
        <v>318.275</v>
      </c>
    </row>
    <row r="47" ht="12.75" customHeight="1">
      <c r="B47" s="634">
        <f>'Minion Checker'!H50</f>
        <v>0</v>
      </c>
      <c r="C47" s="629" t="str">
        <f>IMAGE("https://i.imgur.com/ySNzNT1.png")</f>
        <v/>
      </c>
      <c r="D47" s="27" t="str">
        <f>'Minion Checker'!D50</f>
        <v/>
      </c>
      <c r="E47" s="34" t="str">
        <f>'Minion Checker'!E50</f>
        <v>Chicken</v>
      </c>
      <c r="F47" s="635" t="str">
        <f t="shared" ref="F47:P47" si="51">IF(ARABIC(F$3)&lt;=$B47,"✓","✗")</f>
        <v>✗</v>
      </c>
      <c r="G47" s="635" t="str">
        <f t="shared" si="51"/>
        <v>✗</v>
      </c>
      <c r="H47" s="635" t="str">
        <f t="shared" si="51"/>
        <v>✗</v>
      </c>
      <c r="I47" s="635" t="str">
        <f t="shared" si="51"/>
        <v>✗</v>
      </c>
      <c r="J47" s="635" t="str">
        <f t="shared" si="51"/>
        <v>✗</v>
      </c>
      <c r="K47" s="635" t="str">
        <f t="shared" si="51"/>
        <v>✗</v>
      </c>
      <c r="L47" s="635" t="str">
        <f t="shared" si="51"/>
        <v>✗</v>
      </c>
      <c r="M47" s="635" t="str">
        <f t="shared" si="51"/>
        <v>✗</v>
      </c>
      <c r="N47" s="635" t="str">
        <f t="shared" si="51"/>
        <v>✗</v>
      </c>
      <c r="O47" s="635" t="str">
        <f t="shared" si="51"/>
        <v>✗</v>
      </c>
      <c r="P47" s="636" t="str">
        <f t="shared" si="51"/>
        <v>✗</v>
      </c>
      <c r="Q47" s="80">
        <f t="shared" si="40"/>
        <v>172</v>
      </c>
      <c r="R47" s="580">
        <f t="shared" si="38"/>
        <v>64</v>
      </c>
      <c r="S47" s="641">
        <v>4.05900625</v>
      </c>
      <c r="T47" s="580">
        <f t="shared" si="35"/>
        <v>259.7764</v>
      </c>
      <c r="V47" s="634">
        <v>0.0</v>
      </c>
      <c r="W47" s="34"/>
      <c r="X47" s="27"/>
      <c r="Y47" s="34" t="s">
        <v>76</v>
      </c>
      <c r="Z47" s="635" t="s">
        <v>606</v>
      </c>
      <c r="AA47" s="635" t="s">
        <v>606</v>
      </c>
      <c r="AB47" s="635" t="s">
        <v>606</v>
      </c>
      <c r="AC47" s="635" t="s">
        <v>606</v>
      </c>
      <c r="AD47" s="635" t="s">
        <v>606</v>
      </c>
      <c r="AE47" s="635" t="s">
        <v>606</v>
      </c>
      <c r="AF47" s="635" t="s">
        <v>606</v>
      </c>
      <c r="AG47" s="635" t="s">
        <v>606</v>
      </c>
      <c r="AH47" s="635" t="s">
        <v>606</v>
      </c>
      <c r="AI47" s="635" t="s">
        <v>606</v>
      </c>
      <c r="AJ47" s="636" t="s">
        <v>606</v>
      </c>
      <c r="AL47" s="638"/>
      <c r="AM47" s="639" t="s">
        <v>116</v>
      </c>
      <c r="AN47" s="201">
        <v>80.0</v>
      </c>
      <c r="AO47" s="637">
        <v>3.9606250000000003</v>
      </c>
      <c r="AP47" s="204">
        <v>316.85</v>
      </c>
    </row>
    <row r="48" ht="12.75" customHeight="1">
      <c r="B48" s="634">
        <f>'Minion Checker'!H51</f>
        <v>0</v>
      </c>
      <c r="C48" s="629" t="str">
        <f>IMAGE("https://i.imgur.com/9jZLpd5.png")</f>
        <v/>
      </c>
      <c r="D48" s="27" t="str">
        <f>'Minion Checker'!D51</f>
        <v/>
      </c>
      <c r="E48" s="34" t="str">
        <f>'Minion Checker'!E51</f>
        <v>Sheep</v>
      </c>
      <c r="F48" s="630" t="str">
        <f t="shared" ref="F48:P48" si="52">IF(ARABIC(F$3)&lt;=$B48,"✓","✗")</f>
        <v>✗</v>
      </c>
      <c r="G48" s="630" t="str">
        <f t="shared" si="52"/>
        <v>✗</v>
      </c>
      <c r="H48" s="630" t="str">
        <f t="shared" si="52"/>
        <v>✗</v>
      </c>
      <c r="I48" s="630" t="str">
        <f t="shared" si="52"/>
        <v>✗</v>
      </c>
      <c r="J48" s="630" t="str">
        <f t="shared" si="52"/>
        <v>✗</v>
      </c>
      <c r="K48" s="630" t="str">
        <f t="shared" si="52"/>
        <v>✗</v>
      </c>
      <c r="L48" s="630" t="str">
        <f t="shared" si="52"/>
        <v>✗</v>
      </c>
      <c r="M48" s="630" t="str">
        <f t="shared" si="52"/>
        <v>✗</v>
      </c>
      <c r="N48" s="630" t="str">
        <f t="shared" si="52"/>
        <v>✗</v>
      </c>
      <c r="O48" s="630" t="str">
        <f t="shared" si="52"/>
        <v>✗</v>
      </c>
      <c r="P48" s="631" t="str">
        <f t="shared" si="52"/>
        <v>✗</v>
      </c>
      <c r="Q48" s="80">
        <f t="shared" si="40"/>
        <v>185</v>
      </c>
      <c r="R48" s="580">
        <f t="shared" si="38"/>
        <v>64</v>
      </c>
      <c r="S48" s="641">
        <v>28.177018750000002</v>
      </c>
      <c r="T48" s="580">
        <f t="shared" si="35"/>
        <v>1803.3292</v>
      </c>
      <c r="V48" s="634">
        <v>0.0</v>
      </c>
      <c r="W48" s="34"/>
      <c r="X48" s="27"/>
      <c r="Y48" s="34" t="s">
        <v>77</v>
      </c>
      <c r="Z48" s="630" t="s">
        <v>606</v>
      </c>
      <c r="AA48" s="630" t="s">
        <v>606</v>
      </c>
      <c r="AB48" s="630" t="s">
        <v>606</v>
      </c>
      <c r="AC48" s="630" t="s">
        <v>606</v>
      </c>
      <c r="AD48" s="630" t="s">
        <v>606</v>
      </c>
      <c r="AE48" s="630" t="s">
        <v>606</v>
      </c>
      <c r="AF48" s="630" t="s">
        <v>606</v>
      </c>
      <c r="AG48" s="630" t="s">
        <v>606</v>
      </c>
      <c r="AH48" s="630" t="s">
        <v>606</v>
      </c>
      <c r="AI48" s="630" t="s">
        <v>606</v>
      </c>
      <c r="AJ48" s="631" t="s">
        <v>606</v>
      </c>
      <c r="AL48" s="629"/>
      <c r="AM48" s="640" t="s">
        <v>42</v>
      </c>
      <c r="AN48" s="188">
        <v>128.0</v>
      </c>
      <c r="AO48" s="633">
        <v>2.0303125</v>
      </c>
      <c r="AP48" s="191">
        <v>259.88</v>
      </c>
    </row>
    <row r="49" ht="12.75" customHeight="1">
      <c r="B49" s="634">
        <f>'Minion Checker'!H52</f>
        <v>0</v>
      </c>
      <c r="C49" s="629" t="str">
        <f>IMAGE("https://i.imgur.com/4xvCrbO.png")</f>
        <v/>
      </c>
      <c r="D49" s="27" t="str">
        <f>'Minion Checker'!D52</f>
        <v/>
      </c>
      <c r="E49" s="34" t="str">
        <f>'Minion Checker'!E52</f>
        <v>Rabbit</v>
      </c>
      <c r="F49" s="635" t="str">
        <f t="shared" ref="F49:P49" si="53">IF(ARABIC(F$3)&lt;=$B49,"✓","✗")</f>
        <v>✗</v>
      </c>
      <c r="G49" s="635" t="str">
        <f t="shared" si="53"/>
        <v>✗</v>
      </c>
      <c r="H49" s="635" t="str">
        <f t="shared" si="53"/>
        <v>✗</v>
      </c>
      <c r="I49" s="635" t="str">
        <f t="shared" si="53"/>
        <v>✗</v>
      </c>
      <c r="J49" s="635" t="str">
        <f t="shared" si="53"/>
        <v>✗</v>
      </c>
      <c r="K49" s="635" t="str">
        <f t="shared" si="53"/>
        <v>✗</v>
      </c>
      <c r="L49" s="635" t="str">
        <f t="shared" si="53"/>
        <v>✗</v>
      </c>
      <c r="M49" s="635" t="str">
        <f t="shared" si="53"/>
        <v>✗</v>
      </c>
      <c r="N49" s="635" t="str">
        <f t="shared" si="53"/>
        <v>✗</v>
      </c>
      <c r="O49" s="635" t="str">
        <f t="shared" si="53"/>
        <v>✗</v>
      </c>
      <c r="P49" s="636" t="str">
        <f t="shared" si="53"/>
        <v>✗</v>
      </c>
      <c r="Q49" s="80">
        <f t="shared" si="40"/>
        <v>198</v>
      </c>
      <c r="R49" s="580">
        <f t="shared" si="38"/>
        <v>64</v>
      </c>
      <c r="S49" s="641">
        <v>0.5948125</v>
      </c>
      <c r="T49" s="580">
        <f t="shared" si="35"/>
        <v>38.068</v>
      </c>
      <c r="V49" s="634">
        <v>0.0</v>
      </c>
      <c r="W49" s="34"/>
      <c r="X49" s="27"/>
      <c r="Y49" s="34" t="s">
        <v>78</v>
      </c>
      <c r="Z49" s="635" t="s">
        <v>606</v>
      </c>
      <c r="AA49" s="635" t="s">
        <v>606</v>
      </c>
      <c r="AB49" s="635" t="s">
        <v>606</v>
      </c>
      <c r="AC49" s="635" t="s">
        <v>606</v>
      </c>
      <c r="AD49" s="635" t="s">
        <v>606</v>
      </c>
      <c r="AE49" s="635" t="s">
        <v>606</v>
      </c>
      <c r="AF49" s="635" t="s">
        <v>606</v>
      </c>
      <c r="AG49" s="635" t="s">
        <v>606</v>
      </c>
      <c r="AH49" s="635" t="s">
        <v>606</v>
      </c>
      <c r="AI49" s="635" t="s">
        <v>606</v>
      </c>
      <c r="AJ49" s="636" t="s">
        <v>606</v>
      </c>
      <c r="AL49" s="638"/>
      <c r="AM49" s="639" t="s">
        <v>76</v>
      </c>
      <c r="AN49" s="201">
        <v>64.0</v>
      </c>
      <c r="AO49" s="637">
        <v>4.05900625</v>
      </c>
      <c r="AP49" s="204">
        <v>259.7764</v>
      </c>
    </row>
    <row r="50" ht="12.75" customHeight="1">
      <c r="B50" s="634">
        <f>'Minion Checker'!H53</f>
        <v>0</v>
      </c>
      <c r="C50" s="629" t="str">
        <f>IMAGE("https://i.imgur.com/AwsOlQm.png")</f>
        <v/>
      </c>
      <c r="D50" s="27" t="str">
        <f>'Minion Checker'!D53</f>
        <v/>
      </c>
      <c r="E50" s="34" t="str">
        <f>'Minion Checker'!E53</f>
        <v>Oak</v>
      </c>
      <c r="F50" s="630" t="str">
        <f t="shared" ref="F50:P50" si="54">IF(ARABIC(F$3)&lt;=$B50,"✓","✗")</f>
        <v>✗</v>
      </c>
      <c r="G50" s="630" t="str">
        <f t="shared" si="54"/>
        <v>✗</v>
      </c>
      <c r="H50" s="630" t="str">
        <f t="shared" si="54"/>
        <v>✗</v>
      </c>
      <c r="I50" s="630" t="str">
        <f t="shared" si="54"/>
        <v>✗</v>
      </c>
      <c r="J50" s="630" t="str">
        <f t="shared" si="54"/>
        <v>✗</v>
      </c>
      <c r="K50" s="630" t="str">
        <f t="shared" si="54"/>
        <v>✗</v>
      </c>
      <c r="L50" s="630" t="str">
        <f t="shared" si="54"/>
        <v>✗</v>
      </c>
      <c r="M50" s="630" t="str">
        <f t="shared" si="54"/>
        <v>✗</v>
      </c>
      <c r="N50" s="630" t="str">
        <f t="shared" si="54"/>
        <v>✗</v>
      </c>
      <c r="O50" s="630" t="str">
        <f t="shared" si="54"/>
        <v>✗</v>
      </c>
      <c r="P50" s="631" t="str">
        <f t="shared" si="54"/>
        <v>✗</v>
      </c>
      <c r="Q50" s="80">
        <f t="shared" si="40"/>
        <v>211</v>
      </c>
      <c r="R50" s="580">
        <f t="shared" si="38"/>
        <v>80</v>
      </c>
      <c r="S50" s="632">
        <v>8.844375</v>
      </c>
      <c r="T50" s="580">
        <f t="shared" si="35"/>
        <v>707.55</v>
      </c>
      <c r="V50" s="634">
        <v>0.0</v>
      </c>
      <c r="W50" s="34"/>
      <c r="X50" s="27"/>
      <c r="Y50" s="34" t="s">
        <v>79</v>
      </c>
      <c r="Z50" s="630" t="s">
        <v>606</v>
      </c>
      <c r="AA50" s="630" t="s">
        <v>606</v>
      </c>
      <c r="AB50" s="630" t="s">
        <v>606</v>
      </c>
      <c r="AC50" s="630" t="s">
        <v>606</v>
      </c>
      <c r="AD50" s="630" t="s">
        <v>606</v>
      </c>
      <c r="AE50" s="630" t="s">
        <v>606</v>
      </c>
      <c r="AF50" s="630" t="s">
        <v>606</v>
      </c>
      <c r="AG50" s="630" t="s">
        <v>606</v>
      </c>
      <c r="AH50" s="630" t="s">
        <v>606</v>
      </c>
      <c r="AI50" s="630" t="s">
        <v>606</v>
      </c>
      <c r="AJ50" s="631" t="s">
        <v>606</v>
      </c>
      <c r="AL50" s="629"/>
      <c r="AM50" s="640" t="s">
        <v>74</v>
      </c>
      <c r="AN50" s="188">
        <v>64.0</v>
      </c>
      <c r="AO50" s="633">
        <v>3.8234375</v>
      </c>
      <c r="AP50" s="191">
        <v>244.7</v>
      </c>
    </row>
    <row r="51" ht="12.75" customHeight="1">
      <c r="B51" s="634">
        <f>'Minion Checker'!H54</f>
        <v>0</v>
      </c>
      <c r="C51" s="629" t="str">
        <f>IMAGE("https://i.imgur.com/PYt71TY.png")</f>
        <v/>
      </c>
      <c r="D51" s="27" t="str">
        <f>'Minion Checker'!D54</f>
        <v/>
      </c>
      <c r="E51" s="34" t="str">
        <f>'Minion Checker'!E54</f>
        <v>Spruce</v>
      </c>
      <c r="F51" s="635" t="str">
        <f t="shared" ref="F51:P51" si="55">IF(ARABIC(F$3)&lt;=$B51,"✓","✗")</f>
        <v>✗</v>
      </c>
      <c r="G51" s="635" t="str">
        <f t="shared" si="55"/>
        <v>✗</v>
      </c>
      <c r="H51" s="635" t="str">
        <f t="shared" si="55"/>
        <v>✗</v>
      </c>
      <c r="I51" s="635" t="str">
        <f t="shared" si="55"/>
        <v>✗</v>
      </c>
      <c r="J51" s="635" t="str">
        <f t="shared" si="55"/>
        <v>✗</v>
      </c>
      <c r="K51" s="635" t="str">
        <f t="shared" si="55"/>
        <v>✗</v>
      </c>
      <c r="L51" s="635" t="str">
        <f t="shared" si="55"/>
        <v>✗</v>
      </c>
      <c r="M51" s="635" t="str">
        <f t="shared" si="55"/>
        <v>✗</v>
      </c>
      <c r="N51" s="635" t="str">
        <f t="shared" si="55"/>
        <v>✗</v>
      </c>
      <c r="O51" s="635" t="str">
        <f t="shared" si="55"/>
        <v>✗</v>
      </c>
      <c r="P51" s="636" t="str">
        <f t="shared" si="55"/>
        <v>✗</v>
      </c>
      <c r="Q51" s="80">
        <f t="shared" si="40"/>
        <v>224</v>
      </c>
      <c r="R51" s="580">
        <f t="shared" si="38"/>
        <v>80</v>
      </c>
      <c r="S51" s="632">
        <v>12.985737499999999</v>
      </c>
      <c r="T51" s="580">
        <f t="shared" si="35"/>
        <v>1038.859</v>
      </c>
      <c r="V51" s="634">
        <v>0.0</v>
      </c>
      <c r="W51" s="34"/>
      <c r="X51" s="27"/>
      <c r="Y51" s="34" t="s">
        <v>80</v>
      </c>
      <c r="Z51" s="635" t="s">
        <v>606</v>
      </c>
      <c r="AA51" s="635" t="s">
        <v>606</v>
      </c>
      <c r="AB51" s="635" t="s">
        <v>606</v>
      </c>
      <c r="AC51" s="635" t="s">
        <v>606</v>
      </c>
      <c r="AD51" s="635" t="s">
        <v>606</v>
      </c>
      <c r="AE51" s="635" t="s">
        <v>606</v>
      </c>
      <c r="AF51" s="635" t="s">
        <v>606</v>
      </c>
      <c r="AG51" s="635" t="s">
        <v>606</v>
      </c>
      <c r="AH51" s="635" t="s">
        <v>606</v>
      </c>
      <c r="AI51" s="635" t="s">
        <v>606</v>
      </c>
      <c r="AJ51" s="636" t="s">
        <v>606</v>
      </c>
      <c r="AL51" s="638"/>
      <c r="AM51" s="639" t="s">
        <v>34</v>
      </c>
      <c r="AN51" s="201">
        <v>80.0</v>
      </c>
      <c r="AO51" s="637">
        <v>2.8641125</v>
      </c>
      <c r="AP51" s="204">
        <v>229.12900000000002</v>
      </c>
    </row>
    <row r="52" ht="12.75" customHeight="1">
      <c r="B52" s="634">
        <f>'Minion Checker'!H55</f>
        <v>0</v>
      </c>
      <c r="C52" s="629" t="str">
        <f>IMAGE("https://i.imgur.com/F0P51ZX.png")</f>
        <v/>
      </c>
      <c r="D52" s="27" t="str">
        <f>'Minion Checker'!D55</f>
        <v/>
      </c>
      <c r="E52" s="34" t="str">
        <f>'Minion Checker'!E55</f>
        <v>Birch</v>
      </c>
      <c r="F52" s="630" t="str">
        <f t="shared" ref="F52:P52" si="56">IF(ARABIC(F$3)&lt;=$B52,"✓","✗")</f>
        <v>✗</v>
      </c>
      <c r="G52" s="630" t="str">
        <f t="shared" si="56"/>
        <v>✗</v>
      </c>
      <c r="H52" s="630" t="str">
        <f t="shared" si="56"/>
        <v>✗</v>
      </c>
      <c r="I52" s="630" t="str">
        <f t="shared" si="56"/>
        <v>✗</v>
      </c>
      <c r="J52" s="630" t="str">
        <f t="shared" si="56"/>
        <v>✗</v>
      </c>
      <c r="K52" s="630" t="str">
        <f t="shared" si="56"/>
        <v>✗</v>
      </c>
      <c r="L52" s="630" t="str">
        <f t="shared" si="56"/>
        <v>✗</v>
      </c>
      <c r="M52" s="630" t="str">
        <f t="shared" si="56"/>
        <v>✗</v>
      </c>
      <c r="N52" s="630" t="str">
        <f t="shared" si="56"/>
        <v>✗</v>
      </c>
      <c r="O52" s="630" t="str">
        <f t="shared" si="56"/>
        <v>✗</v>
      </c>
      <c r="P52" s="631" t="str">
        <f t="shared" si="56"/>
        <v>✗</v>
      </c>
      <c r="Q52" s="80">
        <f t="shared" si="40"/>
        <v>237</v>
      </c>
      <c r="R52" s="580">
        <f t="shared" si="38"/>
        <v>80</v>
      </c>
      <c r="S52" s="632">
        <v>7.6425</v>
      </c>
      <c r="T52" s="580">
        <f t="shared" si="35"/>
        <v>611.4</v>
      </c>
      <c r="V52" s="634">
        <v>0.0</v>
      </c>
      <c r="W52" s="34"/>
      <c r="X52" s="27"/>
      <c r="Y52" s="34" t="s">
        <v>81</v>
      </c>
      <c r="Z52" s="630" t="s">
        <v>606</v>
      </c>
      <c r="AA52" s="630" t="s">
        <v>606</v>
      </c>
      <c r="AB52" s="630" t="s">
        <v>606</v>
      </c>
      <c r="AC52" s="630" t="s">
        <v>606</v>
      </c>
      <c r="AD52" s="630" t="s">
        <v>606</v>
      </c>
      <c r="AE52" s="630" t="s">
        <v>606</v>
      </c>
      <c r="AF52" s="630" t="s">
        <v>606</v>
      </c>
      <c r="AG52" s="630" t="s">
        <v>606</v>
      </c>
      <c r="AH52" s="630" t="s">
        <v>606</v>
      </c>
      <c r="AI52" s="630" t="s">
        <v>606</v>
      </c>
      <c r="AJ52" s="631" t="s">
        <v>606</v>
      </c>
      <c r="AL52" s="27"/>
      <c r="AM52" s="34" t="s">
        <v>117</v>
      </c>
      <c r="AN52" s="188">
        <v>80.0</v>
      </c>
      <c r="AO52" s="633">
        <v>1.9921875</v>
      </c>
      <c r="AP52" s="191">
        <v>159.375</v>
      </c>
    </row>
    <row r="53" ht="12.75" customHeight="1">
      <c r="B53" s="634">
        <f>'Minion Checker'!H56</f>
        <v>0</v>
      </c>
      <c r="C53" s="629" t="str">
        <f>IMAGE("https://i.imgur.com/sVpaXDG.png")</f>
        <v/>
      </c>
      <c r="D53" s="27" t="str">
        <f>'Minion Checker'!D56</f>
        <v/>
      </c>
      <c r="E53" s="34" t="str">
        <f>'Minion Checker'!E56</f>
        <v>Dark Oak</v>
      </c>
      <c r="F53" s="635" t="str">
        <f t="shared" ref="F53:P53" si="57">IF(ARABIC(F$3)&lt;=$B53,"✓","✗")</f>
        <v>✗</v>
      </c>
      <c r="G53" s="635" t="str">
        <f t="shared" si="57"/>
        <v>✗</v>
      </c>
      <c r="H53" s="635" t="str">
        <f t="shared" si="57"/>
        <v>✗</v>
      </c>
      <c r="I53" s="635" t="str">
        <f t="shared" si="57"/>
        <v>✗</v>
      </c>
      <c r="J53" s="635" t="str">
        <f t="shared" si="57"/>
        <v>✗</v>
      </c>
      <c r="K53" s="635" t="str">
        <f t="shared" si="57"/>
        <v>✗</v>
      </c>
      <c r="L53" s="635" t="str">
        <f t="shared" si="57"/>
        <v>✗</v>
      </c>
      <c r="M53" s="635" t="str">
        <f t="shared" si="57"/>
        <v>✗</v>
      </c>
      <c r="N53" s="635" t="str">
        <f t="shared" si="57"/>
        <v>✗</v>
      </c>
      <c r="O53" s="635" t="str">
        <f t="shared" si="57"/>
        <v>✗</v>
      </c>
      <c r="P53" s="636" t="str">
        <f t="shared" si="57"/>
        <v>✗</v>
      </c>
      <c r="Q53" s="80">
        <f t="shared" si="40"/>
        <v>250</v>
      </c>
      <c r="R53" s="580">
        <f t="shared" si="38"/>
        <v>80</v>
      </c>
      <c r="S53" s="632">
        <v>8.891256250000001</v>
      </c>
      <c r="T53" s="580">
        <f t="shared" si="35"/>
        <v>711.3005</v>
      </c>
      <c r="V53" s="634">
        <v>0.0</v>
      </c>
      <c r="W53" s="34"/>
      <c r="X53" s="27"/>
      <c r="Y53" s="34" t="s">
        <v>82</v>
      </c>
      <c r="Z53" s="635" t="s">
        <v>606</v>
      </c>
      <c r="AA53" s="635" t="s">
        <v>606</v>
      </c>
      <c r="AB53" s="635" t="s">
        <v>606</v>
      </c>
      <c r="AC53" s="635" t="s">
        <v>606</v>
      </c>
      <c r="AD53" s="635" t="s">
        <v>606</v>
      </c>
      <c r="AE53" s="635" t="s">
        <v>606</v>
      </c>
      <c r="AF53" s="635" t="s">
        <v>606</v>
      </c>
      <c r="AG53" s="635" t="s">
        <v>606</v>
      </c>
      <c r="AH53" s="635" t="s">
        <v>606</v>
      </c>
      <c r="AI53" s="635" t="s">
        <v>606</v>
      </c>
      <c r="AJ53" s="636" t="s">
        <v>606</v>
      </c>
      <c r="AL53" s="638"/>
      <c r="AM53" s="639" t="s">
        <v>78</v>
      </c>
      <c r="AN53" s="201">
        <v>64.0</v>
      </c>
      <c r="AO53" s="637">
        <v>0.5948125</v>
      </c>
      <c r="AP53" s="204">
        <v>38.068</v>
      </c>
    </row>
    <row r="54" ht="12.75" customHeight="1">
      <c r="B54" s="634">
        <f>'Minion Checker'!H57</f>
        <v>0</v>
      </c>
      <c r="C54" s="629" t="str">
        <f>IMAGE("https://i.imgur.com/m22rtiI.png")</f>
        <v/>
      </c>
      <c r="D54" s="27" t="str">
        <f>'Minion Checker'!D57</f>
        <v/>
      </c>
      <c r="E54" s="34" t="str">
        <f>'Minion Checker'!E57</f>
        <v>Acacia</v>
      </c>
      <c r="F54" s="630" t="str">
        <f t="shared" ref="F54:P54" si="58">IF(ARABIC(F$3)&lt;=$B54,"✓","✗")</f>
        <v>✗</v>
      </c>
      <c r="G54" s="630" t="str">
        <f t="shared" si="58"/>
        <v>✗</v>
      </c>
      <c r="H54" s="630" t="str">
        <f t="shared" si="58"/>
        <v>✗</v>
      </c>
      <c r="I54" s="630" t="str">
        <f t="shared" si="58"/>
        <v>✗</v>
      </c>
      <c r="J54" s="630" t="str">
        <f t="shared" si="58"/>
        <v>✗</v>
      </c>
      <c r="K54" s="630" t="str">
        <f t="shared" si="58"/>
        <v>✗</v>
      </c>
      <c r="L54" s="630" t="str">
        <f t="shared" si="58"/>
        <v>✗</v>
      </c>
      <c r="M54" s="630" t="str">
        <f t="shared" si="58"/>
        <v>✗</v>
      </c>
      <c r="N54" s="630" t="str">
        <f t="shared" si="58"/>
        <v>✗</v>
      </c>
      <c r="O54" s="630" t="str">
        <f t="shared" si="58"/>
        <v>✗</v>
      </c>
      <c r="P54" s="631" t="str">
        <f t="shared" si="58"/>
        <v>✗</v>
      </c>
      <c r="Q54" s="80">
        <f t="shared" si="40"/>
        <v>263</v>
      </c>
      <c r="R54" s="580">
        <f t="shared" si="38"/>
        <v>80</v>
      </c>
      <c r="S54" s="632">
        <v>14.527975000000001</v>
      </c>
      <c r="T54" s="580">
        <f t="shared" si="35"/>
        <v>1162.238</v>
      </c>
      <c r="V54" s="634">
        <v>0.0</v>
      </c>
      <c r="W54" s="34"/>
      <c r="X54" s="27"/>
      <c r="Y54" s="34" t="s">
        <v>84</v>
      </c>
      <c r="Z54" s="630" t="s">
        <v>606</v>
      </c>
      <c r="AA54" s="630" t="s">
        <v>606</v>
      </c>
      <c r="AB54" s="630" t="s">
        <v>606</v>
      </c>
      <c r="AC54" s="630" t="s">
        <v>606</v>
      </c>
      <c r="AD54" s="630" t="s">
        <v>606</v>
      </c>
      <c r="AE54" s="630" t="s">
        <v>606</v>
      </c>
      <c r="AF54" s="630" t="s">
        <v>606</v>
      </c>
      <c r="AG54" s="630" t="s">
        <v>606</v>
      </c>
      <c r="AH54" s="630" t="s">
        <v>606</v>
      </c>
      <c r="AI54" s="630" t="s">
        <v>606</v>
      </c>
      <c r="AJ54" s="631" t="s">
        <v>606</v>
      </c>
      <c r="AL54" s="27"/>
      <c r="AM54" s="34" t="s">
        <v>36</v>
      </c>
      <c r="AN54" s="188">
        <v>0.0</v>
      </c>
      <c r="AO54" s="633">
        <v>0.914525</v>
      </c>
      <c r="AP54" s="191">
        <v>0.0</v>
      </c>
    </row>
    <row r="55" ht="12.75" customHeight="1">
      <c r="B55" s="27">
        <f>'Minion Checker'!H58</f>
        <v>0</v>
      </c>
      <c r="C55" s="643" t="str">
        <f>IMAGE("https://i.imgur.com/deCvkVe.png")</f>
        <v/>
      </c>
      <c r="D55" s="27" t="str">
        <f>'Minion Checker'!D58</f>
        <v/>
      </c>
      <c r="E55" s="34" t="str">
        <f>'Minion Checker'!E58</f>
        <v>Jungle</v>
      </c>
      <c r="F55" s="635" t="str">
        <f t="shared" ref="F55:P55" si="59">IF(ARABIC(F$3)&lt;=$B55,"✓","✗")</f>
        <v>✗</v>
      </c>
      <c r="G55" s="635" t="str">
        <f t="shared" si="59"/>
        <v>✗</v>
      </c>
      <c r="H55" s="635" t="str">
        <f t="shared" si="59"/>
        <v>✗</v>
      </c>
      <c r="I55" s="635" t="str">
        <f t="shared" si="59"/>
        <v>✗</v>
      </c>
      <c r="J55" s="635" t="str">
        <f t="shared" si="59"/>
        <v>✗</v>
      </c>
      <c r="K55" s="635" t="str">
        <f t="shared" si="59"/>
        <v>✗</v>
      </c>
      <c r="L55" s="635" t="str">
        <f t="shared" si="59"/>
        <v>✗</v>
      </c>
      <c r="M55" s="635" t="str">
        <f t="shared" si="59"/>
        <v>✗</v>
      </c>
      <c r="N55" s="635" t="str">
        <f t="shared" si="59"/>
        <v>✗</v>
      </c>
      <c r="O55" s="635" t="str">
        <f t="shared" si="59"/>
        <v>✗</v>
      </c>
      <c r="P55" s="636" t="str">
        <f t="shared" si="59"/>
        <v>✗</v>
      </c>
      <c r="Q55" s="80">
        <f t="shared" si="40"/>
        <v>276</v>
      </c>
      <c r="R55" s="580">
        <f t="shared" si="38"/>
        <v>80</v>
      </c>
      <c r="S55" s="632">
        <v>15.3036</v>
      </c>
      <c r="T55" s="580">
        <f t="shared" si="35"/>
        <v>1224.288</v>
      </c>
      <c r="V55" s="634">
        <v>0.0</v>
      </c>
      <c r="W55" s="34"/>
      <c r="X55" s="27"/>
      <c r="Y55" s="34" t="s">
        <v>85</v>
      </c>
      <c r="Z55" s="630" t="s">
        <v>606</v>
      </c>
      <c r="AA55" s="630" t="s">
        <v>606</v>
      </c>
      <c r="AB55" s="630" t="s">
        <v>606</v>
      </c>
      <c r="AC55" s="630" t="s">
        <v>606</v>
      </c>
      <c r="AD55" s="630" t="s">
        <v>606</v>
      </c>
      <c r="AE55" s="630" t="s">
        <v>606</v>
      </c>
      <c r="AF55" s="630" t="s">
        <v>606</v>
      </c>
      <c r="AG55" s="630" t="s">
        <v>606</v>
      </c>
      <c r="AH55" s="630" t="s">
        <v>606</v>
      </c>
      <c r="AI55" s="630" t="s">
        <v>606</v>
      </c>
      <c r="AJ55" s="631" t="s">
        <v>606</v>
      </c>
      <c r="AL55" s="638"/>
      <c r="AM55" s="639" t="s">
        <v>59</v>
      </c>
      <c r="AN55" s="201"/>
      <c r="AO55" s="637"/>
      <c r="AP55" s="204"/>
    </row>
    <row r="56" ht="12.75" customHeight="1">
      <c r="B56" s="87">
        <f>'Minion Checker'!H59</f>
        <v>0</v>
      </c>
      <c r="C56" s="644" t="str">
        <f>IMAGE("https://i.imgur.com/II4jnZb.png")</f>
        <v/>
      </c>
      <c r="D56" s="87" t="str">
        <f>'Minion Checker'!D59</f>
        <v/>
      </c>
      <c r="E56" s="88" t="str">
        <f>'Minion Checker'!E59</f>
        <v>Mithril</v>
      </c>
      <c r="F56" s="645" t="str">
        <f t="shared" ref="F56:P56" si="60">IF(ARABIC(F$3)&lt;=$B56,"✓","✗")</f>
        <v>✗</v>
      </c>
      <c r="G56" s="645" t="str">
        <f t="shared" si="60"/>
        <v>✗</v>
      </c>
      <c r="H56" s="645" t="str">
        <f t="shared" si="60"/>
        <v>✗</v>
      </c>
      <c r="I56" s="645" t="str">
        <f t="shared" si="60"/>
        <v>✗</v>
      </c>
      <c r="J56" s="645" t="str">
        <f t="shared" si="60"/>
        <v>✗</v>
      </c>
      <c r="K56" s="645" t="str">
        <f t="shared" si="60"/>
        <v>✗</v>
      </c>
      <c r="L56" s="645" t="str">
        <f t="shared" si="60"/>
        <v>✗</v>
      </c>
      <c r="M56" s="645" t="str">
        <f t="shared" si="60"/>
        <v>✗</v>
      </c>
      <c r="N56" s="645" t="str">
        <f t="shared" si="60"/>
        <v>✗</v>
      </c>
      <c r="O56" s="645" t="str">
        <f t="shared" si="60"/>
        <v>✗</v>
      </c>
      <c r="P56" s="646" t="str">
        <f t="shared" si="60"/>
        <v>✗</v>
      </c>
      <c r="Q56" s="80"/>
      <c r="R56" s="80"/>
      <c r="S56" s="632">
        <v>8.506393749999999</v>
      </c>
      <c r="T56" s="580"/>
      <c r="V56" s="90">
        <v>0.0</v>
      </c>
      <c r="W56" s="88"/>
      <c r="X56" s="87"/>
      <c r="Y56" s="88" t="s">
        <v>86</v>
      </c>
      <c r="Z56" s="645" t="s">
        <v>606</v>
      </c>
      <c r="AA56" s="645" t="s">
        <v>606</v>
      </c>
      <c r="AB56" s="645" t="s">
        <v>606</v>
      </c>
      <c r="AC56" s="645" t="s">
        <v>606</v>
      </c>
      <c r="AD56" s="645" t="s">
        <v>606</v>
      </c>
      <c r="AE56" s="645" t="s">
        <v>606</v>
      </c>
      <c r="AF56" s="645" t="s">
        <v>606</v>
      </c>
      <c r="AG56" s="645" t="s">
        <v>606</v>
      </c>
      <c r="AH56" s="645" t="s">
        <v>606</v>
      </c>
      <c r="AI56" s="645" t="s">
        <v>606</v>
      </c>
      <c r="AJ56" s="646" t="s">
        <v>606</v>
      </c>
      <c r="AL56" s="27"/>
      <c r="AM56" s="34"/>
      <c r="AN56" s="188"/>
      <c r="AO56" s="633"/>
      <c r="AP56" s="191"/>
    </row>
    <row r="57">
      <c r="B57" s="80"/>
      <c r="Q57" s="80"/>
      <c r="R57" s="80"/>
      <c r="S57" s="80"/>
      <c r="T57" s="80"/>
      <c r="V57" s="174"/>
      <c r="W57" s="3"/>
      <c r="X57" s="3"/>
      <c r="Y57" s="3"/>
      <c r="Z57" s="3"/>
      <c r="AA57" s="3"/>
      <c r="AB57" s="3"/>
      <c r="AC57" s="3"/>
      <c r="AD57" s="3"/>
      <c r="AE57" s="3"/>
      <c r="AF57" s="3"/>
      <c r="AG57" s="3"/>
      <c r="AH57" s="3"/>
      <c r="AI57" s="3"/>
      <c r="AJ57" s="3"/>
      <c r="AL57" s="174"/>
      <c r="AM57" s="3"/>
      <c r="AN57" s="3"/>
      <c r="AO57" s="3"/>
      <c r="AP57" s="3"/>
    </row>
  </sheetData>
  <mergeCells count="22">
    <mergeCell ref="AL1:AP1"/>
    <mergeCell ref="AQ1:AQ57"/>
    <mergeCell ref="AL2:AP2"/>
    <mergeCell ref="AL3:AM3"/>
    <mergeCell ref="AL57:AP57"/>
    <mergeCell ref="F2:P2"/>
    <mergeCell ref="Q2:Q3"/>
    <mergeCell ref="R2:R3"/>
    <mergeCell ref="S2:S3"/>
    <mergeCell ref="Z1:AJ1"/>
    <mergeCell ref="Z2:AJ2"/>
    <mergeCell ref="V1:Y2"/>
    <mergeCell ref="W3:Y3"/>
    <mergeCell ref="B57:P57"/>
    <mergeCell ref="V57:AJ57"/>
    <mergeCell ref="A1:A57"/>
    <mergeCell ref="B1:E2"/>
    <mergeCell ref="F1:P1"/>
    <mergeCell ref="U1:U57"/>
    <mergeCell ref="AK1:AK57"/>
    <mergeCell ref="T2:T3"/>
    <mergeCell ref="C3:E3"/>
  </mergeCells>
  <conditionalFormatting sqref="F4:P57 Z4:AJ57">
    <cfRule type="containsText" dxfId="11" priority="1" operator="containsText" text="✓">
      <formula>NOT(ISERROR(SEARCH(("✓"),(F4))))</formula>
    </cfRule>
  </conditionalFormatting>
  <drawing r:id="rId2"/>
  <legacyDrawing r:id="rId3"/>
</worksheet>
</file>