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t\Documents\Clase\Curso 22-23\TCotO\Otros\"/>
    </mc:Choice>
  </mc:AlternateContent>
  <xr:revisionPtr revIDLastSave="0" documentId="13_ncr:1_{9430E827-7C1F-4FF3-AB8F-FEE12D61C3CC}" xr6:coauthVersionLast="47" xr6:coauthVersionMax="47" xr10:uidLastSave="{00000000-0000-0000-0000-000000000000}"/>
  <bookViews>
    <workbookView xWindow="11520" yWindow="0" windowWidth="11520" windowHeight="12960" xr2:uid="{00000000-000D-0000-FFFF-FFFF00000000}"/>
  </bookViews>
  <sheets>
    <sheet name="OVERHEAD" sheetId="8" r:id="rId1"/>
    <sheet name="ESTIMACION" sheetId="1" r:id="rId2"/>
    <sheet name="PLAN FINANCIERO" sheetId="2" r:id="rId3"/>
    <sheet name="INDICADORES" sheetId="4" r:id="rId4"/>
    <sheet name="CIERRE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8" l="1"/>
  <c r="H13" i="8"/>
  <c r="H10" i="8"/>
  <c r="H12" i="8"/>
  <c r="H9" i="8"/>
  <c r="H8" i="8"/>
  <c r="H7" i="8"/>
  <c r="H11" i="8"/>
  <c r="D12" i="8"/>
  <c r="D11" i="8"/>
  <c r="L11" i="7"/>
  <c r="H23" i="8"/>
  <c r="I65" i="1"/>
  <c r="I64" i="1"/>
  <c r="I63" i="1"/>
  <c r="I62" i="1"/>
  <c r="I61" i="1"/>
  <c r="I60" i="1"/>
  <c r="I58" i="1"/>
  <c r="I59" i="1"/>
  <c r="C72" i="7" l="1"/>
  <c r="C62" i="7"/>
  <c r="C61" i="7"/>
  <c r="C60" i="7"/>
  <c r="C59" i="7"/>
  <c r="C58" i="7"/>
  <c r="C57" i="7"/>
  <c r="C56" i="7"/>
  <c r="F25" i="7"/>
  <c r="K25" i="7" s="1"/>
  <c r="C25" i="7"/>
  <c r="J25" i="7" l="1"/>
  <c r="M25" i="7" s="1"/>
  <c r="A58" i="2"/>
  <c r="A57" i="2"/>
  <c r="A56" i="2"/>
  <c r="A55" i="2"/>
  <c r="A54" i="2"/>
  <c r="O60" i="2"/>
  <c r="O68" i="2" s="1"/>
  <c r="N60" i="2"/>
  <c r="N68" i="2" s="1"/>
  <c r="M60" i="2"/>
  <c r="M68" i="2" s="1"/>
  <c r="L60" i="2"/>
  <c r="L68" i="2" s="1"/>
  <c r="K60" i="2"/>
  <c r="K68" i="2" s="1"/>
  <c r="J60" i="2"/>
  <c r="J68" i="2" s="1"/>
  <c r="I60" i="2"/>
  <c r="I68" i="2" s="1"/>
  <c r="H60" i="2"/>
  <c r="H68" i="2" s="1"/>
  <c r="G60" i="2"/>
  <c r="G68" i="2" s="1"/>
  <c r="F60" i="2"/>
  <c r="F68" i="2" s="1"/>
  <c r="E60" i="2"/>
  <c r="E68" i="2" s="1"/>
  <c r="D60" i="2"/>
  <c r="D68" i="2" s="1"/>
  <c r="Q58" i="2"/>
  <c r="Q57" i="2"/>
  <c r="Q56" i="2"/>
  <c r="Q55" i="2"/>
  <c r="O67" i="2"/>
  <c r="L67" i="2"/>
  <c r="J67" i="2"/>
  <c r="G67" i="2"/>
  <c r="D67" i="2"/>
  <c r="A48" i="2"/>
  <c r="A47" i="2"/>
  <c r="A46" i="2"/>
  <c r="A45" i="2"/>
  <c r="A44" i="2"/>
  <c r="O50" i="2"/>
  <c r="N50" i="2"/>
  <c r="N67" i="2" s="1"/>
  <c r="M50" i="2"/>
  <c r="M67" i="2" s="1"/>
  <c r="L50" i="2"/>
  <c r="K50" i="2"/>
  <c r="K67" i="2" s="1"/>
  <c r="J50" i="2"/>
  <c r="I50" i="2"/>
  <c r="I67" i="2" s="1"/>
  <c r="H50" i="2"/>
  <c r="H67" i="2" s="1"/>
  <c r="G50" i="2"/>
  <c r="F50" i="2"/>
  <c r="F67" i="2" s="1"/>
  <c r="E50" i="2"/>
  <c r="E67" i="2" s="1"/>
  <c r="D50" i="2"/>
  <c r="Q50" i="2" s="1"/>
  <c r="Q48" i="2"/>
  <c r="Q47" i="2"/>
  <c r="Q46" i="2"/>
  <c r="Q45" i="2"/>
  <c r="N66" i="2"/>
  <c r="K66" i="2"/>
  <c r="I66" i="2"/>
  <c r="H66" i="2"/>
  <c r="F66" i="2"/>
  <c r="O40" i="2"/>
  <c r="O66" i="2" s="1"/>
  <c r="N40" i="2"/>
  <c r="M40" i="2"/>
  <c r="M66" i="2" s="1"/>
  <c r="L40" i="2"/>
  <c r="L66" i="2" s="1"/>
  <c r="K40" i="2"/>
  <c r="J40" i="2"/>
  <c r="J66" i="2" s="1"/>
  <c r="I40" i="2"/>
  <c r="H40" i="2"/>
  <c r="G40" i="2"/>
  <c r="G66" i="2" s="1"/>
  <c r="F40" i="2"/>
  <c r="E40" i="2"/>
  <c r="E66" i="2" s="1"/>
  <c r="D40" i="2"/>
  <c r="D66" i="2" s="1"/>
  <c r="A38" i="2"/>
  <c r="A37" i="2"/>
  <c r="A36" i="2"/>
  <c r="A35" i="2"/>
  <c r="A34" i="2"/>
  <c r="Q38" i="2"/>
  <c r="Q37" i="2"/>
  <c r="Q36" i="2"/>
  <c r="Q35" i="2"/>
  <c r="R27" i="2"/>
  <c r="R26" i="2"/>
  <c r="R25" i="2"/>
  <c r="A27" i="2"/>
  <c r="A26" i="2"/>
  <c r="A25" i="2"/>
  <c r="Q27" i="2"/>
  <c r="M75" i="1" l="1"/>
  <c r="N75" i="1" s="1"/>
  <c r="M77" i="1"/>
  <c r="N77" i="1" s="1"/>
  <c r="M76" i="1"/>
  <c r="N76" i="1" s="1"/>
  <c r="R58" i="2" s="1"/>
  <c r="M74" i="1"/>
  <c r="N74" i="1" s="1"/>
  <c r="M73" i="1"/>
  <c r="N73" i="1" s="1"/>
  <c r="L65" i="1"/>
  <c r="N65" i="1" s="1"/>
  <c r="L64" i="1"/>
  <c r="F62" i="7" s="1"/>
  <c r="L63" i="1"/>
  <c r="F61" i="7" s="1"/>
  <c r="L62" i="1"/>
  <c r="F60" i="7" s="1"/>
  <c r="L60" i="1"/>
  <c r="F58" i="7" s="1"/>
  <c r="L59" i="1"/>
  <c r="F57" i="7" s="1"/>
  <c r="L58" i="1"/>
  <c r="F56" i="7" s="1"/>
  <c r="I56" i="7" s="1"/>
  <c r="L61" i="1"/>
  <c r="F59" i="7" s="1"/>
  <c r="G63" i="7"/>
  <c r="N60" i="1"/>
  <c r="G58" i="7" s="1"/>
  <c r="L40" i="1"/>
  <c r="M40" i="1" s="1"/>
  <c r="N40" i="1" s="1"/>
  <c r="L39" i="1"/>
  <c r="M39" i="1" s="1"/>
  <c r="N39" i="1" s="1"/>
  <c r="L38" i="1"/>
  <c r="M38" i="1" s="1"/>
  <c r="N38" i="1" s="1"/>
  <c r="L37" i="1"/>
  <c r="M37" i="1" s="1"/>
  <c r="N37" i="1" s="1"/>
  <c r="L51" i="1"/>
  <c r="M51" i="1" s="1"/>
  <c r="N51" i="1" s="1"/>
  <c r="L50" i="1"/>
  <c r="M50" i="1" s="1"/>
  <c r="N50" i="1" s="1"/>
  <c r="L49" i="1"/>
  <c r="M49" i="1" s="1"/>
  <c r="N49" i="1" s="1"/>
  <c r="L48" i="1"/>
  <c r="M48" i="1" s="1"/>
  <c r="N48" i="1" s="1"/>
  <c r="J29" i="1"/>
  <c r="L29" i="1" s="1"/>
  <c r="M29" i="1" s="1"/>
  <c r="N29" i="1" s="1"/>
  <c r="G28" i="7" s="1"/>
  <c r="J28" i="1"/>
  <c r="L28" i="1" s="1"/>
  <c r="M28" i="1" s="1"/>
  <c r="J27" i="1"/>
  <c r="L27" i="1" s="1"/>
  <c r="M27" i="1" s="1"/>
  <c r="J26" i="1"/>
  <c r="L26" i="1" s="1"/>
  <c r="M26" i="1" s="1"/>
  <c r="J25" i="1"/>
  <c r="L25" i="1" s="1"/>
  <c r="M25" i="1" s="1"/>
  <c r="N25" i="1" s="1"/>
  <c r="G24" i="7" s="1"/>
  <c r="J24" i="1"/>
  <c r="L24" i="1" s="1"/>
  <c r="M24" i="1" s="1"/>
  <c r="J23" i="1"/>
  <c r="L23" i="1" s="1"/>
  <c r="M23" i="1" s="1"/>
  <c r="J22" i="1"/>
  <c r="L22" i="1" s="1"/>
  <c r="M22" i="1" s="1"/>
  <c r="N59" i="1" l="1"/>
  <c r="G57" i="7" s="1"/>
  <c r="F72" i="7"/>
  <c r="R57" i="2"/>
  <c r="F71" i="7"/>
  <c r="R56" i="2"/>
  <c r="F70" i="7"/>
  <c r="R55" i="2"/>
  <c r="R60" i="2" s="1"/>
  <c r="J57" i="7"/>
  <c r="I57" i="7"/>
  <c r="I62" i="7"/>
  <c r="J62" i="7"/>
  <c r="K58" i="7"/>
  <c r="I58" i="7"/>
  <c r="L58" i="7" s="1"/>
  <c r="J58" i="7"/>
  <c r="M58" i="7" s="1"/>
  <c r="L59" i="7"/>
  <c r="M59" i="7"/>
  <c r="K59" i="7"/>
  <c r="I59" i="7"/>
  <c r="J59" i="7"/>
  <c r="J60" i="7"/>
  <c r="M60" i="7"/>
  <c r="K60" i="7"/>
  <c r="I60" i="7"/>
  <c r="L60" i="7" s="1"/>
  <c r="M61" i="7"/>
  <c r="J61" i="7"/>
  <c r="I61" i="7"/>
  <c r="K61" i="7"/>
  <c r="L61" i="7"/>
  <c r="F47" i="7"/>
  <c r="R46" i="2"/>
  <c r="F48" i="7"/>
  <c r="R47" i="2"/>
  <c r="F49" i="7"/>
  <c r="R48" i="2"/>
  <c r="F46" i="7"/>
  <c r="R45" i="2"/>
  <c r="F38" i="7"/>
  <c r="R38" i="2"/>
  <c r="R35" i="2"/>
  <c r="F35" i="7"/>
  <c r="F36" i="7"/>
  <c r="R36" i="2"/>
  <c r="F37" i="7"/>
  <c r="R37" i="2"/>
  <c r="N24" i="1"/>
  <c r="G23" i="7" s="1"/>
  <c r="I23" i="7"/>
  <c r="N28" i="1"/>
  <c r="G27" i="7" s="1"/>
  <c r="I27" i="7"/>
  <c r="N22" i="1"/>
  <c r="G21" i="7" s="1"/>
  <c r="I21" i="7"/>
  <c r="M30" i="2"/>
  <c r="I30" i="2"/>
  <c r="E30" i="2"/>
  <c r="L65" i="2"/>
  <c r="H65" i="2"/>
  <c r="D65" i="2"/>
  <c r="G65" i="2"/>
  <c r="P30" i="2"/>
  <c r="P40" i="2" s="1"/>
  <c r="Q40" i="2" s="1"/>
  <c r="L30" i="2"/>
  <c r="H30" i="2"/>
  <c r="D30" i="2"/>
  <c r="O65" i="2"/>
  <c r="K65" i="2"/>
  <c r="O30" i="2"/>
  <c r="K30" i="2"/>
  <c r="G30" i="2"/>
  <c r="N65" i="2"/>
  <c r="J65" i="2"/>
  <c r="F65" i="2"/>
  <c r="P60" i="2"/>
  <c r="Q60" i="2" s="1"/>
  <c r="N30" i="2"/>
  <c r="J30" i="2"/>
  <c r="F30" i="2"/>
  <c r="M65" i="2"/>
  <c r="I65" i="2"/>
  <c r="E65" i="2"/>
  <c r="N26" i="1"/>
  <c r="G25" i="7" s="1"/>
  <c r="I25" i="7"/>
  <c r="N23" i="1"/>
  <c r="G22" i="7" s="1"/>
  <c r="I22" i="7"/>
  <c r="N27" i="1"/>
  <c r="G26" i="7" s="1"/>
  <c r="I26" i="7"/>
  <c r="N53" i="1"/>
  <c r="R67" i="2" s="1"/>
  <c r="N42" i="1"/>
  <c r="R66" i="2" s="1"/>
  <c r="N79" i="1"/>
  <c r="R68" i="2" s="1"/>
  <c r="N62" i="1"/>
  <c r="G60" i="7" s="1"/>
  <c r="N58" i="1"/>
  <c r="G56" i="7" s="1"/>
  <c r="N61" i="1"/>
  <c r="G59" i="7" s="1"/>
  <c r="F90" i="2"/>
  <c r="H96" i="2"/>
  <c r="H95" i="2"/>
  <c r="R50" i="2" l="1"/>
  <c r="R40" i="2"/>
  <c r="L25" i="7"/>
  <c r="N31" i="1"/>
  <c r="R30" i="2" s="1"/>
  <c r="Q30" i="2"/>
  <c r="K14" i="7"/>
  <c r="K13" i="7"/>
  <c r="H82" i="7" l="1"/>
  <c r="H93" i="7" s="1"/>
  <c r="H75" i="7"/>
  <c r="H92" i="7" s="1"/>
  <c r="F73" i="7"/>
  <c r="C73" i="7"/>
  <c r="C71" i="7"/>
  <c r="C70" i="7"/>
  <c r="H65" i="7"/>
  <c r="F63" i="7"/>
  <c r="C63" i="7"/>
  <c r="H51" i="7"/>
  <c r="H90" i="7" s="1"/>
  <c r="C49" i="7"/>
  <c r="C48" i="7"/>
  <c r="C47" i="7"/>
  <c r="C46" i="7"/>
  <c r="H40" i="7"/>
  <c r="H89" i="7" s="1"/>
  <c r="C38" i="7"/>
  <c r="C37" i="7"/>
  <c r="C36" i="7"/>
  <c r="C35" i="7"/>
  <c r="H30" i="7"/>
  <c r="F28" i="7"/>
  <c r="C28" i="7"/>
  <c r="F27" i="7"/>
  <c r="C27" i="7"/>
  <c r="F26" i="7"/>
  <c r="C26" i="7"/>
  <c r="F24" i="7"/>
  <c r="I24" i="7" s="1"/>
  <c r="C24" i="7"/>
  <c r="F23" i="7"/>
  <c r="C23" i="7"/>
  <c r="F22" i="7"/>
  <c r="C22" i="7"/>
  <c r="F21" i="7"/>
  <c r="C21" i="7"/>
  <c r="K6" i="7"/>
  <c r="C6" i="7"/>
  <c r="K5" i="7"/>
  <c r="C5" i="7"/>
  <c r="I63" i="7" l="1"/>
  <c r="J63" i="7"/>
  <c r="K56" i="7"/>
  <c r="K57" i="7"/>
  <c r="K62" i="7"/>
  <c r="M63" i="7"/>
  <c r="K63" i="7"/>
  <c r="L63" i="7"/>
  <c r="K27" i="7"/>
  <c r="J73" i="7"/>
  <c r="M73" i="7"/>
  <c r="K73" i="7"/>
  <c r="J27" i="7"/>
  <c r="M27" i="7" s="1"/>
  <c r="M28" i="7"/>
  <c r="K28" i="7"/>
  <c r="J49" i="7"/>
  <c r="M49" i="7"/>
  <c r="K49" i="7"/>
  <c r="M62" i="7"/>
  <c r="K26" i="7"/>
  <c r="K24" i="7"/>
  <c r="K23" i="7"/>
  <c r="J56" i="7"/>
  <c r="M56" i="7" s="1"/>
  <c r="J21" i="7"/>
  <c r="M21" i="7" s="1"/>
  <c r="K21" i="7"/>
  <c r="K22" i="7"/>
  <c r="J23" i="7"/>
  <c r="M23" i="7" s="1"/>
  <c r="M57" i="7"/>
  <c r="J26" i="7"/>
  <c r="M26" i="7" s="1"/>
  <c r="F30" i="7"/>
  <c r="J22" i="7"/>
  <c r="M22" i="7" s="1"/>
  <c r="J28" i="7"/>
  <c r="J24" i="7"/>
  <c r="M24" i="7" s="1"/>
  <c r="F65" i="7"/>
  <c r="J65" i="7" l="1"/>
  <c r="M65" i="7" s="1"/>
  <c r="J30" i="7"/>
  <c r="M30" i="7" s="1"/>
  <c r="K30" i="7"/>
  <c r="K65" i="7"/>
  <c r="D10" i="4" l="1"/>
  <c r="M15" i="4"/>
  <c r="M14" i="4"/>
  <c r="K8" i="4"/>
  <c r="D8" i="4"/>
  <c r="K6" i="4"/>
  <c r="C6" i="4"/>
  <c r="K5" i="4"/>
  <c r="C5" i="4"/>
  <c r="Q68" i="2" l="1"/>
  <c r="Q66" i="2"/>
  <c r="R28" i="2"/>
  <c r="R24" i="2"/>
  <c r="R23" i="2"/>
  <c r="R22" i="2"/>
  <c r="Q28" i="2"/>
  <c r="Q26" i="2"/>
  <c r="Q25" i="2"/>
  <c r="Q24" i="2"/>
  <c r="Q23" i="2"/>
  <c r="Q22" i="2"/>
  <c r="R21" i="2"/>
  <c r="Q21" i="2"/>
  <c r="B68" i="2"/>
  <c r="B67" i="2"/>
  <c r="B65" i="2"/>
  <c r="B66" i="2"/>
  <c r="R65" i="2" l="1"/>
  <c r="A28" i="2"/>
  <c r="A24" i="2"/>
  <c r="A23" i="2"/>
  <c r="A22" i="2"/>
  <c r="A21" i="2"/>
  <c r="K8" i="2"/>
  <c r="K6" i="2"/>
  <c r="K5" i="2"/>
  <c r="C5" i="2"/>
  <c r="C6" i="2"/>
  <c r="D8" i="2"/>
  <c r="K48" i="7" l="1"/>
  <c r="M48" i="7"/>
  <c r="J48" i="7"/>
  <c r="K47" i="7"/>
  <c r="J47" i="7"/>
  <c r="M47" i="7" s="1"/>
  <c r="J36" i="7"/>
  <c r="K36" i="7"/>
  <c r="M36" i="7"/>
  <c r="K72" i="7"/>
  <c r="J72" i="7"/>
  <c r="M72" i="7" s="1"/>
  <c r="K37" i="7"/>
  <c r="M37" i="7"/>
  <c r="J37" i="7"/>
  <c r="J38" i="7"/>
  <c r="M38" i="7"/>
  <c r="K38" i="7"/>
  <c r="K71" i="7"/>
  <c r="J71" i="7"/>
  <c r="M71" i="7" s="1"/>
  <c r="K70" i="7"/>
  <c r="J70" i="7"/>
  <c r="M70" i="7" s="1"/>
  <c r="F75" i="7"/>
  <c r="J46" i="7"/>
  <c r="M46" i="7" s="1"/>
  <c r="K46" i="7"/>
  <c r="F51" i="7"/>
  <c r="J35" i="7"/>
  <c r="M35" i="7" s="1"/>
  <c r="K35" i="7"/>
  <c r="F40" i="7"/>
  <c r="C92" i="1"/>
  <c r="C92" i="7" s="1"/>
  <c r="C91" i="1"/>
  <c r="C91" i="7" s="1"/>
  <c r="C90" i="1"/>
  <c r="C90" i="7" s="1"/>
  <c r="C89" i="1"/>
  <c r="C89" i="7" s="1"/>
  <c r="C88" i="1"/>
  <c r="C88" i="7" s="1"/>
  <c r="N64" i="1"/>
  <c r="G62" i="7" s="1"/>
  <c r="N63" i="1"/>
  <c r="G61" i="7" s="1"/>
  <c r="F89" i="7" l="1"/>
  <c r="K89" i="7" s="1"/>
  <c r="F92" i="7"/>
  <c r="K92" i="7" s="1"/>
  <c r="F90" i="7"/>
  <c r="J90" i="7" s="1"/>
  <c r="M90" i="7" s="1"/>
  <c r="N67" i="1"/>
  <c r="K51" i="7"/>
  <c r="K40" i="7"/>
  <c r="K75" i="7"/>
  <c r="J40" i="7"/>
  <c r="M40" i="7" s="1"/>
  <c r="J75" i="7"/>
  <c r="M75" i="7" s="1"/>
  <c r="J51" i="7"/>
  <c r="M51" i="7" s="1"/>
  <c r="Q67" i="2"/>
  <c r="K92" i="1"/>
  <c r="K90" i="1"/>
  <c r="K89" i="1"/>
  <c r="G31" i="1"/>
  <c r="K90" i="7" l="1"/>
  <c r="M92" i="7"/>
  <c r="J92" i="7"/>
  <c r="J89" i="7"/>
  <c r="M89" i="7"/>
  <c r="L62" i="7"/>
  <c r="L57" i="7"/>
  <c r="I28" i="7"/>
  <c r="M92" i="1"/>
  <c r="N92" i="1" s="1"/>
  <c r="I65" i="7"/>
  <c r="H91" i="7" s="1"/>
  <c r="M90" i="1"/>
  <c r="N90" i="1" s="1"/>
  <c r="M89" i="1"/>
  <c r="N89" i="1" s="1"/>
  <c r="K91" i="1"/>
  <c r="M11" i="1"/>
  <c r="K88" i="1" l="1"/>
  <c r="G65" i="7"/>
  <c r="L56" i="7"/>
  <c r="L65" i="7" s="1"/>
  <c r="L27" i="7"/>
  <c r="L28" i="7"/>
  <c r="L26" i="7"/>
  <c r="L24" i="7"/>
  <c r="L23" i="7"/>
  <c r="M91" i="1"/>
  <c r="N91" i="1" s="1"/>
  <c r="I30" i="7"/>
  <c r="H88" i="7" s="1"/>
  <c r="K11" i="7"/>
  <c r="L22" i="7"/>
  <c r="L11" i="2"/>
  <c r="L11" i="4"/>
  <c r="Q65" i="2"/>
  <c r="H94" i="7" l="1"/>
  <c r="L10" i="7"/>
  <c r="F91" i="7"/>
  <c r="M88" i="1"/>
  <c r="M94" i="1" s="1"/>
  <c r="N81" i="1"/>
  <c r="K10" i="7" s="1"/>
  <c r="G30" i="7"/>
  <c r="F88" i="7" s="1"/>
  <c r="L21" i="7"/>
  <c r="L30" i="7" s="1"/>
  <c r="K88" i="7" s="1"/>
  <c r="J91" i="7" l="1"/>
  <c r="M91" i="7" s="1"/>
  <c r="J88" i="7"/>
  <c r="M88" i="7" s="1"/>
  <c r="K91" i="7"/>
  <c r="N88" i="1"/>
  <c r="N94" i="1" s="1"/>
  <c r="F80" i="7" s="1"/>
  <c r="L98" i="1" l="1"/>
  <c r="N98" i="1" s="1"/>
  <c r="R77" i="2"/>
  <c r="R85" i="2"/>
  <c r="M12" i="1"/>
  <c r="K12" i="7" s="1"/>
  <c r="M10" i="1"/>
  <c r="K9" i="7" s="1"/>
  <c r="J80" i="7"/>
  <c r="M80" i="7" s="1"/>
  <c r="D78" i="2"/>
  <c r="N70" i="2"/>
  <c r="N85" i="2" s="1"/>
  <c r="N87" i="2" s="1"/>
  <c r="O70" i="2"/>
  <c r="O85" i="2" s="1"/>
  <c r="O87" i="2" s="1"/>
  <c r="H70" i="2"/>
  <c r="H85" i="2" s="1"/>
  <c r="H87" i="2" s="1"/>
  <c r="K70" i="2"/>
  <c r="J70" i="2"/>
  <c r="J85" i="2" s="1"/>
  <c r="J87" i="2" s="1"/>
  <c r="F70" i="2"/>
  <c r="F85" i="2" s="1"/>
  <c r="F87" i="2" s="1"/>
  <c r="E70" i="2"/>
  <c r="E85" i="2" s="1"/>
  <c r="E87" i="2" s="1"/>
  <c r="L70" i="2"/>
  <c r="L85" i="2" s="1"/>
  <c r="L87" i="2" s="1"/>
  <c r="G70" i="2"/>
  <c r="G85" i="2" s="1"/>
  <c r="G87" i="2" s="1"/>
  <c r="M70" i="2"/>
  <c r="M85" i="2" s="1"/>
  <c r="M87" i="2" s="1"/>
  <c r="I70" i="2"/>
  <c r="I85" i="2" s="1"/>
  <c r="I87" i="2" s="1"/>
  <c r="P70" i="2"/>
  <c r="P85" i="2" s="1"/>
  <c r="P87" i="2" s="1"/>
  <c r="R70" i="2"/>
  <c r="K94" i="7" l="1"/>
  <c r="L10" i="4"/>
  <c r="L10" i="2"/>
  <c r="L9" i="7"/>
  <c r="L12" i="7" s="1"/>
  <c r="F82" i="7"/>
  <c r="K80" i="7"/>
  <c r="K82" i="7" s="1"/>
  <c r="K93" i="7" s="1"/>
  <c r="K85" i="2"/>
  <c r="K87" i="2" s="1"/>
  <c r="L12" i="4"/>
  <c r="L12" i="2"/>
  <c r="E78" i="2"/>
  <c r="F78" i="2" s="1"/>
  <c r="G78" i="2" s="1"/>
  <c r="H78" i="2" s="1"/>
  <c r="I78" i="2" s="1"/>
  <c r="J78" i="2" s="1"/>
  <c r="P88" i="2"/>
  <c r="Q70" i="2"/>
  <c r="D70" i="2"/>
  <c r="J82" i="7" l="1"/>
  <c r="M82" i="7" s="1"/>
  <c r="M93" i="7" s="1"/>
  <c r="F93" i="7"/>
  <c r="Q77" i="2"/>
  <c r="K78" i="2"/>
  <c r="L78" i="2" s="1"/>
  <c r="M78" i="2" s="1"/>
  <c r="N78" i="2" s="1"/>
  <c r="O78" i="2" s="1"/>
  <c r="P78" i="2" s="1"/>
  <c r="D85" i="2"/>
  <c r="D87" i="2" s="1"/>
  <c r="D71" i="2"/>
  <c r="F94" i="7" l="1"/>
  <c r="J94" i="7" s="1"/>
  <c r="M94" i="7" s="1"/>
  <c r="J93" i="7"/>
  <c r="D88" i="2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Q85" i="2"/>
  <c r="D86" i="2"/>
  <c r="E86" i="2" s="1"/>
  <c r="F86" i="2" s="1"/>
  <c r="G86" i="2" s="1"/>
  <c r="H86" i="2" s="1"/>
  <c r="I86" i="2" s="1"/>
  <c r="J86" i="2" s="1"/>
  <c r="K86" i="2" s="1"/>
  <c r="L86" i="2" s="1"/>
  <c r="M86" i="2" s="1"/>
  <c r="N86" i="2" s="1"/>
  <c r="O86" i="2" s="1"/>
  <c r="P86" i="2" s="1"/>
  <c r="E71" i="2"/>
  <c r="F71" i="2" l="1"/>
  <c r="G71" i="2" l="1"/>
  <c r="H71" i="2" l="1"/>
  <c r="I71" i="2" l="1"/>
  <c r="J71" i="2" l="1"/>
  <c r="K71" i="2" l="1"/>
  <c r="L71" i="2" l="1"/>
  <c r="M71" i="2" l="1"/>
  <c r="N71" i="2" l="1"/>
  <c r="O71" i="2" l="1"/>
  <c r="P71" i="2" l="1"/>
  <c r="D23" i="8"/>
  <c r="H3" i="8" s="1"/>
  <c r="N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tc={13C46FA2-1BC5-4296-9977-49A9078B1DF1}</author>
    <author>tc={9224C858-38F1-407D-A1DE-862CBE3B4BBA}</author>
    <author>tc={0DFA480A-514D-4EFD-8671-7B1F59136D2D}</author>
    <author>tc={578A37D9-9AC2-4AB6-AC7E-2C8E2E4097E5}</author>
  </authors>
  <commentList>
    <comment ref="H7" authorId="0" shapeId="0" xr:uid="{13C46FA2-1BC5-4296-9977-49A9078B1DF1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1400 al mes
</t>
      </text>
    </comment>
    <comment ref="D11" authorId="1" shapeId="0" xr:uid="{9224C858-38F1-407D-A1DE-862CBE3B4BBA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23%
</t>
      </text>
    </comment>
    <comment ref="D12" authorId="2" shapeId="0" xr:uid="{0DFA480A-514D-4EFD-8671-7B1F59136D2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1800*4</t>
      </text>
    </comment>
    <comment ref="D13" authorId="3" shapeId="0" xr:uid="{578A37D9-9AC2-4AB6-AC7E-2C8E2E4097E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ttps://www.bing.com/aclick?ld=e822HYJpFHM5_yu-RMKPx5YDVUCUyqLy50vCaQ3KiCxOilWKfVUYQkOH5i_dUkVy6QMVwf2Z8m-Ez5Qs61Tsejje5Zo79fKN68lq94bkQ8xwZxuw1oaCMvHHlzPpUFZkJZtxZIIChjIq4qoCqV6AgO4nbmAAUSccYR11fFXSUGs9CwfzFyoQLe-xEoX4urGHEqXvEhzQ&amp;u=aHR0cHMlM2ElMmYlMmZ3d3cubWVkaWFtYXJrdC5lcyUyZmVzJTJmcHJvZHVjdCUyZl90YWJsZXRhLWdyJTI1QzMlMjVBMWZpY2Etd2Fjb20tY2ludGlxLTE2LTE1LTYtbCUyNUMzJTI1QTFwaXotcHJvLXBlbi0yLWNyaXN0YWwtcHVsaWRvLXBhcmEtbWFjLW8tcGMtMTQ0NzM3NC5odG1sJTNmdXRtX3NvdXJjZSUzZGJpbmclMjZ1dG1fbWVkaXVtJTNkY3BjJTI2Z2NsaWQlM2RkYTRjODMyZjAxZWExNzk4NTM2ZGU3OTgwYjFhOTQyYyUyNmdjbGlkJTNkZGE0YzgzMmYwMWVhMTc5ODUzNmRlNzk4MGIxYTk0MmMlMjZnY2xzcmMlM2QzcC5kcyUyNiUyNiUyNiUyNiUyNmdjbGlkJTNkZGE0YzgzMmYwMWVhMTc5ODUzNmRlNzk4MGIxYTk0MmMlMjZnY2xzcmMlM2QzcC5kcyUyNmRzX3JsJTNkMTI4MDkwMiUyNm1zY2xraWQlM2RkYTRjODMyZjAxZWExNzk4NTM2ZGU3OTgwYjFhOTQyYyUyNnV0bV9zb3VyY2UlM2RiaW5nJTI2dXRtX21lZGl1bSUzZGNwYyUyNnV0bV9jYW1wYWlnbiUzZHJ0X3Nob3BwaW5nX2dlbmVyaWNfbnNwX25hX01NLUVTLVMtQi1DQVQtUExBLVBMQS1TRUNPTkRBUlkuQ0FURUdPUklFUy1BTEwtQUxMJTI2dXRtX3Rlcm0lM2Q0NTc2NjQ4NDUxNTI2NzcwJTI2dXRtX2NvbnRlbnQlM2RTZWNvbmRhcnklMjUyMGNhdGVnb3JpZXM&amp;rlid=da4c832f01ea1798536de7980b1a942c&amp;ntb=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juanjo</author>
  </authors>
  <commentList>
    <comment ref="H21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Precio directo del coste hora.
</t>
        </r>
      </text>
    </comment>
    <comment ref="C44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Hace referencia a equipo que se compra para el cliente y que se tiene que entregar al finalizar el proyecto
</t>
        </r>
      </text>
    </comment>
    <comment ref="C55" authorId="0" shapeId="0" xr:uid="{00000000-0006-0000-0100-000003000000}">
      <text>
        <r>
          <rPr>
            <sz val="9"/>
            <color indexed="81"/>
            <rFont val="Tahoma"/>
            <family val="2"/>
          </rPr>
          <t>Hace referencia a la amortización del equipo propio que se dispone y que se utiliza para la realización del proyecto.</t>
        </r>
      </text>
    </comment>
    <comment ref="F57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Fecha compra del HW o SW a amortizar
</t>
        </r>
      </text>
    </comment>
    <comment ref="G57" authorId="0" shapeId="0" xr:uid="{00000000-0006-0000-0100-000005000000}">
      <text>
        <r>
          <rPr>
            <sz val="9"/>
            <color indexed="81"/>
            <rFont val="Tahoma"/>
            <family val="2"/>
          </rPr>
          <t>Fecha de fin de la amortización (1er día fuera de la amortización).
Depende del tipo de elemento, normalmente PCs = 3 años, Servidores = 5 Años, SW = 4 años y Dispositivos móviles = 2 años.</t>
        </r>
      </text>
    </comment>
    <comment ref="J57" authorId="0" shapeId="0" xr:uid="{00000000-0006-0000-0100-000006000000}">
      <text>
        <r>
          <rPr>
            <sz val="9"/>
            <color indexed="81"/>
            <rFont val="Tahoma"/>
            <family val="2"/>
          </rPr>
          <t xml:space="preserve">Fecha en la que comienza a utilizarse el elemento. 
</t>
        </r>
      </text>
    </comment>
    <comment ref="K57" authorId="0" shapeId="0" xr:uid="{00000000-0006-0000-0100-000007000000}">
      <text>
        <r>
          <rPr>
            <sz val="9"/>
            <color indexed="81"/>
            <rFont val="Tahoma"/>
            <family val="2"/>
          </rPr>
          <t xml:space="preserve">Fecha de fin de uso (1er día fuera del uso).
</t>
        </r>
      </text>
    </comment>
    <comment ref="L57" authorId="0" shapeId="0" xr:uid="{00000000-0006-0000-0100-000008000000}">
      <text>
        <r>
          <rPr>
            <sz val="9"/>
            <color indexed="81"/>
            <rFont val="Tahoma"/>
            <family val="2"/>
          </rPr>
          <t xml:space="preserve">Numero de días que se va a usar el elemento en el proyecto.
</t>
        </r>
      </text>
    </comment>
    <comment ref="M57" authorId="0" shapeId="0" xr:uid="{00000000-0006-0000-0100-000009000000}">
      <text>
        <r>
          <rPr>
            <sz val="9"/>
            <color indexed="81"/>
            <rFont val="Tahoma"/>
            <family val="2"/>
          </rPr>
          <t>Indica, cuando se usa, el % de uso diario, es decir, si se utiliza en en exclusiva en el proyecto.</t>
        </r>
      </text>
    </comment>
  </commentList>
</comments>
</file>

<file path=xl/sharedStrings.xml><?xml version="1.0" encoding="utf-8"?>
<sst xmlns="http://schemas.openxmlformats.org/spreadsheetml/2006/main" count="416" uniqueCount="169">
  <si>
    <t>HOJA DE ESTIMACIÓN ECONÓMICA DE PROYECTO</t>
  </si>
  <si>
    <t>TITULO:</t>
  </si>
  <si>
    <t>CLIENTE:</t>
  </si>
  <si>
    <t>FECHA INICIO:</t>
  </si>
  <si>
    <t>DATOS DEL PROYECTO</t>
  </si>
  <si>
    <t>REFERENCIA:</t>
  </si>
  <si>
    <t>RESPONSABLE:</t>
  </si>
  <si>
    <t>FECHA FIN:</t>
  </si>
  <si>
    <t>PRECIO VENTA (SIN IVA):</t>
  </si>
  <si>
    <t>ESFUERZO:</t>
  </si>
  <si>
    <t>MARGEN BENEFICIOS:</t>
  </si>
  <si>
    <t>Euros</t>
  </si>
  <si>
    <t>Horas</t>
  </si>
  <si>
    <t>%</t>
  </si>
  <si>
    <t>1. ESTIMACIÓN DE COSTES Y GASTOS</t>
  </si>
  <si>
    <t>PORCENTAJE DE COSTES INDIRECTOS (OVERHEAD)</t>
  </si>
  <si>
    <t>PERSONAL</t>
  </si>
  <si>
    <t>HORAS TR.</t>
  </si>
  <si>
    <t>COSTE</t>
  </si>
  <si>
    <t>[Insertar más líneas aquí]</t>
  </si>
  <si>
    <t>SUBTOTAL</t>
  </si>
  <si>
    <t>EMPRESA</t>
  </si>
  <si>
    <t>COSTE/U</t>
  </si>
  <si>
    <t>UNIDADES</t>
  </si>
  <si>
    <t>DESCRIPCIÓN</t>
  </si>
  <si>
    <t>EQUIPO</t>
  </si>
  <si>
    <t>DESCRIPCIÓN (opcional)</t>
  </si>
  <si>
    <t>F. COMPRA</t>
  </si>
  <si>
    <t>FIN AMOR</t>
  </si>
  <si>
    <t>DIAS USO</t>
  </si>
  <si>
    <t>PRECIO/UD</t>
  </si>
  <si>
    <t>COST Ud/D</t>
  </si>
  <si>
    <t>DESCRIPCIÓN DEL GASTO</t>
  </si>
  <si>
    <t>2. PRECIO DE VENTA</t>
  </si>
  <si>
    <t>CONCEPTO</t>
  </si>
  <si>
    <t>1.A</t>
  </si>
  <si>
    <t>SUBCONTRATACIONES</t>
  </si>
  <si>
    <t>1.B</t>
  </si>
  <si>
    <t xml:space="preserve">1.C </t>
  </si>
  <si>
    <t>EQUIPAMIENTO</t>
  </si>
  <si>
    <t>1.D</t>
  </si>
  <si>
    <t>OTROS GASTOS</t>
  </si>
  <si>
    <t>1.E</t>
  </si>
  <si>
    <t>2.A</t>
  </si>
  <si>
    <t>2.B</t>
  </si>
  <si>
    <t>PRECIO DE VENTA</t>
  </si>
  <si>
    <t>TOTAL</t>
  </si>
  <si>
    <t>FECHA INFORME :</t>
  </si>
  <si>
    <t>PLAN FINANCIERO DEL PROYECTO</t>
  </si>
  <si>
    <t>TIPO INTERES ANUAL :</t>
  </si>
  <si>
    <t>COSTE DE OPORTUNIDAD ANUAL :</t>
  </si>
  <si>
    <t>1. PROYECCION TEMPORAL DE COSTES Y GASTOS :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</si>
  <si>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</si>
  <si>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</si>
  <si>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</si>
  <si>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</si>
  <si>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</si>
  <si>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</si>
  <si>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</si>
  <si>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</si>
  <si>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</si>
  <si>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</si>
  <si>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</si>
  <si>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</si>
  <si>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&lt;INSER&gt;</t>
  </si>
  <si>
    <t>TOTAL PREVISTO</t>
  </si>
  <si>
    <t>PLAN_F</t>
  </si>
  <si>
    <t>DISTRIBUCION HORAS DE TRABAJO</t>
  </si>
  <si>
    <t>PREVISION DE GASTOS, COSTES E INGRESOS</t>
  </si>
  <si>
    <t>AMORTIZACION HW/SW</t>
  </si>
  <si>
    <t>ESTIMADO</t>
  </si>
  <si>
    <t>COSTE FINAL</t>
  </si>
  <si>
    <t>TOTAL COSTES</t>
  </si>
  <si>
    <t>INGRESOS</t>
  </si>
  <si>
    <t>MARGEN ACUMULADO</t>
  </si>
  <si>
    <t>VAN</t>
  </si>
  <si>
    <t>VAN ACUMULADO</t>
  </si>
  <si>
    <t>MESES</t>
  </si>
  <si>
    <t>INDICADORES ECONÓMICOS Y FINANCIEROS DEL PROYECTO</t>
  </si>
  <si>
    <t>DURACIÓN (MESES):</t>
  </si>
  <si>
    <t>2. PREVISIÓN DE LA EVOLUCIÓN DE LOS DATOS ECONÓMICO-FINANCIEROS</t>
  </si>
  <si>
    <t>COSTE ACUMULADO</t>
  </si>
  <si>
    <t>INGRESOS ACUMULADO</t>
  </si>
  <si>
    <t>ESTIMACION</t>
  </si>
  <si>
    <t>REALIZADO</t>
  </si>
  <si>
    <t>ELEMENTO HW/SW</t>
  </si>
  <si>
    <t>DIAS</t>
  </si>
  <si>
    <t xml:space="preserve">CONTINGENCIA </t>
  </si>
  <si>
    <t>FACTURACIÓN</t>
  </si>
  <si>
    <t>VENTA</t>
  </si>
  <si>
    <t>3.A</t>
  </si>
  <si>
    <t>CONSUMO Y REMANENTE DE RECURSOS SEGÚN TIPO</t>
  </si>
  <si>
    <t>TOTAL FINAL</t>
  </si>
  <si>
    <t>DESVIACIÓN</t>
  </si>
  <si>
    <t>HOJA DE CIERRE ECONÓMICO DEL PROYECTO</t>
  </si>
  <si>
    <t>PREVISTO</t>
  </si>
  <si>
    <t>REAL</t>
  </si>
  <si>
    <t>COSTE:</t>
  </si>
  <si>
    <t>mes/año</t>
  </si>
  <si>
    <t>PRECIO</t>
  </si>
  <si>
    <t>3. INDICADORES ECONOMICOS, FINANCIEROS Y DE OCUPACION</t>
  </si>
  <si>
    <t>BENEFICIO CONTABLE</t>
  </si>
  <si>
    <t>Conversión de la tasa anual a tasa mensual:</t>
  </si>
  <si>
    <t>IPV=(1+%)Elevado(30/360) - 1</t>
  </si>
  <si>
    <t>Tasa anual</t>
  </si>
  <si>
    <t>Tasa mensual</t>
  </si>
  <si>
    <t>TASA MENSUAL COSTE OPORTUNIDAD</t>
  </si>
  <si>
    <t>GASTOS DIRECTOS</t>
  </si>
  <si>
    <t>IMPORTE ANUAL</t>
  </si>
  <si>
    <t>GASTOS INDIRECTOS</t>
  </si>
  <si>
    <t>HOJA DE ESTIMACIÓN DEL OVERHEAD DE LA EMPRESA</t>
  </si>
  <si>
    <t>Coste Bruto / Hora</t>
  </si>
  <si>
    <t>COTIZACIÓN SEGURIDAD SOCIAL</t>
  </si>
  <si>
    <t>Coste SS / Hora</t>
  </si>
  <si>
    <t>Contingen./H</t>
  </si>
  <si>
    <t>Total / Hora</t>
  </si>
  <si>
    <t>TOTAL/U</t>
  </si>
  <si>
    <t>HORAS TOTALES</t>
  </si>
  <si>
    <t>SUBTOTAL PERSONAL</t>
  </si>
  <si>
    <t>SUBTOTAL EQUIPAMIENTO</t>
  </si>
  <si>
    <t>SUBTOTAL AMORTIZACIÓN</t>
  </si>
  <si>
    <t>SUBTOTAL SUBCONTRATACIÓN</t>
  </si>
  <si>
    <t>PORCENTAJE  CONTINGENCIAS PARA EQUIPAMIENTO</t>
  </si>
  <si>
    <t>PORCENTAJE CONTINGENCIAS PARA PERSONAL</t>
  </si>
  <si>
    <t>PORCENTAJE CONTINGENCIAS PARA SUBCONTRATACION</t>
  </si>
  <si>
    <t>CONTING.</t>
  </si>
  <si>
    <t>REFERENCIA</t>
  </si>
  <si>
    <t>TIPO</t>
  </si>
  <si>
    <t>[Insertar]</t>
  </si>
  <si>
    <t>F. INI USO</t>
  </si>
  <si>
    <t>% USO</t>
  </si>
  <si>
    <t>PORCENTAJE DE CONTINGENCIAS OTROS GASTOS</t>
  </si>
  <si>
    <t>COSTE / Ud.</t>
  </si>
  <si>
    <t>MARGEN DE BENEFICIOS POR CONCEPTOS</t>
  </si>
  <si>
    <t>BENEFICIO</t>
  </si>
  <si>
    <t>GASTOS</t>
  </si>
  <si>
    <t>ESFUERZO (TRABAJO):</t>
  </si>
  <si>
    <t>% MARGEN</t>
  </si>
  <si>
    <t>IVA</t>
  </si>
  <si>
    <t>PRECIO DE VENTA (IVA incluido)</t>
  </si>
  <si>
    <t>PORCENTAJE MARGEN PROYECTO  Y PRECIO FINAL (IVA no incluido)</t>
  </si>
  <si>
    <t>COSTE PERSONAL</t>
  </si>
  <si>
    <t>COSTE SUBCONTRATACION</t>
  </si>
  <si>
    <t>COSTE EQUIPAMIENTO</t>
  </si>
  <si>
    <t>2. INGRESOS</t>
  </si>
  <si>
    <t>RESUMEN DE PREVISION DE GASTOS, COSTES</t>
  </si>
  <si>
    <t>3. RESULTADOS</t>
  </si>
  <si>
    <t xml:space="preserve"> 1. PREVISIÓN DE CARGA DE TRABAJO (Histograma de recursos)</t>
  </si>
  <si>
    <t>2</t>
  </si>
  <si>
    <t>2. BALANCE FINAL DEL PROYECTO</t>
  </si>
  <si>
    <t>BENEFICIOS</t>
  </si>
  <si>
    <t>F. FIN USO</t>
  </si>
  <si>
    <t>NIVEL DE EXPERIENCIA
(ALTA / MEDIA / BAJA)</t>
  </si>
  <si>
    <t>Programadores</t>
  </si>
  <si>
    <t>Artista</t>
  </si>
  <si>
    <t>Jefe de proyecto</t>
  </si>
  <si>
    <t>Compositor</t>
  </si>
  <si>
    <t>Seguridad Social</t>
  </si>
  <si>
    <t>Ordenadores</t>
  </si>
  <si>
    <t>Digitalizador</t>
  </si>
  <si>
    <t>HW</t>
  </si>
  <si>
    <t>Alquiler de oficina</t>
  </si>
  <si>
    <t>Electricidad</t>
  </si>
  <si>
    <t>Agua</t>
  </si>
  <si>
    <t>Internet</t>
  </si>
  <si>
    <t>Mantenimiento</t>
  </si>
  <si>
    <t>Cuota de autónomo</t>
  </si>
  <si>
    <t>Sistema de seguridad</t>
  </si>
  <si>
    <t>Gestoría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</si>
</sst>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.00\ [$€-C0A]_-;\-* #,##0.00\ [$€-C0A]_-;_-* &quot;-&quot;??\ [$€-C0A]_-;_-@_-"/>
    <numFmt numFmtId="166" formatCode="#,##0_ ;\-#,##0\ "/>
    <numFmt numFmtId="167" formatCode="#,##0.00_ ;\-#,##0.00\ "/>
    <numFmt numFmtId="168" formatCode="0.0%"/>
    <numFmt numFmtId="169" formatCode="#,##0.00_ ;[Red]\-#,##0.00\ "/>
    <numFmt numFmtId="170" formatCode="_-* #,##0\ _p_t_a_-;\-* #,##0\ _p_t_a_-;_-* &quot;-&quot;\ _p_t_a_-;_-@_-"/>
    <numFmt numFmtId="171" formatCode="[$-C0A]mmm\-yy;@"/>
    <numFmt numFmtId="172" formatCode="[$-C0A]d\-mmm;@"/>
    <numFmt numFmtId="173" formatCode="0.000%"/>
    <numFmt numFmtId="174" formatCode="_-* #,##0\ &quot;€&quot;_-;\-* #,##0\ &quot;€&quot;_-;_-* &quot;-&quot;??\ &quot;€&quot;_-;_-@_-"/>
    <numFmt numFmtId="175" formatCode="#,##0.00\ [$€-C0A];[Red]\-#,##0.00\ [$€-C0A]"/>
    <numFmt numFmtId="176" formatCode="#,##0_ ;[Red]\-#,##0\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170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403">
    <xf numFmtId="0" fontId="0" fillId="0" borderId="0" xfId="0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3" borderId="0" xfId="0" applyFill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0" xfId="0" applyFill="1" applyBorder="1"/>
    <xf numFmtId="0" fontId="0" fillId="4" borderId="12" xfId="0" applyFill="1" applyBorder="1"/>
    <xf numFmtId="166" fontId="0" fillId="4" borderId="13" xfId="0" applyNumberFormat="1" applyFill="1" applyBorder="1" applyAlignment="1">
      <alignment horizontal="center"/>
    </xf>
    <xf numFmtId="165" fontId="0" fillId="4" borderId="14" xfId="0" applyNumberFormat="1" applyFill="1" applyBorder="1"/>
    <xf numFmtId="14" fontId="0" fillId="4" borderId="13" xfId="0" applyNumberFormat="1" applyFill="1" applyBorder="1" applyAlignment="1">
      <alignment horizontal="center"/>
    </xf>
    <xf numFmtId="14" fontId="0" fillId="4" borderId="14" xfId="0" applyNumberFormat="1" applyFill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2" fillId="0" borderId="0" xfId="0" applyFont="1"/>
    <xf numFmtId="2" fontId="0" fillId="3" borderId="0" xfId="1" applyNumberFormat="1" applyFont="1" applyFill="1"/>
    <xf numFmtId="0" fontId="2" fillId="3" borderId="2" xfId="0" applyFont="1" applyFill="1" applyBorder="1"/>
    <xf numFmtId="0" fontId="2" fillId="3" borderId="3" xfId="0" applyFont="1" applyFill="1" applyBorder="1"/>
    <xf numFmtId="167" fontId="0" fillId="3" borderId="0" xfId="0" applyNumberFormat="1" applyFill="1"/>
    <xf numFmtId="0" fontId="2" fillId="3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3" borderId="15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4" fontId="8" fillId="0" borderId="26" xfId="0" applyNumberFormat="1" applyFont="1" applyBorder="1"/>
    <xf numFmtId="4" fontId="8" fillId="0" borderId="32" xfId="0" applyNumberFormat="1" applyFont="1" applyBorder="1"/>
    <xf numFmtId="165" fontId="0" fillId="0" borderId="6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15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165" fontId="6" fillId="2" borderId="2" xfId="0" applyNumberFormat="1" applyFont="1" applyFill="1" applyBorder="1"/>
    <xf numFmtId="44" fontId="0" fillId="4" borderId="15" xfId="3" applyFont="1" applyFill="1" applyBorder="1" applyAlignment="1"/>
    <xf numFmtId="44" fontId="0" fillId="4" borderId="13" xfId="3" applyFont="1" applyFill="1" applyBorder="1" applyAlignment="1"/>
    <xf numFmtId="44" fontId="0" fillId="4" borderId="14" xfId="3" applyFont="1" applyFill="1" applyBorder="1" applyAlignment="1"/>
    <xf numFmtId="165" fontId="6" fillId="2" borderId="19" xfId="0" applyNumberFormat="1" applyFont="1" applyFill="1" applyBorder="1"/>
    <xf numFmtId="4" fontId="0" fillId="0" borderId="1" xfId="0" applyNumberFormat="1" applyBorder="1"/>
    <xf numFmtId="4" fontId="8" fillId="0" borderId="29" xfId="0" applyNumberFormat="1" applyFont="1" applyBorder="1"/>
    <xf numFmtId="4" fontId="0" fillId="3" borderId="1" xfId="0" applyNumberFormat="1" applyFill="1" applyBorder="1"/>
    <xf numFmtId="4" fontId="2" fillId="5" borderId="31" xfId="0" applyNumberFormat="1" applyFont="1" applyFill="1" applyBorder="1" applyAlignment="1">
      <alignment horizontal="right"/>
    </xf>
    <xf numFmtId="4" fontId="2" fillId="5" borderId="21" xfId="0" applyNumberFormat="1" applyFont="1" applyFill="1" applyBorder="1" applyAlignment="1">
      <alignment horizontal="right"/>
    </xf>
    <xf numFmtId="4" fontId="0" fillId="4" borderId="1" xfId="0" applyNumberFormat="1" applyFill="1" applyBorder="1"/>
    <xf numFmtId="4" fontId="0" fillId="0" borderId="0" xfId="0" applyNumberFormat="1"/>
    <xf numFmtId="0" fontId="2" fillId="5" borderId="35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169" fontId="0" fillId="0" borderId="7" xfId="0" applyNumberFormat="1" applyBorder="1"/>
    <xf numFmtId="169" fontId="2" fillId="0" borderId="11" xfId="0" applyNumberFormat="1" applyFont="1" applyBorder="1"/>
    <xf numFmtId="169" fontId="2" fillId="0" borderId="12" xfId="0" applyNumberFormat="1" applyFont="1" applyBorder="1"/>
    <xf numFmtId="169" fontId="0" fillId="0" borderId="6" xfId="0" applyNumberFormat="1" applyBorder="1"/>
    <xf numFmtId="169" fontId="2" fillId="0" borderId="10" xfId="0" applyNumberFormat="1" applyFont="1" applyBorder="1"/>
    <xf numFmtId="169" fontId="0" fillId="0" borderId="15" xfId="0" applyNumberFormat="1" applyBorder="1"/>
    <xf numFmtId="169" fontId="2" fillId="0" borderId="14" xfId="0" applyNumberFormat="1" applyFont="1" applyBorder="1"/>
    <xf numFmtId="0" fontId="2" fillId="3" borderId="7" xfId="0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165" fontId="0" fillId="0" borderId="42" xfId="0" applyNumberFormat="1" applyBorder="1"/>
    <xf numFmtId="0" fontId="2" fillId="3" borderId="46" xfId="0" applyFont="1" applyFill="1" applyBorder="1" applyAlignment="1">
      <alignment horizontal="center"/>
    </xf>
    <xf numFmtId="10" fontId="0" fillId="0" borderId="38" xfId="1" applyNumberFormat="1" applyFont="1" applyBorder="1" applyAlignment="1">
      <alignment horizontal="center"/>
    </xf>
    <xf numFmtId="166" fontId="0" fillId="4" borderId="36" xfId="0" applyNumberFormat="1" applyFill="1" applyBorder="1" applyAlignment="1">
      <alignment horizontal="center"/>
    </xf>
    <xf numFmtId="166" fontId="0" fillId="4" borderId="39" xfId="0" applyNumberFormat="1" applyFill="1" applyBorder="1" applyAlignment="1">
      <alignment horizontal="center"/>
    </xf>
    <xf numFmtId="10" fontId="0" fillId="0" borderId="40" xfId="1" applyNumberFormat="1" applyFont="1" applyBorder="1" applyAlignment="1">
      <alignment horizontal="center"/>
    </xf>
    <xf numFmtId="0" fontId="2" fillId="3" borderId="47" xfId="0" applyFont="1" applyFill="1" applyBorder="1" applyAlignment="1">
      <alignment horizontal="center"/>
    </xf>
    <xf numFmtId="0" fontId="2" fillId="3" borderId="48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66" fontId="0" fillId="0" borderId="52" xfId="0" applyNumberFormat="1" applyBorder="1" applyAlignment="1">
      <alignment horizontal="center"/>
    </xf>
    <xf numFmtId="166" fontId="0" fillId="0" borderId="36" xfId="0" applyNumberFormat="1" applyBorder="1" applyAlignment="1">
      <alignment horizontal="center"/>
    </xf>
    <xf numFmtId="166" fontId="0" fillId="0" borderId="39" xfId="0" applyNumberFormat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5" fontId="0" fillId="0" borderId="41" xfId="1" applyNumberFormat="1" applyFont="1" applyFill="1" applyBorder="1" applyAlignment="1">
      <alignment horizontal="center"/>
    </xf>
    <xf numFmtId="10" fontId="0" fillId="0" borderId="37" xfId="1" applyNumberFormat="1" applyFont="1" applyFill="1" applyBorder="1" applyAlignment="1">
      <alignment horizontal="center"/>
    </xf>
    <xf numFmtId="10" fontId="0" fillId="0" borderId="38" xfId="1" applyNumberFormat="1" applyFont="1" applyFill="1" applyBorder="1" applyAlignment="1">
      <alignment horizontal="center"/>
    </xf>
    <xf numFmtId="10" fontId="0" fillId="0" borderId="40" xfId="1" applyNumberFormat="1" applyFont="1" applyFill="1" applyBorder="1" applyAlignment="1">
      <alignment horizontal="center"/>
    </xf>
    <xf numFmtId="165" fontId="2" fillId="11" borderId="54" xfId="0" applyNumberFormat="1" applyFont="1" applyFill="1" applyBorder="1"/>
    <xf numFmtId="165" fontId="2" fillId="8" borderId="55" xfId="0" applyNumberFormat="1" applyFont="1" applyFill="1" applyBorder="1"/>
    <xf numFmtId="166" fontId="2" fillId="8" borderId="53" xfId="0" applyNumberFormat="1" applyFont="1" applyFill="1" applyBorder="1" applyAlignment="1">
      <alignment horizontal="center"/>
    </xf>
    <xf numFmtId="10" fontId="2" fillId="8" borderId="54" xfId="0" applyNumberFormat="1" applyFont="1" applyFill="1" applyBorder="1" applyAlignment="1">
      <alignment horizontal="center"/>
    </xf>
    <xf numFmtId="0" fontId="10" fillId="9" borderId="53" xfId="0" applyFont="1" applyFill="1" applyBorder="1" applyAlignment="1">
      <alignment horizontal="center"/>
    </xf>
    <xf numFmtId="165" fontId="10" fillId="9" borderId="55" xfId="1" applyNumberFormat="1" applyFont="1" applyFill="1" applyBorder="1" applyAlignment="1">
      <alignment horizontal="center"/>
    </xf>
    <xf numFmtId="10" fontId="10" fillId="9" borderId="54" xfId="0" applyNumberFormat="1" applyFont="1" applyFill="1" applyBorder="1" applyAlignment="1">
      <alignment horizontal="center"/>
    </xf>
    <xf numFmtId="165" fontId="0" fillId="0" borderId="42" xfId="0" applyNumberFormat="1" applyBorder="1" applyAlignment="1">
      <alignment horizontal="center"/>
    </xf>
    <xf numFmtId="10" fontId="0" fillId="0" borderId="71" xfId="1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65" fontId="0" fillId="13" borderId="0" xfId="0" applyNumberForma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10" fontId="0" fillId="0" borderId="0" xfId="1" applyNumberFormat="1" applyFont="1" applyFill="1" applyBorder="1" applyAlignment="1">
      <alignment horizontal="center"/>
    </xf>
    <xf numFmtId="0" fontId="0" fillId="0" borderId="60" xfId="0" applyBorder="1" applyAlignment="1">
      <alignment horizontal="left"/>
    </xf>
    <xf numFmtId="0" fontId="0" fillId="0" borderId="61" xfId="0" applyBorder="1" applyAlignment="1">
      <alignment horizontal="left"/>
    </xf>
    <xf numFmtId="0" fontId="6" fillId="2" borderId="0" xfId="0" applyFont="1" applyFill="1" applyAlignment="1">
      <alignment horizontal="center"/>
    </xf>
    <xf numFmtId="0" fontId="11" fillId="2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2" fontId="0" fillId="3" borderId="0" xfId="0" applyNumberFormat="1" applyFill="1" applyAlignment="1">
      <alignment horizontal="right"/>
    </xf>
    <xf numFmtId="171" fontId="0" fillId="3" borderId="0" xfId="0" applyNumberFormat="1" applyFill="1" applyAlignment="1">
      <alignment horizontal="right"/>
    </xf>
    <xf numFmtId="172" fontId="0" fillId="4" borderId="0" xfId="1" applyNumberFormat="1" applyFont="1" applyFill="1"/>
    <xf numFmtId="14" fontId="0" fillId="0" borderId="0" xfId="0" applyNumberFormat="1"/>
    <xf numFmtId="173" fontId="0" fillId="0" borderId="0" xfId="1" applyNumberFormat="1" applyFont="1"/>
    <xf numFmtId="173" fontId="0" fillId="0" borderId="0" xfId="0" applyNumberFormat="1"/>
    <xf numFmtId="4" fontId="8" fillId="0" borderId="33" xfId="0" applyNumberFormat="1" applyFont="1" applyBorder="1"/>
    <xf numFmtId="4" fontId="7" fillId="0" borderId="6" xfId="0" applyNumberFormat="1" applyFont="1" applyBorder="1"/>
    <xf numFmtId="169" fontId="0" fillId="0" borderId="10" xfId="0" applyNumberFormat="1" applyBorder="1" applyAlignment="1">
      <alignment horizontal="right"/>
    </xf>
    <xf numFmtId="169" fontId="0" fillId="0" borderId="14" xfId="0" applyNumberFormat="1" applyBorder="1" applyAlignment="1">
      <alignment horizontal="right"/>
    </xf>
    <xf numFmtId="4" fontId="7" fillId="0" borderId="15" xfId="0" applyNumberFormat="1" applyFont="1" applyBorder="1"/>
    <xf numFmtId="0" fontId="2" fillId="0" borderId="0" xfId="0" applyFont="1" applyAlignment="1">
      <alignment horizontal="right"/>
    </xf>
    <xf numFmtId="0" fontId="3" fillId="0" borderId="0" xfId="0" applyFont="1"/>
    <xf numFmtId="44" fontId="2" fillId="0" borderId="21" xfId="3" applyFont="1" applyBorder="1"/>
    <xf numFmtId="10" fontId="0" fillId="3" borderId="1" xfId="1" applyNumberFormat="1" applyFont="1" applyFill="1" applyBorder="1"/>
    <xf numFmtId="10" fontId="2" fillId="3" borderId="1" xfId="1" applyNumberFormat="1" applyFont="1" applyFill="1" applyBorder="1"/>
    <xf numFmtId="3" fontId="0" fillId="4" borderId="13" xfId="0" applyNumberFormat="1" applyFill="1" applyBorder="1" applyAlignment="1">
      <alignment horizontal="right"/>
    </xf>
    <xf numFmtId="3" fontId="0" fillId="4" borderId="14" xfId="0" applyNumberFormat="1" applyFill="1" applyBorder="1" applyAlignment="1">
      <alignment horizontal="right"/>
    </xf>
    <xf numFmtId="10" fontId="2" fillId="4" borderId="1" xfId="1" applyNumberFormat="1" applyFont="1" applyFill="1" applyBorder="1"/>
    <xf numFmtId="165" fontId="2" fillId="0" borderId="15" xfId="0" applyNumberFormat="1" applyFont="1" applyBorder="1"/>
    <xf numFmtId="165" fontId="2" fillId="0" borderId="13" xfId="0" applyNumberFormat="1" applyFont="1" applyBorder="1"/>
    <xf numFmtId="165" fontId="2" fillId="0" borderId="14" xfId="0" applyNumberFormat="1" applyFont="1" applyBorder="1"/>
    <xf numFmtId="44" fontId="0" fillId="0" borderId="13" xfId="3" applyFont="1" applyFill="1" applyBorder="1" applyAlignment="1">
      <alignment horizontal="center"/>
    </xf>
    <xf numFmtId="44" fontId="0" fillId="0" borderId="13" xfId="1" applyNumberFormat="1" applyFont="1" applyFill="1" applyBorder="1" applyAlignment="1">
      <alignment horizontal="center"/>
    </xf>
    <xf numFmtId="44" fontId="0" fillId="0" borderId="14" xfId="1" applyNumberFormat="1" applyFont="1" applyFill="1" applyBorder="1"/>
    <xf numFmtId="3" fontId="6" fillId="2" borderId="1" xfId="0" applyNumberFormat="1" applyFont="1" applyFill="1" applyBorder="1" applyAlignment="1">
      <alignment horizontal="right"/>
    </xf>
    <xf numFmtId="0" fontId="2" fillId="3" borderId="4" xfId="0" applyFont="1" applyFill="1" applyBorder="1"/>
    <xf numFmtId="1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2" fillId="0" borderId="0" xfId="0" applyNumberFormat="1" applyFont="1"/>
    <xf numFmtId="165" fontId="6" fillId="2" borderId="4" xfId="0" applyNumberFormat="1" applyFont="1" applyFill="1" applyBorder="1"/>
    <xf numFmtId="0" fontId="0" fillId="0" borderId="9" xfId="0" applyBorder="1"/>
    <xf numFmtId="0" fontId="4" fillId="0" borderId="12" xfId="0" applyFont="1" applyBorder="1"/>
    <xf numFmtId="0" fontId="4" fillId="0" borderId="14" xfId="0" applyFont="1" applyBorder="1"/>
    <xf numFmtId="174" fontId="0" fillId="4" borderId="13" xfId="0" applyNumberFormat="1" applyFill="1" applyBorder="1"/>
    <xf numFmtId="9" fontId="0" fillId="4" borderId="13" xfId="0" applyNumberFormat="1" applyFill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44" fontId="0" fillId="0" borderId="14" xfId="1" applyNumberFormat="1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168" fontId="0" fillId="4" borderId="6" xfId="1" applyNumberFormat="1" applyFont="1" applyFill="1" applyBorder="1" applyAlignment="1">
      <alignment horizontal="center"/>
    </xf>
    <xf numFmtId="168" fontId="0" fillId="4" borderId="9" xfId="1" applyNumberFormat="1" applyFont="1" applyFill="1" applyBorder="1" applyAlignment="1">
      <alignment horizontal="center"/>
    </xf>
    <xf numFmtId="168" fontId="0" fillId="4" borderId="10" xfId="1" applyNumberFormat="1" applyFont="1" applyFill="1" applyBorder="1" applyAlignment="1">
      <alignment horizontal="center"/>
    </xf>
    <xf numFmtId="44" fontId="2" fillId="0" borderId="15" xfId="3" applyFont="1" applyBorder="1" applyAlignment="1"/>
    <xf numFmtId="44" fontId="2" fillId="0" borderId="13" xfId="3" applyFont="1" applyBorder="1" applyAlignment="1"/>
    <xf numFmtId="44" fontId="2" fillId="0" borderId="14" xfId="3" applyFont="1" applyBorder="1" applyAlignment="1"/>
    <xf numFmtId="165" fontId="2" fillId="0" borderId="14" xfId="0" applyNumberFormat="1" applyFont="1" applyBorder="1" applyAlignment="1">
      <alignment horizontal="center"/>
    </xf>
    <xf numFmtId="165" fontId="6" fillId="2" borderId="19" xfId="0" applyNumberFormat="1" applyFont="1" applyFill="1" applyBorder="1" applyAlignment="1">
      <alignment horizontal="right"/>
    </xf>
    <xf numFmtId="165" fontId="6" fillId="2" borderId="18" xfId="0" applyNumberFormat="1" applyFont="1" applyFill="1" applyBorder="1" applyAlignment="1">
      <alignment horizontal="right"/>
    </xf>
    <xf numFmtId="0" fontId="6" fillId="2" borderId="34" xfId="0" applyFont="1" applyFill="1" applyBorder="1" applyAlignment="1">
      <alignment horizontal="right"/>
    </xf>
    <xf numFmtId="44" fontId="6" fillId="2" borderId="17" xfId="3" applyFont="1" applyFill="1" applyBorder="1" applyAlignment="1"/>
    <xf numFmtId="3" fontId="8" fillId="0" borderId="27" xfId="0" applyNumberFormat="1" applyFont="1" applyBorder="1" applyAlignment="1">
      <alignment horizontal="right"/>
    </xf>
    <xf numFmtId="3" fontId="8" fillId="0" borderId="28" xfId="0" applyNumberFormat="1" applyFont="1" applyBorder="1" applyAlignment="1">
      <alignment horizontal="right"/>
    </xf>
    <xf numFmtId="3" fontId="8" fillId="0" borderId="30" xfId="0" applyNumberFormat="1" applyFont="1" applyBorder="1" applyAlignment="1">
      <alignment horizontal="right"/>
    </xf>
    <xf numFmtId="3" fontId="8" fillId="0" borderId="26" xfId="0" applyNumberFormat="1" applyFont="1" applyBorder="1" applyAlignment="1">
      <alignment horizontal="right"/>
    </xf>
    <xf numFmtId="3" fontId="8" fillId="0" borderId="29" xfId="0" applyNumberFormat="1" applyFont="1" applyBorder="1" applyAlignment="1">
      <alignment horizontal="right"/>
    </xf>
    <xf numFmtId="3" fontId="0" fillId="4" borderId="15" xfId="0" applyNumberFormat="1" applyFill="1" applyBorder="1"/>
    <xf numFmtId="3" fontId="0" fillId="4" borderId="6" xfId="0" applyNumberFormat="1" applyFill="1" applyBorder="1"/>
    <xf numFmtId="3" fontId="0" fillId="4" borderId="13" xfId="0" applyNumberFormat="1" applyFill="1" applyBorder="1"/>
    <xf numFmtId="3" fontId="0" fillId="4" borderId="9" xfId="0" applyNumberFormat="1" applyFill="1" applyBorder="1"/>
    <xf numFmtId="3" fontId="0" fillId="4" borderId="14" xfId="0" applyNumberFormat="1" applyFill="1" applyBorder="1"/>
    <xf numFmtId="3" fontId="0" fillId="4" borderId="10" xfId="0" applyNumberFormat="1" applyFill="1" applyBorder="1"/>
    <xf numFmtId="3" fontId="0" fillId="3" borderId="0" xfId="0" applyNumberFormat="1" applyFill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right"/>
    </xf>
    <xf numFmtId="4" fontId="2" fillId="5" borderId="19" xfId="0" applyNumberFormat="1" applyFont="1" applyFill="1" applyBorder="1" applyAlignment="1">
      <alignment horizontal="right"/>
    </xf>
    <xf numFmtId="4" fontId="0" fillId="0" borderId="2" xfId="0" applyNumberFormat="1" applyBorder="1"/>
    <xf numFmtId="4" fontId="8" fillId="0" borderId="26" xfId="0" applyNumberFormat="1" applyFont="1" applyBorder="1" applyAlignment="1">
      <alignment horizontal="right"/>
    </xf>
    <xf numFmtId="4" fontId="8" fillId="0" borderId="27" xfId="0" applyNumberFormat="1" applyFont="1" applyBorder="1" applyAlignment="1">
      <alignment horizontal="right"/>
    </xf>
    <xf numFmtId="4" fontId="8" fillId="0" borderId="28" xfId="0" applyNumberFormat="1" applyFont="1" applyBorder="1" applyAlignment="1">
      <alignment horizontal="right"/>
    </xf>
    <xf numFmtId="4" fontId="8" fillId="0" borderId="29" xfId="0" applyNumberFormat="1" applyFont="1" applyBorder="1" applyAlignment="1">
      <alignment horizontal="right"/>
    </xf>
    <xf numFmtId="4" fontId="8" fillId="0" borderId="30" xfId="0" applyNumberFormat="1" applyFont="1" applyBorder="1" applyAlignment="1">
      <alignment horizontal="right"/>
    </xf>
    <xf numFmtId="4" fontId="0" fillId="4" borderId="15" xfId="0" applyNumberFormat="1" applyFill="1" applyBorder="1"/>
    <xf numFmtId="4" fontId="0" fillId="4" borderId="6" xfId="0" applyNumberFormat="1" applyFill="1" applyBorder="1"/>
    <xf numFmtId="4" fontId="0" fillId="4" borderId="13" xfId="0" applyNumberFormat="1" applyFill="1" applyBorder="1"/>
    <xf numFmtId="4" fontId="0" fillId="4" borderId="9" xfId="0" applyNumberFormat="1" applyFill="1" applyBorder="1"/>
    <xf numFmtId="4" fontId="0" fillId="4" borderId="14" xfId="0" applyNumberFormat="1" applyFill="1" applyBorder="1"/>
    <xf numFmtId="4" fontId="0" fillId="4" borderId="10" xfId="0" applyNumberFormat="1" applyFill="1" applyBorder="1"/>
    <xf numFmtId="4" fontId="2" fillId="0" borderId="0" xfId="0" applyNumberFormat="1" applyFont="1" applyAlignment="1">
      <alignment horizontal="right"/>
    </xf>
    <xf numFmtId="44" fontId="0" fillId="0" borderId="0" xfId="3" applyFont="1"/>
    <xf numFmtId="4" fontId="2" fillId="5" borderId="20" xfId="0" applyNumberFormat="1" applyFont="1" applyFill="1" applyBorder="1" applyAlignment="1">
      <alignment horizontal="right"/>
    </xf>
    <xf numFmtId="169" fontId="2" fillId="0" borderId="14" xfId="0" applyNumberFormat="1" applyFont="1" applyBorder="1" applyAlignment="1">
      <alignment horizontal="right"/>
    </xf>
    <xf numFmtId="3" fontId="0" fillId="0" borderId="36" xfId="0" applyNumberFormat="1" applyBorder="1" applyAlignment="1">
      <alignment horizontal="center"/>
    </xf>
    <xf numFmtId="3" fontId="2" fillId="11" borderId="53" xfId="0" applyNumberFormat="1" applyFont="1" applyFill="1" applyBorder="1" applyAlignment="1">
      <alignment horizontal="center"/>
    </xf>
    <xf numFmtId="175" fontId="0" fillId="0" borderId="0" xfId="1" applyNumberFormat="1" applyFont="1" applyFill="1" applyBorder="1" applyAlignment="1">
      <alignment horizontal="right"/>
    </xf>
    <xf numFmtId="175" fontId="0" fillId="0" borderId="41" xfId="1" applyNumberFormat="1" applyFont="1" applyFill="1" applyBorder="1" applyAlignment="1">
      <alignment horizontal="right"/>
    </xf>
    <xf numFmtId="176" fontId="0" fillId="0" borderId="52" xfId="0" applyNumberFormat="1" applyBorder="1" applyAlignment="1">
      <alignment horizontal="center"/>
    </xf>
    <xf numFmtId="176" fontId="0" fillId="0" borderId="36" xfId="0" applyNumberFormat="1" applyBorder="1" applyAlignment="1">
      <alignment horizontal="center"/>
    </xf>
    <xf numFmtId="176" fontId="0" fillId="0" borderId="39" xfId="0" applyNumberFormat="1" applyBorder="1" applyAlignment="1">
      <alignment horizontal="center"/>
    </xf>
    <xf numFmtId="0" fontId="2" fillId="0" borderId="0" xfId="0" quotePrefix="1" applyFont="1"/>
    <xf numFmtId="10" fontId="0" fillId="0" borderId="54" xfId="0" applyNumberFormat="1" applyBorder="1" applyAlignment="1">
      <alignment horizontal="center"/>
    </xf>
    <xf numFmtId="10" fontId="12" fillId="0" borderId="54" xfId="0" applyNumberFormat="1" applyFont="1" applyBorder="1" applyAlignment="1">
      <alignment horizontal="center"/>
    </xf>
    <xf numFmtId="0" fontId="0" fillId="4" borderId="9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13" xfId="0" applyFill="1" applyBorder="1"/>
    <xf numFmtId="0" fontId="0" fillId="4" borderId="5" xfId="0" applyFill="1" applyBorder="1"/>
    <xf numFmtId="0" fontId="0" fillId="4" borderId="79" xfId="0" applyFill="1" applyBorder="1"/>
    <xf numFmtId="44" fontId="0" fillId="4" borderId="80" xfId="3" applyFont="1" applyFill="1" applyBorder="1"/>
    <xf numFmtId="0" fontId="0" fillId="4" borderId="24" xfId="0" applyFill="1" applyBorder="1"/>
    <xf numFmtId="44" fontId="0" fillId="4" borderId="78" xfId="3" applyFont="1" applyFill="1" applyBorder="1"/>
    <xf numFmtId="0" fontId="0" fillId="4" borderId="75" xfId="0" applyFill="1" applyBorder="1"/>
    <xf numFmtId="44" fontId="0" fillId="4" borderId="76" xfId="3" applyFont="1" applyFill="1" applyBorder="1"/>
    <xf numFmtId="0" fontId="0" fillId="4" borderId="74" xfId="0" applyFill="1" applyBorder="1"/>
    <xf numFmtId="44" fontId="0" fillId="4" borderId="27" xfId="3" applyFont="1" applyFill="1" applyBorder="1"/>
    <xf numFmtId="0" fontId="2" fillId="0" borderId="5" xfId="0" applyFont="1" applyBorder="1" applyAlignment="1">
      <alignment horizontal="right"/>
    </xf>
    <xf numFmtId="0" fontId="0" fillId="4" borderId="7" xfId="0" applyFill="1" applyBorder="1"/>
    <xf numFmtId="0" fontId="0" fillId="4" borderId="11" xfId="0" applyFill="1" applyBorder="1"/>
    <xf numFmtId="0" fontId="0" fillId="4" borderId="3" xfId="0" applyFill="1" applyBorder="1"/>
    <xf numFmtId="0" fontId="0" fillId="4" borderId="82" xfId="0" applyFill="1" applyBorder="1"/>
    <xf numFmtId="0" fontId="2" fillId="0" borderId="75" xfId="0" applyFont="1" applyBorder="1" applyAlignment="1">
      <alignment horizontal="center"/>
    </xf>
    <xf numFmtId="0" fontId="2" fillId="0" borderId="82" xfId="0" applyFont="1" applyBorder="1" applyAlignment="1">
      <alignment horizontal="center" wrapText="1"/>
    </xf>
    <xf numFmtId="0" fontId="2" fillId="0" borderId="76" xfId="0" applyFont="1" applyBorder="1" applyAlignment="1">
      <alignment horizontal="center"/>
    </xf>
    <xf numFmtId="166" fontId="0" fillId="3" borderId="0" xfId="0" applyNumberFormat="1" applyFill="1"/>
    <xf numFmtId="0" fontId="2" fillId="3" borderId="22" xfId="0" applyFont="1" applyFill="1" applyBorder="1" applyAlignment="1">
      <alignment horizontal="center"/>
    </xf>
    <xf numFmtId="0" fontId="2" fillId="3" borderId="81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165" fontId="2" fillId="3" borderId="2" xfId="1" applyNumberFormat="1" applyFont="1" applyFill="1" applyBorder="1" applyAlignment="1">
      <alignment horizontal="center"/>
    </xf>
    <xf numFmtId="165" fontId="2" fillId="3" borderId="3" xfId="1" applyNumberFormat="1" applyFont="1" applyFill="1" applyBorder="1" applyAlignment="1">
      <alignment horizontal="center"/>
    </xf>
    <xf numFmtId="165" fontId="2" fillId="3" borderId="4" xfId="1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5" xfId="0" applyFill="1" applyBorder="1" applyAlignment="1">
      <alignment horizontal="left"/>
    </xf>
    <xf numFmtId="165" fontId="0" fillId="0" borderId="9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165" fontId="2" fillId="0" borderId="0" xfId="0" applyNumberFormat="1" applyFont="1" applyAlignment="1">
      <alignment horizontal="center"/>
    </xf>
    <xf numFmtId="0" fontId="2" fillId="3" borderId="3" xfId="0" applyFont="1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165" fontId="0" fillId="4" borderId="9" xfId="2" applyNumberFormat="1" applyFont="1" applyFill="1" applyBorder="1" applyAlignment="1">
      <alignment horizontal="center"/>
    </xf>
    <xf numFmtId="165" fontId="0" fillId="4" borderId="5" xfId="2" applyNumberFormat="1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12" xfId="0" applyNumberForma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2" fillId="3" borderId="16" xfId="0" applyFont="1" applyFill="1" applyBorder="1" applyAlignment="1">
      <alignment horizontal="right"/>
    </xf>
    <xf numFmtId="0" fontId="2" fillId="3" borderId="17" xfId="0" applyFont="1" applyFill="1" applyBorder="1" applyAlignment="1">
      <alignment horizontal="right"/>
    </xf>
    <xf numFmtId="0" fontId="2" fillId="3" borderId="20" xfId="0" applyFont="1" applyFill="1" applyBorder="1" applyAlignment="1">
      <alignment horizontal="righ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applyFill="1"/>
    <xf numFmtId="0" fontId="0" fillId="4" borderId="5" xfId="0" applyFill="1" applyBorder="1"/>
    <xf numFmtId="0" fontId="2" fillId="3" borderId="18" xfId="0" applyFont="1" applyFill="1" applyBorder="1" applyAlignment="1">
      <alignment horizontal="right"/>
    </xf>
    <xf numFmtId="0" fontId="2" fillId="3" borderId="16" xfId="0" applyFont="1" applyFill="1" applyBorder="1" applyAlignment="1">
      <alignment horizontal="left" indent="1"/>
    </xf>
    <xf numFmtId="0" fontId="2" fillId="3" borderId="17" xfId="0" applyFont="1" applyFill="1" applyBorder="1" applyAlignment="1">
      <alignment horizontal="left" indent="1"/>
    </xf>
    <xf numFmtId="0" fontId="2" fillId="3" borderId="18" xfId="0" applyFont="1" applyFill="1" applyBorder="1" applyAlignment="1">
      <alignment horizontal="left" indent="1"/>
    </xf>
    <xf numFmtId="0" fontId="2" fillId="3" borderId="16" xfId="0" applyFont="1" applyFill="1" applyBorder="1" applyAlignment="1">
      <alignment horizontal="left"/>
    </xf>
    <xf numFmtId="0" fontId="2" fillId="3" borderId="17" xfId="0" applyFont="1" applyFill="1" applyBorder="1" applyAlignment="1">
      <alignment horizontal="left"/>
    </xf>
    <xf numFmtId="0" fontId="2" fillId="3" borderId="20" xfId="0" applyFont="1" applyFill="1" applyBorder="1" applyAlignment="1">
      <alignment horizontal="left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0" borderId="0" xfId="0" applyAlignment="1">
      <alignment horizontal="left"/>
    </xf>
    <xf numFmtId="0" fontId="2" fillId="3" borderId="0" xfId="0" applyFont="1" applyFill="1" applyAlignment="1">
      <alignment horizontal="left"/>
    </xf>
    <xf numFmtId="165" fontId="0" fillId="4" borderId="2" xfId="0" applyNumberFormat="1" applyFill="1" applyBorder="1"/>
    <xf numFmtId="165" fontId="0" fillId="4" borderId="3" xfId="0" applyNumberFormat="1" applyFill="1" applyBorder="1"/>
    <xf numFmtId="165" fontId="0" fillId="4" borderId="4" xfId="0" applyNumberFormat="1" applyFill="1" applyBorder="1"/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14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7" fontId="0" fillId="4" borderId="2" xfId="0" applyNumberFormat="1" applyFill="1" applyBorder="1" applyAlignment="1">
      <alignment horizontal="left"/>
    </xf>
    <xf numFmtId="14" fontId="0" fillId="4" borderId="3" xfId="0" applyNumberFormat="1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67" fontId="0" fillId="3" borderId="0" xfId="0" applyNumberFormat="1" applyFill="1" applyAlignment="1">
      <alignment horizontal="right"/>
    </xf>
    <xf numFmtId="0" fontId="2" fillId="6" borderId="22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10" fontId="0" fillId="4" borderId="2" xfId="1" applyNumberFormat="1" applyFont="1" applyFill="1" applyBorder="1" applyAlignment="1">
      <alignment horizontal="center"/>
    </xf>
    <xf numFmtId="10" fontId="0" fillId="4" borderId="4" xfId="1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10" fontId="0" fillId="0" borderId="0" xfId="1" applyNumberFormat="1" applyFont="1" applyFill="1" applyBorder="1" applyAlignment="1">
      <alignment horizontal="center"/>
    </xf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0" fontId="6" fillId="7" borderId="49" xfId="0" applyFont="1" applyFill="1" applyBorder="1" applyAlignment="1">
      <alignment horizontal="center"/>
    </xf>
    <xf numFmtId="0" fontId="6" fillId="7" borderId="50" xfId="0" applyFont="1" applyFill="1" applyBorder="1" applyAlignment="1">
      <alignment horizontal="center"/>
    </xf>
    <xf numFmtId="0" fontId="6" fillId="10" borderId="43" xfId="0" applyFont="1" applyFill="1" applyBorder="1" applyAlignment="1">
      <alignment horizontal="center"/>
    </xf>
    <xf numFmtId="0" fontId="6" fillId="10" borderId="44" xfId="0" applyFont="1" applyFill="1" applyBorder="1" applyAlignment="1">
      <alignment horizontal="center"/>
    </xf>
    <xf numFmtId="0" fontId="6" fillId="10" borderId="45" xfId="0" applyFont="1" applyFill="1" applyBorder="1" applyAlignment="1">
      <alignment horizontal="center"/>
    </xf>
    <xf numFmtId="0" fontId="6" fillId="12" borderId="49" xfId="0" applyFont="1" applyFill="1" applyBorder="1" applyAlignment="1">
      <alignment horizontal="center"/>
    </xf>
    <xf numFmtId="0" fontId="6" fillId="12" borderId="51" xfId="0" applyFont="1" applyFill="1" applyBorder="1" applyAlignment="1">
      <alignment horizontal="center"/>
    </xf>
    <xf numFmtId="0" fontId="6" fillId="12" borderId="50" xfId="0" applyFont="1" applyFill="1" applyBorder="1" applyAlignment="1">
      <alignment horizontal="center"/>
    </xf>
    <xf numFmtId="0" fontId="2" fillId="3" borderId="49" xfId="0" applyFont="1" applyFill="1" applyBorder="1" applyAlignment="1">
      <alignment horizontal="left"/>
    </xf>
    <xf numFmtId="0" fontId="2" fillId="3" borderId="51" xfId="0" applyFont="1" applyFill="1" applyBorder="1" applyAlignment="1">
      <alignment horizontal="left"/>
    </xf>
    <xf numFmtId="0" fontId="2" fillId="3" borderId="50" xfId="0" applyFont="1" applyFill="1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59" xfId="0" applyBorder="1" applyAlignment="1">
      <alignment horizontal="left"/>
    </xf>
    <xf numFmtId="0" fontId="0" fillId="0" borderId="60" xfId="0" applyBorder="1" applyAlignment="1">
      <alignment horizontal="left"/>
    </xf>
    <xf numFmtId="0" fontId="0" fillId="0" borderId="61" xfId="0" applyBorder="1" applyAlignment="1">
      <alignment horizontal="left"/>
    </xf>
    <xf numFmtId="0" fontId="6" fillId="10" borderId="49" xfId="0" applyFont="1" applyFill="1" applyBorder="1" applyAlignment="1">
      <alignment horizontal="center"/>
    </xf>
    <xf numFmtId="0" fontId="6" fillId="10" borderId="51" xfId="0" applyFont="1" applyFill="1" applyBorder="1" applyAlignment="1">
      <alignment horizontal="center"/>
    </xf>
    <xf numFmtId="0" fontId="6" fillId="10" borderId="50" xfId="0" applyFont="1" applyFill="1" applyBorder="1" applyAlignment="1">
      <alignment horizontal="center"/>
    </xf>
    <xf numFmtId="0" fontId="2" fillId="3" borderId="57" xfId="0" applyFont="1" applyFill="1" applyBorder="1" applyAlignment="1">
      <alignment horizontal="center"/>
    </xf>
    <xf numFmtId="0" fontId="2" fillId="3" borderId="56" xfId="0" applyFont="1" applyFill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2" fillId="3" borderId="65" xfId="0" applyFont="1" applyFill="1" applyBorder="1" applyAlignment="1">
      <alignment horizontal="center"/>
    </xf>
    <xf numFmtId="0" fontId="2" fillId="3" borderId="72" xfId="0" applyFont="1" applyFill="1" applyBorder="1" applyAlignment="1">
      <alignment horizontal="center"/>
    </xf>
    <xf numFmtId="0" fontId="2" fillId="3" borderId="66" xfId="0" applyFont="1" applyFill="1" applyBorder="1" applyAlignment="1">
      <alignment horizontal="center"/>
    </xf>
    <xf numFmtId="165" fontId="0" fillId="0" borderId="60" xfId="0" applyNumberFormat="1" applyBorder="1" applyAlignment="1">
      <alignment horizontal="center"/>
    </xf>
    <xf numFmtId="165" fontId="0" fillId="0" borderId="61" xfId="0" applyNumberFormat="1" applyBorder="1" applyAlignment="1">
      <alignment horizontal="center"/>
    </xf>
    <xf numFmtId="165" fontId="0" fillId="4" borderId="60" xfId="0" applyNumberFormat="1" applyFill="1" applyBorder="1" applyAlignment="1">
      <alignment horizontal="center"/>
    </xf>
    <xf numFmtId="165" fontId="0" fillId="13" borderId="60" xfId="0" applyNumberFormat="1" applyFill="1" applyBorder="1" applyAlignment="1">
      <alignment horizontal="center"/>
    </xf>
    <xf numFmtId="165" fontId="0" fillId="13" borderId="5" xfId="0" applyNumberFormat="1" applyFill="1" applyBorder="1" applyAlignment="1">
      <alignment horizontal="center"/>
    </xf>
    <xf numFmtId="165" fontId="0" fillId="0" borderId="62" xfId="0" applyNumberFormat="1" applyBorder="1" applyAlignment="1">
      <alignment horizontal="center"/>
    </xf>
    <xf numFmtId="165" fontId="0" fillId="0" borderId="63" xfId="0" applyNumberFormat="1" applyBorder="1" applyAlignment="1">
      <alignment horizontal="center"/>
    </xf>
    <xf numFmtId="165" fontId="0" fillId="4" borderId="62" xfId="0" applyNumberFormat="1" applyFill="1" applyBorder="1" applyAlignment="1">
      <alignment horizontal="center"/>
    </xf>
    <xf numFmtId="165" fontId="0" fillId="4" borderId="64" xfId="0" applyNumberFormat="1" applyFill="1" applyBorder="1" applyAlignment="1">
      <alignment horizontal="center"/>
    </xf>
    <xf numFmtId="165" fontId="0" fillId="13" borderId="62" xfId="0" applyNumberFormat="1" applyFill="1" applyBorder="1" applyAlignment="1">
      <alignment horizontal="center"/>
    </xf>
    <xf numFmtId="165" fontId="0" fillId="13" borderId="64" xfId="0" applyNumberFormat="1" applyFill="1" applyBorder="1" applyAlignment="1">
      <alignment horizontal="center"/>
    </xf>
    <xf numFmtId="165" fontId="0" fillId="0" borderId="58" xfId="0" applyNumberFormat="1" applyBorder="1" applyAlignment="1">
      <alignment horizontal="center"/>
    </xf>
    <xf numFmtId="165" fontId="0" fillId="0" borderId="59" xfId="0" applyNumberFormat="1" applyBorder="1" applyAlignment="1">
      <alignment horizontal="center"/>
    </xf>
    <xf numFmtId="165" fontId="0" fillId="4" borderId="58" xfId="0" applyNumberFormat="1" applyFill="1" applyBorder="1" applyAlignment="1">
      <alignment horizontal="center"/>
    </xf>
    <xf numFmtId="165" fontId="0" fillId="13" borderId="58" xfId="0" applyNumberFormat="1" applyFill="1" applyBorder="1" applyAlignment="1">
      <alignment horizontal="center"/>
    </xf>
    <xf numFmtId="165" fontId="0" fillId="13" borderId="8" xfId="0" applyNumberFormat="1" applyFill="1" applyBorder="1" applyAlignment="1">
      <alignment horizontal="center"/>
    </xf>
    <xf numFmtId="175" fontId="0" fillId="13" borderId="58" xfId="0" applyNumberFormat="1" applyFill="1" applyBorder="1" applyAlignment="1">
      <alignment horizontal="right"/>
    </xf>
    <xf numFmtId="175" fontId="0" fillId="13" borderId="8" xfId="0" applyNumberFormat="1" applyFill="1" applyBorder="1" applyAlignment="1">
      <alignment horizontal="right"/>
    </xf>
    <xf numFmtId="165" fontId="2" fillId="11" borderId="65" xfId="0" applyNumberFormat="1" applyFont="1" applyFill="1" applyBorder="1" applyAlignment="1">
      <alignment horizontal="center"/>
    </xf>
    <xf numFmtId="165" fontId="2" fillId="11" borderId="66" xfId="0" applyNumberFormat="1" applyFont="1" applyFill="1" applyBorder="1" applyAlignment="1">
      <alignment horizontal="center"/>
    </xf>
    <xf numFmtId="165" fontId="2" fillId="8" borderId="65" xfId="0" applyNumberFormat="1" applyFont="1" applyFill="1" applyBorder="1" applyAlignment="1">
      <alignment horizontal="center"/>
    </xf>
    <xf numFmtId="165" fontId="2" fillId="8" borderId="67" xfId="0" applyNumberFormat="1" applyFont="1" applyFill="1" applyBorder="1" applyAlignment="1">
      <alignment horizontal="center"/>
    </xf>
    <xf numFmtId="165" fontId="10" fillId="9" borderId="65" xfId="1" applyNumberFormat="1" applyFont="1" applyFill="1" applyBorder="1" applyAlignment="1">
      <alignment horizontal="center"/>
    </xf>
    <xf numFmtId="165" fontId="10" fillId="9" borderId="67" xfId="1" applyNumberFormat="1" applyFont="1" applyFill="1" applyBorder="1" applyAlignment="1">
      <alignment horizontal="center"/>
    </xf>
    <xf numFmtId="175" fontId="0" fillId="13" borderId="62" xfId="0" applyNumberFormat="1" applyFill="1" applyBorder="1" applyAlignment="1">
      <alignment horizontal="right"/>
    </xf>
    <xf numFmtId="175" fontId="0" fillId="13" borderId="64" xfId="0" applyNumberFormat="1" applyFill="1" applyBorder="1" applyAlignment="1">
      <alignment horizontal="right"/>
    </xf>
    <xf numFmtId="175" fontId="0" fillId="13" borderId="60" xfId="0" applyNumberFormat="1" applyFill="1" applyBorder="1" applyAlignment="1">
      <alignment horizontal="right"/>
    </xf>
    <xf numFmtId="175" fontId="0" fillId="13" borderId="5" xfId="0" applyNumberFormat="1" applyFill="1" applyBorder="1" applyAlignment="1">
      <alignment horizontal="righ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69" xfId="0" applyBorder="1" applyAlignment="1">
      <alignment horizontal="left"/>
    </xf>
    <xf numFmtId="165" fontId="0" fillId="0" borderId="68" xfId="0" applyNumberFormat="1" applyBorder="1" applyAlignment="1">
      <alignment horizontal="center"/>
    </xf>
    <xf numFmtId="165" fontId="0" fillId="0" borderId="69" xfId="0" applyNumberFormat="1" applyBorder="1" applyAlignment="1">
      <alignment horizontal="center"/>
    </xf>
    <xf numFmtId="165" fontId="0" fillId="4" borderId="68" xfId="0" applyNumberFormat="1" applyFill="1" applyBorder="1" applyAlignment="1">
      <alignment horizontal="center"/>
    </xf>
    <xf numFmtId="165" fontId="0" fillId="4" borderId="70" xfId="0" applyNumberFormat="1" applyFill="1" applyBorder="1" applyAlignment="1">
      <alignment horizontal="center"/>
    </xf>
    <xf numFmtId="165" fontId="0" fillId="13" borderId="68" xfId="0" applyNumberFormat="1" applyFill="1" applyBorder="1" applyAlignment="1">
      <alignment horizontal="center"/>
    </xf>
    <xf numFmtId="165" fontId="0" fillId="13" borderId="70" xfId="0" applyNumberFormat="1" applyFill="1" applyBorder="1" applyAlignment="1">
      <alignment horizontal="center"/>
    </xf>
    <xf numFmtId="165" fontId="0" fillId="0" borderId="65" xfId="0" applyNumberFormat="1" applyBorder="1" applyAlignment="1">
      <alignment horizontal="center"/>
    </xf>
    <xf numFmtId="165" fontId="0" fillId="0" borderId="66" xfId="0" applyNumberFormat="1" applyBorder="1" applyAlignment="1">
      <alignment horizontal="center"/>
    </xf>
    <xf numFmtId="165" fontId="0" fillId="0" borderId="65" xfId="0" applyNumberFormat="1" applyBorder="1" applyAlignment="1">
      <alignment horizontal="left"/>
    </xf>
    <xf numFmtId="165" fontId="0" fillId="0" borderId="67" xfId="0" applyNumberFormat="1" applyBorder="1" applyAlignment="1">
      <alignment horizontal="left"/>
    </xf>
    <xf numFmtId="165" fontId="12" fillId="0" borderId="65" xfId="1" applyNumberFormat="1" applyFont="1" applyFill="1" applyBorder="1" applyAlignment="1">
      <alignment horizontal="left"/>
    </xf>
    <xf numFmtId="165" fontId="12" fillId="0" borderId="67" xfId="1" applyNumberFormat="1" applyFont="1" applyFill="1" applyBorder="1" applyAlignment="1">
      <alignment horizontal="left"/>
    </xf>
    <xf numFmtId="0" fontId="2" fillId="3" borderId="65" xfId="0" applyFont="1" applyFill="1" applyBorder="1" applyAlignment="1">
      <alignment horizontal="left"/>
    </xf>
    <xf numFmtId="0" fontId="2" fillId="3" borderId="72" xfId="0" applyFont="1" applyFill="1" applyBorder="1" applyAlignment="1">
      <alignment horizontal="left"/>
    </xf>
    <xf numFmtId="0" fontId="2" fillId="3" borderId="66" xfId="0" applyFont="1" applyFill="1" applyBorder="1" applyAlignment="1">
      <alignment horizontal="left"/>
    </xf>
    <xf numFmtId="165" fontId="0" fillId="0" borderId="64" xfId="0" applyNumberFormat="1" applyBorder="1" applyAlignment="1">
      <alignment horizontal="center"/>
    </xf>
    <xf numFmtId="0" fontId="0" fillId="0" borderId="62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63" xfId="0" applyBorder="1" applyAlignment="1">
      <alignment horizontal="left"/>
    </xf>
    <xf numFmtId="0" fontId="0" fillId="0" borderId="65" xfId="0" applyBorder="1" applyAlignment="1">
      <alignment horizontal="left"/>
    </xf>
    <xf numFmtId="0" fontId="0" fillId="0" borderId="72" xfId="0" applyBorder="1" applyAlignment="1">
      <alignment horizontal="left"/>
    </xf>
    <xf numFmtId="0" fontId="0" fillId="0" borderId="66" xfId="0" applyBorder="1" applyAlignment="1">
      <alignment horizontal="left"/>
    </xf>
  </cellXfs>
  <cellStyles count="7">
    <cellStyle name="Millares" xfId="2" builtinId="3"/>
    <cellStyle name="Millares [0] 2" xfId="5" xr:uid="{00000000-0005-0000-0000-000001000000}"/>
    <cellStyle name="Moneda" xfId="3" builtinId="4"/>
    <cellStyle name="Normal" xfId="0" builtinId="0"/>
    <cellStyle name="Normal 2" xfId="4" xr:uid="{00000000-0005-0000-0000-000004000000}"/>
    <cellStyle name="Porcentaje" xfId="1" builtinId="5"/>
    <cellStyle name="Porcentaje 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'PLAN FINANCIERO'!$A$21</c:f>
              <c:strCache>
                <c:ptCount val="1"/>
                <c:pt idx="0">
                  <c:v>Programadores</c:v>
                </c:pt>
              </c:strCache>
            </c:strRef>
          </c:tx>
          <c:invertIfNegative val="0"/>
          <c:cat>
            <c:strRef>
              <c:f>'PLAN FINANCIERO'!$D$20:$O$20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'PLAN FINANCIERO'!$D$21:$O$21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7363-4E97-ABF1-2C7136DDD907}"/>
            </c:ext>
          </c:extLst>
        </c:ser>
        <c:ser>
          <c:idx val="1"/>
          <c:order val="1"/>
          <c:tx>
            <c:strRef>
              <c:f>'PLAN FINANCIERO'!$A$22</c:f>
              <c:strCache>
                <c:ptCount val="1"/>
                <c:pt idx="0">
                  <c:v>Artista</c:v>
                </c:pt>
              </c:strCache>
            </c:strRef>
          </c:tx>
          <c:invertIfNegative val="0"/>
          <c:val>
            <c:numRef>
              <c:f>'PLAN FINANCIERO'!$D$22:$O$22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7363-4E97-ABF1-2C7136DDD907}"/>
            </c:ext>
          </c:extLst>
        </c:ser>
        <c:ser>
          <c:idx val="2"/>
          <c:order val="2"/>
          <c:tx>
            <c:strRef>
              <c:f>'PLAN FINANCIERO'!$A$23</c:f>
              <c:strCache>
                <c:ptCount val="1"/>
                <c:pt idx="0">
                  <c:v>Jefe de proyecto</c:v>
                </c:pt>
              </c:strCache>
            </c:strRef>
          </c:tx>
          <c:invertIfNegative val="0"/>
          <c:val>
            <c:numRef>
              <c:f>'PLAN FINANCIERO'!$D$23:$O$23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7363-4E97-ABF1-2C7136DDD907}"/>
            </c:ext>
          </c:extLst>
        </c:ser>
        <c:ser>
          <c:idx val="3"/>
          <c:order val="3"/>
          <c:tx>
            <c:strRef>
              <c:f>'PLAN FINANCIERO'!$A$24</c:f>
              <c:strCache>
                <c:ptCount val="1"/>
                <c:pt idx="0">
                  <c:v>Compositor</c:v>
                </c:pt>
              </c:strCache>
            </c:strRef>
          </c:tx>
          <c:invertIfNegative val="0"/>
          <c:val>
            <c:numRef>
              <c:f>'PLAN FINANCIERO'!$D$24:$O$24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7363-4E97-ABF1-2C7136DDD907}"/>
            </c:ext>
          </c:extLst>
        </c:ser>
        <c:ser>
          <c:idx val="4"/>
          <c:order val="4"/>
          <c:tx>
            <c:strRef>
              <c:f>'PLAN FINANCIERO'!$A$25</c:f>
              <c:strCache>
                <c:ptCount val="1"/>
                <c:pt idx="0">
                  <c:v>0</c:v>
                </c:pt>
              </c:strCache>
            </c:strRef>
          </c:tx>
          <c:invertIfNegative val="0"/>
          <c:val>
            <c:numRef>
              <c:f>'PLAN FINANCIERO'!$D$25:$O$25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7363-4E97-ABF1-2C7136DDD907}"/>
            </c:ext>
          </c:extLst>
        </c:ser>
        <c:ser>
          <c:idx val="5"/>
          <c:order val="5"/>
          <c:tx>
            <c:strRef>
              <c:f>'PLAN FINANCIERO'!$A$26</c:f>
              <c:strCache>
                <c:ptCount val="1"/>
                <c:pt idx="0">
                  <c:v>0</c:v>
                </c:pt>
              </c:strCache>
            </c:strRef>
          </c:tx>
          <c:invertIfNegative val="0"/>
          <c:val>
            <c:numRef>
              <c:f>'PLAN FINANCIERO'!$D$26:$O$26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7363-4E97-ABF1-2C7136DDD907}"/>
            </c:ext>
          </c:extLst>
        </c:ser>
        <c:ser>
          <c:idx val="6"/>
          <c:order val="6"/>
          <c:tx>
            <c:strRef>
              <c:f>'PLAN FINANCIERO'!$A$27:$C$27</c:f>
              <c:strCache>
                <c:ptCount val="3"/>
                <c:pt idx="0">
                  <c:v>0</c:v>
                </c:pt>
              </c:strCache>
            </c:strRef>
          </c:tx>
          <c:invertIfNegative val="0"/>
          <c:val>
            <c:numRef>
              <c:f>'PLAN FINANCIERO'!$D$27:$O$27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A14E-4A66-A544-820886273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968048"/>
        <c:axId val="112968592"/>
        <c:axId val="0"/>
      </c:bar3DChart>
      <c:catAx>
        <c:axId val="11296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968592"/>
        <c:crosses val="autoZero"/>
        <c:auto val="1"/>
        <c:lblAlgn val="ctr"/>
        <c:lblOffset val="100"/>
        <c:noMultiLvlLbl val="0"/>
      </c:catAx>
      <c:valAx>
        <c:axId val="1129685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1296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 FINANCIERO'!$B$71</c:f>
              <c:strCache>
                <c:ptCount val="1"/>
                <c:pt idx="0">
                  <c:v>COSTE ACUMULADO</c:v>
                </c:pt>
              </c:strCache>
            </c:strRef>
          </c:tx>
          <c:marker>
            <c:symbol val="none"/>
          </c:marker>
          <c:cat>
            <c:strRef>
              <c:f>'PLAN FINANCIERO'!$D$20:$O$20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'PLAN FINANCIERO'!$D$71:$O$71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1-4B0D-8D30-C15904CDC927}"/>
            </c:ext>
          </c:extLst>
        </c:ser>
        <c:ser>
          <c:idx val="1"/>
          <c:order val="1"/>
          <c:tx>
            <c:strRef>
              <c:f>'PLAN FINANCIERO'!$B$78</c:f>
              <c:strCache>
                <c:ptCount val="1"/>
                <c:pt idx="0">
                  <c:v>INGRESOS ACUMULADO</c:v>
                </c:pt>
              </c:strCache>
            </c:strRef>
          </c:tx>
          <c:marker>
            <c:symbol val="none"/>
          </c:marker>
          <c:val>
            <c:numRef>
              <c:f>'PLAN FINANCIERO'!$D$78:$O$78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1-4B0D-8D30-C15904CDC927}"/>
            </c:ext>
          </c:extLst>
        </c:ser>
        <c:ser>
          <c:idx val="2"/>
          <c:order val="2"/>
          <c:tx>
            <c:strRef>
              <c:f>'PLAN FINANCIERO'!$B$86</c:f>
              <c:strCache>
                <c:ptCount val="1"/>
                <c:pt idx="0">
                  <c:v>MARGEN ACUMULADO</c:v>
                </c:pt>
              </c:strCache>
            </c:strRef>
          </c:tx>
          <c:marker>
            <c:symbol val="none"/>
          </c:marker>
          <c:val>
            <c:numRef>
              <c:f>'PLAN FINANCIERO'!$D$86:$O$86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1-4B0D-8D30-C15904CDC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69680"/>
        <c:axId val="112975664"/>
      </c:lineChart>
      <c:catAx>
        <c:axId val="11296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975664"/>
        <c:crosses val="autoZero"/>
        <c:auto val="1"/>
        <c:lblAlgn val="ctr"/>
        <c:lblOffset val="100"/>
        <c:noMultiLvlLbl val="0"/>
      </c:catAx>
      <c:valAx>
        <c:axId val="11297566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2969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CIERRE!$H$19</c:f>
              <c:strCache>
                <c:ptCount val="1"/>
                <c:pt idx="0">
                  <c:v>TOTAL FINAL</c:v>
                </c:pt>
              </c:strCache>
            </c:strRef>
          </c:tx>
          <c:invertIfNegative val="0"/>
          <c:cat>
            <c:strRef>
              <c:f>(CIERRE!$C$20,CIERRE!$C$32,CIERRE!$C$43,CIERRE!$C$53,CIERRE!$C$67,CIERRE!$C$77,CIERRE!$C$79)</c:f>
              <c:strCache>
                <c:ptCount val="7"/>
                <c:pt idx="0">
                  <c:v>PERSONAL</c:v>
                </c:pt>
                <c:pt idx="1">
                  <c:v>SUBCONTRATACIONES</c:v>
                </c:pt>
                <c:pt idx="2">
                  <c:v>EQUIPAMIENTO</c:v>
                </c:pt>
                <c:pt idx="3">
                  <c:v>AMORTIZACION HW/SW</c:v>
                </c:pt>
                <c:pt idx="4">
                  <c:v>OTROS GASTOS</c:v>
                </c:pt>
                <c:pt idx="5">
                  <c:v>INGRESOS</c:v>
                </c:pt>
                <c:pt idx="6">
                  <c:v>FACTURACIÓN</c:v>
                </c:pt>
              </c:strCache>
            </c:strRef>
          </c:cat>
          <c:val>
            <c:numRef>
              <c:f>(CIERRE!$I$30,CIERRE!$H$40,CIERRE!$H$51,CIERRE!$I$65,CIERRE!$H$75,CIERRE!$H$94,CIERRE!$H$80)</c:f>
              <c:numCache>
                <c:formatCode>_-* #,##0.00\ [$€-C0A]_-;\-* #,##0.00\ [$€-C0A]_-;_-* "-"??\ [$€-C0A]_-;_-@_-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7-45DE-91F9-FC79323DBAF5}"/>
            </c:ext>
          </c:extLst>
        </c:ser>
        <c:ser>
          <c:idx val="1"/>
          <c:order val="1"/>
          <c:tx>
            <c:strRef>
              <c:f>CIERRE!$K$19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(CIERRE!$C$20,CIERRE!$C$32,CIERRE!$C$43,CIERRE!$C$53,CIERRE!$C$67,CIERRE!$C$77,CIERRE!$C$79)</c:f>
              <c:strCache>
                <c:ptCount val="7"/>
                <c:pt idx="0">
                  <c:v>PERSONAL</c:v>
                </c:pt>
                <c:pt idx="1">
                  <c:v>SUBCONTRATACIONES</c:v>
                </c:pt>
                <c:pt idx="2">
                  <c:v>EQUIPAMIENTO</c:v>
                </c:pt>
                <c:pt idx="3">
                  <c:v>AMORTIZACION HW/SW</c:v>
                </c:pt>
                <c:pt idx="4">
                  <c:v>OTROS GASTOS</c:v>
                </c:pt>
                <c:pt idx="5">
                  <c:v>INGRESOS</c:v>
                </c:pt>
                <c:pt idx="6">
                  <c:v>FACTURACIÓN</c:v>
                </c:pt>
              </c:strCache>
            </c:strRef>
          </c:cat>
          <c:val>
            <c:numRef>
              <c:f>(CIERRE!$L$30,CIERRE!$K$40,CIERRE!$K$51,CIERRE!$L$65,CIERRE!$K$75,CIERRE!$K$94,CIERRE!$K$80)</c:f>
              <c:numCache>
                <c:formatCode>_-* #,##0.00\ [$€-C0A]_-;\-* #,##0.00\ [$€-C0A]_-;_-* "-"??\ [$€-C0A]_-;_-@_-</c:formatCode>
                <c:ptCount val="7"/>
                <c:pt idx="0">
                  <c:v>-26029.897632000004</c:v>
                </c:pt>
                <c:pt idx="1">
                  <c:v>0</c:v>
                </c:pt>
                <c:pt idx="2">
                  <c:v>-8483.4</c:v>
                </c:pt>
                <c:pt idx="3">
                  <c:v>-807.31944444444446</c:v>
                </c:pt>
                <c:pt idx="4">
                  <c:v>0</c:v>
                </c:pt>
                <c:pt idx="5">
                  <c:v>-35320.617076444447</c:v>
                </c:pt>
                <c:pt idx="6">
                  <c:v>-43977.926366044449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7-45DE-91F9-FC79323DB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7986032"/>
        <c:axId val="2117985488"/>
        <c:axId val="0"/>
      </c:bar3DChart>
      <c:catAx>
        <c:axId val="2117986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17985488"/>
        <c:crosses val="autoZero"/>
        <c:auto val="1"/>
        <c:lblAlgn val="ctr"/>
        <c:lblOffset val="100"/>
        <c:noMultiLvlLbl val="0"/>
      </c:catAx>
      <c:valAx>
        <c:axId val="2117985488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11798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19</xdr:row>
      <xdr:rowOff>19049</xdr:rowOff>
    </xdr:from>
    <xdr:to>
      <xdr:col>13</xdr:col>
      <xdr:colOff>371475</xdr:colOff>
      <xdr:row>39</xdr:row>
      <xdr:rowOff>28574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13</xdr:col>
      <xdr:colOff>361950</xdr:colOff>
      <xdr:row>63</xdr:row>
      <xdr:rowOff>9525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101</xdr:row>
      <xdr:rowOff>0</xdr:rowOff>
    </xdr:from>
    <xdr:to>
      <xdr:col>12</xdr:col>
      <xdr:colOff>790575</xdr:colOff>
      <xdr:row>119</xdr:row>
      <xdr:rowOff>85725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ristal Campos Abad" id="{6FB4E775-F4C5-43FC-B331-922DD0C94894}" userId="763043bca0709730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7" dT="2023-07-18T22:09:38.53" personId="{6FB4E775-F4C5-43FC-B331-922DD0C94894}" id="{13C46FA2-1BC5-4296-9977-49A9078B1DF1}">
    <text xml:space="preserve">1400 al mes
</text>
  </threadedComment>
  <threadedComment ref="D11" dT="2023-07-18T21:53:01.89" personId="{6FB4E775-F4C5-43FC-B331-922DD0C94894}" id="{9224C858-38F1-407D-A1DE-862CBE3B4BBA}">
    <text xml:space="preserve">23%
</text>
  </threadedComment>
  <threadedComment ref="D12" dT="2023-07-18T21:56:27.09" personId="{6FB4E775-F4C5-43FC-B331-922DD0C94894}" id="{0DFA480A-514D-4EFD-8671-7B1F59136D2D}">
    <text>1800*4</text>
  </threadedComment>
  <threadedComment ref="D13" dT="2023-07-18T21:58:18.67" personId="{6FB4E775-F4C5-43FC-B331-922DD0C94894}" id="{578A37D9-9AC2-4AB6-AC7E-2C8E2E4097E5}">
    <text>https://www.bing.com/aclick?ld=e822HYJpFHM5_yu-RMKPx5YDVUCUyqLy50vCaQ3KiCxOilWKfVUYQkOH5i_dUkVy6QMVwf2Z8m-Ez5Qs61Tsejje5Zo79fKN68lq94bkQ8xwZxuw1oaCMvHHlzPpUFZkJZtxZIIChjIq4qoCqV6AgO4nbmAAUSccYR11fFXSUGs9CwfzFyoQLe-xEoX4urGHEqXvEhzQ&amp;u=aHR0cHMlM2ElMmYlMmZ3d3cubWVkaWFtYXJrdC5lcyUyZmVzJTJmcHJvZHVjdCUyZl90YWJsZXRhLWdyJTI1QzMlMjVBMWZpY2Etd2Fjb20tY2ludGlxLTE2LTE1LTYtbCUyNUMzJTI1QTFwaXotcHJvLXBlbi0yLWNyaXN0YWwtcHVsaWRvLXBhcmEtbWFjLW8tcGMtMTQ0NzM3NC5odG1sJTNmdXRtX3NvdXJjZSUzZGJpbmclMjZ1dG1fbWVkaXVtJTNkY3BjJTI2Z2NsaWQlM2RkYTRjODMyZjAxZWExNzk4NTM2ZGU3OTgwYjFhOTQyYyUyNmdjbGlkJTNkZGE0YzgzMmYwMWVhMTc5ODUzNmRlNzk4MGIxYTk0MmMlMjZnY2xzcmMlM2QzcC5kcyUyNiUyNiUyNiUyNiUyNmdjbGlkJTNkZGE0YzgzMmYwMWVhMTc5ODUzNmRlNzk4MGIxYTk0MmMlMjZnY2xzcmMlM2QzcC5kcyUyNmRzX3JsJTNkMTI4MDkwMiUyNm1zY2xraWQlM2RkYTRjODMyZjAxZWExNzk4NTM2ZGU3OTgwYjFhOTQyYyUyNnV0bV9zb3VyY2UlM2RiaW5nJTI2dXRtX21lZGl1bSUzZGNwYyUyNnV0bV9jYW1wYWlnbiUzZHJ0X3Nob3BwaW5nX2dlbmVyaWNfbnNwX25hX01NLUVTLVMtQi1DQVQtUExBLVBMQS1TRUNPTkRBUlkuQ0FURUdPUklFUy1BTEwtQUxMJTI2dXRtX3Rlcm0lM2Q0NTc2NjQ4NDUxNTI2NzcwJTI2dXRtX2NvbnRlbnQlM2RTZWNvbmRhcnklMjUyMGNhdGVnb3JpZXM&amp;rlid=da4c832f01ea1798536de7980b1a942c&amp;ntb=1</text>
    <extLst>
      <x:ext xmlns:xltc2="http://schemas.microsoft.com/office/spreadsheetml/2020/threadedcomments2" uri="{F7C98A9C-CBB3-438F-8F68-D28B6AF4A901}">
        <xltc2:checksum>255662318</xltc2:checksum>
        <xltc2:hyperlink startIndex="0" length="1137" url="https://www.bing.com/aclick?ld=e822HYJpFHM5_yu-RMKPx5YDVUCUyqLy50vCaQ3KiCxOilWKfVUYQkOH5i_dUkVy6QMVwf2Z8m-Ez5Qs61Tsejje5Zo79fKN68lq94bkQ8xwZxuw1oaCMvHHlzPpUFZkJZtxZIIChjIq4qoCqV6AgO4nbmAAUSccYR11fFXSUGs9CwfzFyoQLe-xEoX4urGHEqXvEhzQ&amp;u=aHR0cHMlM2ElMmYlMmZ3d3cubWVkaWFtYXJrdC5lcyUyZmVzJTJmcHJvZHVjdCUyZl90YWJsZXRhLWdyJTI1QzMlMjVBMWZpY2Etd2Fjb20tY2ludGlxLTE2LTE1LTYtbCUyNUMzJTI1QTFwaXotcHJvLXBlbi0yLWNyaXN0YWwtcHVsaWRvLXBhcmEtbWFjLW8tcGMtMTQ0NzM3NC5odG1sJTNmdXRtX3NvdXJjZSUzZGJpbmclMjZ1dG1fbWVkaXVtJTNkY3BjJTI2Z2NsaWQlM2RkYTRjODMyZjAxZWExNzk4NTM2ZGU3OTgwYjFhOTQyYyUyNmdjbGlkJTNkZGE0YzgzMmYwMWVhMTc5ODUzNmRlNzk4MGIxYTk0MmMlMjZnY2xzcmMlM2QzcC5kcyUyNiUyNiUyNiUyNiUyNmdjbGlkJTNkZGE0YzgzMmYwMWVhMTc5ODUzNmRlNzk4MGIxYTk0MmMlMjZnY2xzcmMlM2QzcC5kcyUyNmRzX3JsJTNkMTI4MDkwMiUyNm1zY2xraWQlM2RkYTRjODMyZjAxZWExNzk4NTM2ZGU3OTgwYjFhOTQyYyUyNnV0bV9zb3VyY2UlM2RiaW5nJTI2dXRtX21lZGl1bSUzZGNwYyUyNnV0bV9jYW1wYWlnbiUzZHJ0X3Nob3BwaW5nX2dlbmVyaWNfbnNwX25hX01NLUVTLVMtQi1DQVQtUExBLVBMQS1TRUNPTkRBUlkuQ0FURUdPUklFUy1BTEwtQUxMJTI2dXRtX3Rlcm0lM2Q0NTc2NjQ4NDUxNTI2NzcwJTI2dXRtX2NvbnRlbnQlM2RTZWNvbmRhcnklMjUyMGNhdGVnb3JpZXM&amp;rlid=da4c832f01ea1798536de7980b1a942c&amp;ntb=1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showGridLines="0" tabSelected="1" topLeftCell="D1" zoomScaleNormal="100" workbookViewId="0">
      <selection activeCell="H19" sqref="H19"/>
    </sheetView>
  </sheetViews>
  <sheetFormatPr baseColWidth="10" defaultRowHeight="14.4" x14ac:dyDescent="0.3"/>
  <cols>
    <col min="1" max="1" width="3.6640625" customWidth="1"/>
    <col min="2" max="2" width="50.6640625" customWidth="1"/>
    <col min="3" max="3" width="23.109375" customWidth="1"/>
    <col min="4" max="4" width="15.5546875" bestFit="1" customWidth="1"/>
    <col min="5" max="5" width="5.6640625" customWidth="1"/>
    <col min="6" max="6" width="50.6640625" customWidth="1"/>
    <col min="7" max="7" width="21.109375" customWidth="1"/>
    <col min="8" max="8" width="15.5546875" bestFit="1" customWidth="1"/>
  </cols>
  <sheetData>
    <row r="1" spans="1:15" ht="21" x14ac:dyDescent="0.4">
      <c r="A1" s="221" t="s">
        <v>110</v>
      </c>
      <c r="B1" s="221"/>
      <c r="C1" s="221"/>
      <c r="D1" s="221"/>
      <c r="E1" s="221"/>
      <c r="F1" s="221"/>
      <c r="G1" s="221"/>
      <c r="H1" s="221"/>
      <c r="I1" s="111"/>
      <c r="J1" s="111"/>
      <c r="K1" s="111"/>
      <c r="L1" s="111"/>
      <c r="M1" s="111"/>
      <c r="N1" s="111"/>
      <c r="O1" s="111"/>
    </row>
    <row r="3" spans="1:15" x14ac:dyDescent="0.3">
      <c r="B3" s="219" t="s">
        <v>15</v>
      </c>
      <c r="C3" s="219"/>
      <c r="D3" s="219"/>
      <c r="E3" s="219"/>
      <c r="F3" s="220"/>
      <c r="G3" s="205"/>
      <c r="H3" s="113">
        <f>+H23/D23</f>
        <v>0.13127487287676939</v>
      </c>
    </row>
    <row r="4" spans="1:15" ht="15" thickBot="1" x14ac:dyDescent="0.35"/>
    <row r="5" spans="1:15" x14ac:dyDescent="0.3">
      <c r="B5" s="217" t="s">
        <v>107</v>
      </c>
      <c r="C5" s="215"/>
      <c r="D5" s="218"/>
      <c r="F5" s="214" t="s">
        <v>109</v>
      </c>
      <c r="G5" s="215"/>
      <c r="H5" s="216"/>
    </row>
    <row r="6" spans="1:15" ht="29.4" thickBot="1" x14ac:dyDescent="0.35">
      <c r="B6" s="210" t="s">
        <v>34</v>
      </c>
      <c r="C6" s="211" t="s">
        <v>152</v>
      </c>
      <c r="D6" s="212" t="s">
        <v>108</v>
      </c>
      <c r="E6" s="3"/>
      <c r="F6" s="210" t="s">
        <v>34</v>
      </c>
      <c r="G6" s="211" t="s">
        <v>152</v>
      </c>
      <c r="H6" s="212" t="s">
        <v>108</v>
      </c>
    </row>
    <row r="7" spans="1:15" x14ac:dyDescent="0.3">
      <c r="B7" s="197" t="s">
        <v>153</v>
      </c>
      <c r="C7" s="207"/>
      <c r="D7" s="198">
        <v>89400</v>
      </c>
      <c r="F7" s="197" t="s">
        <v>161</v>
      </c>
      <c r="G7" s="207"/>
      <c r="H7" s="200">
        <f>1400 * 12</f>
        <v>16800</v>
      </c>
    </row>
    <row r="8" spans="1:15" x14ac:dyDescent="0.3">
      <c r="B8" s="199" t="s">
        <v>154</v>
      </c>
      <c r="C8" s="208"/>
      <c r="D8" s="200">
        <v>44650</v>
      </c>
      <c r="F8" s="199" t="s">
        <v>162</v>
      </c>
      <c r="G8" s="208"/>
      <c r="H8" s="200">
        <f>350*12</f>
        <v>4200</v>
      </c>
    </row>
    <row r="9" spans="1:15" x14ac:dyDescent="0.3">
      <c r="B9" s="199" t="s">
        <v>155</v>
      </c>
      <c r="C9" s="208"/>
      <c r="D9" s="200">
        <v>49099</v>
      </c>
      <c r="F9" s="199" t="s">
        <v>163</v>
      </c>
      <c r="G9" s="208"/>
      <c r="H9" s="200">
        <f>30*12</f>
        <v>360</v>
      </c>
    </row>
    <row r="10" spans="1:15" x14ac:dyDescent="0.3">
      <c r="B10" s="199" t="s">
        <v>156</v>
      </c>
      <c r="C10" s="208"/>
      <c r="D10" s="200">
        <v>28960</v>
      </c>
      <c r="F10" s="203" t="s">
        <v>164</v>
      </c>
      <c r="G10" s="206"/>
      <c r="H10" s="204">
        <f>100*12</f>
        <v>1200</v>
      </c>
    </row>
    <row r="11" spans="1:15" x14ac:dyDescent="0.3">
      <c r="B11" s="199" t="s">
        <v>157</v>
      </c>
      <c r="C11" s="208"/>
      <c r="D11" s="200">
        <f>(D7+D8+D9+D10)*0.23</f>
        <v>48785.07</v>
      </c>
      <c r="F11" s="199" t="s">
        <v>165</v>
      </c>
      <c r="G11" s="208"/>
      <c r="H11" s="200">
        <f>100*12</f>
        <v>1200</v>
      </c>
    </row>
    <row r="12" spans="1:15" x14ac:dyDescent="0.3">
      <c r="B12" s="199" t="s">
        <v>158</v>
      </c>
      <c r="C12" s="208"/>
      <c r="D12" s="200">
        <f>1800*4</f>
        <v>7200</v>
      </c>
      <c r="F12" s="199" t="s">
        <v>166</v>
      </c>
      <c r="G12" s="208"/>
      <c r="H12" s="200">
        <f>785*12</f>
        <v>9420</v>
      </c>
    </row>
    <row r="13" spans="1:15" x14ac:dyDescent="0.3">
      <c r="B13" s="199" t="s">
        <v>159</v>
      </c>
      <c r="C13" s="208"/>
      <c r="D13" s="200">
        <v>655</v>
      </c>
      <c r="F13" s="199" t="s">
        <v>167</v>
      </c>
      <c r="G13" s="208"/>
      <c r="H13" s="200">
        <f>50*12</f>
        <v>600</v>
      </c>
    </row>
    <row r="14" spans="1:15" x14ac:dyDescent="0.3">
      <c r="B14" s="199"/>
      <c r="C14" s="208"/>
      <c r="D14" s="200"/>
      <c r="F14" s="199" t="s">
        <v>168</v>
      </c>
      <c r="G14" s="208"/>
      <c r="H14" s="200">
        <f>125*12</f>
        <v>1500</v>
      </c>
    </row>
    <row r="15" spans="1:15" x14ac:dyDescent="0.3">
      <c r="B15" s="199"/>
      <c r="C15" s="208"/>
      <c r="D15" s="200"/>
      <c r="F15" s="199"/>
      <c r="G15" s="208"/>
      <c r="H15" s="200"/>
    </row>
    <row r="16" spans="1:15" x14ac:dyDescent="0.3">
      <c r="B16" s="199"/>
      <c r="C16" s="208"/>
      <c r="D16" s="200"/>
      <c r="F16" s="199"/>
      <c r="G16" s="208"/>
      <c r="H16" s="200"/>
    </row>
    <row r="17" spans="2:8" x14ac:dyDescent="0.3">
      <c r="B17" s="199"/>
      <c r="C17" s="208"/>
      <c r="D17" s="200"/>
      <c r="F17" s="199"/>
      <c r="G17" s="208"/>
      <c r="H17" s="200"/>
    </row>
    <row r="18" spans="2:8" x14ac:dyDescent="0.3">
      <c r="B18" s="199"/>
      <c r="C18" s="208"/>
      <c r="D18" s="200"/>
      <c r="F18" s="199"/>
      <c r="G18" s="208"/>
      <c r="H18" s="200"/>
    </row>
    <row r="19" spans="2:8" x14ac:dyDescent="0.3">
      <c r="B19" s="199"/>
      <c r="C19" s="208"/>
      <c r="D19" s="200"/>
      <c r="F19" s="199"/>
      <c r="G19" s="208"/>
      <c r="H19" s="200"/>
    </row>
    <row r="20" spans="2:8" x14ac:dyDescent="0.3">
      <c r="B20" s="199"/>
      <c r="C20" s="208"/>
      <c r="D20" s="200"/>
      <c r="F20" s="199"/>
      <c r="G20" s="208"/>
      <c r="H20" s="200"/>
    </row>
    <row r="21" spans="2:8" x14ac:dyDescent="0.3">
      <c r="B21" s="199"/>
      <c r="C21" s="208"/>
      <c r="D21" s="200"/>
      <c r="F21" s="199"/>
      <c r="G21" s="208"/>
      <c r="H21" s="200"/>
    </row>
    <row r="22" spans="2:8" ht="15" thickBot="1" x14ac:dyDescent="0.35">
      <c r="B22" s="201"/>
      <c r="C22" s="209"/>
      <c r="D22" s="202"/>
      <c r="F22" s="201"/>
      <c r="G22" s="209"/>
      <c r="H22" s="202"/>
    </row>
    <row r="23" spans="2:8" ht="15" thickBot="1" x14ac:dyDescent="0.35">
      <c r="B23" s="110" t="s">
        <v>46</v>
      </c>
      <c r="C23" s="110"/>
      <c r="D23" s="112">
        <f>SUM(D7:D22)</f>
        <v>268749.07</v>
      </c>
      <c r="F23" s="110" t="s">
        <v>46</v>
      </c>
      <c r="G23" s="110"/>
      <c r="H23" s="112">
        <f>SUM(H7:H22)</f>
        <v>35280</v>
      </c>
    </row>
  </sheetData>
  <mergeCells count="4">
    <mergeCell ref="F5:H5"/>
    <mergeCell ref="B5:D5"/>
    <mergeCell ref="B3:F3"/>
    <mergeCell ref="A1:H1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P98"/>
  <sheetViews>
    <sheetView showGridLines="0" topLeftCell="B65" zoomScale="85" zoomScaleNormal="85" workbookViewId="0">
      <selection activeCell="R16" sqref="R16"/>
    </sheetView>
  </sheetViews>
  <sheetFormatPr baseColWidth="10" defaultRowHeight="14.4" outlineLevelRow="1" x14ac:dyDescent="0.3"/>
  <cols>
    <col min="1" max="2" width="6.6640625" customWidth="1"/>
    <col min="3" max="3" width="12" bestFit="1" customWidth="1"/>
    <col min="6" max="6" width="12" bestFit="1" customWidth="1"/>
    <col min="11" max="11" width="12" bestFit="1" customWidth="1"/>
    <col min="12" max="12" width="14.5546875" bestFit="1" customWidth="1"/>
    <col min="13" max="13" width="12" bestFit="1" customWidth="1"/>
    <col min="14" max="14" width="13" bestFit="1" customWidth="1"/>
  </cols>
  <sheetData>
    <row r="1" spans="1:14" ht="21" x14ac:dyDescent="0.4">
      <c r="A1" s="221" t="s">
        <v>0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</row>
    <row r="3" spans="1:14" x14ac:dyDescent="0.3">
      <c r="A3" s="277" t="s">
        <v>4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</row>
    <row r="5" spans="1:14" x14ac:dyDescent="0.3">
      <c r="A5" s="276" t="s">
        <v>1</v>
      </c>
      <c r="B5" s="276"/>
      <c r="C5" s="278"/>
      <c r="D5" s="279"/>
      <c r="E5" s="279"/>
      <c r="F5" s="279"/>
      <c r="G5" s="279"/>
      <c r="H5" s="280"/>
      <c r="J5" s="276" t="s">
        <v>5</v>
      </c>
      <c r="K5" s="276"/>
      <c r="L5" s="287"/>
      <c r="M5" s="282"/>
      <c r="N5" s="283"/>
    </row>
    <row r="6" spans="1:14" x14ac:dyDescent="0.3">
      <c r="A6" t="s">
        <v>2</v>
      </c>
      <c r="C6" s="281"/>
      <c r="D6" s="282"/>
      <c r="E6" s="282"/>
      <c r="F6" s="282"/>
      <c r="G6" s="282"/>
      <c r="H6" s="283"/>
      <c r="J6" s="276" t="s">
        <v>6</v>
      </c>
      <c r="K6" s="276"/>
      <c r="L6" s="281"/>
      <c r="M6" s="282"/>
      <c r="N6" s="283"/>
    </row>
    <row r="7" spans="1:14" x14ac:dyDescent="0.3">
      <c r="C7" s="1"/>
    </row>
    <row r="8" spans="1:14" x14ac:dyDescent="0.3">
      <c r="A8" s="276" t="s">
        <v>3</v>
      </c>
      <c r="B8" s="276"/>
      <c r="C8" s="284">
        <v>44809</v>
      </c>
      <c r="D8" s="285"/>
      <c r="E8" s="285"/>
      <c r="F8" s="286"/>
      <c r="J8" s="276" t="s">
        <v>7</v>
      </c>
      <c r="K8" s="276"/>
      <c r="L8" s="284">
        <v>44921</v>
      </c>
      <c r="M8" s="288"/>
      <c r="N8" s="289"/>
    </row>
    <row r="9" spans="1:14" x14ac:dyDescent="0.3">
      <c r="C9" s="1"/>
      <c r="F9" s="2"/>
    </row>
    <row r="10" spans="1:14" x14ac:dyDescent="0.3">
      <c r="B10" s="3"/>
      <c r="J10" s="276" t="s">
        <v>8</v>
      </c>
      <c r="K10" s="276"/>
      <c r="L10" s="276"/>
      <c r="M10" s="22">
        <f>+N94</f>
        <v>43977.926366044449</v>
      </c>
      <c r="N10" s="4" t="s">
        <v>11</v>
      </c>
    </row>
    <row r="11" spans="1:14" x14ac:dyDescent="0.3">
      <c r="J11" s="276" t="s">
        <v>136</v>
      </c>
      <c r="K11" s="276"/>
      <c r="L11" s="276"/>
      <c r="M11" s="162">
        <f>+G31</f>
        <v>1432</v>
      </c>
      <c r="N11" s="4" t="s">
        <v>12</v>
      </c>
    </row>
    <row r="12" spans="1:14" x14ac:dyDescent="0.3">
      <c r="J12" s="276" t="s">
        <v>10</v>
      </c>
      <c r="K12" s="276"/>
      <c r="L12" s="276"/>
      <c r="M12" s="19">
        <f>100*(N94-N81)/N81</f>
        <v>24.510639977956721</v>
      </c>
      <c r="N12" s="4" t="s">
        <v>13</v>
      </c>
    </row>
    <row r="13" spans="1:14" ht="15" thickBot="1" x14ac:dyDescent="0.35"/>
    <row r="14" spans="1:14" ht="15" thickBot="1" x14ac:dyDescent="0.35">
      <c r="A14" s="270" t="s">
        <v>14</v>
      </c>
      <c r="B14" s="271"/>
      <c r="C14" s="271"/>
      <c r="D14" s="271"/>
      <c r="E14" s="271"/>
      <c r="F14" s="271"/>
      <c r="G14" s="271"/>
      <c r="H14" s="271"/>
      <c r="I14" s="271"/>
      <c r="J14" s="271"/>
      <c r="K14" s="271"/>
      <c r="L14" s="271"/>
      <c r="M14" s="271"/>
      <c r="N14" s="272"/>
    </row>
    <row r="15" spans="1:14" x14ac:dyDescent="0.3">
      <c r="C15" s="1"/>
      <c r="F15" s="1"/>
    </row>
    <row r="16" spans="1:14" x14ac:dyDescent="0.3">
      <c r="B16" s="18" t="s">
        <v>35</v>
      </c>
      <c r="C16" s="222" t="s">
        <v>16</v>
      </c>
      <c r="D16" s="222"/>
      <c r="E16" s="222"/>
      <c r="F16" s="222"/>
      <c r="G16" s="222"/>
      <c r="H16" s="222"/>
      <c r="I16" s="222"/>
      <c r="J16" s="222"/>
      <c r="K16" s="222"/>
      <c r="L16" s="222"/>
      <c r="M16" s="222"/>
      <c r="N16" s="222"/>
    </row>
    <row r="17" spans="3:14" outlineLevel="1" x14ac:dyDescent="0.3">
      <c r="C17" s="1"/>
      <c r="F17" s="1"/>
      <c r="J17" s="219" t="s">
        <v>15</v>
      </c>
      <c r="K17" s="219"/>
      <c r="L17" s="219"/>
      <c r="M17" s="220"/>
      <c r="N17" s="114">
        <f>+OVERHEAD!H3</f>
        <v>0.13127487287676939</v>
      </c>
    </row>
    <row r="18" spans="3:14" outlineLevel="1" x14ac:dyDescent="0.3">
      <c r="C18" s="1"/>
      <c r="F18" s="1"/>
      <c r="J18" s="219" t="s">
        <v>112</v>
      </c>
      <c r="K18" s="219"/>
      <c r="L18" s="219"/>
      <c r="M18" s="219"/>
      <c r="N18" s="117">
        <v>0.23</v>
      </c>
    </row>
    <row r="19" spans="3:14" outlineLevel="1" x14ac:dyDescent="0.3">
      <c r="C19" s="1"/>
      <c r="F19" s="1"/>
      <c r="J19" s="219" t="s">
        <v>123</v>
      </c>
      <c r="K19" s="219"/>
      <c r="L19" s="219"/>
      <c r="M19" s="219"/>
      <c r="N19" s="117">
        <v>0.06</v>
      </c>
    </row>
    <row r="20" spans="3:14" outlineLevel="1" x14ac:dyDescent="0.3"/>
    <row r="21" spans="3:14" outlineLevel="1" x14ac:dyDescent="0.3">
      <c r="C21" s="231" t="s">
        <v>16</v>
      </c>
      <c r="D21" s="239"/>
      <c r="E21" s="239"/>
      <c r="F21" s="239"/>
      <c r="G21" s="5" t="s">
        <v>17</v>
      </c>
      <c r="H21" s="233" t="s">
        <v>111</v>
      </c>
      <c r="I21" s="234"/>
      <c r="J21" s="290" t="s">
        <v>113</v>
      </c>
      <c r="K21" s="290"/>
      <c r="L21" s="5" t="s">
        <v>114</v>
      </c>
      <c r="M21" s="6" t="s">
        <v>115</v>
      </c>
      <c r="N21" s="6" t="s">
        <v>71</v>
      </c>
    </row>
    <row r="22" spans="3:14" outlineLevel="1" x14ac:dyDescent="0.3">
      <c r="C22" s="240" t="s">
        <v>153</v>
      </c>
      <c r="D22" s="241"/>
      <c r="E22" s="241"/>
      <c r="F22" s="242"/>
      <c r="G22" s="115">
        <v>912</v>
      </c>
      <c r="H22" s="293">
        <v>10.06</v>
      </c>
      <c r="I22" s="294"/>
      <c r="J22" s="250">
        <f t="shared" ref="J22:J29" si="0">+H22*$N$18</f>
        <v>2.3138000000000001</v>
      </c>
      <c r="K22" s="251"/>
      <c r="L22" s="34">
        <f>+(H22+J22)*$N$19</f>
        <v>0.74242800000000009</v>
      </c>
      <c r="M22" s="34">
        <f>+L22+J22+H22</f>
        <v>13.116228</v>
      </c>
      <c r="N22" s="118">
        <f>+M22*G22</f>
        <v>11961.999936</v>
      </c>
    </row>
    <row r="23" spans="3:14" outlineLevel="1" x14ac:dyDescent="0.3">
      <c r="C23" s="226" t="s">
        <v>154</v>
      </c>
      <c r="D23" s="227"/>
      <c r="E23" s="227"/>
      <c r="F23" s="228"/>
      <c r="G23" s="115">
        <v>296</v>
      </c>
      <c r="H23" s="291">
        <v>16.559999999999999</v>
      </c>
      <c r="I23" s="292"/>
      <c r="J23" s="229">
        <f t="shared" si="0"/>
        <v>3.8087999999999997</v>
      </c>
      <c r="K23" s="230"/>
      <c r="L23" s="35">
        <f t="shared" ref="L23:L29" si="1">+(H23+J23)*$N$19</f>
        <v>1.2221279999999999</v>
      </c>
      <c r="M23" s="35">
        <f t="shared" ref="M23:M29" si="2">+L23+J23+H23</f>
        <v>21.590927999999998</v>
      </c>
      <c r="N23" s="119">
        <f t="shared" ref="N23:N29" si="3">+M23*G23</f>
        <v>6390.9146879999998</v>
      </c>
    </row>
    <row r="24" spans="3:14" outlineLevel="1" x14ac:dyDescent="0.3">
      <c r="C24" s="226" t="s">
        <v>155</v>
      </c>
      <c r="D24" s="227"/>
      <c r="E24" s="227"/>
      <c r="F24" s="228"/>
      <c r="G24" s="115">
        <v>176</v>
      </c>
      <c r="H24" s="291">
        <v>30.78</v>
      </c>
      <c r="I24" s="292"/>
      <c r="J24" s="229">
        <f t="shared" si="0"/>
        <v>7.0794000000000006</v>
      </c>
      <c r="K24" s="230"/>
      <c r="L24" s="35">
        <f t="shared" si="1"/>
        <v>2.2715640000000001</v>
      </c>
      <c r="M24" s="35">
        <f t="shared" si="2"/>
        <v>40.130964000000006</v>
      </c>
      <c r="N24" s="119">
        <f t="shared" si="3"/>
        <v>7063.049664000001</v>
      </c>
    </row>
    <row r="25" spans="3:14" outlineLevel="1" x14ac:dyDescent="0.3">
      <c r="C25" s="226" t="s">
        <v>156</v>
      </c>
      <c r="D25" s="227"/>
      <c r="E25" s="227"/>
      <c r="F25" s="228"/>
      <c r="G25" s="115">
        <v>48</v>
      </c>
      <c r="H25" s="291">
        <v>9.81</v>
      </c>
      <c r="I25" s="292"/>
      <c r="J25" s="229">
        <f t="shared" si="0"/>
        <v>2.2563000000000004</v>
      </c>
      <c r="K25" s="230"/>
      <c r="L25" s="35">
        <f t="shared" si="1"/>
        <v>0.72397800000000012</v>
      </c>
      <c r="M25" s="35">
        <f t="shared" si="2"/>
        <v>12.790278000000001</v>
      </c>
      <c r="N25" s="119">
        <f t="shared" si="3"/>
        <v>613.93334400000003</v>
      </c>
    </row>
    <row r="26" spans="3:14" outlineLevel="1" x14ac:dyDescent="0.3">
      <c r="C26" s="192"/>
      <c r="D26" s="193"/>
      <c r="E26" s="193"/>
      <c r="F26" s="194"/>
      <c r="G26" s="115"/>
      <c r="H26" s="291"/>
      <c r="I26" s="292"/>
      <c r="J26" s="229">
        <f t="shared" si="0"/>
        <v>0</v>
      </c>
      <c r="K26" s="230"/>
      <c r="L26" s="35">
        <f t="shared" si="1"/>
        <v>0</v>
      </c>
      <c r="M26" s="35">
        <f t="shared" si="2"/>
        <v>0</v>
      </c>
      <c r="N26" s="119">
        <f t="shared" si="3"/>
        <v>0</v>
      </c>
    </row>
    <row r="27" spans="3:14" outlineLevel="1" x14ac:dyDescent="0.3">
      <c r="C27" s="226"/>
      <c r="D27" s="227"/>
      <c r="E27" s="227"/>
      <c r="F27" s="228"/>
      <c r="G27" s="115"/>
      <c r="H27" s="291"/>
      <c r="I27" s="292"/>
      <c r="J27" s="229">
        <f t="shared" si="0"/>
        <v>0</v>
      </c>
      <c r="K27" s="230"/>
      <c r="L27" s="35">
        <f t="shared" si="1"/>
        <v>0</v>
      </c>
      <c r="M27" s="35">
        <f t="shared" si="2"/>
        <v>0</v>
      </c>
      <c r="N27" s="119">
        <f t="shared" si="3"/>
        <v>0</v>
      </c>
    </row>
    <row r="28" spans="3:14" outlineLevel="1" x14ac:dyDescent="0.3">
      <c r="C28" s="226"/>
      <c r="D28" s="227"/>
      <c r="E28" s="227"/>
      <c r="F28" s="228"/>
      <c r="G28" s="115"/>
      <c r="H28" s="291"/>
      <c r="I28" s="292"/>
      <c r="J28" s="229">
        <f t="shared" si="0"/>
        <v>0</v>
      </c>
      <c r="K28" s="230"/>
      <c r="L28" s="35">
        <f t="shared" si="1"/>
        <v>0</v>
      </c>
      <c r="M28" s="35">
        <f t="shared" si="2"/>
        <v>0</v>
      </c>
      <c r="N28" s="119">
        <f t="shared" si="3"/>
        <v>0</v>
      </c>
    </row>
    <row r="29" spans="3:14" outlineLevel="1" x14ac:dyDescent="0.3">
      <c r="C29" s="245" t="s">
        <v>19</v>
      </c>
      <c r="D29" s="246"/>
      <c r="E29" s="246"/>
      <c r="F29" s="247"/>
      <c r="G29" s="116"/>
      <c r="H29" s="248"/>
      <c r="I29" s="249"/>
      <c r="J29" s="252">
        <f t="shared" si="0"/>
        <v>0</v>
      </c>
      <c r="K29" s="253"/>
      <c r="L29" s="36">
        <f t="shared" si="1"/>
        <v>0</v>
      </c>
      <c r="M29" s="36">
        <f t="shared" si="2"/>
        <v>0</v>
      </c>
      <c r="N29" s="120">
        <f t="shared" si="3"/>
        <v>0</v>
      </c>
    </row>
    <row r="30" spans="3:14" outlineLevel="1" x14ac:dyDescent="0.3"/>
    <row r="31" spans="3:14" x14ac:dyDescent="0.3">
      <c r="C31" s="235" t="s">
        <v>117</v>
      </c>
      <c r="D31" s="236"/>
      <c r="E31" s="236"/>
      <c r="F31" s="237"/>
      <c r="G31" s="124">
        <f>SUM(G22:G29)</f>
        <v>1432</v>
      </c>
      <c r="H31" s="238"/>
      <c r="I31" s="238"/>
      <c r="J31" s="128"/>
      <c r="K31" s="223" t="s">
        <v>118</v>
      </c>
      <c r="L31" s="224"/>
      <c r="M31" s="225"/>
      <c r="N31" s="129">
        <f>SUM(N22:N29)</f>
        <v>26029.897632000004</v>
      </c>
    </row>
    <row r="32" spans="3:14" collapsed="1" x14ac:dyDescent="0.3"/>
    <row r="33" spans="2:14" x14ac:dyDescent="0.3">
      <c r="B33" s="18" t="s">
        <v>37</v>
      </c>
      <c r="C33" s="222" t="s">
        <v>36</v>
      </c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22"/>
    </row>
    <row r="34" spans="2:14" x14ac:dyDescent="0.3">
      <c r="B34" s="18"/>
      <c r="C34" s="91"/>
      <c r="D34" s="91"/>
      <c r="E34" s="91"/>
      <c r="F34" s="91"/>
      <c r="G34" s="91"/>
      <c r="H34" s="91"/>
      <c r="I34" s="219" t="s">
        <v>124</v>
      </c>
      <c r="J34" s="219"/>
      <c r="K34" s="219"/>
      <c r="L34" s="219"/>
      <c r="M34" s="220"/>
      <c r="N34" s="117"/>
    </row>
    <row r="35" spans="2:14" outlineLevel="1" x14ac:dyDescent="0.3"/>
    <row r="36" spans="2:14" outlineLevel="1" x14ac:dyDescent="0.3">
      <c r="C36" s="231" t="s">
        <v>21</v>
      </c>
      <c r="D36" s="232"/>
      <c r="E36" s="231" t="s">
        <v>24</v>
      </c>
      <c r="F36" s="239"/>
      <c r="G36" s="239"/>
      <c r="H36" s="232"/>
      <c r="I36" s="5" t="s">
        <v>23</v>
      </c>
      <c r="J36" s="233" t="s">
        <v>22</v>
      </c>
      <c r="K36" s="234"/>
      <c r="L36" s="5" t="s">
        <v>125</v>
      </c>
      <c r="M36" s="5" t="s">
        <v>116</v>
      </c>
      <c r="N36" s="6" t="s">
        <v>71</v>
      </c>
    </row>
    <row r="37" spans="2:14" outlineLevel="1" x14ac:dyDescent="0.3">
      <c r="C37" s="226"/>
      <c r="D37" s="228"/>
      <c r="E37" s="240"/>
      <c r="F37" s="241"/>
      <c r="G37" s="241"/>
      <c r="H37" s="242"/>
      <c r="I37" s="11"/>
      <c r="J37" s="243"/>
      <c r="K37" s="244"/>
      <c r="L37" s="34">
        <f>+J37*$N$34</f>
        <v>0</v>
      </c>
      <c r="M37" s="121">
        <f>+L37+J37</f>
        <v>0</v>
      </c>
      <c r="N37" s="118">
        <f>+I37*M37</f>
        <v>0</v>
      </c>
    </row>
    <row r="38" spans="2:14" outlineLevel="1" x14ac:dyDescent="0.3">
      <c r="C38" s="226"/>
      <c r="D38" s="228"/>
      <c r="E38" s="226"/>
      <c r="F38" s="227"/>
      <c r="G38" s="227"/>
      <c r="H38" s="228"/>
      <c r="I38" s="11"/>
      <c r="J38" s="243"/>
      <c r="K38" s="244"/>
      <c r="L38" s="35">
        <f t="shared" ref="L38:L40" si="4">+J38*$N$34</f>
        <v>0</v>
      </c>
      <c r="M38" s="122">
        <f t="shared" ref="M38:M40" si="5">+L38+J38</f>
        <v>0</v>
      </c>
      <c r="N38" s="119">
        <f t="shared" ref="N38:N40" si="6">+I38*M38</f>
        <v>0</v>
      </c>
    </row>
    <row r="39" spans="2:14" outlineLevel="1" x14ac:dyDescent="0.3">
      <c r="C39" s="226"/>
      <c r="D39" s="228"/>
      <c r="E39" s="226"/>
      <c r="F39" s="227"/>
      <c r="G39" s="227"/>
      <c r="H39" s="228"/>
      <c r="I39" s="11"/>
      <c r="J39" s="243"/>
      <c r="K39" s="244"/>
      <c r="L39" s="35">
        <f t="shared" si="4"/>
        <v>0</v>
      </c>
      <c r="M39" s="122">
        <f t="shared" si="5"/>
        <v>0</v>
      </c>
      <c r="N39" s="119">
        <f t="shared" si="6"/>
        <v>0</v>
      </c>
    </row>
    <row r="40" spans="2:14" outlineLevel="1" x14ac:dyDescent="0.3">
      <c r="C40" s="245" t="s">
        <v>19</v>
      </c>
      <c r="D40" s="247"/>
      <c r="E40" s="257"/>
      <c r="F40" s="258"/>
      <c r="G40" s="258"/>
      <c r="H40" s="259"/>
      <c r="I40" s="8"/>
      <c r="J40" s="9"/>
      <c r="K40" s="10"/>
      <c r="L40" s="36">
        <f t="shared" si="4"/>
        <v>0</v>
      </c>
      <c r="M40" s="123">
        <f t="shared" si="5"/>
        <v>0</v>
      </c>
      <c r="N40" s="120">
        <f t="shared" si="6"/>
        <v>0</v>
      </c>
    </row>
    <row r="41" spans="2:14" outlineLevel="1" x14ac:dyDescent="0.3"/>
    <row r="42" spans="2:14" x14ac:dyDescent="0.3">
      <c r="C42" s="219"/>
      <c r="D42" s="219"/>
      <c r="E42" s="219"/>
      <c r="F42" s="219"/>
      <c r="G42" s="219"/>
      <c r="H42" s="219"/>
      <c r="I42" s="126"/>
      <c r="J42" s="127"/>
      <c r="K42" s="223" t="s">
        <v>121</v>
      </c>
      <c r="L42" s="224"/>
      <c r="M42" s="225"/>
      <c r="N42" s="37">
        <f>SUM(N37:N40)</f>
        <v>0</v>
      </c>
    </row>
    <row r="44" spans="2:14" x14ac:dyDescent="0.3">
      <c r="B44" s="18" t="s">
        <v>38</v>
      </c>
      <c r="C44" s="222" t="s">
        <v>39</v>
      </c>
      <c r="D44" s="222"/>
      <c r="E44" s="222"/>
      <c r="F44" s="222"/>
      <c r="G44" s="222"/>
      <c r="H44" s="222"/>
      <c r="I44" s="222"/>
      <c r="J44" s="222"/>
      <c r="K44" s="222"/>
      <c r="L44" s="222"/>
      <c r="M44" s="222"/>
      <c r="N44" s="222"/>
    </row>
    <row r="45" spans="2:14" x14ac:dyDescent="0.3">
      <c r="B45" s="18"/>
      <c r="C45" s="91"/>
      <c r="D45" s="91"/>
      <c r="E45" s="91"/>
      <c r="F45" s="91"/>
      <c r="G45" s="91"/>
      <c r="H45" s="91"/>
      <c r="I45" s="91"/>
      <c r="J45" s="219" t="s">
        <v>122</v>
      </c>
      <c r="K45" s="219"/>
      <c r="L45" s="219"/>
      <c r="M45" s="219"/>
      <c r="N45" s="117">
        <v>0.08</v>
      </c>
    </row>
    <row r="46" spans="2:14" outlineLevel="1" x14ac:dyDescent="0.3"/>
    <row r="47" spans="2:14" outlineLevel="1" x14ac:dyDescent="0.3">
      <c r="C47" s="231" t="s">
        <v>25</v>
      </c>
      <c r="D47" s="232"/>
      <c r="E47" s="231" t="s">
        <v>26</v>
      </c>
      <c r="F47" s="239"/>
      <c r="G47" s="239"/>
      <c r="H47" s="232"/>
      <c r="I47" s="5" t="s">
        <v>23</v>
      </c>
      <c r="J47" s="233" t="s">
        <v>22</v>
      </c>
      <c r="K47" s="234"/>
      <c r="L47" s="5" t="s">
        <v>125</v>
      </c>
      <c r="M47" s="5" t="s">
        <v>116</v>
      </c>
      <c r="N47" s="6" t="s">
        <v>71</v>
      </c>
    </row>
    <row r="48" spans="2:14" outlineLevel="1" x14ac:dyDescent="0.3">
      <c r="C48" s="240" t="s">
        <v>158</v>
      </c>
      <c r="D48" s="242"/>
      <c r="E48" s="240"/>
      <c r="F48" s="241"/>
      <c r="G48" s="241"/>
      <c r="H48" s="242"/>
      <c r="I48" s="11">
        <v>4</v>
      </c>
      <c r="J48" s="243">
        <v>1800</v>
      </c>
      <c r="K48" s="244"/>
      <c r="L48" s="34">
        <f>+J48*$N$45</f>
        <v>144</v>
      </c>
      <c r="M48" s="121">
        <f>+L48+J48</f>
        <v>1944</v>
      </c>
      <c r="N48" s="118">
        <f>+M48*I48</f>
        <v>7776</v>
      </c>
    </row>
    <row r="49" spans="2:16" outlineLevel="1" x14ac:dyDescent="0.3">
      <c r="C49" s="226" t="s">
        <v>159</v>
      </c>
      <c r="D49" s="228"/>
      <c r="E49" s="226"/>
      <c r="F49" s="227"/>
      <c r="G49" s="227"/>
      <c r="H49" s="228"/>
      <c r="I49" s="11">
        <v>1</v>
      </c>
      <c r="J49" s="243">
        <v>655</v>
      </c>
      <c r="K49" s="244"/>
      <c r="L49" s="35">
        <f t="shared" ref="L49:L51" si="7">+J49*$N$45</f>
        <v>52.4</v>
      </c>
      <c r="M49" s="122">
        <f t="shared" ref="M49:M51" si="8">+L49+J49</f>
        <v>707.4</v>
      </c>
      <c r="N49" s="119">
        <f t="shared" ref="N49:N51" si="9">+M49*I49</f>
        <v>707.4</v>
      </c>
    </row>
    <row r="50" spans="2:16" outlineLevel="1" x14ac:dyDescent="0.3">
      <c r="C50" s="226"/>
      <c r="D50" s="228"/>
      <c r="E50" s="226"/>
      <c r="F50" s="227"/>
      <c r="G50" s="227"/>
      <c r="H50" s="228"/>
      <c r="I50" s="11"/>
      <c r="J50" s="243"/>
      <c r="K50" s="244"/>
      <c r="L50" s="35">
        <f t="shared" si="7"/>
        <v>0</v>
      </c>
      <c r="M50" s="122">
        <f t="shared" si="8"/>
        <v>0</v>
      </c>
      <c r="N50" s="119">
        <f t="shared" si="9"/>
        <v>0</v>
      </c>
    </row>
    <row r="51" spans="2:16" outlineLevel="1" x14ac:dyDescent="0.3">
      <c r="C51" s="245" t="s">
        <v>19</v>
      </c>
      <c r="D51" s="247"/>
      <c r="E51" s="257"/>
      <c r="F51" s="258"/>
      <c r="G51" s="258"/>
      <c r="H51" s="259"/>
      <c r="I51" s="8"/>
      <c r="J51" s="9"/>
      <c r="K51" s="10"/>
      <c r="L51" s="36">
        <f t="shared" si="7"/>
        <v>0</v>
      </c>
      <c r="M51" s="123">
        <f t="shared" si="8"/>
        <v>0</v>
      </c>
      <c r="N51" s="120">
        <f t="shared" si="9"/>
        <v>0</v>
      </c>
    </row>
    <row r="52" spans="2:16" outlineLevel="1" x14ac:dyDescent="0.3"/>
    <row r="53" spans="2:16" x14ac:dyDescent="0.3">
      <c r="C53" s="219"/>
      <c r="D53" s="219"/>
      <c r="E53" s="219"/>
      <c r="F53" s="219"/>
      <c r="G53" s="219"/>
      <c r="H53" s="219"/>
      <c r="I53" s="126"/>
      <c r="J53" s="127"/>
      <c r="K53" s="223" t="s">
        <v>119</v>
      </c>
      <c r="L53" s="224"/>
      <c r="M53" s="225"/>
      <c r="N53" s="37">
        <f>SUM(N48:N51)</f>
        <v>8483.4</v>
      </c>
    </row>
    <row r="55" spans="2:16" x14ac:dyDescent="0.3">
      <c r="B55" s="18" t="s">
        <v>40</v>
      </c>
      <c r="C55" s="222" t="s">
        <v>69</v>
      </c>
      <c r="D55" s="222"/>
      <c r="E55" s="222"/>
      <c r="F55" s="222"/>
      <c r="G55" s="222"/>
      <c r="H55" s="222"/>
      <c r="I55" s="222"/>
      <c r="J55" s="222"/>
      <c r="K55" s="222"/>
      <c r="L55" s="222"/>
      <c r="M55" s="222"/>
      <c r="N55" s="222"/>
    </row>
    <row r="56" spans="2:16" outlineLevel="1" x14ac:dyDescent="0.3"/>
    <row r="57" spans="2:16" outlineLevel="1" x14ac:dyDescent="0.3">
      <c r="C57" s="6" t="s">
        <v>126</v>
      </c>
      <c r="D57" s="125" t="s">
        <v>127</v>
      </c>
      <c r="E57" s="5" t="s">
        <v>30</v>
      </c>
      <c r="F57" s="5" t="s">
        <v>27</v>
      </c>
      <c r="G57" s="5" t="s">
        <v>28</v>
      </c>
      <c r="H57" s="5" t="s">
        <v>23</v>
      </c>
      <c r="I57" s="5" t="s">
        <v>31</v>
      </c>
      <c r="J57" s="5" t="s">
        <v>129</v>
      </c>
      <c r="K57" s="5" t="s">
        <v>151</v>
      </c>
      <c r="L57" s="5" t="s">
        <v>29</v>
      </c>
      <c r="M57" s="5" t="s">
        <v>130</v>
      </c>
      <c r="N57" s="6" t="s">
        <v>71</v>
      </c>
      <c r="P57" s="102"/>
    </row>
    <row r="58" spans="2:16" outlineLevel="1" x14ac:dyDescent="0.3">
      <c r="C58" s="195" t="s">
        <v>158</v>
      </c>
      <c r="D58" s="196" t="s">
        <v>160</v>
      </c>
      <c r="E58" s="133">
        <v>1800</v>
      </c>
      <c r="F58" s="13">
        <v>44808</v>
      </c>
      <c r="G58" s="13">
        <v>45904</v>
      </c>
      <c r="H58" s="7">
        <v>4</v>
      </c>
      <c r="I58" s="15">
        <f>IF(OR(F58="",G58=""),0,E58/DAYS360(F58,G58,TRUE))</f>
        <v>1.6666666666666667</v>
      </c>
      <c r="J58" s="13">
        <v>44809</v>
      </c>
      <c r="K58" s="13">
        <v>44921</v>
      </c>
      <c r="L58" s="135">
        <f t="shared" ref="L58:L60" si="10">IF(J58&gt;=G58,0,DAYS360(MAX(F58,J58),MIN(G58,K58),TRUE))</f>
        <v>111</v>
      </c>
      <c r="M58" s="134">
        <v>1</v>
      </c>
      <c r="N58" s="118">
        <f>+L58*I58*H58*M58</f>
        <v>740</v>
      </c>
    </row>
    <row r="59" spans="2:16" outlineLevel="1" x14ac:dyDescent="0.3">
      <c r="C59" s="195" t="s">
        <v>159</v>
      </c>
      <c r="D59" s="196" t="s">
        <v>160</v>
      </c>
      <c r="E59" s="133">
        <v>655</v>
      </c>
      <c r="F59" s="13">
        <v>44808</v>
      </c>
      <c r="G59" s="13">
        <v>45904</v>
      </c>
      <c r="H59" s="7">
        <v>1</v>
      </c>
      <c r="I59" s="15">
        <f>IF(OR(F59="",G59=""),0,E59/DAYS360(F59,G59,TRUE))</f>
        <v>0.60648148148148151</v>
      </c>
      <c r="J59" s="13">
        <v>44809</v>
      </c>
      <c r="K59" s="13">
        <v>44921</v>
      </c>
      <c r="L59" s="135">
        <f t="shared" si="10"/>
        <v>111</v>
      </c>
      <c r="M59" s="134">
        <v>1</v>
      </c>
      <c r="N59" s="119">
        <f t="shared" ref="N59:N65" si="11">+L59*I59*H59*M59</f>
        <v>67.319444444444443</v>
      </c>
    </row>
    <row r="60" spans="2:16" outlineLevel="1" x14ac:dyDescent="0.3">
      <c r="C60" s="195"/>
      <c r="D60" s="196"/>
      <c r="E60" s="133"/>
      <c r="F60" s="13"/>
      <c r="G60" s="13"/>
      <c r="H60" s="7"/>
      <c r="I60" s="15">
        <f t="shared" ref="I60:I65" si="12">IF(OR(F60="",G60=""),0,E60/DAYS360(F60,G60,TRUE))</f>
        <v>0</v>
      </c>
      <c r="J60" s="13"/>
      <c r="K60" s="13"/>
      <c r="L60" s="135">
        <f t="shared" si="10"/>
        <v>0</v>
      </c>
      <c r="M60" s="134"/>
      <c r="N60" s="119">
        <f t="shared" si="11"/>
        <v>0</v>
      </c>
    </row>
    <row r="61" spans="2:16" outlineLevel="1" x14ac:dyDescent="0.3">
      <c r="C61" s="195"/>
      <c r="D61" s="196"/>
      <c r="E61" s="133"/>
      <c r="F61" s="13"/>
      <c r="G61" s="13"/>
      <c r="H61" s="7"/>
      <c r="I61" s="15">
        <f t="shared" si="12"/>
        <v>0</v>
      </c>
      <c r="J61" s="13"/>
      <c r="K61" s="13"/>
      <c r="L61" s="135">
        <f>IF(J61&gt;=G61,0,DAYS360(MAX(F61,J61),MIN(G61,K61),TRUE))</f>
        <v>0</v>
      </c>
      <c r="M61" s="134"/>
      <c r="N61" s="119">
        <f t="shared" si="11"/>
        <v>0</v>
      </c>
    </row>
    <row r="62" spans="2:16" outlineLevel="1" x14ac:dyDescent="0.3">
      <c r="C62" s="195"/>
      <c r="D62" s="196"/>
      <c r="E62" s="133"/>
      <c r="F62" s="13"/>
      <c r="G62" s="13"/>
      <c r="H62" s="7"/>
      <c r="I62" s="15">
        <f t="shared" si="12"/>
        <v>0</v>
      </c>
      <c r="J62" s="13"/>
      <c r="K62" s="13"/>
      <c r="L62" s="135">
        <f t="shared" ref="L62:L65" si="13">IF(J62&gt;=G62,0,DAYS360(MAX(F62,J62),MIN(G62,K62),TRUE))</f>
        <v>0</v>
      </c>
      <c r="M62" s="134"/>
      <c r="N62" s="119">
        <f t="shared" si="11"/>
        <v>0</v>
      </c>
    </row>
    <row r="63" spans="2:16" outlineLevel="1" x14ac:dyDescent="0.3">
      <c r="C63" s="195"/>
      <c r="D63" s="196"/>
      <c r="E63" s="133"/>
      <c r="F63" s="13"/>
      <c r="G63" s="13"/>
      <c r="H63" s="7"/>
      <c r="I63" s="15">
        <f t="shared" si="12"/>
        <v>0</v>
      </c>
      <c r="J63" s="13"/>
      <c r="K63" s="13"/>
      <c r="L63" s="135">
        <f t="shared" si="13"/>
        <v>0</v>
      </c>
      <c r="M63" s="134"/>
      <c r="N63" s="119">
        <f t="shared" si="11"/>
        <v>0</v>
      </c>
    </row>
    <row r="64" spans="2:16" outlineLevel="1" x14ac:dyDescent="0.3">
      <c r="C64" s="195"/>
      <c r="D64" s="196"/>
      <c r="E64" s="133"/>
      <c r="F64" s="13"/>
      <c r="G64" s="13"/>
      <c r="H64" s="7"/>
      <c r="I64" s="15">
        <f t="shared" si="12"/>
        <v>0</v>
      </c>
      <c r="J64" s="13"/>
      <c r="K64" s="13"/>
      <c r="L64" s="135">
        <f t="shared" si="13"/>
        <v>0</v>
      </c>
      <c r="M64" s="134"/>
      <c r="N64" s="119">
        <f t="shared" si="11"/>
        <v>0</v>
      </c>
    </row>
    <row r="65" spans="2:16" outlineLevel="1" x14ac:dyDescent="0.3">
      <c r="C65" s="132" t="s">
        <v>128</v>
      </c>
      <c r="D65" s="131"/>
      <c r="E65" s="12"/>
      <c r="F65" s="14"/>
      <c r="G65" s="14"/>
      <c r="H65" s="8"/>
      <c r="I65" s="16">
        <f t="shared" si="12"/>
        <v>0</v>
      </c>
      <c r="J65" s="14"/>
      <c r="K65" s="14"/>
      <c r="L65" s="136">
        <f t="shared" si="13"/>
        <v>0</v>
      </c>
      <c r="M65" s="8"/>
      <c r="N65" s="146">
        <f t="shared" si="11"/>
        <v>0</v>
      </c>
    </row>
    <row r="66" spans="2:16" outlineLevel="1" x14ac:dyDescent="0.3"/>
    <row r="67" spans="2:16" x14ac:dyDescent="0.3">
      <c r="C67" s="219"/>
      <c r="D67" s="219"/>
      <c r="E67" s="219"/>
      <c r="F67" s="219"/>
      <c r="G67" s="219"/>
      <c r="H67" s="219"/>
      <c r="I67" s="126"/>
      <c r="J67" s="127"/>
      <c r="K67" s="223" t="s">
        <v>120</v>
      </c>
      <c r="L67" s="224"/>
      <c r="M67" s="225"/>
      <c r="N67" s="37">
        <f>SUM(N58:N65)</f>
        <v>807.31944444444446</v>
      </c>
    </row>
    <row r="69" spans="2:16" x14ac:dyDescent="0.3">
      <c r="B69" s="18" t="s">
        <v>42</v>
      </c>
      <c r="C69" s="222" t="s">
        <v>41</v>
      </c>
      <c r="D69" s="222"/>
      <c r="E69" s="222"/>
      <c r="F69" s="222"/>
      <c r="G69" s="222"/>
      <c r="H69" s="222"/>
      <c r="I69" s="222"/>
      <c r="J69" s="222"/>
      <c r="K69" s="222"/>
      <c r="L69" s="222"/>
      <c r="M69" s="222"/>
      <c r="N69" s="222"/>
    </row>
    <row r="70" spans="2:16" x14ac:dyDescent="0.3">
      <c r="B70" s="18"/>
      <c r="C70" s="91"/>
      <c r="D70" s="91"/>
      <c r="E70" s="91"/>
      <c r="F70" s="91"/>
      <c r="G70" s="91"/>
      <c r="H70" s="91"/>
      <c r="I70" s="91"/>
      <c r="J70" s="219" t="s">
        <v>131</v>
      </c>
      <c r="K70" s="219"/>
      <c r="L70" s="219"/>
      <c r="M70" s="219"/>
      <c r="N70" s="117"/>
    </row>
    <row r="71" spans="2:16" outlineLevel="1" x14ac:dyDescent="0.3"/>
    <row r="72" spans="2:16" outlineLevel="1" x14ac:dyDescent="0.3">
      <c r="C72" s="273" t="s">
        <v>32</v>
      </c>
      <c r="D72" s="274"/>
      <c r="E72" s="274"/>
      <c r="F72" s="274"/>
      <c r="G72" s="274"/>
      <c r="H72" s="274"/>
      <c r="I72" s="274"/>
      <c r="J72" s="275"/>
      <c r="K72" s="5" t="s">
        <v>23</v>
      </c>
      <c r="L72" s="5" t="s">
        <v>132</v>
      </c>
      <c r="M72" s="5" t="s">
        <v>125</v>
      </c>
      <c r="N72" s="6" t="s">
        <v>71</v>
      </c>
    </row>
    <row r="73" spans="2:16" outlineLevel="1" x14ac:dyDescent="0.3">
      <c r="C73" s="260"/>
      <c r="D73" s="261"/>
      <c r="E73" s="261"/>
      <c r="F73" s="261"/>
      <c r="G73" s="261"/>
      <c r="H73" s="261"/>
      <c r="I73" s="261"/>
      <c r="J73" s="262"/>
      <c r="K73" s="17"/>
      <c r="L73" s="38"/>
      <c r="M73" s="121">
        <f>L73*$N$70</f>
        <v>0</v>
      </c>
      <c r="N73" s="143">
        <f>+K73*(L73+M73)</f>
        <v>0</v>
      </c>
    </row>
    <row r="74" spans="2:16" outlineLevel="1" x14ac:dyDescent="0.3">
      <c r="C74" s="263"/>
      <c r="D74" s="264"/>
      <c r="E74" s="264"/>
      <c r="F74" s="264"/>
      <c r="G74" s="264"/>
      <c r="H74" s="264"/>
      <c r="I74" s="264"/>
      <c r="J74" s="265"/>
      <c r="K74" s="7"/>
      <c r="L74" s="39"/>
      <c r="M74" s="122">
        <f t="shared" ref="M74:M77" si="14">L74*$N$70</f>
        <v>0</v>
      </c>
      <c r="N74" s="144">
        <f t="shared" ref="N74:N77" si="15">+K74*(L74+M74)</f>
        <v>0</v>
      </c>
    </row>
    <row r="75" spans="2:16" outlineLevel="1" x14ac:dyDescent="0.3">
      <c r="C75" s="226"/>
      <c r="D75" s="227"/>
      <c r="E75" s="227"/>
      <c r="F75" s="227"/>
      <c r="G75" s="227"/>
      <c r="H75" s="227"/>
      <c r="I75" s="227"/>
      <c r="J75" s="228"/>
      <c r="K75" s="7"/>
      <c r="L75" s="39"/>
      <c r="M75" s="122">
        <f t="shared" si="14"/>
        <v>0</v>
      </c>
      <c r="N75" s="144">
        <f t="shared" ref="N75" si="16">+K75*(L75+M75)</f>
        <v>0</v>
      </c>
    </row>
    <row r="76" spans="2:16" outlineLevel="1" x14ac:dyDescent="0.3">
      <c r="C76" s="263"/>
      <c r="D76" s="264"/>
      <c r="E76" s="264"/>
      <c r="F76" s="264"/>
      <c r="G76" s="264"/>
      <c r="H76" s="264"/>
      <c r="I76" s="264"/>
      <c r="J76" s="265"/>
      <c r="K76" s="7"/>
      <c r="L76" s="39"/>
      <c r="M76" s="122">
        <f t="shared" si="14"/>
        <v>0</v>
      </c>
      <c r="N76" s="144">
        <f t="shared" si="15"/>
        <v>0</v>
      </c>
      <c r="P76" s="3"/>
    </row>
    <row r="77" spans="2:16" outlineLevel="1" x14ac:dyDescent="0.3">
      <c r="C77" s="245" t="s">
        <v>19</v>
      </c>
      <c r="D77" s="246"/>
      <c r="E77" s="246"/>
      <c r="F77" s="246"/>
      <c r="G77" s="246"/>
      <c r="H77" s="246"/>
      <c r="I77" s="246"/>
      <c r="J77" s="247"/>
      <c r="K77" s="8"/>
      <c r="L77" s="40"/>
      <c r="M77" s="137">
        <f t="shared" si="14"/>
        <v>0</v>
      </c>
      <c r="N77" s="145">
        <f t="shared" si="15"/>
        <v>0</v>
      </c>
    </row>
    <row r="78" spans="2:16" outlineLevel="1" x14ac:dyDescent="0.3"/>
    <row r="79" spans="2:16" x14ac:dyDescent="0.3">
      <c r="C79" s="219"/>
      <c r="D79" s="219"/>
      <c r="E79" s="219"/>
      <c r="F79" s="219"/>
      <c r="G79" s="219"/>
      <c r="H79" s="219"/>
      <c r="I79" s="126"/>
      <c r="J79" s="127"/>
      <c r="K79" s="223" t="s">
        <v>120</v>
      </c>
      <c r="L79" s="224"/>
      <c r="M79" s="225"/>
      <c r="N79" s="37">
        <f>SUM(N73:N77)</f>
        <v>0</v>
      </c>
    </row>
    <row r="80" spans="2:16" ht="15" thickBot="1" x14ac:dyDescent="0.35"/>
    <row r="81" spans="1:16" ht="15" thickBot="1" x14ac:dyDescent="0.35">
      <c r="B81" s="254" t="s">
        <v>72</v>
      </c>
      <c r="C81" s="255"/>
      <c r="D81" s="255"/>
      <c r="E81" s="255"/>
      <c r="F81" s="255"/>
      <c r="G81" s="255"/>
      <c r="H81" s="255"/>
      <c r="I81" s="255"/>
      <c r="J81" s="255"/>
      <c r="K81" s="255"/>
      <c r="L81" s="255"/>
      <c r="M81" s="266"/>
      <c r="N81" s="41">
        <f>+N79+N67+N53+N42+N31</f>
        <v>35320.617076444447</v>
      </c>
      <c r="P81" s="1"/>
    </row>
    <row r="82" spans="1:16" ht="15" thickBot="1" x14ac:dyDescent="0.35">
      <c r="P82" s="1"/>
    </row>
    <row r="83" spans="1:16" ht="15" thickBot="1" x14ac:dyDescent="0.35">
      <c r="A83" s="270" t="s">
        <v>33</v>
      </c>
      <c r="B83" s="271"/>
      <c r="C83" s="271"/>
      <c r="D83" s="271"/>
      <c r="E83" s="271"/>
      <c r="F83" s="271"/>
      <c r="G83" s="271"/>
      <c r="H83" s="271"/>
      <c r="I83" s="271"/>
      <c r="J83" s="271"/>
      <c r="K83" s="271"/>
      <c r="L83" s="271"/>
      <c r="M83" s="271"/>
      <c r="N83" s="272"/>
    </row>
    <row r="85" spans="1:16" x14ac:dyDescent="0.3">
      <c r="B85" s="18" t="s">
        <v>43</v>
      </c>
      <c r="C85" s="222" t="s">
        <v>133</v>
      </c>
      <c r="D85" s="222"/>
      <c r="E85" s="222"/>
      <c r="F85" s="222"/>
      <c r="G85" s="222"/>
      <c r="H85" s="222"/>
      <c r="I85" s="222"/>
      <c r="J85" s="222"/>
      <c r="K85" s="222"/>
      <c r="L85" s="222"/>
      <c r="M85" s="222"/>
      <c r="N85" s="222"/>
    </row>
    <row r="86" spans="1:16" x14ac:dyDescent="0.3">
      <c r="B86" s="18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</row>
    <row r="87" spans="1:16" x14ac:dyDescent="0.3">
      <c r="C87" s="20" t="s">
        <v>34</v>
      </c>
      <c r="D87" s="21"/>
      <c r="E87" s="21"/>
      <c r="F87" s="21"/>
      <c r="G87" s="21"/>
      <c r="H87" s="21"/>
      <c r="I87" s="21"/>
      <c r="J87" s="21"/>
      <c r="K87" s="23" t="s">
        <v>135</v>
      </c>
      <c r="L87" s="23" t="s">
        <v>137</v>
      </c>
      <c r="M87" s="5" t="s">
        <v>134</v>
      </c>
      <c r="N87" s="5" t="s">
        <v>46</v>
      </c>
    </row>
    <row r="88" spans="1:16" x14ac:dyDescent="0.3">
      <c r="C88" s="130" t="str">
        <f>+C16</f>
        <v>PERSONAL</v>
      </c>
      <c r="K88" s="31">
        <f>+N31</f>
        <v>26029.897632000004</v>
      </c>
      <c r="L88" s="140">
        <v>0.3</v>
      </c>
      <c r="M88" s="34">
        <f>+K88*L88</f>
        <v>7808.9692896000006</v>
      </c>
      <c r="N88" s="118">
        <f>+K88+M88</f>
        <v>33838.866921600005</v>
      </c>
      <c r="O88" s="1"/>
      <c r="P88" s="1"/>
    </row>
    <row r="89" spans="1:16" x14ac:dyDescent="0.3">
      <c r="C89" s="130" t="str">
        <f>+C33</f>
        <v>SUBCONTRATACIONES</v>
      </c>
      <c r="K89" s="32">
        <f>+N42</f>
        <v>0</v>
      </c>
      <c r="L89" s="141">
        <v>0.15</v>
      </c>
      <c r="M89" s="35">
        <f>+K89*L89</f>
        <v>0</v>
      </c>
      <c r="N89" s="119">
        <f t="shared" ref="N89:N92" si="17">+K89+M89</f>
        <v>0</v>
      </c>
      <c r="O89" s="1"/>
      <c r="P89" s="1"/>
    </row>
    <row r="90" spans="1:16" x14ac:dyDescent="0.3">
      <c r="C90" s="130" t="str">
        <f>+C44</f>
        <v>EQUIPAMIENTO</v>
      </c>
      <c r="K90" s="32">
        <f>+N53</f>
        <v>8483.4</v>
      </c>
      <c r="L90" s="141">
        <v>0.1</v>
      </c>
      <c r="M90" s="35">
        <f>+K90*L90</f>
        <v>848.34</v>
      </c>
      <c r="N90" s="119">
        <f t="shared" si="17"/>
        <v>9331.74</v>
      </c>
      <c r="O90" s="1"/>
      <c r="P90" s="1"/>
    </row>
    <row r="91" spans="1:16" x14ac:dyDescent="0.3">
      <c r="C91" s="130" t="str">
        <f>+C55</f>
        <v>AMORTIZACION HW/SW</v>
      </c>
      <c r="K91" s="32">
        <f>+N67</f>
        <v>807.31944444444446</v>
      </c>
      <c r="L91" s="141">
        <v>0</v>
      </c>
      <c r="M91" s="35">
        <f>+K91*L91</f>
        <v>0</v>
      </c>
      <c r="N91" s="119">
        <f t="shared" si="17"/>
        <v>807.31944444444446</v>
      </c>
      <c r="O91" s="1"/>
      <c r="P91" s="1"/>
    </row>
    <row r="92" spans="1:16" x14ac:dyDescent="0.3">
      <c r="C92" s="138" t="str">
        <f>+C69</f>
        <v>OTROS GASTOS</v>
      </c>
      <c r="D92" s="139"/>
      <c r="E92" s="139"/>
      <c r="F92" s="139"/>
      <c r="G92" s="139"/>
      <c r="H92" s="139"/>
      <c r="I92" s="139"/>
      <c r="J92" s="139"/>
      <c r="K92" s="33">
        <f>+N79</f>
        <v>0</v>
      </c>
      <c r="L92" s="142">
        <v>0.05</v>
      </c>
      <c r="M92" s="36">
        <f>+K92*L92</f>
        <v>0</v>
      </c>
      <c r="N92" s="120">
        <f t="shared" si="17"/>
        <v>0</v>
      </c>
      <c r="O92" s="1"/>
      <c r="P92" s="1"/>
    </row>
    <row r="93" spans="1:16" ht="15" thickBot="1" x14ac:dyDescent="0.35"/>
    <row r="94" spans="1:16" ht="15" thickBot="1" x14ac:dyDescent="0.35">
      <c r="C94" s="254" t="s">
        <v>140</v>
      </c>
      <c r="D94" s="255"/>
      <c r="E94" s="255"/>
      <c r="F94" s="255"/>
      <c r="G94" s="255"/>
      <c r="H94" s="255"/>
      <c r="I94" s="255"/>
      <c r="J94" s="255"/>
      <c r="K94" s="255"/>
      <c r="L94" s="256"/>
      <c r="M94" s="148">
        <f>SUM(M88:M92)</f>
        <v>8657.3092895999998</v>
      </c>
      <c r="N94" s="147">
        <f>SUM(N88:N92)</f>
        <v>43977.926366044449</v>
      </c>
      <c r="P94" s="2"/>
    </row>
    <row r="95" spans="1:16" x14ac:dyDescent="0.3">
      <c r="N95" s="1"/>
    </row>
    <row r="96" spans="1:16" x14ac:dyDescent="0.3">
      <c r="B96" s="18" t="s">
        <v>44</v>
      </c>
      <c r="C96" s="222" t="s">
        <v>45</v>
      </c>
      <c r="D96" s="222"/>
      <c r="E96" s="222"/>
      <c r="F96" s="222"/>
      <c r="G96" s="222"/>
      <c r="H96" s="222"/>
      <c r="I96" s="222"/>
      <c r="J96" s="222"/>
      <c r="K96" s="222"/>
      <c r="L96" s="222"/>
      <c r="M96" s="222"/>
      <c r="N96" s="222"/>
    </row>
    <row r="97" spans="3:14" ht="15" thickBot="1" x14ac:dyDescent="0.35"/>
    <row r="98" spans="3:14" ht="15" thickBot="1" x14ac:dyDescent="0.35">
      <c r="C98" s="267" t="s">
        <v>139</v>
      </c>
      <c r="D98" s="268"/>
      <c r="E98" s="268"/>
      <c r="F98" s="268"/>
      <c r="G98" s="268"/>
      <c r="H98" s="268"/>
      <c r="I98" s="268"/>
      <c r="J98" s="269"/>
      <c r="K98" s="149" t="s">
        <v>138</v>
      </c>
      <c r="L98" s="150">
        <f>+N94*0.21</f>
        <v>9235.3645368693342</v>
      </c>
      <c r="M98" s="149" t="s">
        <v>46</v>
      </c>
      <c r="N98" s="147">
        <f>+N94+L98</f>
        <v>53213.290902913781</v>
      </c>
    </row>
  </sheetData>
  <mergeCells count="105">
    <mergeCell ref="C22:F22"/>
    <mergeCell ref="C23:F23"/>
    <mergeCell ref="C24:F24"/>
    <mergeCell ref="C25:F25"/>
    <mergeCell ref="C27:F27"/>
    <mergeCell ref="C28:F28"/>
    <mergeCell ref="H27:I27"/>
    <mergeCell ref="H28:I28"/>
    <mergeCell ref="H22:I22"/>
    <mergeCell ref="H23:I23"/>
    <mergeCell ref="H24:I24"/>
    <mergeCell ref="H25:I25"/>
    <mergeCell ref="H26:I26"/>
    <mergeCell ref="A14:N14"/>
    <mergeCell ref="J17:M17"/>
    <mergeCell ref="C21:F21"/>
    <mergeCell ref="L5:N5"/>
    <mergeCell ref="L6:N6"/>
    <mergeCell ref="L8:N8"/>
    <mergeCell ref="J10:L10"/>
    <mergeCell ref="J11:L11"/>
    <mergeCell ref="J12:L12"/>
    <mergeCell ref="C16:N16"/>
    <mergeCell ref="J18:M18"/>
    <mergeCell ref="J19:M19"/>
    <mergeCell ref="J21:K21"/>
    <mergeCell ref="H21:I21"/>
    <mergeCell ref="A1:N1"/>
    <mergeCell ref="A5:B5"/>
    <mergeCell ref="A8:B8"/>
    <mergeCell ref="A3:N3"/>
    <mergeCell ref="J5:K5"/>
    <mergeCell ref="J6:K6"/>
    <mergeCell ref="J8:K8"/>
    <mergeCell ref="C5:H5"/>
    <mergeCell ref="C6:H6"/>
    <mergeCell ref="C8:F8"/>
    <mergeCell ref="C98:J98"/>
    <mergeCell ref="C96:N96"/>
    <mergeCell ref="C50:D50"/>
    <mergeCell ref="J50:K50"/>
    <mergeCell ref="C51:D51"/>
    <mergeCell ref="C48:D48"/>
    <mergeCell ref="J48:K48"/>
    <mergeCell ref="C55:N55"/>
    <mergeCell ref="C49:D49"/>
    <mergeCell ref="J49:K49"/>
    <mergeCell ref="C53:H53"/>
    <mergeCell ref="K53:M53"/>
    <mergeCell ref="E48:H48"/>
    <mergeCell ref="E49:H49"/>
    <mergeCell ref="E50:H50"/>
    <mergeCell ref="C69:N69"/>
    <mergeCell ref="A83:N83"/>
    <mergeCell ref="C85:N85"/>
    <mergeCell ref="C72:J72"/>
    <mergeCell ref="C67:H67"/>
    <mergeCell ref="K67:M67"/>
    <mergeCell ref="C79:H79"/>
    <mergeCell ref="K79:M79"/>
    <mergeCell ref="J25:K25"/>
    <mergeCell ref="J24:K24"/>
    <mergeCell ref="J23:K23"/>
    <mergeCell ref="J22:K22"/>
    <mergeCell ref="J29:K29"/>
    <mergeCell ref="C94:L94"/>
    <mergeCell ref="E51:H51"/>
    <mergeCell ref="I34:M34"/>
    <mergeCell ref="J70:M70"/>
    <mergeCell ref="C73:J73"/>
    <mergeCell ref="C74:J74"/>
    <mergeCell ref="C76:J76"/>
    <mergeCell ref="C77:J77"/>
    <mergeCell ref="C75:J75"/>
    <mergeCell ref="B81:M81"/>
    <mergeCell ref="E47:H47"/>
    <mergeCell ref="J47:K47"/>
    <mergeCell ref="C47:D47"/>
    <mergeCell ref="C40:D40"/>
    <mergeCell ref="C38:D38"/>
    <mergeCell ref="J38:K38"/>
    <mergeCell ref="E40:H40"/>
    <mergeCell ref="C37:D37"/>
    <mergeCell ref="J37:K37"/>
    <mergeCell ref="C44:N44"/>
    <mergeCell ref="J45:M45"/>
    <mergeCell ref="C42:H42"/>
    <mergeCell ref="K42:M42"/>
    <mergeCell ref="E38:H38"/>
    <mergeCell ref="E39:H39"/>
    <mergeCell ref="J26:K26"/>
    <mergeCell ref="J28:K28"/>
    <mergeCell ref="J27:K27"/>
    <mergeCell ref="C36:D36"/>
    <mergeCell ref="J36:K36"/>
    <mergeCell ref="C31:F31"/>
    <mergeCell ref="H31:I31"/>
    <mergeCell ref="C33:N33"/>
    <mergeCell ref="K31:M31"/>
    <mergeCell ref="E36:H36"/>
    <mergeCell ref="E37:H37"/>
    <mergeCell ref="C39:D39"/>
    <mergeCell ref="J39:K39"/>
    <mergeCell ref="C29:F29"/>
    <mergeCell ref="H29:I29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96"/>
  <sheetViews>
    <sheetView showGridLines="0" topLeftCell="A68" zoomScaleNormal="100" workbookViewId="0">
      <selection activeCell="O77" sqref="O77"/>
    </sheetView>
  </sheetViews>
  <sheetFormatPr baseColWidth="10" defaultRowHeight="14.4" x14ac:dyDescent="0.3"/>
  <cols>
    <col min="1" max="2" width="6.6640625" customWidth="1"/>
    <col min="3" max="3" width="16.6640625" customWidth="1"/>
    <col min="4" max="4" width="10.109375" bestFit="1" customWidth="1"/>
    <col min="5" max="5" width="9.88671875" bestFit="1" customWidth="1"/>
    <col min="6" max="16" width="11" bestFit="1" customWidth="1"/>
    <col min="20" max="21" width="12" bestFit="1" customWidth="1"/>
  </cols>
  <sheetData>
    <row r="1" spans="1:18" ht="21" x14ac:dyDescent="0.4">
      <c r="A1" s="221" t="s">
        <v>48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</row>
    <row r="3" spans="1:18" x14ac:dyDescent="0.3">
      <c r="A3" s="277" t="s">
        <v>4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</row>
    <row r="5" spans="1:18" x14ac:dyDescent="0.3">
      <c r="A5" s="276" t="s">
        <v>1</v>
      </c>
      <c r="B5" s="276"/>
      <c r="C5" s="302" t="str">
        <f>IF(ESTIMACION!C5="","N/A",ESTIMACION!C5)</f>
        <v>N/A</v>
      </c>
      <c r="D5" s="303"/>
      <c r="E5" s="303"/>
      <c r="F5" s="303"/>
      <c r="G5" s="304"/>
      <c r="H5" s="24"/>
      <c r="I5" s="276" t="s">
        <v>5</v>
      </c>
      <c r="J5" s="276"/>
      <c r="K5" s="302" t="str">
        <f>IF(ESTIMACION!L5="","N/A",ESTIMACION!L5)</f>
        <v>N/A</v>
      </c>
      <c r="L5" s="303"/>
      <c r="M5" s="303"/>
      <c r="N5" s="304"/>
    </row>
    <row r="6" spans="1:18" x14ac:dyDescent="0.3">
      <c r="A6" t="s">
        <v>2</v>
      </c>
      <c r="C6" s="302" t="str">
        <f>IF(ESTIMACION!C6="","N/A",ESTIMACION!C6)</f>
        <v>N/A</v>
      </c>
      <c r="D6" s="303"/>
      <c r="E6" s="303"/>
      <c r="F6" s="303"/>
      <c r="G6" s="304"/>
      <c r="H6" s="24"/>
      <c r="I6" s="276" t="s">
        <v>6</v>
      </c>
      <c r="J6" s="276"/>
      <c r="K6" s="302" t="str">
        <f>IF(ESTIMACION!L6="","N/A",ESTIMACION!L6)</f>
        <v>N/A</v>
      </c>
      <c r="L6" s="303"/>
      <c r="M6" s="303"/>
      <c r="N6" s="304"/>
    </row>
    <row r="7" spans="1:18" x14ac:dyDescent="0.3">
      <c r="C7" s="1"/>
    </row>
    <row r="8" spans="1:18" x14ac:dyDescent="0.3">
      <c r="A8" s="276" t="s">
        <v>3</v>
      </c>
      <c r="B8" s="276"/>
      <c r="C8" s="305"/>
      <c r="D8" s="306">
        <f>IF(ESTIMACION!C8="","N/A",ESTIMACION!C8)</f>
        <v>44809</v>
      </c>
      <c r="E8" s="307"/>
      <c r="F8" s="308"/>
      <c r="I8" s="276" t="s">
        <v>7</v>
      </c>
      <c r="J8" s="276"/>
      <c r="K8" s="306">
        <f>IF(ESTIMACION!L8="","N/A",ESTIMACION!L8)</f>
        <v>44921</v>
      </c>
      <c r="L8" s="307"/>
      <c r="M8" s="308"/>
    </row>
    <row r="9" spans="1:18" x14ac:dyDescent="0.3">
      <c r="C9" s="1"/>
      <c r="E9" s="2"/>
    </row>
    <row r="10" spans="1:18" x14ac:dyDescent="0.3">
      <c r="A10" s="276" t="s">
        <v>47</v>
      </c>
      <c r="B10" s="276"/>
      <c r="C10" s="305"/>
      <c r="D10" s="284"/>
      <c r="E10" s="288"/>
      <c r="F10" s="289"/>
      <c r="I10" s="276" t="s">
        <v>8</v>
      </c>
      <c r="J10" s="276"/>
      <c r="K10" s="276"/>
      <c r="L10" s="309">
        <f>+ESTIMACION!M10</f>
        <v>43977.926366044449</v>
      </c>
      <c r="M10" s="309"/>
      <c r="N10" s="4" t="s">
        <v>11</v>
      </c>
    </row>
    <row r="11" spans="1:18" x14ac:dyDescent="0.3">
      <c r="I11" s="276" t="s">
        <v>9</v>
      </c>
      <c r="J11" s="276"/>
      <c r="K11" s="276"/>
      <c r="L11" s="309">
        <f>+ESTIMACION!M11</f>
        <v>1432</v>
      </c>
      <c r="M11" s="309"/>
      <c r="N11" s="4" t="s">
        <v>12</v>
      </c>
    </row>
    <row r="12" spans="1:18" x14ac:dyDescent="0.3">
      <c r="I12" s="276" t="s">
        <v>10</v>
      </c>
      <c r="J12" s="276"/>
      <c r="K12" s="276"/>
      <c r="L12" s="309">
        <f>+ESTIMACION!M12</f>
        <v>24.510639977956721</v>
      </c>
      <c r="M12" s="309"/>
      <c r="N12" s="4" t="s">
        <v>13</v>
      </c>
    </row>
    <row r="14" spans="1:18" x14ac:dyDescent="0.3">
      <c r="I14" s="276" t="s">
        <v>49</v>
      </c>
      <c r="J14" s="276"/>
      <c r="K14" s="276"/>
      <c r="L14" s="305"/>
      <c r="M14" s="312"/>
      <c r="N14" s="313"/>
    </row>
    <row r="15" spans="1:18" x14ac:dyDescent="0.3">
      <c r="I15" s="276" t="s">
        <v>50</v>
      </c>
      <c r="J15" s="276"/>
      <c r="K15" s="276"/>
      <c r="L15" s="305"/>
      <c r="M15" s="312"/>
      <c r="N15" s="313"/>
    </row>
    <row r="16" spans="1:18" ht="15" thickBot="1" x14ac:dyDescent="0.35"/>
    <row r="17" spans="1:18" ht="15" thickBot="1" x14ac:dyDescent="0.35">
      <c r="A17" s="270" t="s">
        <v>51</v>
      </c>
      <c r="B17" s="271"/>
      <c r="C17" s="271"/>
      <c r="D17" s="271"/>
      <c r="E17" s="271"/>
      <c r="F17" s="271"/>
      <c r="G17" s="271"/>
      <c r="H17" s="271"/>
      <c r="I17" s="271"/>
      <c r="J17" s="271"/>
      <c r="K17" s="271"/>
      <c r="L17" s="271"/>
      <c r="M17" s="271"/>
      <c r="N17" s="271"/>
      <c r="O17" s="271"/>
      <c r="P17" s="271"/>
      <c r="Q17" s="271"/>
      <c r="R17" s="272"/>
    </row>
    <row r="18" spans="1:18" ht="15" thickBot="1" x14ac:dyDescent="0.35"/>
    <row r="19" spans="1:18" x14ac:dyDescent="0.3">
      <c r="D19" s="301" t="s">
        <v>67</v>
      </c>
      <c r="E19" s="301"/>
      <c r="F19" s="301"/>
      <c r="G19" s="301"/>
      <c r="H19" s="301"/>
      <c r="I19" s="301"/>
      <c r="J19" s="301"/>
      <c r="K19" s="301"/>
      <c r="L19" s="301"/>
      <c r="M19" s="301"/>
      <c r="N19" s="301"/>
      <c r="O19" s="301"/>
      <c r="P19" s="301"/>
      <c r="Q19" s="310" t="s">
        <v>65</v>
      </c>
      <c r="R19" s="311"/>
    </row>
    <row r="20" spans="1:18" x14ac:dyDescent="0.3">
      <c r="A20" s="314" t="s">
        <v>16</v>
      </c>
      <c r="B20" s="315"/>
      <c r="C20" s="316"/>
      <c r="D20" s="25" t="s">
        <v>52</v>
      </c>
      <c r="E20" s="5" t="s">
        <v>53</v>
      </c>
      <c r="F20" s="5" t="s">
        <v>54</v>
      </c>
      <c r="G20" s="5" t="s">
        <v>55</v>
      </c>
      <c r="H20" s="5" t="s">
        <v>56</v>
      </c>
      <c r="I20" s="5" t="s">
        <v>57</v>
      </c>
      <c r="J20" s="5" t="s">
        <v>58</v>
      </c>
      <c r="K20" s="5" t="s">
        <v>59</v>
      </c>
      <c r="L20" s="5" t="s">
        <v>60</v>
      </c>
      <c r="M20" s="5" t="s">
        <v>61</v>
      </c>
      <c r="N20" s="5" t="s">
        <v>62</v>
      </c>
      <c r="O20" s="5" t="s">
        <v>63</v>
      </c>
      <c r="P20" s="23" t="s">
        <v>64</v>
      </c>
      <c r="Q20" s="26" t="s">
        <v>66</v>
      </c>
      <c r="R20" s="27" t="s">
        <v>70</v>
      </c>
    </row>
    <row r="21" spans="1:18" x14ac:dyDescent="0.3">
      <c r="A21" s="295" t="str">
        <f>+ESTIMACION!C22</f>
        <v>Programadores</v>
      </c>
      <c r="B21" s="296"/>
      <c r="C21" s="317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7"/>
      <c r="Q21" s="154">
        <f>SUM(D21:P21)</f>
        <v>0</v>
      </c>
      <c r="R21" s="151">
        <f>+ESTIMACION!G22</f>
        <v>912</v>
      </c>
    </row>
    <row r="22" spans="1:18" x14ac:dyDescent="0.3">
      <c r="A22" s="318" t="str">
        <f>+ESTIMACION!C23</f>
        <v>Artista</v>
      </c>
      <c r="B22" s="276"/>
      <c r="C22" s="305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9"/>
      <c r="Q22" s="154">
        <f t="shared" ref="Q22:Q28" si="0">SUM(D22:P22)</f>
        <v>0</v>
      </c>
      <c r="R22" s="152">
        <f>+ESTIMACION!G23</f>
        <v>296</v>
      </c>
    </row>
    <row r="23" spans="1:18" x14ac:dyDescent="0.3">
      <c r="A23" s="318" t="str">
        <f>+ESTIMACION!C24</f>
        <v>Jefe de proyecto</v>
      </c>
      <c r="B23" s="276"/>
      <c r="C23" s="305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9"/>
      <c r="Q23" s="154">
        <f t="shared" si="0"/>
        <v>0</v>
      </c>
      <c r="R23" s="152">
        <f>+ESTIMACION!G24</f>
        <v>176</v>
      </c>
    </row>
    <row r="24" spans="1:18" x14ac:dyDescent="0.3">
      <c r="A24" s="318" t="str">
        <f>+ESTIMACION!C25</f>
        <v>Compositor</v>
      </c>
      <c r="B24" s="276"/>
      <c r="C24" s="305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9"/>
      <c r="Q24" s="154">
        <f t="shared" si="0"/>
        <v>0</v>
      </c>
      <c r="R24" s="152">
        <f>+ESTIMACION!G25</f>
        <v>48</v>
      </c>
    </row>
    <row r="25" spans="1:18" x14ac:dyDescent="0.3">
      <c r="A25" s="318">
        <f>+ESTIMACION!C26</f>
        <v>0</v>
      </c>
      <c r="B25" s="276"/>
      <c r="C25" s="305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9"/>
      <c r="Q25" s="154">
        <f t="shared" si="0"/>
        <v>0</v>
      </c>
      <c r="R25" s="152">
        <f>+ESTIMACION!G26</f>
        <v>0</v>
      </c>
    </row>
    <row r="26" spans="1:18" x14ac:dyDescent="0.3">
      <c r="A26" s="318">
        <f>+ESTIMACION!C27</f>
        <v>0</v>
      </c>
      <c r="B26" s="276"/>
      <c r="C26" s="305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9"/>
      <c r="Q26" s="154">
        <f t="shared" si="0"/>
        <v>0</v>
      </c>
      <c r="R26" s="152">
        <f>+ESTIMACION!G27</f>
        <v>0</v>
      </c>
    </row>
    <row r="27" spans="1:18" x14ac:dyDescent="0.3">
      <c r="A27" s="318">
        <f>+ESTIMACION!C28</f>
        <v>0</v>
      </c>
      <c r="B27" s="276"/>
      <c r="C27" s="305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9"/>
      <c r="Q27" s="154">
        <f t="shared" ref="Q27" si="1">SUM(D27:P27)</f>
        <v>0</v>
      </c>
      <c r="R27" s="152">
        <f>+ESTIMACION!G28</f>
        <v>0</v>
      </c>
    </row>
    <row r="28" spans="1:18" ht="15" thickBot="1" x14ac:dyDescent="0.35">
      <c r="A28" s="245" t="str">
        <f>+ESTIMACION!C29</f>
        <v>[Insertar más líneas aquí]</v>
      </c>
      <c r="B28" s="246"/>
      <c r="C28" s="247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1"/>
      <c r="Q28" s="155">
        <f t="shared" si="0"/>
        <v>0</v>
      </c>
      <c r="R28" s="153">
        <f>+ESTIMACION!G29</f>
        <v>0</v>
      </c>
    </row>
    <row r="29" spans="1:18" ht="15" thickBot="1" x14ac:dyDescent="0.35">
      <c r="Q29" s="3"/>
      <c r="R29" s="3"/>
    </row>
    <row r="30" spans="1:18" ht="15" thickBot="1" x14ac:dyDescent="0.35">
      <c r="A30" s="233" t="s">
        <v>141</v>
      </c>
      <c r="B30" s="290"/>
      <c r="C30" s="234"/>
      <c r="D30" s="44">
        <f>SUMPRODUCT(ESTIMACION!$M$22:$M$29,'PLAN FINANCIERO'!D21:D28)</f>
        <v>0</v>
      </c>
      <c r="E30" s="44">
        <f>SUMPRODUCT(ESTIMACION!$M$22:$M$29,'PLAN FINANCIERO'!E21:E28)</f>
        <v>0</v>
      </c>
      <c r="F30" s="44">
        <f>SUMPRODUCT(ESTIMACION!$M$22:$M$29,'PLAN FINANCIERO'!F21:F28)</f>
        <v>0</v>
      </c>
      <c r="G30" s="44">
        <f>SUMPRODUCT(ESTIMACION!$M$22:$M$29,'PLAN FINANCIERO'!G21:G28)</f>
        <v>0</v>
      </c>
      <c r="H30" s="44">
        <f>SUMPRODUCT(ESTIMACION!$M$22:$M$29,'PLAN FINANCIERO'!H21:H28)</f>
        <v>0</v>
      </c>
      <c r="I30" s="44">
        <f>SUMPRODUCT(ESTIMACION!$M$22:$M$29,'PLAN FINANCIERO'!I21:I28)</f>
        <v>0</v>
      </c>
      <c r="J30" s="44">
        <f>SUMPRODUCT(ESTIMACION!$M$22:$M$29,'PLAN FINANCIERO'!J21:J28)</f>
        <v>0</v>
      </c>
      <c r="K30" s="44">
        <f>SUMPRODUCT(ESTIMACION!$M$22:$M$29,'PLAN FINANCIERO'!K21:K28)</f>
        <v>0</v>
      </c>
      <c r="L30" s="44">
        <f>SUMPRODUCT(ESTIMACION!$M$22:$M$29,'PLAN FINANCIERO'!L21:L28)</f>
        <v>0</v>
      </c>
      <c r="M30" s="44">
        <f>SUMPRODUCT(ESTIMACION!$M$22:$M$29,'PLAN FINANCIERO'!M21:M28)</f>
        <v>0</v>
      </c>
      <c r="N30" s="44">
        <f>SUMPRODUCT(ESTIMACION!$M$22:$M$29,'PLAN FINANCIERO'!N21:N28)</f>
        <v>0</v>
      </c>
      <c r="O30" s="44">
        <f>SUMPRODUCT(ESTIMACION!$M$22:$M$29,'PLAN FINANCIERO'!O21:O28)</f>
        <v>0</v>
      </c>
      <c r="P30" s="44">
        <f>SUMPRODUCT(ESTIMACION!$M$22:$M$29,'PLAN FINANCIERO'!P21:P28)</f>
        <v>0</v>
      </c>
      <c r="Q30" s="45">
        <f>SUM(D30:P30)</f>
        <v>0</v>
      </c>
      <c r="R30" s="165">
        <f>+ESTIMACION!N31</f>
        <v>26029.897632000004</v>
      </c>
    </row>
    <row r="31" spans="1:18" x14ac:dyDescent="0.3">
      <c r="A31" s="163"/>
      <c r="B31" s="163"/>
      <c r="C31" s="163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178"/>
      <c r="R31" s="178"/>
    </row>
    <row r="32" spans="1:18" ht="15" thickBot="1" x14ac:dyDescent="0.35">
      <c r="B32" s="163"/>
      <c r="C32" s="163"/>
      <c r="Q32" s="164"/>
      <c r="R32" s="164"/>
    </row>
    <row r="33" spans="1:18" x14ac:dyDescent="0.3">
      <c r="D33" s="301" t="s">
        <v>67</v>
      </c>
      <c r="E33" s="301"/>
      <c r="F33" s="301"/>
      <c r="G33" s="301"/>
      <c r="H33" s="301"/>
      <c r="I33" s="301"/>
      <c r="J33" s="301"/>
      <c r="K33" s="301"/>
      <c r="L33" s="301"/>
      <c r="M33" s="301"/>
      <c r="N33" s="301"/>
      <c r="O33" s="301"/>
      <c r="P33" s="301"/>
      <c r="Q33" s="310" t="s">
        <v>65</v>
      </c>
      <c r="R33" s="311"/>
    </row>
    <row r="34" spans="1:18" x14ac:dyDescent="0.3">
      <c r="A34" s="314" t="str">
        <f>+ESTIMACION!C33</f>
        <v>SUBCONTRATACIONES</v>
      </c>
      <c r="B34" s="315"/>
      <c r="C34" s="316"/>
      <c r="D34" s="25" t="s">
        <v>52</v>
      </c>
      <c r="E34" s="5" t="s">
        <v>53</v>
      </c>
      <c r="F34" s="5" t="s">
        <v>54</v>
      </c>
      <c r="G34" s="5" t="s">
        <v>55</v>
      </c>
      <c r="H34" s="5" t="s">
        <v>56</v>
      </c>
      <c r="I34" s="5" t="s">
        <v>57</v>
      </c>
      <c r="J34" s="5" t="s">
        <v>58</v>
      </c>
      <c r="K34" s="5" t="s">
        <v>59</v>
      </c>
      <c r="L34" s="5" t="s">
        <v>60</v>
      </c>
      <c r="M34" s="5" t="s">
        <v>61</v>
      </c>
      <c r="N34" s="5" t="s">
        <v>62</v>
      </c>
      <c r="O34" s="5" t="s">
        <v>63</v>
      </c>
      <c r="P34" s="23" t="s">
        <v>64</v>
      </c>
      <c r="Q34" s="26" t="s">
        <v>66</v>
      </c>
      <c r="R34" s="27" t="s">
        <v>70</v>
      </c>
    </row>
    <row r="35" spans="1:18" x14ac:dyDescent="0.3">
      <c r="A35" s="295">
        <f>+ESTIMACION!C37</f>
        <v>0</v>
      </c>
      <c r="B35" s="296"/>
      <c r="C35" s="317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7"/>
      <c r="Q35" s="154">
        <f>SUM(D35:P35)</f>
        <v>0</v>
      </c>
      <c r="R35" s="151">
        <f>+ESTIMACION!N37</f>
        <v>0</v>
      </c>
    </row>
    <row r="36" spans="1:18" x14ac:dyDescent="0.3">
      <c r="A36" s="318">
        <f>+ESTIMACION!C38</f>
        <v>0</v>
      </c>
      <c r="B36" s="276"/>
      <c r="C36" s="305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9"/>
      <c r="Q36" s="154">
        <f t="shared" ref="Q36:Q38" si="2">SUM(D36:P36)</f>
        <v>0</v>
      </c>
      <c r="R36" s="152">
        <f>+ESTIMACION!N38</f>
        <v>0</v>
      </c>
    </row>
    <row r="37" spans="1:18" x14ac:dyDescent="0.3">
      <c r="A37" s="318">
        <f>+ESTIMACION!C39</f>
        <v>0</v>
      </c>
      <c r="B37" s="276"/>
      <c r="C37" s="305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9"/>
      <c r="Q37" s="154">
        <f t="shared" si="2"/>
        <v>0</v>
      </c>
      <c r="R37" s="152">
        <f>+ESTIMACION!N39</f>
        <v>0</v>
      </c>
    </row>
    <row r="38" spans="1:18" ht="15" thickBot="1" x14ac:dyDescent="0.35">
      <c r="A38" s="297" t="str">
        <f>+ESTIMACION!C40</f>
        <v>[Insertar más líneas aquí]</v>
      </c>
      <c r="B38" s="298"/>
      <c r="C38" s="299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1"/>
      <c r="Q38" s="155">
        <f t="shared" si="2"/>
        <v>0</v>
      </c>
      <c r="R38" s="153">
        <f>+ESTIMACION!N40</f>
        <v>0</v>
      </c>
    </row>
    <row r="39" spans="1:18" ht="15" thickBot="1" x14ac:dyDescent="0.35">
      <c r="B39" s="163"/>
      <c r="C39" s="163"/>
      <c r="Q39" s="164"/>
      <c r="R39" s="164"/>
    </row>
    <row r="40" spans="1:18" ht="15" thickBot="1" x14ac:dyDescent="0.35">
      <c r="A40" s="233" t="s">
        <v>142</v>
      </c>
      <c r="B40" s="290"/>
      <c r="C40" s="234"/>
      <c r="D40" s="44">
        <f>SUM(D35:D38)</f>
        <v>0</v>
      </c>
      <c r="E40" s="44">
        <f t="shared" ref="E40:O40" si="3">SUM(E35:E38)</f>
        <v>0</v>
      </c>
      <c r="F40" s="44">
        <f t="shared" si="3"/>
        <v>0</v>
      </c>
      <c r="G40" s="44">
        <f t="shared" si="3"/>
        <v>0</v>
      </c>
      <c r="H40" s="44">
        <f t="shared" si="3"/>
        <v>0</v>
      </c>
      <c r="I40" s="44">
        <f t="shared" si="3"/>
        <v>0</v>
      </c>
      <c r="J40" s="44">
        <f t="shared" si="3"/>
        <v>0</v>
      </c>
      <c r="K40" s="44">
        <f t="shared" si="3"/>
        <v>0</v>
      </c>
      <c r="L40" s="44">
        <f t="shared" si="3"/>
        <v>0</v>
      </c>
      <c r="M40" s="44">
        <f t="shared" si="3"/>
        <v>0</v>
      </c>
      <c r="N40" s="44">
        <f t="shared" si="3"/>
        <v>0</v>
      </c>
      <c r="O40" s="44">
        <f t="shared" si="3"/>
        <v>0</v>
      </c>
      <c r="P40" s="44" t="e">
        <f>SUMPRODUCT(ESTIMACION!$M$22:$M$29,'PLAN FINANCIERO'!P30:P38)</f>
        <v>#VALUE!</v>
      </c>
      <c r="Q40" s="45" t="e">
        <f>SUM(D40:P40)</f>
        <v>#VALUE!</v>
      </c>
      <c r="R40" s="165">
        <f>SUM(R35:R38)</f>
        <v>0</v>
      </c>
    </row>
    <row r="41" spans="1:18" x14ac:dyDescent="0.3">
      <c r="A41" s="163"/>
      <c r="B41" s="163"/>
      <c r="C41" s="163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178"/>
      <c r="R41" s="178"/>
    </row>
    <row r="42" spans="1:18" ht="15" thickBot="1" x14ac:dyDescent="0.35">
      <c r="B42" s="163"/>
      <c r="C42" s="163"/>
      <c r="Q42" s="164"/>
      <c r="R42" s="164"/>
    </row>
    <row r="43" spans="1:18" x14ac:dyDescent="0.3">
      <c r="D43" s="301" t="s">
        <v>67</v>
      </c>
      <c r="E43" s="301"/>
      <c r="F43" s="301"/>
      <c r="G43" s="301"/>
      <c r="H43" s="301"/>
      <c r="I43" s="301"/>
      <c r="J43" s="301"/>
      <c r="K43" s="301"/>
      <c r="L43" s="301"/>
      <c r="M43" s="301"/>
      <c r="N43" s="301"/>
      <c r="O43" s="301"/>
      <c r="P43" s="301"/>
      <c r="Q43" s="310" t="s">
        <v>65</v>
      </c>
      <c r="R43" s="311"/>
    </row>
    <row r="44" spans="1:18" x14ac:dyDescent="0.3">
      <c r="A44" s="314" t="str">
        <f>+ESTIMACION!C44</f>
        <v>EQUIPAMIENTO</v>
      </c>
      <c r="B44" s="315"/>
      <c r="C44" s="316"/>
      <c r="D44" s="25" t="s">
        <v>52</v>
      </c>
      <c r="E44" s="5" t="s">
        <v>53</v>
      </c>
      <c r="F44" s="5" t="s">
        <v>54</v>
      </c>
      <c r="G44" s="5" t="s">
        <v>55</v>
      </c>
      <c r="H44" s="5" t="s">
        <v>56</v>
      </c>
      <c r="I44" s="5" t="s">
        <v>57</v>
      </c>
      <c r="J44" s="5" t="s">
        <v>58</v>
      </c>
      <c r="K44" s="5" t="s">
        <v>59</v>
      </c>
      <c r="L44" s="5" t="s">
        <v>60</v>
      </c>
      <c r="M44" s="5" t="s">
        <v>61</v>
      </c>
      <c r="N44" s="5" t="s">
        <v>62</v>
      </c>
      <c r="O44" s="5" t="s">
        <v>63</v>
      </c>
      <c r="P44" s="23" t="s">
        <v>64</v>
      </c>
      <c r="Q44" s="26" t="s">
        <v>66</v>
      </c>
      <c r="R44" s="27" t="s">
        <v>70</v>
      </c>
    </row>
    <row r="45" spans="1:18" x14ac:dyDescent="0.3">
      <c r="A45" s="295" t="str">
        <f>+ESTIMACION!C48</f>
        <v>Ordenadores</v>
      </c>
      <c r="B45" s="296"/>
      <c r="C45" s="317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3"/>
      <c r="Q45" s="167">
        <f>SUM(D45:P45)</f>
        <v>0</v>
      </c>
      <c r="R45" s="168">
        <f>+ESTIMACION!N48</f>
        <v>7776</v>
      </c>
    </row>
    <row r="46" spans="1:18" x14ac:dyDescent="0.3">
      <c r="A46" s="318" t="str">
        <f>+ESTIMACION!C49</f>
        <v>Digitalizador</v>
      </c>
      <c r="B46" s="276"/>
      <c r="C46" s="305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5"/>
      <c r="Q46" s="167">
        <f t="shared" ref="Q46:Q48" si="4">SUM(D46:P46)</f>
        <v>0</v>
      </c>
      <c r="R46" s="169">
        <f>+ESTIMACION!N49</f>
        <v>707.4</v>
      </c>
    </row>
    <row r="47" spans="1:18" x14ac:dyDescent="0.3">
      <c r="A47" s="318">
        <f>+ESTIMACION!C50</f>
        <v>0</v>
      </c>
      <c r="B47" s="276"/>
      <c r="C47" s="305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5"/>
      <c r="Q47" s="167">
        <f t="shared" si="4"/>
        <v>0</v>
      </c>
      <c r="R47" s="169">
        <f>+ESTIMACION!N50</f>
        <v>0</v>
      </c>
    </row>
    <row r="48" spans="1:18" ht="15" thickBot="1" x14ac:dyDescent="0.35">
      <c r="A48" s="297" t="str">
        <f>+ESTIMACION!C51</f>
        <v>[Insertar más líneas aquí]</v>
      </c>
      <c r="B48" s="298"/>
      <c r="C48" s="299"/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7"/>
      <c r="Q48" s="170">
        <f t="shared" si="4"/>
        <v>0</v>
      </c>
      <c r="R48" s="171">
        <f>+ESTIMACION!N51</f>
        <v>0</v>
      </c>
    </row>
    <row r="49" spans="1:18" ht="15" thickBot="1" x14ac:dyDescent="0.35">
      <c r="B49" s="163"/>
      <c r="C49" s="163"/>
      <c r="Q49" s="164"/>
      <c r="R49" s="164"/>
    </row>
    <row r="50" spans="1:18" ht="15" thickBot="1" x14ac:dyDescent="0.35">
      <c r="A50" s="233" t="s">
        <v>143</v>
      </c>
      <c r="B50" s="290"/>
      <c r="C50" s="234"/>
      <c r="D50" s="44">
        <f>SUM(D45:D48)</f>
        <v>0</v>
      </c>
      <c r="E50" s="44">
        <f t="shared" ref="E50:O50" si="5">SUM(E45:E48)</f>
        <v>0</v>
      </c>
      <c r="F50" s="44">
        <f t="shared" si="5"/>
        <v>0</v>
      </c>
      <c r="G50" s="44">
        <f t="shared" si="5"/>
        <v>0</v>
      </c>
      <c r="H50" s="44">
        <f t="shared" si="5"/>
        <v>0</v>
      </c>
      <c r="I50" s="44">
        <f t="shared" si="5"/>
        <v>0</v>
      </c>
      <c r="J50" s="44">
        <f t="shared" si="5"/>
        <v>0</v>
      </c>
      <c r="K50" s="44">
        <f t="shared" si="5"/>
        <v>0</v>
      </c>
      <c r="L50" s="44">
        <f t="shared" si="5"/>
        <v>0</v>
      </c>
      <c r="M50" s="44">
        <f t="shared" si="5"/>
        <v>0</v>
      </c>
      <c r="N50" s="44">
        <f t="shared" si="5"/>
        <v>0</v>
      </c>
      <c r="O50" s="44">
        <f t="shared" si="5"/>
        <v>0</v>
      </c>
      <c r="P50" s="44"/>
      <c r="Q50" s="45">
        <f>SUM(D50:P50)</f>
        <v>0</v>
      </c>
      <c r="R50" s="165">
        <f>SUM(R45:R48)</f>
        <v>8483.4</v>
      </c>
    </row>
    <row r="51" spans="1:18" x14ac:dyDescent="0.3">
      <c r="B51" s="163"/>
      <c r="C51" s="163"/>
      <c r="Q51" s="164"/>
      <c r="R51" s="164"/>
    </row>
    <row r="52" spans="1:18" ht="15" thickBot="1" x14ac:dyDescent="0.35">
      <c r="B52" s="163"/>
      <c r="C52" s="163"/>
      <c r="Q52" s="164"/>
      <c r="R52" s="164"/>
    </row>
    <row r="53" spans="1:18" x14ac:dyDescent="0.3">
      <c r="D53" s="301" t="s">
        <v>67</v>
      </c>
      <c r="E53" s="301"/>
      <c r="F53" s="301"/>
      <c r="G53" s="301"/>
      <c r="H53" s="301"/>
      <c r="I53" s="301"/>
      <c r="J53" s="301"/>
      <c r="K53" s="301"/>
      <c r="L53" s="301"/>
      <c r="M53" s="301"/>
      <c r="N53" s="301"/>
      <c r="O53" s="301"/>
      <c r="P53" s="301"/>
      <c r="Q53" s="310" t="s">
        <v>65</v>
      </c>
      <c r="R53" s="311"/>
    </row>
    <row r="54" spans="1:18" x14ac:dyDescent="0.3">
      <c r="A54" s="314" t="str">
        <f>+ESTIMACION!C69</f>
        <v>OTROS GASTOS</v>
      </c>
      <c r="B54" s="315"/>
      <c r="C54" s="316"/>
      <c r="D54" s="25" t="s">
        <v>52</v>
      </c>
      <c r="E54" s="5" t="s">
        <v>53</v>
      </c>
      <c r="F54" s="5" t="s">
        <v>54</v>
      </c>
      <c r="G54" s="5" t="s">
        <v>55</v>
      </c>
      <c r="H54" s="5" t="s">
        <v>56</v>
      </c>
      <c r="I54" s="5" t="s">
        <v>57</v>
      </c>
      <c r="J54" s="5" t="s">
        <v>58</v>
      </c>
      <c r="K54" s="5" t="s">
        <v>59</v>
      </c>
      <c r="L54" s="5" t="s">
        <v>60</v>
      </c>
      <c r="M54" s="5" t="s">
        <v>61</v>
      </c>
      <c r="N54" s="5" t="s">
        <v>62</v>
      </c>
      <c r="O54" s="5" t="s">
        <v>63</v>
      </c>
      <c r="P54" s="23" t="s">
        <v>64</v>
      </c>
      <c r="Q54" s="26" t="s">
        <v>66</v>
      </c>
      <c r="R54" s="27" t="s">
        <v>70</v>
      </c>
    </row>
    <row r="55" spans="1:18" x14ac:dyDescent="0.3">
      <c r="A55" s="295">
        <f>+ESTIMACION!C73</f>
        <v>0</v>
      </c>
      <c r="B55" s="296"/>
      <c r="C55" s="317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3"/>
      <c r="Q55" s="167">
        <f>SUM(D55:P55)</f>
        <v>0</v>
      </c>
      <c r="R55" s="168">
        <f>+ESTIMACION!N73</f>
        <v>0</v>
      </c>
    </row>
    <row r="56" spans="1:18" x14ac:dyDescent="0.3">
      <c r="A56" s="318">
        <f>+ESTIMACION!C74</f>
        <v>0</v>
      </c>
      <c r="B56" s="276"/>
      <c r="C56" s="305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5"/>
      <c r="Q56" s="167">
        <f t="shared" ref="Q56:Q58" si="6">SUM(D56:P56)</f>
        <v>0</v>
      </c>
      <c r="R56" s="169">
        <f>+ESTIMACION!N74</f>
        <v>0</v>
      </c>
    </row>
    <row r="57" spans="1:18" x14ac:dyDescent="0.3">
      <c r="A57" s="318">
        <f>+ESTIMACION!C75</f>
        <v>0</v>
      </c>
      <c r="B57" s="276"/>
      <c r="C57" s="305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5"/>
      <c r="Q57" s="167">
        <f t="shared" si="6"/>
        <v>0</v>
      </c>
      <c r="R57" s="169">
        <f>+ESTIMACION!N75</f>
        <v>0</v>
      </c>
    </row>
    <row r="58" spans="1:18" ht="15" thickBot="1" x14ac:dyDescent="0.35">
      <c r="A58" s="297">
        <f>+ESTIMACION!C76</f>
        <v>0</v>
      </c>
      <c r="B58" s="298"/>
      <c r="C58" s="299"/>
      <c r="D58" s="176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7"/>
      <c r="Q58" s="170">
        <f t="shared" si="6"/>
        <v>0</v>
      </c>
      <c r="R58" s="171">
        <f>+ESTIMACION!N76</f>
        <v>0</v>
      </c>
    </row>
    <row r="59" spans="1:18" ht="15" thickBot="1" x14ac:dyDescent="0.35">
      <c r="B59" s="163"/>
      <c r="C59" s="163"/>
      <c r="Q59" s="164"/>
      <c r="R59" s="164"/>
    </row>
    <row r="60" spans="1:18" ht="15" thickBot="1" x14ac:dyDescent="0.35">
      <c r="A60" s="233" t="s">
        <v>143</v>
      </c>
      <c r="B60" s="290"/>
      <c r="C60" s="234"/>
      <c r="D60" s="44">
        <f>SUM(D55:D58)</f>
        <v>0</v>
      </c>
      <c r="E60" s="44">
        <f t="shared" ref="E60:O60" si="7">SUM(E55:E58)</f>
        <v>0</v>
      </c>
      <c r="F60" s="44">
        <f t="shared" si="7"/>
        <v>0</v>
      </c>
      <c r="G60" s="44">
        <f t="shared" si="7"/>
        <v>0</v>
      </c>
      <c r="H60" s="44">
        <f t="shared" si="7"/>
        <v>0</v>
      </c>
      <c r="I60" s="44">
        <f t="shared" si="7"/>
        <v>0</v>
      </c>
      <c r="J60" s="44">
        <f t="shared" si="7"/>
        <v>0</v>
      </c>
      <c r="K60" s="44">
        <f t="shared" si="7"/>
        <v>0</v>
      </c>
      <c r="L60" s="44">
        <f t="shared" si="7"/>
        <v>0</v>
      </c>
      <c r="M60" s="44">
        <f t="shared" si="7"/>
        <v>0</v>
      </c>
      <c r="N60" s="44">
        <f t="shared" si="7"/>
        <v>0</v>
      </c>
      <c r="O60" s="44">
        <f t="shared" si="7"/>
        <v>0</v>
      </c>
      <c r="P60" s="44">
        <f>SUMPRODUCT(ESTIMACION!$M$22:$M$29,'PLAN FINANCIERO'!P51:P58)</f>
        <v>0</v>
      </c>
      <c r="Q60" s="45">
        <f>SUM(D60:P60)</f>
        <v>0</v>
      </c>
      <c r="R60" s="165">
        <f>SUM(R55:R58)</f>
        <v>0</v>
      </c>
    </row>
    <row r="61" spans="1:18" x14ac:dyDescent="0.3">
      <c r="B61" s="163"/>
      <c r="C61" s="163"/>
      <c r="Q61" s="164"/>
      <c r="R61" s="164"/>
    </row>
    <row r="62" spans="1:18" ht="15" thickBot="1" x14ac:dyDescent="0.35"/>
    <row r="63" spans="1:18" x14ac:dyDescent="0.3">
      <c r="D63" s="301" t="s">
        <v>145</v>
      </c>
      <c r="E63" s="301"/>
      <c r="F63" s="301"/>
      <c r="G63" s="301"/>
      <c r="H63" s="301"/>
      <c r="I63" s="301"/>
      <c r="J63" s="301"/>
      <c r="K63" s="301"/>
      <c r="L63" s="301"/>
      <c r="M63" s="301"/>
      <c r="N63" s="301"/>
      <c r="O63" s="301"/>
      <c r="P63" s="301"/>
      <c r="Q63" s="310" t="s">
        <v>65</v>
      </c>
      <c r="R63" s="311"/>
    </row>
    <row r="64" spans="1:18" x14ac:dyDescent="0.3">
      <c r="B64" s="301" t="s">
        <v>34</v>
      </c>
      <c r="C64" s="301"/>
      <c r="D64" s="25" t="s">
        <v>52</v>
      </c>
      <c r="E64" s="25" t="s">
        <v>53</v>
      </c>
      <c r="F64" s="25" t="s">
        <v>54</v>
      </c>
      <c r="G64" s="25" t="s">
        <v>55</v>
      </c>
      <c r="H64" s="25" t="s">
        <v>56</v>
      </c>
      <c r="I64" s="25" t="s">
        <v>57</v>
      </c>
      <c r="J64" s="25" t="s">
        <v>58</v>
      </c>
      <c r="K64" s="25" t="s">
        <v>59</v>
      </c>
      <c r="L64" s="25" t="s">
        <v>60</v>
      </c>
      <c r="M64" s="25" t="s">
        <v>61</v>
      </c>
      <c r="N64" s="25" t="s">
        <v>62</v>
      </c>
      <c r="O64" s="25" t="s">
        <v>63</v>
      </c>
      <c r="P64" s="28" t="s">
        <v>64</v>
      </c>
      <c r="Q64" s="26" t="s">
        <v>66</v>
      </c>
      <c r="R64" s="27" t="s">
        <v>70</v>
      </c>
    </row>
    <row r="65" spans="1:21" x14ac:dyDescent="0.3">
      <c r="B65" s="319" t="str">
        <f>+ESTIMACION!C16</f>
        <v>PERSONAL</v>
      </c>
      <c r="C65" s="319"/>
      <c r="D65" s="42">
        <f>SUMPRODUCT(ESTIMACION!$M$22:$M$29,'PLAN FINANCIERO'!D21:D28)</f>
        <v>0</v>
      </c>
      <c r="E65" s="42">
        <f>SUMPRODUCT(ESTIMACION!$M$22:$M$29,'PLAN FINANCIERO'!E21:E28)</f>
        <v>0</v>
      </c>
      <c r="F65" s="42">
        <f>SUMPRODUCT(ESTIMACION!$M$22:$M$29,'PLAN FINANCIERO'!F21:F28)</f>
        <v>0</v>
      </c>
      <c r="G65" s="42">
        <f>SUMPRODUCT(ESTIMACION!$M$22:$M$29,'PLAN FINANCIERO'!G21:G28)</f>
        <v>0</v>
      </c>
      <c r="H65" s="42">
        <f>SUMPRODUCT(ESTIMACION!$M$22:$M$29,'PLAN FINANCIERO'!H21:H28)</f>
        <v>0</v>
      </c>
      <c r="I65" s="42">
        <f>SUMPRODUCT(ESTIMACION!$M$22:$M$29,'PLAN FINANCIERO'!I21:I28)</f>
        <v>0</v>
      </c>
      <c r="J65" s="42">
        <f>SUMPRODUCT(ESTIMACION!$M$22:$M$29,'PLAN FINANCIERO'!J21:J28)</f>
        <v>0</v>
      </c>
      <c r="K65" s="42">
        <f>SUMPRODUCT(ESTIMACION!$M$22:$M$29,'PLAN FINANCIERO'!K21:K28)</f>
        <v>0</v>
      </c>
      <c r="L65" s="42">
        <f>SUMPRODUCT(ESTIMACION!$M$22:$M$29,'PLAN FINANCIERO'!L21:L28)</f>
        <v>0</v>
      </c>
      <c r="M65" s="42">
        <f>SUMPRODUCT(ESTIMACION!$M$22:$M$29,'PLAN FINANCIERO'!M21:M28)</f>
        <v>0</v>
      </c>
      <c r="N65" s="42">
        <f>SUMPRODUCT(ESTIMACION!$M$22:$M$29,'PLAN FINANCIERO'!N21:N28)</f>
        <v>0</v>
      </c>
      <c r="O65" s="42">
        <f>SUMPRODUCT(ESTIMACION!$M$22:$M$29,'PLAN FINANCIERO'!O21:O28)</f>
        <v>0</v>
      </c>
      <c r="P65" s="42"/>
      <c r="Q65" s="29">
        <f>SUM(D65:P65)</f>
        <v>0</v>
      </c>
      <c r="R65" s="30">
        <f>SUMPRODUCT(ESTIMACION!$M$22:$M$29,'PLAN FINANCIERO'!R21:R28)</f>
        <v>26029.897632000004</v>
      </c>
      <c r="T65" s="1"/>
    </row>
    <row r="66" spans="1:21" x14ac:dyDescent="0.3">
      <c r="B66" s="319" t="str">
        <f>+ESTIMACION!C33</f>
        <v>SUBCONTRATACIONES</v>
      </c>
      <c r="C66" s="319"/>
      <c r="D66" s="42">
        <f>+D40</f>
        <v>0</v>
      </c>
      <c r="E66" s="42">
        <f t="shared" ref="E66:O66" si="8">+E40</f>
        <v>0</v>
      </c>
      <c r="F66" s="42">
        <f t="shared" si="8"/>
        <v>0</v>
      </c>
      <c r="G66" s="42">
        <f t="shared" si="8"/>
        <v>0</v>
      </c>
      <c r="H66" s="42">
        <f t="shared" si="8"/>
        <v>0</v>
      </c>
      <c r="I66" s="42">
        <f t="shared" si="8"/>
        <v>0</v>
      </c>
      <c r="J66" s="42">
        <f t="shared" si="8"/>
        <v>0</v>
      </c>
      <c r="K66" s="42">
        <f t="shared" si="8"/>
        <v>0</v>
      </c>
      <c r="L66" s="42">
        <f t="shared" si="8"/>
        <v>0</v>
      </c>
      <c r="M66" s="42">
        <f t="shared" si="8"/>
        <v>0</v>
      </c>
      <c r="N66" s="42">
        <f t="shared" si="8"/>
        <v>0</v>
      </c>
      <c r="O66" s="42">
        <f t="shared" si="8"/>
        <v>0</v>
      </c>
      <c r="P66" s="166"/>
      <c r="Q66" s="29">
        <f>SUM(D66:P66)</f>
        <v>0</v>
      </c>
      <c r="R66" s="30">
        <f>+ESTIMACION!N42</f>
        <v>0</v>
      </c>
      <c r="T66" s="1"/>
    </row>
    <row r="67" spans="1:21" x14ac:dyDescent="0.3">
      <c r="B67" s="319" t="str">
        <f>+ESTIMACION!C44</f>
        <v>EQUIPAMIENTO</v>
      </c>
      <c r="C67" s="319"/>
      <c r="D67" s="42">
        <f>+D50</f>
        <v>0</v>
      </c>
      <c r="E67" s="42">
        <f t="shared" ref="E67:O67" si="9">+E50</f>
        <v>0</v>
      </c>
      <c r="F67" s="42">
        <f t="shared" si="9"/>
        <v>0</v>
      </c>
      <c r="G67" s="42">
        <f t="shared" si="9"/>
        <v>0</v>
      </c>
      <c r="H67" s="42">
        <f t="shared" si="9"/>
        <v>0</v>
      </c>
      <c r="I67" s="42">
        <f t="shared" si="9"/>
        <v>0</v>
      </c>
      <c r="J67" s="42">
        <f t="shared" si="9"/>
        <v>0</v>
      </c>
      <c r="K67" s="42">
        <f t="shared" si="9"/>
        <v>0</v>
      </c>
      <c r="L67" s="42">
        <f t="shared" si="9"/>
        <v>0</v>
      </c>
      <c r="M67" s="42">
        <f t="shared" si="9"/>
        <v>0</v>
      </c>
      <c r="N67" s="42">
        <f t="shared" si="9"/>
        <v>0</v>
      </c>
      <c r="O67" s="42">
        <f t="shared" si="9"/>
        <v>0</v>
      </c>
      <c r="P67" s="42"/>
      <c r="Q67" s="29">
        <f>SUM(D67:P67)</f>
        <v>0</v>
      </c>
      <c r="R67" s="30">
        <f>+ESTIMACION!N53</f>
        <v>8483.4</v>
      </c>
      <c r="T67" s="1"/>
    </row>
    <row r="68" spans="1:21" ht="15" thickBot="1" x14ac:dyDescent="0.35">
      <c r="B68" s="319" t="str">
        <f>+ESTIMACION!C69</f>
        <v>OTROS GASTOS</v>
      </c>
      <c r="C68" s="319"/>
      <c r="D68" s="42">
        <f>+D60</f>
        <v>0</v>
      </c>
      <c r="E68" s="42">
        <f t="shared" ref="E68:O68" si="10">+E60</f>
        <v>0</v>
      </c>
      <c r="F68" s="42">
        <f t="shared" si="10"/>
        <v>0</v>
      </c>
      <c r="G68" s="42">
        <f t="shared" si="10"/>
        <v>0</v>
      </c>
      <c r="H68" s="42">
        <f t="shared" si="10"/>
        <v>0</v>
      </c>
      <c r="I68" s="42">
        <f t="shared" si="10"/>
        <v>0</v>
      </c>
      <c r="J68" s="42">
        <f t="shared" si="10"/>
        <v>0</v>
      </c>
      <c r="K68" s="42">
        <f t="shared" si="10"/>
        <v>0</v>
      </c>
      <c r="L68" s="42">
        <f t="shared" si="10"/>
        <v>0</v>
      </c>
      <c r="M68" s="42">
        <f t="shared" si="10"/>
        <v>0</v>
      </c>
      <c r="N68" s="42">
        <f t="shared" si="10"/>
        <v>0</v>
      </c>
      <c r="O68" s="42">
        <f t="shared" si="10"/>
        <v>0</v>
      </c>
      <c r="P68" s="42"/>
      <c r="Q68" s="43">
        <f>SUM(D68:P68)</f>
        <v>0</v>
      </c>
      <c r="R68" s="105">
        <f>+ESTIMACION!N79</f>
        <v>0</v>
      </c>
      <c r="S68" s="48"/>
      <c r="T68" s="1"/>
    </row>
    <row r="69" spans="1:21" ht="15" thickBot="1" x14ac:dyDescent="0.35">
      <c r="T69" s="1"/>
    </row>
    <row r="70" spans="1:21" ht="15" thickBot="1" x14ac:dyDescent="0.35">
      <c r="B70" s="300" t="s">
        <v>72</v>
      </c>
      <c r="C70" s="300"/>
      <c r="D70" s="44">
        <f t="shared" ref="D70:R70" si="11">SUM(D65:D68)</f>
        <v>0</v>
      </c>
      <c r="E70" s="44">
        <f t="shared" si="11"/>
        <v>0</v>
      </c>
      <c r="F70" s="44">
        <f t="shared" si="11"/>
        <v>0</v>
      </c>
      <c r="G70" s="44">
        <f t="shared" si="11"/>
        <v>0</v>
      </c>
      <c r="H70" s="44">
        <f t="shared" si="11"/>
        <v>0</v>
      </c>
      <c r="I70" s="44">
        <f t="shared" si="11"/>
        <v>0</v>
      </c>
      <c r="J70" s="44">
        <f t="shared" si="11"/>
        <v>0</v>
      </c>
      <c r="K70" s="44">
        <f t="shared" si="11"/>
        <v>0</v>
      </c>
      <c r="L70" s="44">
        <f t="shared" si="11"/>
        <v>0</v>
      </c>
      <c r="M70" s="44">
        <f t="shared" si="11"/>
        <v>0</v>
      </c>
      <c r="N70" s="44">
        <f t="shared" si="11"/>
        <v>0</v>
      </c>
      <c r="O70" s="44">
        <f t="shared" si="11"/>
        <v>0</v>
      </c>
      <c r="P70" s="44">
        <f t="shared" si="11"/>
        <v>0</v>
      </c>
      <c r="Q70" s="45">
        <f t="shared" si="11"/>
        <v>0</v>
      </c>
      <c r="R70" s="46">
        <f t="shared" si="11"/>
        <v>34513.297632000002</v>
      </c>
    </row>
    <row r="71" spans="1:21" x14ac:dyDescent="0.3">
      <c r="B71" s="300" t="s">
        <v>81</v>
      </c>
      <c r="C71" s="300"/>
      <c r="D71" s="44">
        <f>+D70</f>
        <v>0</v>
      </c>
      <c r="E71" s="44">
        <f>+D71+E70</f>
        <v>0</v>
      </c>
      <c r="F71" s="44">
        <f t="shared" ref="F71:P71" si="12">+E71+F70</f>
        <v>0</v>
      </c>
      <c r="G71" s="44">
        <f t="shared" si="12"/>
        <v>0</v>
      </c>
      <c r="H71" s="44">
        <f t="shared" si="12"/>
        <v>0</v>
      </c>
      <c r="I71" s="44">
        <f t="shared" si="12"/>
        <v>0</v>
      </c>
      <c r="J71" s="44">
        <f t="shared" si="12"/>
        <v>0</v>
      </c>
      <c r="K71" s="44">
        <f t="shared" si="12"/>
        <v>0</v>
      </c>
      <c r="L71" s="44">
        <f t="shared" si="12"/>
        <v>0</v>
      </c>
      <c r="M71" s="44">
        <f t="shared" si="12"/>
        <v>0</v>
      </c>
      <c r="N71" s="44">
        <f t="shared" si="12"/>
        <v>0</v>
      </c>
      <c r="O71" s="44">
        <f t="shared" si="12"/>
        <v>0</v>
      </c>
      <c r="P71" s="44">
        <f t="shared" si="12"/>
        <v>0</v>
      </c>
    </row>
    <row r="72" spans="1:21" ht="15" thickBot="1" x14ac:dyDescent="0.35">
      <c r="B72" s="163"/>
      <c r="C72" s="163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</row>
    <row r="73" spans="1:21" ht="15" thickBot="1" x14ac:dyDescent="0.35">
      <c r="A73" s="270" t="s">
        <v>144</v>
      </c>
      <c r="B73" s="271"/>
      <c r="C73" s="271"/>
      <c r="D73" s="271"/>
      <c r="E73" s="271"/>
      <c r="F73" s="271"/>
      <c r="G73" s="271"/>
      <c r="H73" s="271"/>
      <c r="I73" s="271"/>
      <c r="J73" s="271"/>
      <c r="K73" s="271"/>
      <c r="L73" s="271"/>
      <c r="M73" s="271"/>
      <c r="N73" s="271"/>
      <c r="O73" s="271"/>
      <c r="P73" s="271"/>
      <c r="Q73" s="271"/>
      <c r="R73" s="272"/>
    </row>
    <row r="74" spans="1:21" ht="15" thickBot="1" x14ac:dyDescent="0.35">
      <c r="B74" s="163"/>
      <c r="C74" s="163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</row>
    <row r="75" spans="1:21" x14ac:dyDescent="0.3">
      <c r="D75" s="301" t="s">
        <v>68</v>
      </c>
      <c r="E75" s="301"/>
      <c r="F75" s="301"/>
      <c r="G75" s="301"/>
      <c r="H75" s="301"/>
      <c r="I75" s="301"/>
      <c r="J75" s="301"/>
      <c r="K75" s="301"/>
      <c r="L75" s="301"/>
      <c r="M75" s="301"/>
      <c r="N75" s="301"/>
      <c r="O75" s="301"/>
      <c r="P75" s="301"/>
      <c r="Q75" s="310" t="s">
        <v>65</v>
      </c>
      <c r="R75" s="311"/>
    </row>
    <row r="76" spans="1:21" ht="15" thickBot="1" x14ac:dyDescent="0.35">
      <c r="B76" s="301" t="s">
        <v>34</v>
      </c>
      <c r="C76" s="301"/>
      <c r="D76" s="25" t="s">
        <v>52</v>
      </c>
      <c r="E76" s="25" t="s">
        <v>53</v>
      </c>
      <c r="F76" s="25" t="s">
        <v>54</v>
      </c>
      <c r="G76" s="25" t="s">
        <v>55</v>
      </c>
      <c r="H76" s="25" t="s">
        <v>56</v>
      </c>
      <c r="I76" s="25" t="s">
        <v>57</v>
      </c>
      <c r="J76" s="25" t="s">
        <v>58</v>
      </c>
      <c r="K76" s="25" t="s">
        <v>59</v>
      </c>
      <c r="L76" s="25" t="s">
        <v>60</v>
      </c>
      <c r="M76" s="25" t="s">
        <v>61</v>
      </c>
      <c r="N76" s="25" t="s">
        <v>62</v>
      </c>
      <c r="O76" s="25" t="s">
        <v>63</v>
      </c>
      <c r="P76" s="28" t="s">
        <v>64</v>
      </c>
      <c r="Q76" s="26" t="s">
        <v>66</v>
      </c>
      <c r="R76" s="27" t="s">
        <v>70</v>
      </c>
    </row>
    <row r="77" spans="1:21" ht="15" thickBot="1" x14ac:dyDescent="0.35">
      <c r="B77" s="300" t="s">
        <v>73</v>
      </c>
      <c r="C77" s="300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5">
        <f>SUM(D77:P77)</f>
        <v>0</v>
      </c>
      <c r="R77" s="180">
        <f>+ESTIMACION!N94</f>
        <v>43977.926366044449</v>
      </c>
      <c r="S77" s="48"/>
      <c r="U77" s="179"/>
    </row>
    <row r="78" spans="1:21" x14ac:dyDescent="0.3">
      <c r="B78" s="300" t="s">
        <v>82</v>
      </c>
      <c r="C78" s="300"/>
      <c r="D78" s="44">
        <f>+D77</f>
        <v>0</v>
      </c>
      <c r="E78" s="44">
        <f>+D78+E77</f>
        <v>0</v>
      </c>
      <c r="F78" s="44">
        <f t="shared" ref="F78" si="13">+E78+F77</f>
        <v>0</v>
      </c>
      <c r="G78" s="44">
        <f t="shared" ref="G78" si="14">+F78+G77</f>
        <v>0</v>
      </c>
      <c r="H78" s="44">
        <f t="shared" ref="H78" si="15">+G78+H77</f>
        <v>0</v>
      </c>
      <c r="I78" s="44">
        <f t="shared" ref="I78" si="16">+H78+I77</f>
        <v>0</v>
      </c>
      <c r="J78" s="44">
        <f t="shared" ref="J78" si="17">+I78+J77</f>
        <v>0</v>
      </c>
      <c r="K78" s="44">
        <f t="shared" ref="K78" si="18">+J78+K77</f>
        <v>0</v>
      </c>
      <c r="L78" s="44">
        <f t="shared" ref="L78" si="19">+K78+L77</f>
        <v>0</v>
      </c>
      <c r="M78" s="44">
        <f t="shared" ref="M78" si="20">+L78+M77</f>
        <v>0</v>
      </c>
      <c r="N78" s="44">
        <f t="shared" ref="N78" si="21">+M78+N77</f>
        <v>0</v>
      </c>
      <c r="O78" s="44">
        <f t="shared" ref="O78" si="22">+N78+O77</f>
        <v>0</v>
      </c>
      <c r="P78" s="44">
        <f t="shared" ref="P78" si="23">+O78+P77</f>
        <v>0</v>
      </c>
    </row>
    <row r="80" spans="1:21" ht="15" thickBot="1" x14ac:dyDescent="0.35"/>
    <row r="81" spans="1:20" ht="15" thickBot="1" x14ac:dyDescent="0.35">
      <c r="A81" s="270" t="s">
        <v>146</v>
      </c>
      <c r="B81" s="271"/>
      <c r="C81" s="271"/>
      <c r="D81" s="271"/>
      <c r="E81" s="271"/>
      <c r="F81" s="271"/>
      <c r="G81" s="271"/>
      <c r="H81" s="271"/>
      <c r="I81" s="271"/>
      <c r="J81" s="271"/>
      <c r="K81" s="271"/>
      <c r="L81" s="271"/>
      <c r="M81" s="271"/>
      <c r="N81" s="271"/>
      <c r="O81" s="271"/>
      <c r="P81" s="271"/>
      <c r="Q81" s="271"/>
      <c r="R81" s="272"/>
    </row>
    <row r="83" spans="1:20" ht="15" thickBot="1" x14ac:dyDescent="0.35">
      <c r="D83" s="233" t="s">
        <v>77</v>
      </c>
      <c r="E83" s="290"/>
      <c r="F83" s="290"/>
      <c r="G83" s="290"/>
      <c r="H83" s="290"/>
      <c r="I83" s="290"/>
      <c r="J83" s="290"/>
      <c r="K83" s="290"/>
      <c r="L83" s="290"/>
      <c r="M83" s="290"/>
      <c r="N83" s="290"/>
      <c r="O83" s="290"/>
      <c r="P83" s="234"/>
    </row>
    <row r="84" spans="1:20" x14ac:dyDescent="0.3">
      <c r="B84" s="301" t="s">
        <v>34</v>
      </c>
      <c r="C84" s="301"/>
      <c r="D84" s="28">
        <v>1</v>
      </c>
      <c r="E84" s="25">
        <v>2</v>
      </c>
      <c r="F84" s="58">
        <v>3</v>
      </c>
      <c r="G84" s="25">
        <v>4</v>
      </c>
      <c r="H84" s="58">
        <v>5</v>
      </c>
      <c r="I84" s="25">
        <v>6</v>
      </c>
      <c r="J84" s="58">
        <v>7</v>
      </c>
      <c r="K84" s="25">
        <v>8</v>
      </c>
      <c r="L84" s="58">
        <v>9</v>
      </c>
      <c r="M84" s="25">
        <v>10</v>
      </c>
      <c r="N84" s="58">
        <v>11</v>
      </c>
      <c r="O84" s="25">
        <v>12</v>
      </c>
      <c r="P84" s="58">
        <v>13</v>
      </c>
      <c r="Q84" s="49" t="s">
        <v>66</v>
      </c>
      <c r="R84" s="50" t="s">
        <v>70</v>
      </c>
    </row>
    <row r="85" spans="1:20" ht="15" thickBot="1" x14ac:dyDescent="0.35">
      <c r="B85" s="295" t="s">
        <v>101</v>
      </c>
      <c r="C85" s="296"/>
      <c r="D85" s="54">
        <f t="shared" ref="D85:P85" si="24">+D77-D70</f>
        <v>0</v>
      </c>
      <c r="E85" s="56">
        <f t="shared" si="24"/>
        <v>0</v>
      </c>
      <c r="F85" s="51">
        <f t="shared" si="24"/>
        <v>0</v>
      </c>
      <c r="G85" s="56">
        <f t="shared" si="24"/>
        <v>0</v>
      </c>
      <c r="H85" s="51">
        <f t="shared" si="24"/>
        <v>0</v>
      </c>
      <c r="I85" s="56">
        <f t="shared" si="24"/>
        <v>0</v>
      </c>
      <c r="J85" s="51">
        <f t="shared" si="24"/>
        <v>0</v>
      </c>
      <c r="K85" s="56">
        <f t="shared" si="24"/>
        <v>0</v>
      </c>
      <c r="L85" s="51">
        <f t="shared" si="24"/>
        <v>0</v>
      </c>
      <c r="M85" s="56">
        <f t="shared" si="24"/>
        <v>0</v>
      </c>
      <c r="N85" s="51">
        <f t="shared" si="24"/>
        <v>0</v>
      </c>
      <c r="O85" s="56">
        <f t="shared" si="24"/>
        <v>0</v>
      </c>
      <c r="P85" s="51">
        <f t="shared" si="24"/>
        <v>0</v>
      </c>
      <c r="Q85" s="43">
        <f>SUM(D85:P85)</f>
        <v>0</v>
      </c>
      <c r="R85" s="105">
        <f>+ESTIMACION!N94+ESTIMACION!K91</f>
        <v>44785.245810488894</v>
      </c>
      <c r="T85" s="48"/>
    </row>
    <row r="86" spans="1:20" x14ac:dyDescent="0.3">
      <c r="B86" s="297" t="s">
        <v>74</v>
      </c>
      <c r="C86" s="299"/>
      <c r="D86" s="55">
        <f>+D85</f>
        <v>0</v>
      </c>
      <c r="E86" s="57">
        <f>+D86+E85</f>
        <v>0</v>
      </c>
      <c r="F86" s="52">
        <f t="shared" ref="F86:P86" si="25">+E86+F85</f>
        <v>0</v>
      </c>
      <c r="G86" s="57">
        <f t="shared" si="25"/>
        <v>0</v>
      </c>
      <c r="H86" s="52">
        <f t="shared" si="25"/>
        <v>0</v>
      </c>
      <c r="I86" s="57">
        <f t="shared" si="25"/>
        <v>0</v>
      </c>
      <c r="J86" s="52">
        <f t="shared" si="25"/>
        <v>0</v>
      </c>
      <c r="K86" s="57">
        <f t="shared" si="25"/>
        <v>0</v>
      </c>
      <c r="L86" s="52">
        <f t="shared" si="25"/>
        <v>0</v>
      </c>
      <c r="M86" s="57">
        <f t="shared" si="25"/>
        <v>0</v>
      </c>
      <c r="N86" s="52">
        <f t="shared" si="25"/>
        <v>0</v>
      </c>
      <c r="O86" s="57">
        <f t="shared" si="25"/>
        <v>0</v>
      </c>
      <c r="P86" s="53">
        <f t="shared" si="25"/>
        <v>0</v>
      </c>
    </row>
    <row r="87" spans="1:20" x14ac:dyDescent="0.3">
      <c r="B87" s="295" t="s">
        <v>75</v>
      </c>
      <c r="C87" s="296"/>
      <c r="D87" s="106">
        <f>+D85/(1+$F$90)^D84</f>
        <v>0</v>
      </c>
      <c r="E87" s="106">
        <f t="shared" ref="E87:P87" si="26">+E85/(1+$F$90)^E84</f>
        <v>0</v>
      </c>
      <c r="F87" s="106">
        <f t="shared" si="26"/>
        <v>0</v>
      </c>
      <c r="G87" s="106">
        <f t="shared" si="26"/>
        <v>0</v>
      </c>
      <c r="H87" s="106">
        <f t="shared" si="26"/>
        <v>0</v>
      </c>
      <c r="I87" s="106">
        <f t="shared" si="26"/>
        <v>0</v>
      </c>
      <c r="J87" s="106">
        <f t="shared" si="26"/>
        <v>0</v>
      </c>
      <c r="K87" s="106">
        <f t="shared" si="26"/>
        <v>0</v>
      </c>
      <c r="L87" s="106">
        <f t="shared" si="26"/>
        <v>0</v>
      </c>
      <c r="M87" s="106">
        <f t="shared" si="26"/>
        <v>0</v>
      </c>
      <c r="N87" s="106">
        <f t="shared" si="26"/>
        <v>0</v>
      </c>
      <c r="O87" s="106">
        <f t="shared" si="26"/>
        <v>0</v>
      </c>
      <c r="P87" s="109">
        <f t="shared" si="26"/>
        <v>0</v>
      </c>
    </row>
    <row r="88" spans="1:20" x14ac:dyDescent="0.3">
      <c r="B88" s="297" t="s">
        <v>76</v>
      </c>
      <c r="C88" s="298"/>
      <c r="D88" s="107">
        <f t="shared" ref="D88:P88" si="27">+D87</f>
        <v>0</v>
      </c>
      <c r="E88" s="108">
        <f t="shared" ref="E88:K88" si="28">+D88+E87</f>
        <v>0</v>
      </c>
      <c r="F88" s="108">
        <f t="shared" si="28"/>
        <v>0</v>
      </c>
      <c r="G88" s="108">
        <f t="shared" si="28"/>
        <v>0</v>
      </c>
      <c r="H88" s="108">
        <f t="shared" si="28"/>
        <v>0</v>
      </c>
      <c r="I88" s="108">
        <f t="shared" si="28"/>
        <v>0</v>
      </c>
      <c r="J88" s="108">
        <f t="shared" si="28"/>
        <v>0</v>
      </c>
      <c r="K88" s="108">
        <f t="shared" si="28"/>
        <v>0</v>
      </c>
      <c r="L88" s="108">
        <f t="shared" ref="L88" si="29">+K88+L87</f>
        <v>0</v>
      </c>
      <c r="M88" s="108">
        <f t="shared" ref="M88" si="30">+L88+M87</f>
        <v>0</v>
      </c>
      <c r="N88" s="108">
        <f t="shared" ref="N88" si="31">+M88+N87</f>
        <v>0</v>
      </c>
      <c r="O88" s="181">
        <f t="shared" ref="O88" si="32">+N88+O87</f>
        <v>0</v>
      </c>
      <c r="P88" s="108">
        <f t="shared" si="27"/>
        <v>0</v>
      </c>
    </row>
    <row r="90" spans="1:20" x14ac:dyDescent="0.3">
      <c r="B90" t="s">
        <v>106</v>
      </c>
      <c r="F90" s="103">
        <f>+POWER((1+M15),(30/360))-1</f>
        <v>0</v>
      </c>
    </row>
    <row r="93" spans="1:20" x14ac:dyDescent="0.3">
      <c r="B93" t="s">
        <v>102</v>
      </c>
      <c r="F93" t="s">
        <v>103</v>
      </c>
    </row>
    <row r="95" spans="1:20" x14ac:dyDescent="0.3">
      <c r="C95" t="s">
        <v>104</v>
      </c>
      <c r="D95" s="104">
        <v>0</v>
      </c>
      <c r="F95" t="s">
        <v>105</v>
      </c>
      <c r="H95" s="103">
        <f>POWER((1+D95),(30/360))-1</f>
        <v>0</v>
      </c>
    </row>
    <row r="96" spans="1:20" x14ac:dyDescent="0.3">
      <c r="C96" t="s">
        <v>105</v>
      </c>
      <c r="D96" s="104">
        <v>0</v>
      </c>
      <c r="F96" t="s">
        <v>104</v>
      </c>
      <c r="H96" s="103">
        <f>POWER((1+D96),(360/30))-1</f>
        <v>0</v>
      </c>
    </row>
  </sheetData>
  <mergeCells count="84">
    <mergeCell ref="A60:C60"/>
    <mergeCell ref="A73:R73"/>
    <mergeCell ref="D75:P75"/>
    <mergeCell ref="Q75:R75"/>
    <mergeCell ref="B76:C76"/>
    <mergeCell ref="B68:C68"/>
    <mergeCell ref="Q63:R63"/>
    <mergeCell ref="B70:C70"/>
    <mergeCell ref="D63:P63"/>
    <mergeCell ref="B64:C64"/>
    <mergeCell ref="B65:C65"/>
    <mergeCell ref="B66:C66"/>
    <mergeCell ref="B67:C67"/>
    <mergeCell ref="A54:C54"/>
    <mergeCell ref="A55:C55"/>
    <mergeCell ref="A56:C56"/>
    <mergeCell ref="A57:C57"/>
    <mergeCell ref="A58:C58"/>
    <mergeCell ref="A47:C47"/>
    <mergeCell ref="A48:C48"/>
    <mergeCell ref="A50:C50"/>
    <mergeCell ref="D53:P53"/>
    <mergeCell ref="Q53:R53"/>
    <mergeCell ref="D43:P43"/>
    <mergeCell ref="Q43:R43"/>
    <mergeCell ref="A44:C44"/>
    <mergeCell ref="A45:C45"/>
    <mergeCell ref="A46:C46"/>
    <mergeCell ref="A37:C37"/>
    <mergeCell ref="A38:C38"/>
    <mergeCell ref="A30:C30"/>
    <mergeCell ref="A40:C40"/>
    <mergeCell ref="D33:P33"/>
    <mergeCell ref="Q33:R33"/>
    <mergeCell ref="A34:C34"/>
    <mergeCell ref="A35:C35"/>
    <mergeCell ref="A36:C36"/>
    <mergeCell ref="I15:L15"/>
    <mergeCell ref="A20:C20"/>
    <mergeCell ref="A21:C21"/>
    <mergeCell ref="A22:C22"/>
    <mergeCell ref="A23:C23"/>
    <mergeCell ref="A24:C24"/>
    <mergeCell ref="A25:C25"/>
    <mergeCell ref="A26:C26"/>
    <mergeCell ref="A28:C28"/>
    <mergeCell ref="A27:C27"/>
    <mergeCell ref="I14:L14"/>
    <mergeCell ref="Q19:R19"/>
    <mergeCell ref="A17:R17"/>
    <mergeCell ref="M14:N14"/>
    <mergeCell ref="M15:N15"/>
    <mergeCell ref="D19:P19"/>
    <mergeCell ref="I10:K10"/>
    <mergeCell ref="I11:K11"/>
    <mergeCell ref="I12:K12"/>
    <mergeCell ref="A10:C10"/>
    <mergeCell ref="C6:G6"/>
    <mergeCell ref="I6:J6"/>
    <mergeCell ref="D10:F10"/>
    <mergeCell ref="I8:J8"/>
    <mergeCell ref="K8:M8"/>
    <mergeCell ref="D8:F8"/>
    <mergeCell ref="A8:C8"/>
    <mergeCell ref="K6:N6"/>
    <mergeCell ref="L10:M10"/>
    <mergeCell ref="L11:M11"/>
    <mergeCell ref="L12:M12"/>
    <mergeCell ref="A1:R1"/>
    <mergeCell ref="A3:R3"/>
    <mergeCell ref="A5:B5"/>
    <mergeCell ref="C5:G5"/>
    <mergeCell ref="I5:J5"/>
    <mergeCell ref="K5:N5"/>
    <mergeCell ref="B85:C85"/>
    <mergeCell ref="B87:C87"/>
    <mergeCell ref="B88:C88"/>
    <mergeCell ref="B86:C86"/>
    <mergeCell ref="B71:C71"/>
    <mergeCell ref="B77:C77"/>
    <mergeCell ref="B78:C78"/>
    <mergeCell ref="A81:R81"/>
    <mergeCell ref="B84:C84"/>
    <mergeCell ref="D83:P8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2"/>
  <sheetViews>
    <sheetView showGridLines="0" workbookViewId="0">
      <selection activeCell="D10" sqref="D10:F10"/>
    </sheetView>
  </sheetViews>
  <sheetFormatPr baseColWidth="10" defaultRowHeight="14.4" x14ac:dyDescent="0.3"/>
  <cols>
    <col min="1" max="2" width="6.6640625" customWidth="1"/>
    <col min="3" max="3" width="16.6640625" customWidth="1"/>
    <col min="4" max="4" width="9.88671875" bestFit="1" customWidth="1"/>
    <col min="5" max="8" width="9.109375" bestFit="1" customWidth="1"/>
    <col min="9" max="12" width="10.33203125" bestFit="1" customWidth="1"/>
    <col min="13" max="14" width="9.5546875" bestFit="1" customWidth="1"/>
  </cols>
  <sheetData>
    <row r="1" spans="1:14" ht="21" x14ac:dyDescent="0.4">
      <c r="A1" s="221" t="s">
        <v>78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</row>
    <row r="3" spans="1:14" x14ac:dyDescent="0.3">
      <c r="A3" s="277" t="s">
        <v>4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</row>
    <row r="5" spans="1:14" x14ac:dyDescent="0.3">
      <c r="A5" s="276" t="s">
        <v>1</v>
      </c>
      <c r="B5" s="276"/>
      <c r="C5" s="302" t="str">
        <f>IF(ESTIMACION!C5="","N/A",ESTIMACION!C5)</f>
        <v>N/A</v>
      </c>
      <c r="D5" s="303"/>
      <c r="E5" s="303"/>
      <c r="F5" s="303"/>
      <c r="G5" s="304"/>
      <c r="H5" s="24"/>
      <c r="I5" s="276" t="s">
        <v>5</v>
      </c>
      <c r="J5" s="276"/>
      <c r="K5" s="302" t="str">
        <f>IF(ESTIMACION!L5="","N/A",ESTIMACION!L5)</f>
        <v>N/A</v>
      </c>
      <c r="L5" s="303"/>
      <c r="M5" s="303"/>
      <c r="N5" s="304"/>
    </row>
    <row r="6" spans="1:14" x14ac:dyDescent="0.3">
      <c r="A6" t="s">
        <v>2</v>
      </c>
      <c r="C6" s="302" t="str">
        <f>IF(ESTIMACION!C6="","N/A",ESTIMACION!C6)</f>
        <v>N/A</v>
      </c>
      <c r="D6" s="303"/>
      <c r="E6" s="303"/>
      <c r="F6" s="303"/>
      <c r="G6" s="304"/>
      <c r="H6" s="24"/>
      <c r="I6" s="276" t="s">
        <v>6</v>
      </c>
      <c r="J6" s="276"/>
      <c r="K6" s="302" t="str">
        <f>IF(ESTIMACION!L6="","N/A",ESTIMACION!L6)</f>
        <v>N/A</v>
      </c>
      <c r="L6" s="303"/>
      <c r="M6" s="303"/>
      <c r="N6" s="304"/>
    </row>
    <row r="7" spans="1:14" x14ac:dyDescent="0.3">
      <c r="C7" s="1"/>
    </row>
    <row r="8" spans="1:14" x14ac:dyDescent="0.3">
      <c r="A8" s="276" t="s">
        <v>3</v>
      </c>
      <c r="B8" s="276"/>
      <c r="C8" s="305"/>
      <c r="D8" s="306">
        <f>IF(ESTIMACION!C8="","N/A",ESTIMACION!C8)</f>
        <v>44809</v>
      </c>
      <c r="E8" s="307"/>
      <c r="F8" s="308"/>
      <c r="I8" s="276" t="s">
        <v>7</v>
      </c>
      <c r="J8" s="276"/>
      <c r="K8" s="306">
        <f>IF(ESTIMACION!L8="","N/A",ESTIMACION!L8)</f>
        <v>44921</v>
      </c>
      <c r="L8" s="307"/>
      <c r="M8" s="308"/>
    </row>
    <row r="9" spans="1:14" x14ac:dyDescent="0.3">
      <c r="C9" s="1"/>
      <c r="E9" s="2"/>
    </row>
    <row r="10" spans="1:14" x14ac:dyDescent="0.3">
      <c r="A10" s="276" t="s">
        <v>47</v>
      </c>
      <c r="B10" s="276"/>
      <c r="C10" s="305"/>
      <c r="D10" s="306" t="str">
        <f>IF('PLAN FINANCIERO'!D10:F10="","N/A",'PLAN FINANCIERO'!D10:F10)</f>
        <v>N/A</v>
      </c>
      <c r="E10" s="307"/>
      <c r="F10" s="308"/>
      <c r="I10" s="276" t="s">
        <v>8</v>
      </c>
      <c r="J10" s="276"/>
      <c r="K10" s="276"/>
      <c r="L10" s="309">
        <f>+ESTIMACION!M10</f>
        <v>43977.926366044449</v>
      </c>
      <c r="M10" s="309"/>
      <c r="N10" s="4" t="s">
        <v>11</v>
      </c>
    </row>
    <row r="11" spans="1:14" x14ac:dyDescent="0.3">
      <c r="I11" s="276" t="s">
        <v>9</v>
      </c>
      <c r="J11" s="276"/>
      <c r="K11" s="276"/>
      <c r="L11" s="309">
        <f>+ESTIMACION!M11</f>
        <v>1432</v>
      </c>
      <c r="M11" s="309"/>
      <c r="N11" s="4" t="s">
        <v>12</v>
      </c>
    </row>
    <row r="12" spans="1:14" x14ac:dyDescent="0.3">
      <c r="I12" s="276" t="s">
        <v>10</v>
      </c>
      <c r="J12" s="276"/>
      <c r="K12" s="276"/>
      <c r="L12" s="309">
        <f>+ESTIMACION!M12</f>
        <v>24.510639977956721</v>
      </c>
      <c r="M12" s="309"/>
      <c r="N12" s="4" t="s">
        <v>13</v>
      </c>
    </row>
    <row r="14" spans="1:14" x14ac:dyDescent="0.3">
      <c r="I14" s="276" t="s">
        <v>49</v>
      </c>
      <c r="J14" s="276"/>
      <c r="K14" s="276"/>
      <c r="L14" s="276"/>
      <c r="M14" s="320">
        <f>+'PLAN FINANCIERO'!M14:N14</f>
        <v>0</v>
      </c>
      <c r="N14" s="320"/>
    </row>
    <row r="15" spans="1:14" x14ac:dyDescent="0.3">
      <c r="I15" s="276" t="s">
        <v>50</v>
      </c>
      <c r="J15" s="276"/>
      <c r="K15" s="276"/>
      <c r="L15" s="276"/>
      <c r="M15" s="320">
        <f>+'PLAN FINANCIERO'!M15:N15</f>
        <v>0</v>
      </c>
      <c r="N15" s="320"/>
    </row>
    <row r="16" spans="1:14" x14ac:dyDescent="0.3">
      <c r="I16" s="276" t="s">
        <v>79</v>
      </c>
      <c r="J16" s="276"/>
      <c r="K16" s="276"/>
      <c r="L16" s="276"/>
      <c r="M16" s="312"/>
      <c r="N16" s="313"/>
    </row>
    <row r="17" spans="1:14" ht="15" thickBot="1" x14ac:dyDescent="0.35"/>
    <row r="18" spans="1:14" ht="15" thickBot="1" x14ac:dyDescent="0.35">
      <c r="A18" s="270" t="s">
        <v>147</v>
      </c>
      <c r="B18" s="271"/>
      <c r="C18" s="271"/>
      <c r="D18" s="271"/>
      <c r="E18" s="271"/>
      <c r="F18" s="271"/>
      <c r="G18" s="271"/>
      <c r="H18" s="271"/>
      <c r="I18" s="271"/>
      <c r="J18" s="271"/>
      <c r="K18" s="271"/>
      <c r="L18" s="271"/>
      <c r="M18" s="271"/>
      <c r="N18" s="272"/>
    </row>
    <row r="41" spans="1:14" ht="15" thickBot="1" x14ac:dyDescent="0.35"/>
    <row r="42" spans="1:14" ht="15" thickBot="1" x14ac:dyDescent="0.35">
      <c r="A42" s="270" t="s">
        <v>80</v>
      </c>
      <c r="B42" s="271"/>
      <c r="C42" s="271"/>
      <c r="D42" s="271"/>
      <c r="E42" s="271"/>
      <c r="F42" s="271"/>
      <c r="G42" s="271"/>
      <c r="H42" s="271"/>
      <c r="I42" s="271"/>
      <c r="J42" s="271"/>
      <c r="K42" s="271"/>
      <c r="L42" s="271"/>
      <c r="M42" s="271"/>
      <c r="N42" s="272"/>
    </row>
  </sheetData>
  <mergeCells count="29">
    <mergeCell ref="I16:L16"/>
    <mergeCell ref="M16:N16"/>
    <mergeCell ref="A42:N42"/>
    <mergeCell ref="A18:N18"/>
    <mergeCell ref="I12:K12"/>
    <mergeCell ref="L12:M12"/>
    <mergeCell ref="I14:L14"/>
    <mergeCell ref="M14:N14"/>
    <mergeCell ref="I15:L15"/>
    <mergeCell ref="M15:N15"/>
    <mergeCell ref="A10:C10"/>
    <mergeCell ref="D10:F10"/>
    <mergeCell ref="I10:K10"/>
    <mergeCell ref="L10:M10"/>
    <mergeCell ref="I11:K11"/>
    <mergeCell ref="L11:M11"/>
    <mergeCell ref="C6:G6"/>
    <mergeCell ref="I6:J6"/>
    <mergeCell ref="K6:N6"/>
    <mergeCell ref="A8:C8"/>
    <mergeCell ref="D8:F8"/>
    <mergeCell ref="I8:J8"/>
    <mergeCell ref="K8:M8"/>
    <mergeCell ref="A1:N1"/>
    <mergeCell ref="A3:N3"/>
    <mergeCell ref="A5:B5"/>
    <mergeCell ref="C5:G5"/>
    <mergeCell ref="I5:J5"/>
    <mergeCell ref="K5:N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100"/>
  <sheetViews>
    <sheetView showGridLines="0" topLeftCell="A41" workbookViewId="0">
      <selection activeCell="O57" sqref="O57"/>
    </sheetView>
  </sheetViews>
  <sheetFormatPr baseColWidth="10" defaultRowHeight="14.4" x14ac:dyDescent="0.3"/>
  <cols>
    <col min="1" max="2" width="6.6640625" customWidth="1"/>
    <col min="3" max="3" width="12" bestFit="1" customWidth="1"/>
    <col min="5" max="5" width="12" bestFit="1" customWidth="1"/>
    <col min="7" max="7" width="12" bestFit="1" customWidth="1"/>
    <col min="9" max="10" width="12" bestFit="1" customWidth="1"/>
    <col min="11" max="11" width="12" customWidth="1"/>
    <col min="12" max="13" width="12" bestFit="1" customWidth="1"/>
    <col min="15" max="15" width="12" bestFit="1" customWidth="1"/>
  </cols>
  <sheetData>
    <row r="1" spans="1:13" ht="21" x14ac:dyDescent="0.4">
      <c r="A1" s="221" t="s">
        <v>94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</row>
    <row r="3" spans="1:13" x14ac:dyDescent="0.3">
      <c r="A3" s="277" t="s">
        <v>4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</row>
    <row r="5" spans="1:13" x14ac:dyDescent="0.3">
      <c r="A5" s="276" t="s">
        <v>1</v>
      </c>
      <c r="B5" s="276"/>
      <c r="C5" s="321" t="str">
        <f>IF(ESTIMACION!C5="","N/A",ESTIMACION!C5)</f>
        <v>N/A</v>
      </c>
      <c r="D5" s="322"/>
      <c r="E5" s="322"/>
      <c r="F5" s="322"/>
      <c r="G5" s="323"/>
      <c r="I5" s="276" t="s">
        <v>5</v>
      </c>
      <c r="J5" s="276"/>
      <c r="K5" s="302" t="str">
        <f>IF(ESTIMACION!L5="","N/A",ESTIMACION!L5)</f>
        <v>N/A</v>
      </c>
      <c r="L5" s="303"/>
      <c r="M5" s="304"/>
    </row>
    <row r="6" spans="1:13" x14ac:dyDescent="0.3">
      <c r="A6" t="s">
        <v>2</v>
      </c>
      <c r="C6" s="321" t="str">
        <f>IF(ESTIMACION!C6="","N/A",ESTIMACION!C6)</f>
        <v>N/A</v>
      </c>
      <c r="D6" s="322"/>
      <c r="E6" s="322"/>
      <c r="F6" s="322"/>
      <c r="G6" s="323"/>
      <c r="I6" s="276" t="s">
        <v>6</v>
      </c>
      <c r="J6" s="276"/>
      <c r="K6" s="302" t="str">
        <f>IF(ESTIMACION!L6="","N/A",ESTIMACION!L6)</f>
        <v>N/A</v>
      </c>
      <c r="L6" s="303"/>
      <c r="M6" s="304"/>
    </row>
    <row r="7" spans="1:13" x14ac:dyDescent="0.3">
      <c r="C7" s="1"/>
    </row>
    <row r="8" spans="1:13" x14ac:dyDescent="0.3">
      <c r="C8" s="1"/>
      <c r="E8" s="2"/>
      <c r="K8" s="95" t="s">
        <v>95</v>
      </c>
      <c r="L8" s="95" t="s">
        <v>96</v>
      </c>
      <c r="M8" s="96"/>
    </row>
    <row r="9" spans="1:13" x14ac:dyDescent="0.3">
      <c r="A9" s="276" t="s">
        <v>47</v>
      </c>
      <c r="B9" s="276"/>
      <c r="C9" s="305"/>
      <c r="D9" s="284"/>
      <c r="E9" s="289"/>
      <c r="I9" s="276" t="s">
        <v>8</v>
      </c>
      <c r="J9" s="276"/>
      <c r="K9" s="22">
        <f>+ESTIMACION!M10</f>
        <v>43977.926366044449</v>
      </c>
      <c r="L9" s="22">
        <f>+ESTIMACION!M10</f>
        <v>43977.926366044449</v>
      </c>
      <c r="M9" s="97" t="s">
        <v>11</v>
      </c>
    </row>
    <row r="10" spans="1:13" x14ac:dyDescent="0.3">
      <c r="A10" s="24"/>
      <c r="B10" s="24"/>
      <c r="C10" s="24"/>
      <c r="I10" s="276" t="s">
        <v>97</v>
      </c>
      <c r="J10" s="276"/>
      <c r="K10" s="22">
        <f>+ESTIMACION!N81</f>
        <v>35320.617076444447</v>
      </c>
      <c r="L10" s="22">
        <f>SUM(H88:H92)</f>
        <v>0</v>
      </c>
      <c r="M10" s="97" t="s">
        <v>11</v>
      </c>
    </row>
    <row r="11" spans="1:13" x14ac:dyDescent="0.3">
      <c r="I11" s="276" t="s">
        <v>9</v>
      </c>
      <c r="J11" s="276"/>
      <c r="K11" s="98">
        <f>+ESTIMACION!M11</f>
        <v>1432</v>
      </c>
      <c r="L11" s="213">
        <f>H30</f>
        <v>0</v>
      </c>
      <c r="M11" s="97" t="s">
        <v>12</v>
      </c>
    </row>
    <row r="12" spans="1:13" x14ac:dyDescent="0.3">
      <c r="I12" s="276" t="s">
        <v>10</v>
      </c>
      <c r="J12" s="276"/>
      <c r="K12" s="99">
        <f>+ESTIMACION!M12</f>
        <v>24.510639977956721</v>
      </c>
      <c r="L12" s="19" t="e">
        <f>100*(L9-L10)/L10</f>
        <v>#DIV/0!</v>
      </c>
      <c r="M12" s="97" t="s">
        <v>13</v>
      </c>
    </row>
    <row r="13" spans="1:13" x14ac:dyDescent="0.3">
      <c r="I13" s="276" t="s">
        <v>3</v>
      </c>
      <c r="J13" s="276"/>
      <c r="K13" s="100">
        <f>IF(ESTIMACION!C8="","N/A",ESTIMACION!C8)</f>
        <v>44809</v>
      </c>
      <c r="L13" s="101"/>
      <c r="M13" s="97" t="s">
        <v>98</v>
      </c>
    </row>
    <row r="14" spans="1:13" x14ac:dyDescent="0.3">
      <c r="I14" s="276" t="s">
        <v>7</v>
      </c>
      <c r="J14" s="276"/>
      <c r="K14" s="100">
        <f>IF(ESTIMACION!L8="","N/A",ESTIMACION!L8)</f>
        <v>44921</v>
      </c>
      <c r="L14" s="101"/>
      <c r="M14" s="97" t="s">
        <v>98</v>
      </c>
    </row>
    <row r="15" spans="1:13" ht="15" thickBot="1" x14ac:dyDescent="0.35"/>
    <row r="16" spans="1:13" ht="15" thickBot="1" x14ac:dyDescent="0.35">
      <c r="A16" s="270" t="s">
        <v>14</v>
      </c>
      <c r="B16" s="271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2"/>
    </row>
    <row r="17" spans="2:13" x14ac:dyDescent="0.3">
      <c r="C17" s="1"/>
      <c r="E17" s="1"/>
    </row>
    <row r="18" spans="2:13" ht="15" thickBot="1" x14ac:dyDescent="0.35">
      <c r="B18" s="18" t="s">
        <v>35</v>
      </c>
      <c r="C18" s="222" t="s">
        <v>16</v>
      </c>
      <c r="D18" s="222"/>
      <c r="E18" s="222"/>
      <c r="F18" s="222"/>
      <c r="G18" s="222"/>
      <c r="H18" s="222"/>
      <c r="I18" s="222"/>
      <c r="J18" s="222"/>
      <c r="K18" s="222"/>
      <c r="L18" s="222"/>
      <c r="M18" s="222"/>
    </row>
    <row r="19" spans="2:13" ht="15.6" thickTop="1" thickBot="1" x14ac:dyDescent="0.35">
      <c r="F19" s="324" t="s">
        <v>65</v>
      </c>
      <c r="G19" s="325"/>
      <c r="H19" s="326" t="s">
        <v>92</v>
      </c>
      <c r="I19" s="327"/>
      <c r="J19" s="328"/>
      <c r="K19" s="329" t="s">
        <v>93</v>
      </c>
      <c r="L19" s="330"/>
      <c r="M19" s="331"/>
    </row>
    <row r="20" spans="2:13" ht="15" thickTop="1" x14ac:dyDescent="0.3">
      <c r="C20" s="332" t="s">
        <v>16</v>
      </c>
      <c r="D20" s="333"/>
      <c r="E20" s="334"/>
      <c r="F20" s="67" t="s">
        <v>17</v>
      </c>
      <c r="G20" s="68" t="s">
        <v>18</v>
      </c>
      <c r="H20" s="66" t="s">
        <v>17</v>
      </c>
      <c r="I20" s="89" t="s">
        <v>18</v>
      </c>
      <c r="J20" s="61" t="s">
        <v>13</v>
      </c>
      <c r="K20" s="66" t="s">
        <v>17</v>
      </c>
      <c r="L20" s="89" t="s">
        <v>18</v>
      </c>
      <c r="M20" s="61" t="s">
        <v>13</v>
      </c>
    </row>
    <row r="21" spans="2:13" x14ac:dyDescent="0.3">
      <c r="C21" s="335" t="str">
        <f>+ESTIMACION!C22</f>
        <v>Programadores</v>
      </c>
      <c r="D21" s="296"/>
      <c r="E21" s="336"/>
      <c r="F21" s="182">
        <f>+ESTIMACION!G22</f>
        <v>912</v>
      </c>
      <c r="G21" s="31">
        <f>+ESTIMACION!N22</f>
        <v>11961.999936</v>
      </c>
      <c r="H21" s="63"/>
      <c r="I21" s="32">
        <f>+H21*ESTIMACION!M22</f>
        <v>0</v>
      </c>
      <c r="J21" s="62">
        <f>+IF(F21=0,"N/A",H21/F21)</f>
        <v>0</v>
      </c>
      <c r="K21" s="186">
        <f>+H21-F21</f>
        <v>-912</v>
      </c>
      <c r="L21" s="184">
        <f>+I21-G21</f>
        <v>-11961.999936</v>
      </c>
      <c r="M21" s="74">
        <f t="shared" ref="M21" si="0">IF(F21=0,"N/A",J21-1)</f>
        <v>-1</v>
      </c>
    </row>
    <row r="22" spans="2:13" x14ac:dyDescent="0.3">
      <c r="C22" s="337" t="str">
        <f>+ESTIMACION!C23</f>
        <v>Artista</v>
      </c>
      <c r="D22" s="276"/>
      <c r="E22" s="338"/>
      <c r="F22" s="182">
        <f>+ESTIMACION!G23</f>
        <v>296</v>
      </c>
      <c r="G22" s="32">
        <f>+ESTIMACION!N23</f>
        <v>6390.9146879999998</v>
      </c>
      <c r="H22" s="63"/>
      <c r="I22" s="32">
        <f>+H22*ESTIMACION!M23</f>
        <v>0</v>
      </c>
      <c r="J22" s="62">
        <f t="shared" ref="J22:J28" si="1">+IF(F22=0,"N/A",H22/F22)</f>
        <v>0</v>
      </c>
      <c r="K22" s="187">
        <f t="shared" ref="K22:K28" si="2">+H22-F22</f>
        <v>-296</v>
      </c>
      <c r="L22" s="184">
        <f t="shared" ref="L22:L28" si="3">+I22-G22</f>
        <v>-6390.9146879999998</v>
      </c>
      <c r="M22" s="75">
        <f>IF(F22=0,"N/A",J22-1)</f>
        <v>-1</v>
      </c>
    </row>
    <row r="23" spans="2:13" x14ac:dyDescent="0.3">
      <c r="C23" s="337" t="str">
        <f>+ESTIMACION!C24</f>
        <v>Jefe de proyecto</v>
      </c>
      <c r="D23" s="276"/>
      <c r="E23" s="338"/>
      <c r="F23" s="182">
        <f>+ESTIMACION!G24</f>
        <v>176</v>
      </c>
      <c r="G23" s="32">
        <f>+ESTIMACION!N24</f>
        <v>7063.049664000001</v>
      </c>
      <c r="H23" s="63"/>
      <c r="I23" s="32">
        <f>+H23*ESTIMACION!M24</f>
        <v>0</v>
      </c>
      <c r="J23" s="62">
        <f t="shared" si="1"/>
        <v>0</v>
      </c>
      <c r="K23" s="187">
        <f t="shared" si="2"/>
        <v>-176</v>
      </c>
      <c r="L23" s="184">
        <f t="shared" si="3"/>
        <v>-7063.049664000001</v>
      </c>
      <c r="M23" s="75">
        <f t="shared" ref="M23:M28" si="4">IF(F23=0,"N/A",J23-1)</f>
        <v>-1</v>
      </c>
    </row>
    <row r="24" spans="2:13" x14ac:dyDescent="0.3">
      <c r="C24" s="337" t="str">
        <f>+ESTIMACION!C25</f>
        <v>Compositor</v>
      </c>
      <c r="D24" s="276"/>
      <c r="E24" s="338"/>
      <c r="F24" s="182">
        <f>+ESTIMACION!G25</f>
        <v>48</v>
      </c>
      <c r="G24" s="32">
        <f>+ESTIMACION!N25</f>
        <v>613.93334400000003</v>
      </c>
      <c r="H24" s="63"/>
      <c r="I24" s="32">
        <f>+H24*ESTIMACION!M25</f>
        <v>0</v>
      </c>
      <c r="J24" s="62">
        <f t="shared" si="1"/>
        <v>0</v>
      </c>
      <c r="K24" s="187">
        <f t="shared" si="2"/>
        <v>-48</v>
      </c>
      <c r="L24" s="184">
        <f t="shared" si="3"/>
        <v>-613.93334400000003</v>
      </c>
      <c r="M24" s="75">
        <f t="shared" si="4"/>
        <v>-1</v>
      </c>
    </row>
    <row r="25" spans="2:13" x14ac:dyDescent="0.3">
      <c r="C25" s="337">
        <f>+ESTIMACION!C26</f>
        <v>0</v>
      </c>
      <c r="D25" s="276"/>
      <c r="E25" s="338"/>
      <c r="F25" s="182">
        <f>+ESTIMACION!G26</f>
        <v>0</v>
      </c>
      <c r="G25" s="32">
        <f>+ESTIMACION!N26</f>
        <v>0</v>
      </c>
      <c r="H25" s="63"/>
      <c r="I25" s="32">
        <f>+H25*ESTIMACION!M26</f>
        <v>0</v>
      </c>
      <c r="J25" s="62" t="str">
        <f t="shared" ref="J25" si="5">+IF(F25=0,"N/A",H25/F25)</f>
        <v>N/A</v>
      </c>
      <c r="K25" s="187">
        <f t="shared" ref="K25" si="6">+H25-F25</f>
        <v>0</v>
      </c>
      <c r="L25" s="184">
        <f t="shared" ref="L25" si="7">+I25-G25</f>
        <v>0</v>
      </c>
      <c r="M25" s="75" t="str">
        <f t="shared" ref="M25" si="8">IF(F25=0,"N/A",J25-1)</f>
        <v>N/A</v>
      </c>
    </row>
    <row r="26" spans="2:13" x14ac:dyDescent="0.3">
      <c r="C26" s="337">
        <f>+ESTIMACION!C27</f>
        <v>0</v>
      </c>
      <c r="D26" s="276"/>
      <c r="E26" s="338"/>
      <c r="F26" s="182">
        <f>+ESTIMACION!G27</f>
        <v>0</v>
      </c>
      <c r="G26" s="32">
        <f>+ESTIMACION!N27</f>
        <v>0</v>
      </c>
      <c r="H26" s="63"/>
      <c r="I26" s="32">
        <f>+H26*ESTIMACION!M27</f>
        <v>0</v>
      </c>
      <c r="J26" s="62" t="str">
        <f t="shared" si="1"/>
        <v>N/A</v>
      </c>
      <c r="K26" s="187">
        <f t="shared" si="2"/>
        <v>0</v>
      </c>
      <c r="L26" s="184">
        <f t="shared" si="3"/>
        <v>0</v>
      </c>
      <c r="M26" s="75" t="str">
        <f t="shared" si="4"/>
        <v>N/A</v>
      </c>
    </row>
    <row r="27" spans="2:13" x14ac:dyDescent="0.3">
      <c r="C27" s="337">
        <f>+ESTIMACION!C28</f>
        <v>0</v>
      </c>
      <c r="D27" s="276"/>
      <c r="E27" s="338"/>
      <c r="F27" s="182">
        <f>+ESTIMACION!G28</f>
        <v>0</v>
      </c>
      <c r="G27" s="32">
        <f>+ESTIMACION!N28</f>
        <v>0</v>
      </c>
      <c r="H27" s="63"/>
      <c r="I27" s="32">
        <f>+H27*ESTIMACION!M28</f>
        <v>0</v>
      </c>
      <c r="J27" s="62" t="str">
        <f t="shared" si="1"/>
        <v>N/A</v>
      </c>
      <c r="K27" s="187">
        <f t="shared" si="2"/>
        <v>0</v>
      </c>
      <c r="L27" s="184">
        <f t="shared" si="3"/>
        <v>0</v>
      </c>
      <c r="M27" s="75" t="str">
        <f t="shared" si="4"/>
        <v>N/A</v>
      </c>
    </row>
    <row r="28" spans="2:13" ht="15" thickBot="1" x14ac:dyDescent="0.35">
      <c r="C28" s="344" t="str">
        <f>+ESTIMACION!C29</f>
        <v>[Insertar más líneas aquí]</v>
      </c>
      <c r="D28" s="345"/>
      <c r="E28" s="346"/>
      <c r="F28" s="59">
        <f>+ESTIMACION!G29</f>
        <v>0</v>
      </c>
      <c r="G28" s="60">
        <f>+ESTIMACION!N29</f>
        <v>0</v>
      </c>
      <c r="H28" s="64"/>
      <c r="I28" s="60">
        <f>+H28*ESTIMACION!J29</f>
        <v>0</v>
      </c>
      <c r="J28" s="65" t="str">
        <f t="shared" si="1"/>
        <v>N/A</v>
      </c>
      <c r="K28" s="188">
        <f t="shared" si="2"/>
        <v>0</v>
      </c>
      <c r="L28" s="185">
        <f t="shared" si="3"/>
        <v>0</v>
      </c>
      <c r="M28" s="76" t="str">
        <f t="shared" si="4"/>
        <v>N/A</v>
      </c>
    </row>
    <row r="29" spans="2:13" ht="15.6" thickTop="1" thickBot="1" x14ac:dyDescent="0.35"/>
    <row r="30" spans="2:13" ht="15.6" thickTop="1" thickBot="1" x14ac:dyDescent="0.35">
      <c r="C30" s="347" t="s">
        <v>20</v>
      </c>
      <c r="D30" s="348"/>
      <c r="E30" s="349"/>
      <c r="F30" s="183">
        <f>SUM(F21:F28)</f>
        <v>1432</v>
      </c>
      <c r="G30" s="77">
        <f>SUM(G21:G28)</f>
        <v>26029.897632000004</v>
      </c>
      <c r="H30" s="79">
        <f>SUM(H21:H28)</f>
        <v>0</v>
      </c>
      <c r="I30" s="78">
        <f>SUM(I21:I28)</f>
        <v>0</v>
      </c>
      <c r="J30" s="80">
        <f>+IF(F30=0,"N/A",H30/F30)</f>
        <v>0</v>
      </c>
      <c r="K30" s="81">
        <f>SUM(K21:K28)</f>
        <v>-1432</v>
      </c>
      <c r="L30" s="82">
        <f>SUM(L21:L28)</f>
        <v>-26029.897632000004</v>
      </c>
      <c r="M30" s="83">
        <f>IF(F30=0,"N/A",J30-1)</f>
        <v>-1</v>
      </c>
    </row>
    <row r="31" spans="2:13" ht="15" collapsed="1" thickTop="1" x14ac:dyDescent="0.3"/>
    <row r="32" spans="2:13" ht="15" thickBot="1" x14ac:dyDescent="0.35">
      <c r="B32" s="18" t="s">
        <v>37</v>
      </c>
      <c r="C32" s="222" t="s">
        <v>36</v>
      </c>
      <c r="D32" s="222"/>
      <c r="E32" s="222"/>
      <c r="F32" s="222"/>
      <c r="G32" s="222"/>
      <c r="H32" s="222"/>
      <c r="I32" s="222"/>
      <c r="J32" s="222"/>
      <c r="K32" s="222"/>
      <c r="L32" s="222"/>
      <c r="M32" s="222"/>
    </row>
    <row r="33" spans="2:13" ht="15.6" thickTop="1" thickBot="1" x14ac:dyDescent="0.35">
      <c r="B33" s="18"/>
      <c r="F33" s="324" t="s">
        <v>65</v>
      </c>
      <c r="G33" s="325"/>
      <c r="H33" s="339" t="s">
        <v>92</v>
      </c>
      <c r="I33" s="340"/>
      <c r="J33" s="341"/>
      <c r="K33" s="329" t="s">
        <v>93</v>
      </c>
      <c r="L33" s="330"/>
      <c r="M33" s="331"/>
    </row>
    <row r="34" spans="2:13" ht="15" thickTop="1" x14ac:dyDescent="0.3">
      <c r="B34" s="18"/>
      <c r="C34" s="332" t="s">
        <v>21</v>
      </c>
      <c r="D34" s="333"/>
      <c r="E34" s="334"/>
      <c r="F34" s="342" t="s">
        <v>18</v>
      </c>
      <c r="G34" s="343"/>
      <c r="H34" s="342" t="s">
        <v>18</v>
      </c>
      <c r="I34" s="234"/>
      <c r="J34" s="61" t="s">
        <v>13</v>
      </c>
      <c r="K34" s="342" t="s">
        <v>18</v>
      </c>
      <c r="L34" s="234"/>
      <c r="M34" s="61" t="s">
        <v>13</v>
      </c>
    </row>
    <row r="35" spans="2:13" x14ac:dyDescent="0.3">
      <c r="B35" s="18"/>
      <c r="C35" s="335">
        <f>+ESTIMACION!C37</f>
        <v>0</v>
      </c>
      <c r="D35" s="296"/>
      <c r="E35" s="336"/>
      <c r="F35" s="361">
        <f>+ESTIMACION!N37</f>
        <v>0</v>
      </c>
      <c r="G35" s="362"/>
      <c r="H35" s="363"/>
      <c r="I35" s="294"/>
      <c r="J35" s="62" t="str">
        <f>+IF(F35=0,"N/A",H35/F35)</f>
        <v>N/A</v>
      </c>
      <c r="K35" s="364">
        <f>+H35-F35</f>
        <v>0</v>
      </c>
      <c r="L35" s="365"/>
      <c r="M35" s="74" t="str">
        <f>IF(F35=0,"N/A",J35-1)</f>
        <v>N/A</v>
      </c>
    </row>
    <row r="36" spans="2:13" x14ac:dyDescent="0.3">
      <c r="B36" s="18"/>
      <c r="C36" s="337">
        <f>+ESTIMACION!C38</f>
        <v>0</v>
      </c>
      <c r="D36" s="276"/>
      <c r="E36" s="338"/>
      <c r="F36" s="350">
        <f>+ESTIMACION!N38</f>
        <v>0</v>
      </c>
      <c r="G36" s="351"/>
      <c r="H36" s="352"/>
      <c r="I36" s="292"/>
      <c r="J36" s="62" t="str">
        <f t="shared" ref="J36:J38" si="9">+IF(F36=0,"N/A",H36/F36)</f>
        <v>N/A</v>
      </c>
      <c r="K36" s="353">
        <f t="shared" ref="K36:K38" si="10">+H36-F36</f>
        <v>0</v>
      </c>
      <c r="L36" s="354"/>
      <c r="M36" s="75" t="str">
        <f t="shared" ref="M36:M38" si="11">IF(F36=0,"N/A",J36-1)</f>
        <v>N/A</v>
      </c>
    </row>
    <row r="37" spans="2:13" x14ac:dyDescent="0.3">
      <c r="B37" s="18"/>
      <c r="C37" s="337">
        <f>+ESTIMACION!C39</f>
        <v>0</v>
      </c>
      <c r="D37" s="276"/>
      <c r="E37" s="338"/>
      <c r="F37" s="350">
        <f>+ESTIMACION!N39</f>
        <v>0</v>
      </c>
      <c r="G37" s="351"/>
      <c r="H37" s="352"/>
      <c r="I37" s="292"/>
      <c r="J37" s="62" t="str">
        <f t="shared" si="9"/>
        <v>N/A</v>
      </c>
      <c r="K37" s="353">
        <f t="shared" si="10"/>
        <v>0</v>
      </c>
      <c r="L37" s="354"/>
      <c r="M37" s="75" t="str">
        <f t="shared" si="11"/>
        <v>N/A</v>
      </c>
    </row>
    <row r="38" spans="2:13" ht="15" thickBot="1" x14ac:dyDescent="0.35">
      <c r="B38" s="18"/>
      <c r="C38" s="344" t="str">
        <f>+ESTIMACION!C40</f>
        <v>[Insertar más líneas aquí]</v>
      </c>
      <c r="D38" s="345"/>
      <c r="E38" s="346"/>
      <c r="F38" s="355">
        <f>+ESTIMACION!N40</f>
        <v>0</v>
      </c>
      <c r="G38" s="356"/>
      <c r="H38" s="357"/>
      <c r="I38" s="358"/>
      <c r="J38" s="65" t="str">
        <f t="shared" si="9"/>
        <v>N/A</v>
      </c>
      <c r="K38" s="359">
        <f t="shared" si="10"/>
        <v>0</v>
      </c>
      <c r="L38" s="360"/>
      <c r="M38" s="76" t="str">
        <f t="shared" si="11"/>
        <v>N/A</v>
      </c>
    </row>
    <row r="39" spans="2:13" ht="15.6" thickTop="1" thickBot="1" x14ac:dyDescent="0.35">
      <c r="B39" s="18"/>
    </row>
    <row r="40" spans="2:13" ht="15.6" thickTop="1" thickBot="1" x14ac:dyDescent="0.35">
      <c r="B40" s="18"/>
      <c r="C40" s="347" t="s">
        <v>20</v>
      </c>
      <c r="D40" s="348"/>
      <c r="E40" s="349"/>
      <c r="F40" s="368">
        <f>SUM(F35:F38)</f>
        <v>0</v>
      </c>
      <c r="G40" s="369"/>
      <c r="H40" s="370">
        <f>SUM(H35:H38)</f>
        <v>0</v>
      </c>
      <c r="I40" s="371"/>
      <c r="J40" s="80" t="str">
        <f>+IF(F40=0,"N/A",H40/F40)</f>
        <v>N/A</v>
      </c>
      <c r="K40" s="372">
        <f>SUM(K35:K38)</f>
        <v>0</v>
      </c>
      <c r="L40" s="373"/>
      <c r="M40" s="83" t="str">
        <f>IF(F40=0,"N/A",J40-1)</f>
        <v>N/A</v>
      </c>
    </row>
    <row r="41" spans="2:13" ht="15" thickTop="1" x14ac:dyDescent="0.3"/>
    <row r="43" spans="2:13" ht="15" thickBot="1" x14ac:dyDescent="0.35">
      <c r="B43" s="18" t="s">
        <v>38</v>
      </c>
      <c r="C43" s="222" t="s">
        <v>39</v>
      </c>
      <c r="D43" s="222"/>
      <c r="E43" s="222"/>
      <c r="F43" s="222"/>
      <c r="G43" s="222"/>
      <c r="H43" s="222"/>
      <c r="I43" s="222"/>
      <c r="J43" s="222"/>
      <c r="K43" s="222"/>
      <c r="L43" s="222"/>
      <c r="M43" s="222"/>
    </row>
    <row r="44" spans="2:13" ht="15.6" thickTop="1" thickBot="1" x14ac:dyDescent="0.35">
      <c r="B44" s="18"/>
      <c r="F44" s="324" t="s">
        <v>65</v>
      </c>
      <c r="G44" s="325"/>
      <c r="H44" s="339" t="s">
        <v>92</v>
      </c>
      <c r="I44" s="340"/>
      <c r="J44" s="341"/>
      <c r="K44" s="329" t="s">
        <v>93</v>
      </c>
      <c r="L44" s="330"/>
      <c r="M44" s="331"/>
    </row>
    <row r="45" spans="2:13" ht="15" thickTop="1" x14ac:dyDescent="0.3">
      <c r="B45" s="18"/>
      <c r="C45" s="332" t="s">
        <v>25</v>
      </c>
      <c r="D45" s="333"/>
      <c r="E45" s="334"/>
      <c r="F45" s="342" t="s">
        <v>18</v>
      </c>
      <c r="G45" s="343"/>
      <c r="H45" s="342" t="s">
        <v>18</v>
      </c>
      <c r="I45" s="234"/>
      <c r="J45" s="61" t="s">
        <v>13</v>
      </c>
      <c r="K45" s="342" t="s">
        <v>18</v>
      </c>
      <c r="L45" s="234"/>
      <c r="M45" s="61" t="s">
        <v>13</v>
      </c>
    </row>
    <row r="46" spans="2:13" x14ac:dyDescent="0.3">
      <c r="B46" s="18"/>
      <c r="C46" s="335" t="str">
        <f>+ESTIMACION!C48</f>
        <v>Ordenadores</v>
      </c>
      <c r="D46" s="296"/>
      <c r="E46" s="336"/>
      <c r="F46" s="361">
        <f>+ESTIMACION!N48</f>
        <v>7776</v>
      </c>
      <c r="G46" s="362"/>
      <c r="H46" s="363"/>
      <c r="I46" s="294"/>
      <c r="J46" s="62">
        <f>+IF(F46=0,"N/A",H46/F46)</f>
        <v>0</v>
      </c>
      <c r="K46" s="366">
        <f>+H46-F46</f>
        <v>-7776</v>
      </c>
      <c r="L46" s="367"/>
      <c r="M46" s="74">
        <f>IF(F46=0,"N/A",J46-1)</f>
        <v>-1</v>
      </c>
    </row>
    <row r="47" spans="2:13" x14ac:dyDescent="0.3">
      <c r="B47" s="18"/>
      <c r="C47" s="337" t="str">
        <f>+ESTIMACION!C49</f>
        <v>Digitalizador</v>
      </c>
      <c r="D47" s="276"/>
      <c r="E47" s="338"/>
      <c r="F47" s="350">
        <f>+ESTIMACION!N49</f>
        <v>707.4</v>
      </c>
      <c r="G47" s="351"/>
      <c r="H47" s="352"/>
      <c r="I47" s="292"/>
      <c r="J47" s="62">
        <f t="shared" ref="J47:J49" si="12">+IF(F47=0,"N/A",H47/F47)</f>
        <v>0</v>
      </c>
      <c r="K47" s="376">
        <f t="shared" ref="K47:K49" si="13">+H47-F47</f>
        <v>-707.4</v>
      </c>
      <c r="L47" s="377"/>
      <c r="M47" s="75">
        <f t="shared" ref="M47:M49" si="14">IF(F47=0,"N/A",J47-1)</f>
        <v>-1</v>
      </c>
    </row>
    <row r="48" spans="2:13" x14ac:dyDescent="0.3">
      <c r="B48" s="18"/>
      <c r="C48" s="337">
        <f>+ESTIMACION!C50</f>
        <v>0</v>
      </c>
      <c r="D48" s="276"/>
      <c r="E48" s="338"/>
      <c r="F48" s="350">
        <f>+ESTIMACION!N50</f>
        <v>0</v>
      </c>
      <c r="G48" s="351"/>
      <c r="H48" s="352"/>
      <c r="I48" s="292"/>
      <c r="J48" s="62" t="str">
        <f t="shared" si="12"/>
        <v>N/A</v>
      </c>
      <c r="K48" s="376">
        <f t="shared" si="13"/>
        <v>0</v>
      </c>
      <c r="L48" s="377"/>
      <c r="M48" s="75" t="str">
        <f t="shared" si="14"/>
        <v>N/A</v>
      </c>
    </row>
    <row r="49" spans="2:13" ht="15" thickBot="1" x14ac:dyDescent="0.35">
      <c r="B49" s="18"/>
      <c r="C49" s="344" t="str">
        <f>+ESTIMACION!C51</f>
        <v>[Insertar más líneas aquí]</v>
      </c>
      <c r="D49" s="345"/>
      <c r="E49" s="346"/>
      <c r="F49" s="355">
        <f>+ESTIMACION!N51</f>
        <v>0</v>
      </c>
      <c r="G49" s="356"/>
      <c r="H49" s="357"/>
      <c r="I49" s="358"/>
      <c r="J49" s="65" t="str">
        <f t="shared" si="12"/>
        <v>N/A</v>
      </c>
      <c r="K49" s="374">
        <f t="shared" si="13"/>
        <v>0</v>
      </c>
      <c r="L49" s="375"/>
      <c r="M49" s="76" t="str">
        <f t="shared" si="14"/>
        <v>N/A</v>
      </c>
    </row>
    <row r="50" spans="2:13" ht="15.6" thickTop="1" thickBot="1" x14ac:dyDescent="0.35">
      <c r="B50" s="18"/>
    </row>
    <row r="51" spans="2:13" ht="15.6" thickTop="1" thickBot="1" x14ac:dyDescent="0.35">
      <c r="B51" s="18"/>
      <c r="C51" s="347" t="s">
        <v>20</v>
      </c>
      <c r="D51" s="348"/>
      <c r="E51" s="349"/>
      <c r="F51" s="368">
        <f>SUM(F46:F49)</f>
        <v>8483.4</v>
      </c>
      <c r="G51" s="369"/>
      <c r="H51" s="370">
        <f>SUM(H46:H49)</f>
        <v>0</v>
      </c>
      <c r="I51" s="371"/>
      <c r="J51" s="80">
        <f>+IF(F51=0,"N/A",H51/F51)</f>
        <v>0</v>
      </c>
      <c r="K51" s="372">
        <f>SUM(K46:K49)</f>
        <v>-8483.4</v>
      </c>
      <c r="L51" s="373"/>
      <c r="M51" s="83">
        <f>IF(F51=0,"N/A",J51-1)</f>
        <v>-1</v>
      </c>
    </row>
    <row r="52" spans="2:13" ht="15" thickTop="1" x14ac:dyDescent="0.3"/>
    <row r="53" spans="2:13" ht="15" thickBot="1" x14ac:dyDescent="0.35">
      <c r="B53" s="18" t="s">
        <v>40</v>
      </c>
      <c r="C53" s="222" t="s">
        <v>69</v>
      </c>
      <c r="D53" s="222"/>
      <c r="E53" s="222"/>
      <c r="F53" s="222"/>
      <c r="G53" s="222"/>
      <c r="H53" s="222"/>
      <c r="I53" s="222"/>
      <c r="J53" s="222"/>
      <c r="K53" s="222"/>
      <c r="L53" s="222"/>
      <c r="M53" s="222"/>
    </row>
    <row r="54" spans="2:13" ht="15.6" thickTop="1" thickBot="1" x14ac:dyDescent="0.35">
      <c r="B54" s="18"/>
      <c r="F54" s="324" t="s">
        <v>65</v>
      </c>
      <c r="G54" s="325"/>
      <c r="H54" s="339" t="s">
        <v>92</v>
      </c>
      <c r="I54" s="340"/>
      <c r="J54" s="341"/>
      <c r="K54" s="329" t="s">
        <v>93</v>
      </c>
      <c r="L54" s="330"/>
      <c r="M54" s="331"/>
    </row>
    <row r="55" spans="2:13" ht="15" thickTop="1" x14ac:dyDescent="0.3">
      <c r="B55" s="18"/>
      <c r="C55" s="332" t="s">
        <v>85</v>
      </c>
      <c r="D55" s="333"/>
      <c r="E55" s="334"/>
      <c r="F55" s="67" t="s">
        <v>86</v>
      </c>
      <c r="G55" s="68" t="s">
        <v>18</v>
      </c>
      <c r="H55" s="66" t="s">
        <v>86</v>
      </c>
      <c r="I55" s="89" t="s">
        <v>18</v>
      </c>
      <c r="J55" s="61" t="s">
        <v>13</v>
      </c>
      <c r="K55" s="66" t="s">
        <v>86</v>
      </c>
      <c r="L55" s="89" t="s">
        <v>18</v>
      </c>
      <c r="M55" s="61" t="s">
        <v>13</v>
      </c>
    </row>
    <row r="56" spans="2:13" x14ac:dyDescent="0.3">
      <c r="B56" s="18"/>
      <c r="C56" s="335" t="str">
        <f>+ESTIMACION!C58</f>
        <v>Ordenadores</v>
      </c>
      <c r="D56" s="296"/>
      <c r="E56" s="336"/>
      <c r="F56" s="182">
        <f>+ESTIMACION!L58</f>
        <v>111</v>
      </c>
      <c r="G56" s="31">
        <f>+ESTIMACION!N58</f>
        <v>740</v>
      </c>
      <c r="H56" s="63"/>
      <c r="I56" s="90">
        <f>+IF(F56=0,"N/A",H56*ESTIMACION!M58*ESTIMACION!I58*ESTIMACION!H58)</f>
        <v>0</v>
      </c>
      <c r="J56" s="62">
        <f>+IF(F56=0,"N/A",H56/F56)</f>
        <v>0</v>
      </c>
      <c r="K56" s="69">
        <f>+H56-F56</f>
        <v>-111</v>
      </c>
      <c r="L56" s="72">
        <f>IF(F56=0,"N/A",+I56-G56)</f>
        <v>-740</v>
      </c>
      <c r="M56" s="74">
        <f>IF(F56=0,"N/A",J56-1)</f>
        <v>-1</v>
      </c>
    </row>
    <row r="57" spans="2:13" x14ac:dyDescent="0.3">
      <c r="B57" s="18"/>
      <c r="C57" s="337" t="str">
        <f>+ESTIMACION!C59</f>
        <v>Digitalizador</v>
      </c>
      <c r="D57" s="276"/>
      <c r="E57" s="338"/>
      <c r="F57" s="182">
        <f>+ESTIMACION!L59</f>
        <v>111</v>
      </c>
      <c r="G57" s="32">
        <f>+ESTIMACION!N59</f>
        <v>67.319444444444443</v>
      </c>
      <c r="H57" s="63"/>
      <c r="I57" s="90">
        <f>+IF(F57=0,"N/A",H57*ESTIMACION!M59*ESTIMACION!I59*ESTIMACION!H59)</f>
        <v>0</v>
      </c>
      <c r="J57" s="62">
        <f t="shared" ref="J57:J63" si="15">+IF(F57=0,"N/A",H57/F57)</f>
        <v>0</v>
      </c>
      <c r="K57" s="70">
        <f t="shared" ref="K57:K63" si="16">+H57-F57</f>
        <v>-111</v>
      </c>
      <c r="L57" s="72">
        <f t="shared" ref="L57:L63" si="17">IF(F57=0,"N/A",+I57-G57)</f>
        <v>-67.319444444444443</v>
      </c>
      <c r="M57" s="75">
        <f t="shared" ref="M57:M63" si="18">IF(F57=0,"N/A",J57-1)</f>
        <v>-1</v>
      </c>
    </row>
    <row r="58" spans="2:13" x14ac:dyDescent="0.3">
      <c r="B58" s="18"/>
      <c r="C58" s="337">
        <f>+ESTIMACION!C60</f>
        <v>0</v>
      </c>
      <c r="D58" s="276"/>
      <c r="E58" s="338"/>
      <c r="F58" s="182">
        <f>+ESTIMACION!L60</f>
        <v>0</v>
      </c>
      <c r="G58" s="32">
        <f>+ESTIMACION!N60</f>
        <v>0</v>
      </c>
      <c r="H58" s="63"/>
      <c r="I58" s="90" t="str">
        <f>+IF(F58=0,"N/A",H58*ESTIMACION!M60*ESTIMACION!I60*ESTIMACION!H60)</f>
        <v>N/A</v>
      </c>
      <c r="J58" s="62" t="str">
        <f t="shared" si="15"/>
        <v>N/A</v>
      </c>
      <c r="K58" s="70">
        <f t="shared" ref="K58:K61" si="19">+H58-F58</f>
        <v>0</v>
      </c>
      <c r="L58" s="72" t="str">
        <f t="shared" ref="L58:L61" si="20">IF(F58=0,"N/A",+I58-G58)</f>
        <v>N/A</v>
      </c>
      <c r="M58" s="75" t="str">
        <f t="shared" ref="M58:M61" si="21">IF(F58=0,"N/A",J58-1)</f>
        <v>N/A</v>
      </c>
    </row>
    <row r="59" spans="2:13" x14ac:dyDescent="0.3">
      <c r="B59" s="18"/>
      <c r="C59" s="337">
        <f>+ESTIMACION!C61</f>
        <v>0</v>
      </c>
      <c r="D59" s="276"/>
      <c r="E59" s="338"/>
      <c r="F59" s="182">
        <f>+ESTIMACION!L61</f>
        <v>0</v>
      </c>
      <c r="G59" s="32">
        <f>+ESTIMACION!N61</f>
        <v>0</v>
      </c>
      <c r="H59" s="63"/>
      <c r="I59" s="90" t="str">
        <f>+IF(F59=0,"N/A",H59*ESTIMACION!M61*ESTIMACION!I61*ESTIMACION!H61)</f>
        <v>N/A</v>
      </c>
      <c r="J59" s="62" t="str">
        <f t="shared" si="15"/>
        <v>N/A</v>
      </c>
      <c r="K59" s="70">
        <f t="shared" si="19"/>
        <v>0</v>
      </c>
      <c r="L59" s="72" t="str">
        <f t="shared" si="20"/>
        <v>N/A</v>
      </c>
      <c r="M59" s="75" t="str">
        <f t="shared" si="21"/>
        <v>N/A</v>
      </c>
    </row>
    <row r="60" spans="2:13" x14ac:dyDescent="0.3">
      <c r="B60" s="18"/>
      <c r="C60" s="337">
        <f>+ESTIMACION!C62</f>
        <v>0</v>
      </c>
      <c r="D60" s="276"/>
      <c r="E60" s="338"/>
      <c r="F60" s="182">
        <f>+ESTIMACION!L62</f>
        <v>0</v>
      </c>
      <c r="G60" s="32">
        <f>+ESTIMACION!N62</f>
        <v>0</v>
      </c>
      <c r="H60" s="63"/>
      <c r="I60" s="90" t="str">
        <f>+IF(F60=0,"N/A",H60*ESTIMACION!M62*ESTIMACION!I62*ESTIMACION!H62)</f>
        <v>N/A</v>
      </c>
      <c r="J60" s="62" t="str">
        <f t="shared" si="15"/>
        <v>N/A</v>
      </c>
      <c r="K60" s="70">
        <f t="shared" si="19"/>
        <v>0</v>
      </c>
      <c r="L60" s="72" t="str">
        <f t="shared" si="20"/>
        <v>N/A</v>
      </c>
      <c r="M60" s="75" t="str">
        <f t="shared" si="21"/>
        <v>N/A</v>
      </c>
    </row>
    <row r="61" spans="2:13" x14ac:dyDescent="0.3">
      <c r="B61" s="18"/>
      <c r="C61" s="337">
        <f>+ESTIMACION!C63</f>
        <v>0</v>
      </c>
      <c r="D61" s="276"/>
      <c r="E61" s="338"/>
      <c r="F61" s="182">
        <f>+ESTIMACION!L63</f>
        <v>0</v>
      </c>
      <c r="G61" s="32">
        <f>+ESTIMACION!N63</f>
        <v>0</v>
      </c>
      <c r="H61" s="63"/>
      <c r="I61" s="90" t="str">
        <f>+IF(F61=0,"N/A",H61*ESTIMACION!M63*ESTIMACION!I63*ESTIMACION!H63)</f>
        <v>N/A</v>
      </c>
      <c r="J61" s="62" t="str">
        <f t="shared" si="15"/>
        <v>N/A</v>
      </c>
      <c r="K61" s="70">
        <f t="shared" si="19"/>
        <v>0</v>
      </c>
      <c r="L61" s="72" t="str">
        <f t="shared" si="20"/>
        <v>N/A</v>
      </c>
      <c r="M61" s="75" t="str">
        <f t="shared" si="21"/>
        <v>N/A</v>
      </c>
    </row>
    <row r="62" spans="2:13" x14ac:dyDescent="0.3">
      <c r="B62" s="18"/>
      <c r="C62" s="337">
        <f>+ESTIMACION!C64</f>
        <v>0</v>
      </c>
      <c r="D62" s="276"/>
      <c r="E62" s="338"/>
      <c r="F62" s="182">
        <f>+ESTIMACION!L64</f>
        <v>0</v>
      </c>
      <c r="G62" s="32">
        <f>+ESTIMACION!N64</f>
        <v>0</v>
      </c>
      <c r="H62" s="63"/>
      <c r="I62" s="90" t="str">
        <f>+IF(F62=0,"N/A",H62*ESTIMACION!M64*ESTIMACION!I64*ESTIMACION!H64)</f>
        <v>N/A</v>
      </c>
      <c r="J62" s="62" t="str">
        <f t="shared" si="15"/>
        <v>N/A</v>
      </c>
      <c r="K62" s="70">
        <f t="shared" si="16"/>
        <v>0</v>
      </c>
      <c r="L62" s="72" t="str">
        <f t="shared" si="17"/>
        <v>N/A</v>
      </c>
      <c r="M62" s="75" t="str">
        <f t="shared" si="18"/>
        <v>N/A</v>
      </c>
    </row>
    <row r="63" spans="2:13" ht="15" thickBot="1" x14ac:dyDescent="0.35">
      <c r="B63" s="18"/>
      <c r="C63" s="344" t="str">
        <f>+ESTIMACION!C65</f>
        <v>[Insertar]</v>
      </c>
      <c r="D63" s="345"/>
      <c r="E63" s="346"/>
      <c r="F63" s="59">
        <f>+ESTIMACION!L65</f>
        <v>0</v>
      </c>
      <c r="G63" s="84">
        <f>+ESTIMACION!N65</f>
        <v>0</v>
      </c>
      <c r="H63" s="64"/>
      <c r="I63" s="84" t="str">
        <f>+IF(F63=0,"N/A",H63*ESTIMACION!M65*ESTIMACION!I65*ESTIMACION!H65)</f>
        <v>N/A</v>
      </c>
      <c r="J63" s="65" t="str">
        <f t="shared" si="15"/>
        <v>N/A</v>
      </c>
      <c r="K63" s="71">
        <f t="shared" si="16"/>
        <v>0</v>
      </c>
      <c r="L63" s="73" t="str">
        <f t="shared" si="17"/>
        <v>N/A</v>
      </c>
      <c r="M63" s="76" t="str">
        <f t="shared" si="18"/>
        <v>N/A</v>
      </c>
    </row>
    <row r="64" spans="2:13" ht="15.6" thickTop="1" thickBot="1" x14ac:dyDescent="0.35">
      <c r="B64" s="18"/>
    </row>
    <row r="65" spans="2:13" ht="15.6" thickTop="1" thickBot="1" x14ac:dyDescent="0.35">
      <c r="B65" s="18"/>
      <c r="C65" s="347" t="s">
        <v>20</v>
      </c>
      <c r="D65" s="348"/>
      <c r="E65" s="349"/>
      <c r="F65" s="183">
        <f>SUM(F56:F63)</f>
        <v>222</v>
      </c>
      <c r="G65" s="77">
        <f>SUM(G56:G63)</f>
        <v>807.31944444444446</v>
      </c>
      <c r="H65" s="79">
        <f>SUM(H56:H63)</f>
        <v>0</v>
      </c>
      <c r="I65" s="78">
        <f>SUM(I56:I63)</f>
        <v>0</v>
      </c>
      <c r="J65" s="80">
        <f>+IF(F65=0,"N/A",H65/F65)</f>
        <v>0</v>
      </c>
      <c r="K65" s="81">
        <f>SUM(K56:K63)</f>
        <v>-222</v>
      </c>
      <c r="L65" s="82">
        <f>SUM(L56:L63)</f>
        <v>-807.31944444444446</v>
      </c>
      <c r="M65" s="83">
        <f>IF(F65=0,"N/A",J65-1)</f>
        <v>-1</v>
      </c>
    </row>
    <row r="66" spans="2:13" ht="15" thickTop="1" x14ac:dyDescent="0.3">
      <c r="B66" s="18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2:13" ht="15" thickBot="1" x14ac:dyDescent="0.35">
      <c r="B67" s="18" t="s">
        <v>42</v>
      </c>
      <c r="C67" s="222" t="s">
        <v>41</v>
      </c>
      <c r="D67" s="222"/>
      <c r="E67" s="222"/>
      <c r="F67" s="222"/>
      <c r="G67" s="222"/>
      <c r="H67" s="222"/>
      <c r="I67" s="222"/>
      <c r="J67" s="222"/>
      <c r="K67" s="222"/>
      <c r="L67" s="222"/>
      <c r="M67" s="222"/>
    </row>
    <row r="68" spans="2:13" ht="15.6" thickTop="1" thickBot="1" x14ac:dyDescent="0.35">
      <c r="B68" s="18"/>
      <c r="F68" s="324" t="s">
        <v>65</v>
      </c>
      <c r="G68" s="325"/>
      <c r="H68" s="339" t="s">
        <v>92</v>
      </c>
      <c r="I68" s="340"/>
      <c r="J68" s="341"/>
      <c r="K68" s="329" t="s">
        <v>93</v>
      </c>
      <c r="L68" s="330"/>
      <c r="M68" s="331"/>
    </row>
    <row r="69" spans="2:13" ht="15" thickTop="1" x14ac:dyDescent="0.3">
      <c r="B69" s="18"/>
      <c r="C69" s="332" t="s">
        <v>32</v>
      </c>
      <c r="D69" s="333"/>
      <c r="E69" s="334"/>
      <c r="F69" s="342" t="s">
        <v>18</v>
      </c>
      <c r="G69" s="343"/>
      <c r="H69" s="342" t="s">
        <v>18</v>
      </c>
      <c r="I69" s="234"/>
      <c r="J69" s="61" t="s">
        <v>13</v>
      </c>
      <c r="K69" s="342" t="s">
        <v>18</v>
      </c>
      <c r="L69" s="234"/>
      <c r="M69" s="61" t="s">
        <v>13</v>
      </c>
    </row>
    <row r="70" spans="2:13" x14ac:dyDescent="0.3">
      <c r="B70" s="18"/>
      <c r="C70" s="335">
        <f>+ESTIMACION!C73</f>
        <v>0</v>
      </c>
      <c r="D70" s="296"/>
      <c r="E70" s="336"/>
      <c r="F70" s="361">
        <f>+ESTIMACION!N73</f>
        <v>0</v>
      </c>
      <c r="G70" s="362"/>
      <c r="H70" s="363"/>
      <c r="I70" s="294"/>
      <c r="J70" s="62" t="str">
        <f>+IF(F70=0,"N/A",H70/F70)</f>
        <v>N/A</v>
      </c>
      <c r="K70" s="364">
        <f>+H70-F70</f>
        <v>0</v>
      </c>
      <c r="L70" s="365"/>
      <c r="M70" s="74" t="str">
        <f>IF(F70=0,"N/A",J70-1)</f>
        <v>N/A</v>
      </c>
    </row>
    <row r="71" spans="2:13" x14ac:dyDescent="0.3">
      <c r="B71" s="18"/>
      <c r="C71" s="337">
        <f>+ESTIMACION!C74</f>
        <v>0</v>
      </c>
      <c r="D71" s="276"/>
      <c r="E71" s="338"/>
      <c r="F71" s="350">
        <f>+ESTIMACION!N74</f>
        <v>0</v>
      </c>
      <c r="G71" s="351"/>
      <c r="H71" s="352"/>
      <c r="I71" s="292"/>
      <c r="J71" s="62" t="str">
        <f t="shared" ref="J71:J73" si="22">+IF(F71=0,"N/A",H71/F71)</f>
        <v>N/A</v>
      </c>
      <c r="K71" s="353">
        <f t="shared" ref="K71:K73" si="23">+H71-F71</f>
        <v>0</v>
      </c>
      <c r="L71" s="354"/>
      <c r="M71" s="75" t="str">
        <f t="shared" ref="M71:M73" si="24">IF(F71=0,"N/A",J71-1)</f>
        <v>N/A</v>
      </c>
    </row>
    <row r="72" spans="2:13" x14ac:dyDescent="0.3">
      <c r="B72" s="18"/>
      <c r="C72" s="337">
        <f>+ESTIMACION!C75</f>
        <v>0</v>
      </c>
      <c r="D72" s="276"/>
      <c r="E72" s="338"/>
      <c r="F72" s="350">
        <f>+ESTIMACION!N75</f>
        <v>0</v>
      </c>
      <c r="G72" s="351"/>
      <c r="H72" s="352"/>
      <c r="I72" s="292"/>
      <c r="J72" s="62" t="str">
        <f t="shared" si="22"/>
        <v>N/A</v>
      </c>
      <c r="K72" s="353">
        <f t="shared" si="23"/>
        <v>0</v>
      </c>
      <c r="L72" s="354"/>
      <c r="M72" s="75" t="str">
        <f t="shared" si="24"/>
        <v>N/A</v>
      </c>
    </row>
    <row r="73" spans="2:13" ht="15" thickBot="1" x14ac:dyDescent="0.35">
      <c r="B73" s="18"/>
      <c r="C73" s="344" t="str">
        <f>+ESTIMACION!C77</f>
        <v>[Insertar más líneas aquí]</v>
      </c>
      <c r="D73" s="345"/>
      <c r="E73" s="346"/>
      <c r="F73" s="355">
        <f>+ESTIMACION!L78</f>
        <v>0</v>
      </c>
      <c r="G73" s="356"/>
      <c r="H73" s="357"/>
      <c r="I73" s="358"/>
      <c r="J73" s="65" t="str">
        <f t="shared" si="22"/>
        <v>N/A</v>
      </c>
      <c r="K73" s="359">
        <f t="shared" si="23"/>
        <v>0</v>
      </c>
      <c r="L73" s="360"/>
      <c r="M73" s="76" t="str">
        <f t="shared" si="24"/>
        <v>N/A</v>
      </c>
    </row>
    <row r="74" spans="2:13" ht="15.6" thickTop="1" thickBot="1" x14ac:dyDescent="0.35">
      <c r="B74" s="18"/>
    </row>
    <row r="75" spans="2:13" ht="15.6" thickTop="1" thickBot="1" x14ac:dyDescent="0.35">
      <c r="B75" s="18"/>
      <c r="C75" s="347" t="s">
        <v>20</v>
      </c>
      <c r="D75" s="348"/>
      <c r="E75" s="349"/>
      <c r="F75" s="368">
        <f>SUM(F70:F73)</f>
        <v>0</v>
      </c>
      <c r="G75" s="369"/>
      <c r="H75" s="370">
        <f>SUM(H70:H73)</f>
        <v>0</v>
      </c>
      <c r="I75" s="371"/>
      <c r="J75" s="80" t="str">
        <f>+IF(F75=0,"N/A",H75/F75)</f>
        <v>N/A</v>
      </c>
      <c r="K75" s="372">
        <f>SUM(K70:K73)</f>
        <v>0</v>
      </c>
      <c r="L75" s="373"/>
      <c r="M75" s="83" t="str">
        <f>IF(F75=0,"N/A",J75-1)</f>
        <v>N/A</v>
      </c>
    </row>
    <row r="76" spans="2:13" ht="15" thickTop="1" x14ac:dyDescent="0.3"/>
    <row r="77" spans="2:13" ht="15" thickBot="1" x14ac:dyDescent="0.35">
      <c r="B77" s="189" t="s">
        <v>148</v>
      </c>
      <c r="C77" s="222" t="s">
        <v>73</v>
      </c>
      <c r="D77" s="222"/>
      <c r="E77" s="222"/>
      <c r="F77" s="222"/>
      <c r="G77" s="222"/>
      <c r="H77" s="222"/>
      <c r="I77" s="222"/>
      <c r="J77" s="222"/>
      <c r="K77" s="222"/>
      <c r="L77" s="222"/>
      <c r="M77" s="222"/>
    </row>
    <row r="78" spans="2:13" ht="15.6" thickTop="1" thickBot="1" x14ac:dyDescent="0.35">
      <c r="B78" s="18"/>
      <c r="F78" s="324" t="s">
        <v>83</v>
      </c>
      <c r="G78" s="325"/>
      <c r="H78" s="339" t="s">
        <v>84</v>
      </c>
      <c r="I78" s="340"/>
      <c r="J78" s="341"/>
      <c r="K78" s="329" t="s">
        <v>93</v>
      </c>
      <c r="L78" s="330"/>
      <c r="M78" s="331"/>
    </row>
    <row r="79" spans="2:13" ht="15" thickTop="1" x14ac:dyDescent="0.3">
      <c r="B79" s="18"/>
      <c r="C79" s="332" t="s">
        <v>88</v>
      </c>
      <c r="D79" s="333"/>
      <c r="E79" s="334"/>
      <c r="F79" s="342" t="s">
        <v>99</v>
      </c>
      <c r="G79" s="343"/>
      <c r="H79" s="342" t="s">
        <v>99</v>
      </c>
      <c r="I79" s="234"/>
      <c r="J79" s="61" t="s">
        <v>13</v>
      </c>
      <c r="K79" s="342" t="s">
        <v>18</v>
      </c>
      <c r="L79" s="234"/>
      <c r="M79" s="61" t="s">
        <v>13</v>
      </c>
    </row>
    <row r="80" spans="2:13" ht="15" thickBot="1" x14ac:dyDescent="0.35">
      <c r="B80" s="18"/>
      <c r="C80" s="378" t="s">
        <v>89</v>
      </c>
      <c r="D80" s="379"/>
      <c r="E80" s="380"/>
      <c r="F80" s="381">
        <f>+ESTIMACION!N94</f>
        <v>43977.926366044449</v>
      </c>
      <c r="G80" s="382"/>
      <c r="H80" s="383"/>
      <c r="I80" s="384"/>
      <c r="J80" s="65">
        <f>+IF(F80=0,"N/A",H80/F80)</f>
        <v>0</v>
      </c>
      <c r="K80" s="385">
        <f>+H80-F80</f>
        <v>-43977.926366044449</v>
      </c>
      <c r="L80" s="386"/>
      <c r="M80" s="85">
        <f>IF(F80=0,"N/A",J80-1)</f>
        <v>-1</v>
      </c>
    </row>
    <row r="81" spans="1:13" ht="15.6" thickTop="1" thickBot="1" x14ac:dyDescent="0.35">
      <c r="B81" s="18"/>
      <c r="C81" s="24"/>
      <c r="D81" s="24"/>
      <c r="E81" s="24"/>
      <c r="F81" s="86"/>
      <c r="G81" s="86"/>
      <c r="H81" s="86"/>
      <c r="I81" s="86"/>
      <c r="J81" s="87"/>
      <c r="K81" s="88"/>
      <c r="L81" s="88"/>
      <c r="M81" s="92"/>
    </row>
    <row r="82" spans="1:13" ht="15.6" thickTop="1" thickBot="1" x14ac:dyDescent="0.35">
      <c r="B82" s="18"/>
      <c r="C82" s="347" t="s">
        <v>20</v>
      </c>
      <c r="D82" s="348"/>
      <c r="E82" s="349"/>
      <c r="F82" s="368">
        <f>SUM(F80)</f>
        <v>43977.926366044449</v>
      </c>
      <c r="G82" s="369"/>
      <c r="H82" s="370">
        <f>SUM(H80)</f>
        <v>0</v>
      </c>
      <c r="I82" s="371"/>
      <c r="J82" s="80">
        <f>+IF(F82=0,"N/A",H82/F82)</f>
        <v>0</v>
      </c>
      <c r="K82" s="372">
        <f>SUM(K80)</f>
        <v>-43977.926366044449</v>
      </c>
      <c r="L82" s="373"/>
      <c r="M82" s="83">
        <f>IF(F82=0,"N/A",J82-1)</f>
        <v>-1</v>
      </c>
    </row>
    <row r="83" spans="1:13" ht="15.6" thickTop="1" thickBot="1" x14ac:dyDescent="0.35">
      <c r="B83" s="18"/>
    </row>
    <row r="84" spans="1:13" ht="15" thickBot="1" x14ac:dyDescent="0.35">
      <c r="A84" s="270" t="s">
        <v>149</v>
      </c>
      <c r="B84" s="271"/>
      <c r="C84" s="271"/>
      <c r="D84" s="271"/>
      <c r="E84" s="271"/>
      <c r="F84" s="271"/>
      <c r="G84" s="271"/>
      <c r="H84" s="271"/>
      <c r="I84" s="271"/>
      <c r="J84" s="271"/>
      <c r="K84" s="271"/>
      <c r="L84" s="271"/>
      <c r="M84" s="272"/>
    </row>
    <row r="85" spans="1:13" ht="15" thickBot="1" x14ac:dyDescent="0.35">
      <c r="B85" s="18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</row>
    <row r="86" spans="1:13" ht="15.6" thickTop="1" thickBot="1" x14ac:dyDescent="0.35">
      <c r="B86" s="18"/>
      <c r="F86" s="324" t="s">
        <v>65</v>
      </c>
      <c r="G86" s="325"/>
      <c r="H86" s="339" t="s">
        <v>92</v>
      </c>
      <c r="I86" s="340"/>
      <c r="J86" s="341"/>
      <c r="K86" s="329" t="s">
        <v>93</v>
      </c>
      <c r="L86" s="330"/>
      <c r="M86" s="331"/>
    </row>
    <row r="87" spans="1:13" ht="15" thickTop="1" x14ac:dyDescent="0.3">
      <c r="B87" s="18"/>
      <c r="C87" s="332" t="s">
        <v>87</v>
      </c>
      <c r="D87" s="333"/>
      <c r="E87" s="334"/>
      <c r="F87" s="342" t="s">
        <v>18</v>
      </c>
      <c r="G87" s="343"/>
      <c r="H87" s="342" t="s">
        <v>18</v>
      </c>
      <c r="I87" s="234"/>
      <c r="J87" s="61" t="s">
        <v>13</v>
      </c>
      <c r="K87" s="342" t="s">
        <v>18</v>
      </c>
      <c r="L87" s="234"/>
      <c r="M87" s="61" t="s">
        <v>13</v>
      </c>
    </row>
    <row r="88" spans="1:13" x14ac:dyDescent="0.3">
      <c r="B88" s="18"/>
      <c r="C88" s="335" t="str">
        <f>+ESTIMACION!C88</f>
        <v>PERSONAL</v>
      </c>
      <c r="D88" s="296"/>
      <c r="E88" s="336"/>
      <c r="F88" s="361">
        <f>+G30</f>
        <v>26029.897632000004</v>
      </c>
      <c r="G88" s="362"/>
      <c r="H88" s="361">
        <f>+I30</f>
        <v>0</v>
      </c>
      <c r="I88" s="251"/>
      <c r="J88" s="62">
        <f>+IF(F88=0,"N/A",H88/F88)</f>
        <v>0</v>
      </c>
      <c r="K88" s="366">
        <f>+L30</f>
        <v>-26029.897632000004</v>
      </c>
      <c r="L88" s="367"/>
      <c r="M88" s="74">
        <f>IF(F88=0,"N/A",J88-1)</f>
        <v>-1</v>
      </c>
    </row>
    <row r="89" spans="1:13" x14ac:dyDescent="0.3">
      <c r="B89" s="18"/>
      <c r="C89" s="337" t="str">
        <f>+ESTIMACION!C89</f>
        <v>SUBCONTRATACIONES</v>
      </c>
      <c r="D89" s="276"/>
      <c r="E89" s="338"/>
      <c r="F89" s="350">
        <f>+F40</f>
        <v>0</v>
      </c>
      <c r="G89" s="351"/>
      <c r="H89" s="350">
        <f>+H40</f>
        <v>0</v>
      </c>
      <c r="I89" s="230"/>
      <c r="J89" s="62" t="str">
        <f t="shared" ref="J89:J92" si="25">+IF(F89=0,"N/A",H89/F89)</f>
        <v>N/A</v>
      </c>
      <c r="K89" s="376">
        <f t="shared" ref="K89:K92" si="26">+H89-F89</f>
        <v>0</v>
      </c>
      <c r="L89" s="377"/>
      <c r="M89" s="75" t="str">
        <f t="shared" ref="M89:M92" si="27">IF(F89=0,"N/A",J89-1)</f>
        <v>N/A</v>
      </c>
    </row>
    <row r="90" spans="1:13" x14ac:dyDescent="0.3">
      <c r="B90" s="18"/>
      <c r="C90" s="337" t="str">
        <f>+ESTIMACION!C90</f>
        <v>EQUIPAMIENTO</v>
      </c>
      <c r="D90" s="276"/>
      <c r="E90" s="338"/>
      <c r="F90" s="350">
        <f>+F51</f>
        <v>8483.4</v>
      </c>
      <c r="G90" s="351"/>
      <c r="H90" s="350">
        <f>+H51</f>
        <v>0</v>
      </c>
      <c r="I90" s="230"/>
      <c r="J90" s="62">
        <f t="shared" si="25"/>
        <v>0</v>
      </c>
      <c r="K90" s="376">
        <f t="shared" si="26"/>
        <v>-8483.4</v>
      </c>
      <c r="L90" s="377"/>
      <c r="M90" s="75">
        <f t="shared" si="27"/>
        <v>-1</v>
      </c>
    </row>
    <row r="91" spans="1:13" x14ac:dyDescent="0.3">
      <c r="B91" s="18"/>
      <c r="C91" s="93" t="str">
        <f>+ESTIMACION!C91</f>
        <v>AMORTIZACION HW/SW</v>
      </c>
      <c r="D91" s="24"/>
      <c r="E91" s="94"/>
      <c r="F91" s="350">
        <f>+G65</f>
        <v>807.31944444444446</v>
      </c>
      <c r="G91" s="351"/>
      <c r="H91" s="350">
        <f>+I65</f>
        <v>0</v>
      </c>
      <c r="I91" s="230"/>
      <c r="J91" s="62">
        <f t="shared" si="25"/>
        <v>0</v>
      </c>
      <c r="K91" s="376">
        <f t="shared" si="26"/>
        <v>-807.31944444444446</v>
      </c>
      <c r="L91" s="377"/>
      <c r="M91" s="75">
        <f t="shared" si="27"/>
        <v>-1</v>
      </c>
    </row>
    <row r="92" spans="1:13" ht="15" thickBot="1" x14ac:dyDescent="0.35">
      <c r="B92" s="18"/>
      <c r="C92" s="397" t="str">
        <f>+ESTIMACION!C92</f>
        <v>OTROS GASTOS</v>
      </c>
      <c r="D92" s="398"/>
      <c r="E92" s="399"/>
      <c r="F92" s="355">
        <f>+F75</f>
        <v>0</v>
      </c>
      <c r="G92" s="356"/>
      <c r="H92" s="355">
        <f>+H75</f>
        <v>0</v>
      </c>
      <c r="I92" s="396"/>
      <c r="J92" s="65" t="str">
        <f t="shared" si="25"/>
        <v>N/A</v>
      </c>
      <c r="K92" s="374">
        <f t="shared" si="26"/>
        <v>0</v>
      </c>
      <c r="L92" s="375"/>
      <c r="M92" s="76" t="str">
        <f t="shared" si="27"/>
        <v>N/A</v>
      </c>
    </row>
    <row r="93" spans="1:13" ht="15.6" thickTop="1" thickBot="1" x14ac:dyDescent="0.35">
      <c r="B93" s="18"/>
      <c r="C93" s="400" t="s">
        <v>73</v>
      </c>
      <c r="D93" s="401"/>
      <c r="E93" s="402"/>
      <c r="F93" s="387">
        <f>+F82</f>
        <v>43977.926366044449</v>
      </c>
      <c r="G93" s="388"/>
      <c r="H93" s="389">
        <f>+H82</f>
        <v>0</v>
      </c>
      <c r="I93" s="390"/>
      <c r="J93" s="190">
        <f>+IF(F93=0,"N/A",H93/F93)</f>
        <v>0</v>
      </c>
      <c r="K93" s="391">
        <f>+K82</f>
        <v>-43977.926366044449</v>
      </c>
      <c r="L93" s="392"/>
      <c r="M93" s="191">
        <f>+M82</f>
        <v>-1</v>
      </c>
    </row>
    <row r="94" spans="1:13" ht="15.6" thickTop="1" thickBot="1" x14ac:dyDescent="0.35">
      <c r="B94" s="18"/>
      <c r="C94" s="393" t="s">
        <v>150</v>
      </c>
      <c r="D94" s="394"/>
      <c r="E94" s="395"/>
      <c r="F94" s="368">
        <f>+F93-SUM(F88:G92)</f>
        <v>8657.3092896000016</v>
      </c>
      <c r="G94" s="369"/>
      <c r="H94" s="370">
        <f>+H93-SUM(H88:I92)</f>
        <v>0</v>
      </c>
      <c r="I94" s="371"/>
      <c r="J94" s="80">
        <f>+IF(F94=0,"N/A",H94/F94)</f>
        <v>0</v>
      </c>
      <c r="K94" s="372">
        <f>SUM(K88:K92)</f>
        <v>-35320.617076444447</v>
      </c>
      <c r="L94" s="373"/>
      <c r="M94" s="83">
        <f>IF(F94=0,"N/A",J94-1)</f>
        <v>-1</v>
      </c>
    </row>
    <row r="95" spans="1:13" ht="15" thickTop="1" x14ac:dyDescent="0.3">
      <c r="B95" s="18"/>
      <c r="C95" s="24"/>
      <c r="D95" s="24"/>
      <c r="E95" s="24"/>
      <c r="F95" s="86"/>
      <c r="G95" s="86"/>
      <c r="H95" s="86"/>
      <c r="I95" s="86"/>
      <c r="J95" s="87"/>
      <c r="K95" s="88"/>
      <c r="L95" s="88"/>
      <c r="M95" s="92"/>
    </row>
    <row r="97" spans="1:13" ht="15" thickBot="1" x14ac:dyDescent="0.35"/>
    <row r="98" spans="1:13" ht="15" thickBot="1" x14ac:dyDescent="0.35">
      <c r="A98" s="270" t="s">
        <v>100</v>
      </c>
      <c r="B98" s="271"/>
      <c r="C98" s="271"/>
      <c r="D98" s="271"/>
      <c r="E98" s="271"/>
      <c r="F98" s="271"/>
      <c r="G98" s="271"/>
      <c r="H98" s="271"/>
      <c r="I98" s="271"/>
      <c r="J98" s="271"/>
      <c r="K98" s="271"/>
      <c r="L98" s="271"/>
      <c r="M98" s="272"/>
    </row>
    <row r="100" spans="1:13" x14ac:dyDescent="0.3">
      <c r="B100" s="18" t="s">
        <v>90</v>
      </c>
      <c r="C100" s="222" t="s">
        <v>91</v>
      </c>
      <c r="D100" s="222"/>
      <c r="E100" s="222"/>
      <c r="F100" s="222"/>
      <c r="G100" s="222"/>
      <c r="H100" s="222"/>
      <c r="I100" s="222"/>
      <c r="J100" s="222"/>
      <c r="K100" s="222"/>
      <c r="L100" s="222"/>
      <c r="M100" s="222"/>
    </row>
  </sheetData>
  <mergeCells count="183">
    <mergeCell ref="F80:G80"/>
    <mergeCell ref="H80:I80"/>
    <mergeCell ref="K80:L80"/>
    <mergeCell ref="A84:M84"/>
    <mergeCell ref="F93:G93"/>
    <mergeCell ref="H93:I93"/>
    <mergeCell ref="K93:L93"/>
    <mergeCell ref="C100:M100"/>
    <mergeCell ref="C82:E82"/>
    <mergeCell ref="F82:G82"/>
    <mergeCell ref="H82:I82"/>
    <mergeCell ref="K82:L82"/>
    <mergeCell ref="A98:M98"/>
    <mergeCell ref="K94:L94"/>
    <mergeCell ref="H94:I94"/>
    <mergeCell ref="F94:G94"/>
    <mergeCell ref="C94:E94"/>
    <mergeCell ref="K92:L92"/>
    <mergeCell ref="H92:I92"/>
    <mergeCell ref="F92:G92"/>
    <mergeCell ref="C92:E92"/>
    <mergeCell ref="C93:E93"/>
    <mergeCell ref="C90:E90"/>
    <mergeCell ref="F90:G90"/>
    <mergeCell ref="K91:L91"/>
    <mergeCell ref="C88:E88"/>
    <mergeCell ref="F88:G88"/>
    <mergeCell ref="H88:I88"/>
    <mergeCell ref="K88:L88"/>
    <mergeCell ref="C89:E89"/>
    <mergeCell ref="F89:G89"/>
    <mergeCell ref="H89:I89"/>
    <mergeCell ref="K89:L89"/>
    <mergeCell ref="H90:I90"/>
    <mergeCell ref="K90:L90"/>
    <mergeCell ref="F91:G91"/>
    <mergeCell ref="H91:I91"/>
    <mergeCell ref="C77:M77"/>
    <mergeCell ref="F86:G86"/>
    <mergeCell ref="H86:J86"/>
    <mergeCell ref="K86:M86"/>
    <mergeCell ref="C87:E87"/>
    <mergeCell ref="F87:G87"/>
    <mergeCell ref="H87:I87"/>
    <mergeCell ref="K87:L87"/>
    <mergeCell ref="C73:E73"/>
    <mergeCell ref="F73:G73"/>
    <mergeCell ref="H73:I73"/>
    <mergeCell ref="K73:L73"/>
    <mergeCell ref="C75:E75"/>
    <mergeCell ref="F75:G75"/>
    <mergeCell ref="H75:I75"/>
    <mergeCell ref="K75:L75"/>
    <mergeCell ref="F78:G78"/>
    <mergeCell ref="H78:J78"/>
    <mergeCell ref="K78:M78"/>
    <mergeCell ref="C79:E79"/>
    <mergeCell ref="F79:G79"/>
    <mergeCell ref="H79:I79"/>
    <mergeCell ref="K79:L79"/>
    <mergeCell ref="C80:E80"/>
    <mergeCell ref="C71:E71"/>
    <mergeCell ref="F71:G71"/>
    <mergeCell ref="H71:I71"/>
    <mergeCell ref="K71:L71"/>
    <mergeCell ref="C72:E72"/>
    <mergeCell ref="F72:G72"/>
    <mergeCell ref="H72:I72"/>
    <mergeCell ref="K72:L72"/>
    <mergeCell ref="C69:E69"/>
    <mergeCell ref="F69:G69"/>
    <mergeCell ref="H69:I69"/>
    <mergeCell ref="K69:L69"/>
    <mergeCell ref="C70:E70"/>
    <mergeCell ref="F70:G70"/>
    <mergeCell ref="H70:I70"/>
    <mergeCell ref="K70:L70"/>
    <mergeCell ref="C57:E57"/>
    <mergeCell ref="C62:E62"/>
    <mergeCell ref="C63:E63"/>
    <mergeCell ref="C65:E65"/>
    <mergeCell ref="C67:M67"/>
    <mergeCell ref="F68:G68"/>
    <mergeCell ref="H68:J68"/>
    <mergeCell ref="K68:M68"/>
    <mergeCell ref="C53:M53"/>
    <mergeCell ref="F54:G54"/>
    <mergeCell ref="H54:J54"/>
    <mergeCell ref="K54:M54"/>
    <mergeCell ref="C55:E55"/>
    <mergeCell ref="C56:E56"/>
    <mergeCell ref="C58:E58"/>
    <mergeCell ref="C59:E59"/>
    <mergeCell ref="C61:E61"/>
    <mergeCell ref="C60:E60"/>
    <mergeCell ref="C49:E49"/>
    <mergeCell ref="F49:G49"/>
    <mergeCell ref="H49:I49"/>
    <mergeCell ref="K49:L49"/>
    <mergeCell ref="C51:E51"/>
    <mergeCell ref="F51:G51"/>
    <mergeCell ref="H51:I51"/>
    <mergeCell ref="K51:L51"/>
    <mergeCell ref="C47:E47"/>
    <mergeCell ref="F47:G47"/>
    <mergeCell ref="H47:I47"/>
    <mergeCell ref="K47:L47"/>
    <mergeCell ref="C48:E48"/>
    <mergeCell ref="F48:G48"/>
    <mergeCell ref="H48:I48"/>
    <mergeCell ref="K48:L48"/>
    <mergeCell ref="C45:E45"/>
    <mergeCell ref="F45:G45"/>
    <mergeCell ref="H45:I45"/>
    <mergeCell ref="K45:L45"/>
    <mergeCell ref="C46:E46"/>
    <mergeCell ref="F46:G46"/>
    <mergeCell ref="H46:I46"/>
    <mergeCell ref="K46:L46"/>
    <mergeCell ref="C40:E40"/>
    <mergeCell ref="F40:G40"/>
    <mergeCell ref="H40:I40"/>
    <mergeCell ref="K40:L40"/>
    <mergeCell ref="C43:M43"/>
    <mergeCell ref="F44:G44"/>
    <mergeCell ref="H44:J44"/>
    <mergeCell ref="K44:M44"/>
    <mergeCell ref="C37:E37"/>
    <mergeCell ref="F37:G37"/>
    <mergeCell ref="H37:I37"/>
    <mergeCell ref="K37:L37"/>
    <mergeCell ref="C38:E38"/>
    <mergeCell ref="F38:G38"/>
    <mergeCell ref="H38:I38"/>
    <mergeCell ref="K38:L38"/>
    <mergeCell ref="C35:E35"/>
    <mergeCell ref="F35:G35"/>
    <mergeCell ref="H35:I35"/>
    <mergeCell ref="K35:L35"/>
    <mergeCell ref="C36:E36"/>
    <mergeCell ref="F36:G36"/>
    <mergeCell ref="H36:I36"/>
    <mergeCell ref="K36:L36"/>
    <mergeCell ref="C32:M32"/>
    <mergeCell ref="F33:G33"/>
    <mergeCell ref="H33:J33"/>
    <mergeCell ref="K33:M33"/>
    <mergeCell ref="C34:E34"/>
    <mergeCell ref="F34:G34"/>
    <mergeCell ref="H34:I34"/>
    <mergeCell ref="K34:L34"/>
    <mergeCell ref="C23:E23"/>
    <mergeCell ref="C24:E24"/>
    <mergeCell ref="C26:E26"/>
    <mergeCell ref="C27:E27"/>
    <mergeCell ref="C28:E28"/>
    <mergeCell ref="C30:E30"/>
    <mergeCell ref="C25:E25"/>
    <mergeCell ref="F19:G19"/>
    <mergeCell ref="H19:J19"/>
    <mergeCell ref="K19:M19"/>
    <mergeCell ref="C20:E20"/>
    <mergeCell ref="C21:E21"/>
    <mergeCell ref="C22:E22"/>
    <mergeCell ref="A9:C9"/>
    <mergeCell ref="A16:M16"/>
    <mergeCell ref="C18:M18"/>
    <mergeCell ref="I9:J9"/>
    <mergeCell ref="I11:J11"/>
    <mergeCell ref="I12:J12"/>
    <mergeCell ref="I10:J10"/>
    <mergeCell ref="I13:J13"/>
    <mergeCell ref="I14:J14"/>
    <mergeCell ref="D9:E9"/>
    <mergeCell ref="C6:G6"/>
    <mergeCell ref="I6:J6"/>
    <mergeCell ref="K6:M6"/>
    <mergeCell ref="A1:M1"/>
    <mergeCell ref="A3:M3"/>
    <mergeCell ref="A5:B5"/>
    <mergeCell ref="C5:G5"/>
    <mergeCell ref="I5:J5"/>
    <mergeCell ref="K5:M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OVERHEAD</vt:lpstr>
      <vt:lpstr>ESTIMACION</vt:lpstr>
      <vt:lpstr>PLAN FINANCIERO</vt:lpstr>
      <vt:lpstr>INDICADORES</vt:lpstr>
      <vt:lpstr>CIERRE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juanjo</dc:creator>
  <cp:lastModifiedBy>Cristal Campos Abad</cp:lastModifiedBy>
  <dcterms:created xsi:type="dcterms:W3CDTF">2015-04-20T16:30:13Z</dcterms:created>
  <dcterms:modified xsi:type="dcterms:W3CDTF">2023-07-20T16:19:52Z</dcterms:modified>
</cp:coreProperties>
</file>