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<sst xmlns="http://schemas.openxmlformats.org/spreadsheetml/2006/main" count="6">
  <si>
    <t>登录账号</t>
  </si>
  <si>
    <t>账户名称</t>
  </si>
  <si>
    <t>结算盈亏</t>
  </si>
  <si>
    <t>平仓盈亏</t>
  </si>
  <si>
    <t>交易手续费</t>
  </si>
  <si>
    <t>="李怡良 	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</si>
</sst>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35"/>
  <sheetViews>
    <sheetView tabSelected="1" workbookViewId="0">
      <selection activeCell="A1" sqref="A1:E735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tr">
        <f>"093000920003"</f>
        <v>093000920003</v>
      </c>
      <c r="B2" s="1" t="str">
        <f>"孙佳佳"</f>
        <v>孙佳佳</v>
      </c>
      <c r="C2" s="1">
        <v>0</v>
      </c>
      <c r="D2" s="1">
        <v>172</v>
      </c>
      <c r="E2" s="1">
        <v>-55</v>
      </c>
    </row>
    <row r="3" spans="1:5">
      <c r="A3" s="1" t="str">
        <f>"093000920005"</f>
        <v>093000920005</v>
      </c>
      <c r="B3" s="1" t="str">
        <f>"王一冰"</f>
        <v>王一冰</v>
      </c>
      <c r="C3" s="1">
        <v>0</v>
      </c>
      <c r="D3" s="1">
        <v>0</v>
      </c>
      <c r="E3" s="1">
        <v>0</v>
      </c>
    </row>
    <row r="4" spans="1:5">
      <c r="A4" s="1" t="str">
        <f>"093000920008"</f>
        <v>093000920008</v>
      </c>
      <c r="B4" s="1" t="str">
        <f>"张峻磐"</f>
        <v>张峻磐</v>
      </c>
      <c r="C4" s="1">
        <v>0</v>
      </c>
      <c r="D4" s="1">
        <v>0</v>
      </c>
      <c r="E4" s="1">
        <v>0</v>
      </c>
    </row>
    <row r="5" spans="1:5">
      <c r="A5" s="1" t="str">
        <f>"093000920013"</f>
        <v>093000920013</v>
      </c>
      <c r="B5" s="1" t="str">
        <f>"任美宇"</f>
        <v>任美宇</v>
      </c>
      <c r="C5" s="1">
        <v>0</v>
      </c>
      <c r="D5" s="1">
        <v>0</v>
      </c>
      <c r="E5" s="1">
        <v>0</v>
      </c>
    </row>
    <row r="6" spans="1:5">
      <c r="A6" s="1" t="str">
        <f>"093000920004"</f>
        <v>093000920004</v>
      </c>
      <c r="B6" s="1" t="str">
        <f>"邹旭翠"</f>
        <v>邹旭翠</v>
      </c>
      <c r="C6" s="1">
        <v>0</v>
      </c>
      <c r="D6" s="1">
        <v>0</v>
      </c>
      <c r="E6" s="1">
        <v>0</v>
      </c>
    </row>
    <row r="7" spans="1:5">
      <c r="A7" s="1" t="str">
        <f>"093000920015"</f>
        <v>093000920015</v>
      </c>
      <c r="B7" s="1" t="str">
        <f>"李刚"</f>
        <v>李刚</v>
      </c>
      <c r="C7" s="1">
        <v>-3805</v>
      </c>
      <c r="D7" s="1">
        <v>-1347</v>
      </c>
      <c r="E7" s="1">
        <v>-312.99</v>
      </c>
    </row>
    <row r="8" spans="1:5">
      <c r="A8" s="1" t="str">
        <f>"093000920019"</f>
        <v>093000920019</v>
      </c>
      <c r="B8" s="1" t="str">
        <f>"钱丹"</f>
        <v>钱丹</v>
      </c>
      <c r="C8" s="1">
        <v>0</v>
      </c>
      <c r="D8" s="1">
        <v>-2112</v>
      </c>
      <c r="E8" s="1">
        <v>-362.38</v>
      </c>
    </row>
    <row r="9" spans="1:5">
      <c r="A9" s="1" t="str">
        <f>"093000920018"</f>
        <v>093000920018</v>
      </c>
      <c r="B9" s="1" t="str">
        <f>"肖诗琴"</f>
        <v>肖诗琴</v>
      </c>
      <c r="C9" s="1">
        <v>0</v>
      </c>
      <c r="D9" s="1">
        <v>0</v>
      </c>
      <c r="E9" s="1">
        <v>0</v>
      </c>
    </row>
    <row r="10" spans="1:5">
      <c r="A10" s="1" t="str">
        <f>"093000920021"</f>
        <v>093000920021</v>
      </c>
      <c r="B10" s="1" t="str">
        <f>"马琳"</f>
        <v>马琳</v>
      </c>
      <c r="C10" s="1">
        <v>0</v>
      </c>
      <c r="D10" s="1">
        <v>0</v>
      </c>
      <c r="E10" s="1">
        <v>0</v>
      </c>
    </row>
    <row r="11" spans="1:5">
      <c r="A11" s="1" t="str">
        <f>"093000920022"</f>
        <v>093000920022</v>
      </c>
      <c r="B11" s="1" t="str">
        <f>"陈卓"</f>
        <v>陈卓</v>
      </c>
      <c r="C11" s="1">
        <v>0</v>
      </c>
      <c r="D11" s="1">
        <v>0</v>
      </c>
      <c r="E11" s="1">
        <v>0</v>
      </c>
    </row>
    <row r="12" spans="1:5">
      <c r="A12" s="1" t="str">
        <f>"093000920023"</f>
        <v>093000920023</v>
      </c>
      <c r="B12" s="1" t="str">
        <f>"叶超亚"</f>
        <v>叶超亚</v>
      </c>
      <c r="C12" s="1">
        <v>0</v>
      </c>
      <c r="D12" s="1">
        <v>0</v>
      </c>
      <c r="E12" s="1">
        <v>0</v>
      </c>
    </row>
    <row r="13" spans="1:5">
      <c r="A13" s="1" t="str">
        <f>"093000920012"</f>
        <v>093000920012</v>
      </c>
      <c r="B13" s="1" t="str">
        <f>"张凯"</f>
        <v>张凯</v>
      </c>
      <c r="C13" s="1">
        <v>0</v>
      </c>
      <c r="D13" s="1">
        <v>0</v>
      </c>
      <c r="E13" s="1">
        <v>0</v>
      </c>
    </row>
    <row r="14" spans="1:5">
      <c r="A14" s="1" t="str">
        <f>"093000920024"</f>
        <v>093000920024</v>
      </c>
      <c r="B14" s="1" t="str">
        <f>"王静"</f>
        <v>王静</v>
      </c>
      <c r="C14" s="1">
        <v>0</v>
      </c>
      <c r="D14" s="1">
        <v>0</v>
      </c>
      <c r="E14" s="1">
        <v>0</v>
      </c>
    </row>
    <row r="15" spans="1:5">
      <c r="A15" s="1" t="str">
        <f>"093000920025"</f>
        <v>093000920025</v>
      </c>
      <c r="B15" s="1" t="str">
        <f>"张苗苗"</f>
        <v>张苗苗</v>
      </c>
      <c r="C15" s="1">
        <v>0</v>
      </c>
      <c r="D15" s="1">
        <v>0</v>
      </c>
      <c r="E15" s="1">
        <v>0</v>
      </c>
    </row>
    <row r="16" spans="1:5">
      <c r="A16" s="1" t="str">
        <f>"093000920026"</f>
        <v>093000920026</v>
      </c>
      <c r="B16" s="1" t="str">
        <f>"单尽亮"</f>
        <v>单尽亮</v>
      </c>
      <c r="C16" s="1">
        <v>0</v>
      </c>
      <c r="D16" s="1">
        <v>0</v>
      </c>
      <c r="E16" s="1">
        <v>0</v>
      </c>
    </row>
    <row r="17" spans="1:5">
      <c r="A17" s="1" t="str">
        <f>"093000920027"</f>
        <v>093000920027</v>
      </c>
      <c r="B17" s="1" t="str">
        <f>"章秀敏"</f>
        <v>章秀敏</v>
      </c>
      <c r="C17" s="1">
        <v>0</v>
      </c>
      <c r="D17" s="1">
        <v>0</v>
      </c>
      <c r="E17" s="1">
        <v>0</v>
      </c>
    </row>
    <row r="18" spans="1:5">
      <c r="A18" s="1" t="str">
        <f>"093000920028"</f>
        <v>093000920028</v>
      </c>
      <c r="B18" s="1" t="str">
        <f>"李昊远"</f>
        <v>李昊远</v>
      </c>
      <c r="C18" s="1">
        <v>0</v>
      </c>
      <c r="D18" s="1">
        <v>0</v>
      </c>
      <c r="E18" s="1">
        <v>0</v>
      </c>
    </row>
    <row r="19" spans="1:5">
      <c r="A19" s="1" t="str">
        <f>"093000920029"</f>
        <v>093000920029</v>
      </c>
      <c r="B19" s="1" t="str">
        <f>"张亚雷"</f>
        <v>张亚雷</v>
      </c>
      <c r="C19" s="1">
        <v>0</v>
      </c>
      <c r="D19" s="1">
        <v>0</v>
      </c>
      <c r="E19" s="1">
        <v>0</v>
      </c>
    </row>
    <row r="20" spans="1:5">
      <c r="A20" s="1" t="str">
        <f>"093000920030"</f>
        <v>093000920030</v>
      </c>
      <c r="B20" s="1" t="str">
        <f>"肖岗"</f>
        <v>肖岗</v>
      </c>
      <c r="C20" s="1">
        <v>0</v>
      </c>
      <c r="D20" s="1">
        <v>0</v>
      </c>
      <c r="E20" s="1">
        <v>0</v>
      </c>
    </row>
    <row r="21" spans="1:5">
      <c r="A21" s="1" t="str">
        <f>"093000920032"</f>
        <v>093000920032</v>
      </c>
      <c r="B21" s="1" t="str">
        <f>"冯桂敏"</f>
        <v>冯桂敏</v>
      </c>
      <c r="C21" s="1">
        <v>-37</v>
      </c>
      <c r="D21" s="1">
        <v>-559</v>
      </c>
      <c r="E21" s="1">
        <v>-350.37</v>
      </c>
    </row>
    <row r="22" spans="1:5">
      <c r="A22" s="1" t="str">
        <f>"093000920034"</f>
        <v>093000920034</v>
      </c>
      <c r="B22" s="1" t="str">
        <f>"马群"</f>
        <v>马群</v>
      </c>
      <c r="C22" s="1">
        <v>0</v>
      </c>
      <c r="D22" s="1">
        <v>0</v>
      </c>
      <c r="E22" s="1">
        <v>0</v>
      </c>
    </row>
    <row r="23" spans="1:5">
      <c r="A23" s="1" t="str">
        <f>"093000920036"</f>
        <v>093000920036</v>
      </c>
      <c r="B23" s="1" t="str">
        <f>"肖玲玲"</f>
        <v>肖玲玲</v>
      </c>
      <c r="C23" s="1">
        <v>-9</v>
      </c>
      <c r="D23" s="1">
        <v>152</v>
      </c>
      <c r="E23" s="1">
        <v>-130.27</v>
      </c>
    </row>
    <row r="24" spans="1:5">
      <c r="A24" s="1" t="str">
        <f>"093000920035"</f>
        <v>093000920035</v>
      </c>
      <c r="B24" s="1" t="str">
        <f>"高一兵"</f>
        <v>高一兵</v>
      </c>
      <c r="C24" s="1">
        <v>0</v>
      </c>
      <c r="D24" s="1">
        <v>17</v>
      </c>
      <c r="E24" s="1">
        <v>-96.15</v>
      </c>
    </row>
    <row r="25" spans="1:5">
      <c r="A25" s="1" t="str">
        <f>"093000920038"</f>
        <v>093000920038</v>
      </c>
      <c r="B25" s="1" t="str">
        <f>"谭海艳"</f>
        <v>谭海艳</v>
      </c>
      <c r="C25" s="1">
        <v>0</v>
      </c>
      <c r="D25" s="1">
        <v>0</v>
      </c>
      <c r="E25" s="1">
        <v>0</v>
      </c>
    </row>
    <row r="26" spans="1:5">
      <c r="A26" s="1" t="str">
        <f>"093000920039"</f>
        <v>093000920039</v>
      </c>
      <c r="B26" s="1" t="str">
        <f>"孙晓枝"</f>
        <v>孙晓枝</v>
      </c>
      <c r="C26" s="1">
        <v>0</v>
      </c>
      <c r="D26" s="1">
        <v>-1476</v>
      </c>
      <c r="E26" s="1">
        <v>-199.86</v>
      </c>
    </row>
    <row r="27" spans="1:5">
      <c r="A27" s="1" t="str">
        <f>"093000920042"</f>
        <v>093000920042</v>
      </c>
      <c r="B27" s="1" t="str">
        <f>"杨滔"</f>
        <v>杨滔</v>
      </c>
      <c r="C27" s="1">
        <v>0</v>
      </c>
      <c r="D27" s="1">
        <v>0</v>
      </c>
      <c r="E27" s="1">
        <v>0</v>
      </c>
    </row>
    <row r="28" spans="1:5">
      <c r="A28" s="1" t="str">
        <f>"093000038920001"</f>
        <v>093000038920001</v>
      </c>
      <c r="B28" s="1" t="str">
        <f>"郭婷婷"</f>
        <v>郭婷婷</v>
      </c>
      <c r="C28" s="1">
        <v>0</v>
      </c>
      <c r="D28" s="1">
        <v>0</v>
      </c>
      <c r="E28" s="1">
        <v>0</v>
      </c>
    </row>
    <row r="29" spans="1:5">
      <c r="A29" s="1" t="str">
        <f>"093000920047"</f>
        <v>093000920047</v>
      </c>
      <c r="B29" s="1" t="str">
        <f>"刘云飞"</f>
        <v>刘云飞</v>
      </c>
      <c r="C29" s="1">
        <v>0</v>
      </c>
      <c r="D29" s="1">
        <v>0</v>
      </c>
      <c r="E29" s="1">
        <v>0</v>
      </c>
    </row>
    <row r="30" spans="1:5">
      <c r="A30" s="1" t="str">
        <f>"093000920048"</f>
        <v>093000920048</v>
      </c>
      <c r="B30" s="1" t="str">
        <f>"刘轲"</f>
        <v>刘轲</v>
      </c>
      <c r="C30" s="1">
        <v>0</v>
      </c>
      <c r="D30" s="1">
        <v>0</v>
      </c>
      <c r="E30" s="1">
        <v>0</v>
      </c>
    </row>
    <row r="31" spans="1:5">
      <c r="A31" s="1" t="str">
        <f>"093000920051"</f>
        <v>093000920051</v>
      </c>
      <c r="B31" s="1" t="str">
        <f>"王森林"</f>
        <v>王森林</v>
      </c>
      <c r="C31" s="1">
        <v>0</v>
      </c>
      <c r="D31" s="1">
        <v>0</v>
      </c>
      <c r="E31" s="1">
        <v>0</v>
      </c>
    </row>
    <row r="32" spans="1:5">
      <c r="A32" s="1" t="str">
        <f>"093000920052"</f>
        <v>093000920052</v>
      </c>
      <c r="B32" s="1" t="str">
        <f>"王天一"</f>
        <v>王天一</v>
      </c>
      <c r="C32" s="1">
        <v>0</v>
      </c>
      <c r="D32" s="1">
        <v>0</v>
      </c>
      <c r="E32" s="1">
        <v>0</v>
      </c>
    </row>
    <row r="33" spans="1:5">
      <c r="A33" s="1" t="str">
        <f>"093000920056"</f>
        <v>093000920056</v>
      </c>
      <c r="B33" s="1" t="str">
        <f>"韩雷"</f>
        <v>韩雷</v>
      </c>
      <c r="C33" s="1">
        <v>0</v>
      </c>
      <c r="D33" s="1">
        <v>0</v>
      </c>
      <c r="E33" s="1">
        <v>0</v>
      </c>
    </row>
    <row r="34" spans="1:5">
      <c r="A34" s="1" t="str">
        <f>"093000920057"</f>
        <v>093000920057</v>
      </c>
      <c r="B34" s="1" t="str">
        <f>"刘垚"</f>
        <v>刘垚</v>
      </c>
      <c r="C34" s="1">
        <v>0</v>
      </c>
      <c r="D34" s="1">
        <v>0</v>
      </c>
      <c r="E34" s="1">
        <v>0</v>
      </c>
    </row>
    <row r="35" spans="1:5">
      <c r="A35" s="1" t="str">
        <f>"093000920060"</f>
        <v>093000920060</v>
      </c>
      <c r="B35" s="1" t="str">
        <f>"常相依"</f>
        <v>常相依</v>
      </c>
      <c r="C35" s="1">
        <v>0</v>
      </c>
      <c r="D35" s="1">
        <v>0</v>
      </c>
      <c r="E35" s="1">
        <v>0</v>
      </c>
    </row>
    <row r="36" spans="1:5">
      <c r="A36" s="1" t="str">
        <f>"093000920061"</f>
        <v>093000920061</v>
      </c>
      <c r="B36" s="1" t="str">
        <f>"黄靖雅"</f>
        <v>黄靖雅</v>
      </c>
      <c r="C36" s="1">
        <v>0</v>
      </c>
      <c r="D36" s="1">
        <v>0</v>
      </c>
      <c r="E36" s="1">
        <v>0</v>
      </c>
    </row>
    <row r="37" spans="1:5">
      <c r="A37" s="1" t="str">
        <f>"093000920064"</f>
        <v>093000920064</v>
      </c>
      <c r="B37" s="1" t="str">
        <f>"邹萍"</f>
        <v>邹萍</v>
      </c>
      <c r="C37" s="1">
        <v>0</v>
      </c>
      <c r="D37" s="1">
        <v>0</v>
      </c>
      <c r="E37" s="1">
        <v>0</v>
      </c>
    </row>
    <row r="38" spans="1:5">
      <c r="A38" s="1" t="str">
        <f>"093000920065"</f>
        <v>093000920065</v>
      </c>
      <c r="B38" s="1" t="str">
        <f>"訾玉新"</f>
        <v>訾玉新</v>
      </c>
      <c r="C38" s="1">
        <v>0</v>
      </c>
      <c r="D38" s="1">
        <v>0</v>
      </c>
      <c r="E38" s="1">
        <v>0</v>
      </c>
    </row>
    <row r="39" spans="1:5">
      <c r="A39" s="1" t="str">
        <f>"093000042920001"</f>
        <v>093000042920001</v>
      </c>
      <c r="B39" s="1" t="str">
        <f>"孔洋"</f>
        <v>孔洋</v>
      </c>
      <c r="C39" s="1">
        <v>0</v>
      </c>
      <c r="D39" s="1">
        <v>0</v>
      </c>
      <c r="E39" s="1">
        <v>0</v>
      </c>
    </row>
    <row r="40" spans="1:5">
      <c r="A40" s="1" t="str">
        <f>"093000920069"</f>
        <v>093000920069</v>
      </c>
      <c r="B40" s="1" t="str">
        <f>"郭庆宽"</f>
        <v>郭庆宽</v>
      </c>
      <c r="C40" s="1">
        <v>0</v>
      </c>
      <c r="D40" s="1">
        <v>0</v>
      </c>
      <c r="E40" s="1">
        <v>0</v>
      </c>
    </row>
    <row r="41" spans="1:5">
      <c r="A41" s="1" t="str">
        <f>"093000920070"</f>
        <v>093000920070</v>
      </c>
      <c r="B41" s="1" t="str">
        <f>"常国中"</f>
        <v>常国中</v>
      </c>
      <c r="C41" s="1">
        <v>134</v>
      </c>
      <c r="D41" s="1">
        <v>597</v>
      </c>
      <c r="E41" s="1">
        <v>-106.05</v>
      </c>
    </row>
    <row r="42" spans="1:5">
      <c r="A42" s="1" t="str">
        <f>"093000920071"</f>
        <v>093000920071</v>
      </c>
      <c r="B42" s="1" t="str">
        <f>"常啸"</f>
        <v>常啸</v>
      </c>
      <c r="C42" s="1">
        <v>-159</v>
      </c>
      <c r="D42" s="1">
        <v>-624</v>
      </c>
      <c r="E42" s="1">
        <v>-66.16</v>
      </c>
    </row>
    <row r="43" spans="1:5">
      <c r="A43" s="1" t="str">
        <f>"093000920072"</f>
        <v>093000920072</v>
      </c>
      <c r="B43" s="1" t="str">
        <f>"张远飞"</f>
        <v>张远飞</v>
      </c>
      <c r="C43" s="1">
        <v>-76</v>
      </c>
      <c r="D43" s="1">
        <v>-1432</v>
      </c>
      <c r="E43" s="1">
        <v>-367.71</v>
      </c>
    </row>
    <row r="44" spans="1:5">
      <c r="A44" s="1" t="str">
        <f>"093000920073"</f>
        <v>093000920073</v>
      </c>
      <c r="B44" s="1" t="str">
        <f>"王璇"</f>
        <v>王璇</v>
      </c>
      <c r="C44" s="1">
        <v>0</v>
      </c>
      <c r="D44" s="1">
        <v>0</v>
      </c>
      <c r="E44" s="1">
        <v>0</v>
      </c>
    </row>
    <row r="45" spans="1:5">
      <c r="A45" s="1" t="str">
        <f>"093000920074"</f>
        <v>093000920074</v>
      </c>
      <c r="B45" s="1" t="str">
        <f>"王燕"</f>
        <v>王燕</v>
      </c>
      <c r="C45" s="1">
        <v>0</v>
      </c>
      <c r="D45" s="1">
        <v>0</v>
      </c>
      <c r="E45" s="1">
        <v>0</v>
      </c>
    </row>
    <row r="46" spans="1:5">
      <c r="A46" s="1" t="str">
        <f>"093000920077"</f>
        <v>093000920077</v>
      </c>
      <c r="B46" s="1" t="str">
        <f>"王晨"</f>
        <v>王晨</v>
      </c>
      <c r="C46" s="1">
        <v>0</v>
      </c>
      <c r="D46" s="1">
        <v>-49</v>
      </c>
      <c r="E46" s="1">
        <v>-3.24</v>
      </c>
    </row>
    <row r="47" spans="1:5">
      <c r="A47" s="1" t="str">
        <f>"093000920078"</f>
        <v>093000920078</v>
      </c>
      <c r="B47" s="1" t="str">
        <f>"杜柯彤"</f>
        <v>杜柯彤</v>
      </c>
      <c r="C47" s="1">
        <v>0</v>
      </c>
      <c r="D47" s="1">
        <v>31</v>
      </c>
      <c r="E47" s="1">
        <v>-7.03</v>
      </c>
    </row>
    <row r="48" spans="1:5">
      <c r="A48" s="1" t="str">
        <f>"093000920080"</f>
        <v>093000920080</v>
      </c>
      <c r="B48" s="1" t="str">
        <f>"王小川"</f>
        <v>王小川</v>
      </c>
      <c r="C48" s="1">
        <v>-136</v>
      </c>
      <c r="D48" s="1">
        <v>-950</v>
      </c>
      <c r="E48" s="1">
        <v>-289.91</v>
      </c>
    </row>
    <row r="49" spans="1:5">
      <c r="A49" s="1" t="str">
        <f>"093000920089"</f>
        <v>093000920089</v>
      </c>
      <c r="B49" s="1" t="str">
        <f>"郑冰云"</f>
        <v>郑冰云</v>
      </c>
      <c r="C49" s="1">
        <v>0</v>
      </c>
      <c r="D49" s="1">
        <v>6</v>
      </c>
      <c r="E49" s="1">
        <v>-334.75</v>
      </c>
    </row>
    <row r="50" spans="1:5">
      <c r="A50" s="1" t="str">
        <f>"093000920090"</f>
        <v>093000920090</v>
      </c>
      <c r="B50" s="1" t="str">
        <f>"尹凯杰"</f>
        <v>尹凯杰</v>
      </c>
      <c r="C50" s="1">
        <v>0</v>
      </c>
      <c r="D50" s="1">
        <v>0</v>
      </c>
      <c r="E50" s="1">
        <v>0</v>
      </c>
    </row>
    <row r="51" spans="1:5">
      <c r="A51" s="1" t="str">
        <f>"093000920091"</f>
        <v>093000920091</v>
      </c>
      <c r="B51" s="1" t="str">
        <f>"苗帅"</f>
        <v>苗帅</v>
      </c>
      <c r="C51" s="1">
        <v>0</v>
      </c>
      <c r="D51" s="1">
        <v>0</v>
      </c>
      <c r="E51" s="1">
        <v>0</v>
      </c>
    </row>
    <row r="52" spans="1:5">
      <c r="A52" s="1" t="str">
        <f>"093000920094"</f>
        <v>093000920094</v>
      </c>
      <c r="B52" s="1" t="str">
        <f>"王丽"</f>
        <v>王丽</v>
      </c>
      <c r="C52" s="1">
        <v>0</v>
      </c>
      <c r="D52" s="1">
        <v>0</v>
      </c>
      <c r="E52" s="1">
        <v>0</v>
      </c>
    </row>
    <row r="53" spans="1:5">
      <c r="A53" s="1" t="str">
        <f>"093000920098"</f>
        <v>093000920098</v>
      </c>
      <c r="B53" s="1" t="str">
        <f>"马晶"</f>
        <v>马晶</v>
      </c>
      <c r="C53" s="1">
        <v>0</v>
      </c>
      <c r="D53" s="1">
        <v>0</v>
      </c>
      <c r="E53" s="1">
        <v>0</v>
      </c>
    </row>
    <row r="54" spans="1:5">
      <c r="A54" s="1" t="str">
        <f>"093000920097"</f>
        <v>093000920097</v>
      </c>
      <c r="B54" s="1" t="str">
        <f>"易明勋"</f>
        <v>易明勋</v>
      </c>
      <c r="C54" s="1">
        <v>0</v>
      </c>
      <c r="D54" s="1">
        <v>0</v>
      </c>
      <c r="E54" s="1">
        <v>0</v>
      </c>
    </row>
    <row r="55" spans="1:5">
      <c r="A55" s="1" t="str">
        <f>"093000920096"</f>
        <v>093000920096</v>
      </c>
      <c r="B55" s="1" t="str">
        <f>"程伟"</f>
        <v>程伟</v>
      </c>
      <c r="C55" s="1">
        <v>-9920</v>
      </c>
      <c r="D55" s="1">
        <v>-1802</v>
      </c>
      <c r="E55" s="1">
        <v>-5755.39</v>
      </c>
    </row>
    <row r="56" spans="1:5">
      <c r="A56" s="1" t="str">
        <f>"093000040920001"</f>
        <v>093000040920001</v>
      </c>
      <c r="B56" s="1" t="str">
        <f>"马余辉"</f>
        <v>马余辉</v>
      </c>
      <c r="C56" s="1">
        <v>0</v>
      </c>
      <c r="D56" s="1">
        <v>0</v>
      </c>
      <c r="E56" s="1">
        <v>0</v>
      </c>
    </row>
    <row r="57" spans="1:5">
      <c r="A57" s="1" t="str">
        <f>"093000040920002"</f>
        <v>093000040920002</v>
      </c>
      <c r="B57" s="1" t="str">
        <f>"李志伟"</f>
        <v>李志伟</v>
      </c>
      <c r="C57" s="1">
        <v>0</v>
      </c>
      <c r="D57" s="1">
        <v>0</v>
      </c>
      <c r="E57" s="1">
        <v>0</v>
      </c>
    </row>
    <row r="58" spans="1:5">
      <c r="A58" s="1" t="str">
        <f>"093000920100"</f>
        <v>093000920100</v>
      </c>
      <c r="B58" s="1" t="str">
        <f>"周正"</f>
        <v>周正</v>
      </c>
      <c r="C58" s="1">
        <v>0</v>
      </c>
      <c r="D58" s="1">
        <v>0</v>
      </c>
      <c r="E58" s="1">
        <v>0</v>
      </c>
    </row>
    <row r="59" spans="1:5">
      <c r="A59" s="1" t="str">
        <f>"093000920099"</f>
        <v>093000920099</v>
      </c>
      <c r="B59" s="1" t="str">
        <f>"陈隽"</f>
        <v>陈隽</v>
      </c>
      <c r="C59" s="1">
        <v>0</v>
      </c>
      <c r="D59" s="1">
        <v>0</v>
      </c>
      <c r="E59" s="1">
        <v>0</v>
      </c>
    </row>
    <row r="60" spans="1:5">
      <c r="A60" s="1" t="str">
        <f>"093000920101"</f>
        <v>093000920101</v>
      </c>
      <c r="B60" s="1" t="str">
        <f>"冯震"</f>
        <v>冯震</v>
      </c>
      <c r="C60" s="1">
        <v>-2179</v>
      </c>
      <c r="D60" s="1">
        <v>5036</v>
      </c>
      <c r="E60" s="1">
        <v>-2263.85</v>
      </c>
    </row>
    <row r="61" spans="1:5">
      <c r="A61" s="1" t="str">
        <f>"093000920104"</f>
        <v>093000920104</v>
      </c>
      <c r="B61" s="1" t="str">
        <f>"魏宏生"</f>
        <v>魏宏生</v>
      </c>
      <c r="C61" s="1">
        <v>0</v>
      </c>
      <c r="D61" s="1">
        <v>0</v>
      </c>
      <c r="E61" s="1">
        <v>0</v>
      </c>
    </row>
    <row r="62" spans="1:5">
      <c r="A62" s="1" t="str">
        <f>"093000920103"</f>
        <v>093000920103</v>
      </c>
      <c r="B62" s="1" t="str">
        <f>"王磊"</f>
        <v>王磊</v>
      </c>
      <c r="C62" s="1">
        <v>0</v>
      </c>
      <c r="D62" s="1">
        <v>0</v>
      </c>
      <c r="E62" s="1">
        <v>0</v>
      </c>
    </row>
    <row r="63" spans="1:5">
      <c r="A63" s="1" t="str">
        <f>"093000040920005"</f>
        <v>093000040920005</v>
      </c>
      <c r="B63" s="1" t="str">
        <f>"罗小倩"</f>
        <v>罗小倩</v>
      </c>
      <c r="C63" s="1">
        <v>0</v>
      </c>
      <c r="D63" s="1">
        <v>0</v>
      </c>
      <c r="E63" s="1">
        <v>0</v>
      </c>
    </row>
    <row r="64" spans="1:5">
      <c r="A64" s="1" t="str">
        <f>"093000920106"</f>
        <v>093000920106</v>
      </c>
      <c r="B64" s="1" t="str">
        <f>"王铎"</f>
        <v>王铎</v>
      </c>
      <c r="C64" s="1">
        <v>0</v>
      </c>
      <c r="D64" s="1">
        <v>0</v>
      </c>
      <c r="E64" s="1">
        <v>0</v>
      </c>
    </row>
    <row r="65" spans="1:5">
      <c r="A65" s="1" t="str">
        <f>"093000040920003"</f>
        <v>093000040920003</v>
      </c>
      <c r="B65" s="1" t="str">
        <f>"郭国显"</f>
        <v>郭国显</v>
      </c>
      <c r="C65" s="1">
        <v>0</v>
      </c>
      <c r="D65" s="1">
        <v>0</v>
      </c>
      <c r="E65" s="1">
        <v>0</v>
      </c>
    </row>
    <row r="66" spans="1:5">
      <c r="A66" s="1" t="str">
        <f>"093000920111"</f>
        <v>093000920111</v>
      </c>
      <c r="B66" s="1" t="str">
        <f>"张志华"</f>
        <v>张志华</v>
      </c>
      <c r="C66" s="1">
        <v>0</v>
      </c>
      <c r="D66" s="1">
        <v>0</v>
      </c>
      <c r="E66" s="1">
        <v>0</v>
      </c>
    </row>
    <row r="67" spans="1:5">
      <c r="A67" s="1" t="str">
        <f>"093000920112"</f>
        <v>093000920112</v>
      </c>
      <c r="B67" s="1" t="str">
        <f>"许西霞"</f>
        <v>许西霞</v>
      </c>
      <c r="C67" s="1">
        <v>0</v>
      </c>
      <c r="D67" s="1">
        <v>0</v>
      </c>
      <c r="E67" s="1">
        <v>0</v>
      </c>
    </row>
    <row r="68" spans="1:5">
      <c r="A68" s="1" t="str">
        <f>"093000920116"</f>
        <v>093000920116</v>
      </c>
      <c r="B68" s="1" t="str">
        <f>"周静林"</f>
        <v>周静林</v>
      </c>
      <c r="C68" s="1">
        <v>-3904</v>
      </c>
      <c r="D68" s="1">
        <v>-1097</v>
      </c>
      <c r="E68" s="1">
        <v>-951.18</v>
      </c>
    </row>
    <row r="69" spans="1:5">
      <c r="A69" s="1" t="str">
        <f>"093000040920009"</f>
        <v>093000040920009</v>
      </c>
      <c r="B69" s="1" t="str">
        <f>"陈红"</f>
        <v>陈红</v>
      </c>
      <c r="C69" s="1">
        <v>0</v>
      </c>
      <c r="D69" s="1">
        <v>0</v>
      </c>
      <c r="E69" s="1">
        <v>0</v>
      </c>
    </row>
    <row r="70" spans="1:5">
      <c r="A70" s="1" t="str">
        <f>"093000920117"</f>
        <v>093000920117</v>
      </c>
      <c r="B70" s="1" t="str">
        <f>"张延贺"</f>
        <v>张延贺</v>
      </c>
      <c r="C70" s="1">
        <v>0</v>
      </c>
      <c r="D70" s="1">
        <v>0</v>
      </c>
      <c r="E70" s="1">
        <v>0</v>
      </c>
    </row>
    <row r="71" spans="1:5">
      <c r="A71" s="1" t="str">
        <f>"093000920119"</f>
        <v>093000920119</v>
      </c>
      <c r="B71" s="1" t="str">
        <f>"刘秋芬"</f>
        <v>刘秋芬</v>
      </c>
      <c r="C71" s="1">
        <v>0</v>
      </c>
      <c r="D71" s="1">
        <v>0</v>
      </c>
      <c r="E71" s="1">
        <v>0</v>
      </c>
    </row>
    <row r="72" spans="1:5">
      <c r="A72" s="1" t="str">
        <f>"093000040920010"</f>
        <v>093000040920010</v>
      </c>
      <c r="B72" s="1" t="str">
        <f>"齐许兵"</f>
        <v>齐许兵</v>
      </c>
      <c r="C72" s="1">
        <v>0</v>
      </c>
      <c r="D72" s="1">
        <v>0</v>
      </c>
      <c r="E72" s="1">
        <v>0</v>
      </c>
    </row>
    <row r="73" spans="1:5">
      <c r="A73" s="1" t="str">
        <f>"093000920120"</f>
        <v>093000920120</v>
      </c>
      <c r="B73" s="1" t="str">
        <f>"乔昆林"</f>
        <v>乔昆林</v>
      </c>
      <c r="C73" s="1">
        <v>0</v>
      </c>
      <c r="D73" s="1">
        <v>0</v>
      </c>
      <c r="E73" s="1">
        <v>0</v>
      </c>
    </row>
    <row r="74" spans="1:5">
      <c r="A74" s="1" t="str">
        <f>"093000037920004"</f>
        <v>093000037920004</v>
      </c>
      <c r="B74" s="1" t="str">
        <f>"程杨"</f>
        <v>程杨</v>
      </c>
      <c r="C74" s="1">
        <v>0</v>
      </c>
      <c r="D74" s="1">
        <v>-2049</v>
      </c>
      <c r="E74" s="1">
        <v>-818.72</v>
      </c>
    </row>
    <row r="75" spans="1:5">
      <c r="A75" s="1" t="str">
        <f>"093000920125"</f>
        <v>093000920125</v>
      </c>
      <c r="B75" s="1" t="str">
        <f>"田玲玲"</f>
        <v>田玲玲</v>
      </c>
      <c r="C75" s="1">
        <v>0</v>
      </c>
      <c r="D75" s="1">
        <v>0</v>
      </c>
      <c r="E75" s="1">
        <v>0</v>
      </c>
    </row>
    <row r="76" spans="1:5">
      <c r="A76" s="1" t="str">
        <f>"093000920131"</f>
        <v>093000920131</v>
      </c>
      <c r="B76" s="1" t="str">
        <f>"安伟"</f>
        <v>安伟</v>
      </c>
      <c r="C76" s="1">
        <v>0</v>
      </c>
      <c r="D76" s="1">
        <v>0</v>
      </c>
      <c r="E76" s="1">
        <v>0</v>
      </c>
    </row>
    <row r="77" spans="1:5">
      <c r="A77" s="1" t="str">
        <f>"093000920129"</f>
        <v>093000920129</v>
      </c>
      <c r="B77" s="1" t="str">
        <f>"李东生"</f>
        <v>李东生</v>
      </c>
      <c r="C77" s="1">
        <v>0</v>
      </c>
      <c r="D77" s="1">
        <v>0</v>
      </c>
      <c r="E77" s="1">
        <v>0</v>
      </c>
    </row>
    <row r="78" spans="1:5">
      <c r="A78" s="1" t="str">
        <f>"093000920135"</f>
        <v>093000920135</v>
      </c>
      <c r="B78" s="1" t="str">
        <f>"程峰"</f>
        <v>程峰</v>
      </c>
      <c r="C78" s="1">
        <v>0</v>
      </c>
      <c r="D78" s="1">
        <v>0</v>
      </c>
      <c r="E78" s="1">
        <v>0</v>
      </c>
    </row>
    <row r="79" spans="1:5">
      <c r="A79" s="1" t="str">
        <f>"093000920132"</f>
        <v>093000920132</v>
      </c>
      <c r="B79" s="1" t="str">
        <f>"麻永超"</f>
        <v>麻永超</v>
      </c>
      <c r="C79" s="1">
        <v>0</v>
      </c>
      <c r="D79" s="1">
        <v>0</v>
      </c>
      <c r="E79" s="1">
        <v>0</v>
      </c>
    </row>
    <row r="80" spans="1:5">
      <c r="A80" s="1" t="str">
        <f>"093000920136"</f>
        <v>093000920136</v>
      </c>
      <c r="B80" s="1" t="str">
        <f>"郑本伍"</f>
        <v>郑本伍</v>
      </c>
      <c r="C80" s="1">
        <v>0</v>
      </c>
      <c r="D80" s="1">
        <v>0</v>
      </c>
      <c r="E80" s="1">
        <v>0</v>
      </c>
    </row>
    <row r="81" spans="1:5">
      <c r="A81" s="1" t="str">
        <f>"093000920138"</f>
        <v>093000920138</v>
      </c>
      <c r="B81" s="1" t="str">
        <f>"张瑞猛"</f>
        <v>张瑞猛</v>
      </c>
      <c r="C81" s="1">
        <v>0</v>
      </c>
      <c r="D81" s="1">
        <v>0</v>
      </c>
      <c r="E81" s="1">
        <v>0</v>
      </c>
    </row>
    <row r="82" spans="1:5">
      <c r="A82" s="1" t="str">
        <f>"093000920137"</f>
        <v>093000920137</v>
      </c>
      <c r="B82" s="1" t="str">
        <f>"刘明"</f>
        <v>刘明</v>
      </c>
      <c r="C82" s="1">
        <v>-40</v>
      </c>
      <c r="D82" s="1">
        <v>-2766</v>
      </c>
      <c r="E82" s="1">
        <v>-2193.55</v>
      </c>
    </row>
    <row r="83" spans="1:5">
      <c r="A83" s="1" t="str">
        <f>"093000920139"</f>
        <v>093000920139</v>
      </c>
      <c r="B83" s="1" t="str">
        <f>"张剑功"</f>
        <v>张剑功</v>
      </c>
      <c r="C83" s="1">
        <v>0</v>
      </c>
      <c r="D83" s="1">
        <v>0</v>
      </c>
      <c r="E83" s="1">
        <v>0</v>
      </c>
    </row>
    <row r="84" spans="1:5">
      <c r="A84" s="1" t="str">
        <f>"093000920121"</f>
        <v>093000920121</v>
      </c>
      <c r="B84" s="1" t="str">
        <f>"全建宇"</f>
        <v>全建宇</v>
      </c>
      <c r="C84" s="1">
        <v>0</v>
      </c>
      <c r="D84" s="1">
        <v>0</v>
      </c>
      <c r="E84" s="1">
        <v>0</v>
      </c>
    </row>
    <row r="85" spans="1:5">
      <c r="A85" s="1" t="str">
        <f>"093000920143"</f>
        <v>093000920143</v>
      </c>
      <c r="B85" s="1" t="str">
        <f>"张海龙"</f>
        <v>张海龙</v>
      </c>
      <c r="C85" s="1">
        <v>0</v>
      </c>
      <c r="D85" s="1">
        <v>0</v>
      </c>
      <c r="E85" s="1">
        <v>0</v>
      </c>
    </row>
    <row r="86" spans="1:5">
      <c r="A86" s="1" t="str">
        <f>"093000920145"</f>
        <v>093000920145</v>
      </c>
      <c r="B86" s="1" t="str">
        <f>"代文琦"</f>
        <v>代文琦</v>
      </c>
      <c r="C86" s="1">
        <v>0</v>
      </c>
      <c r="D86" s="1">
        <v>0</v>
      </c>
      <c r="E86" s="1">
        <v>0</v>
      </c>
    </row>
    <row r="87" spans="1:5">
      <c r="A87" s="1" t="str">
        <f>"093000920146"</f>
        <v>093000920146</v>
      </c>
      <c r="B87" s="1" t="str">
        <f>"冯中塬"</f>
        <v>冯中塬</v>
      </c>
      <c r="C87" s="1">
        <v>0</v>
      </c>
      <c r="D87" s="1">
        <v>0</v>
      </c>
      <c r="E87" s="1">
        <v>0</v>
      </c>
    </row>
    <row r="88" spans="1:5">
      <c r="A88" s="1" t="str">
        <f>"093000920147"</f>
        <v>093000920147</v>
      </c>
      <c r="B88" s="1" t="str">
        <f>"曾欣"</f>
        <v>曾欣</v>
      </c>
      <c r="C88" s="1">
        <v>0</v>
      </c>
      <c r="D88" s="1">
        <v>0</v>
      </c>
      <c r="E88" s="1">
        <v>0</v>
      </c>
    </row>
    <row r="89" spans="1:5">
      <c r="A89" s="1" t="str">
        <f>"093000040920012"</f>
        <v>093000040920012</v>
      </c>
      <c r="B89" s="1" t="str">
        <f>"赫聚岭"</f>
        <v>赫聚岭</v>
      </c>
      <c r="C89" s="1">
        <v>0</v>
      </c>
      <c r="D89" s="1">
        <v>0</v>
      </c>
      <c r="E89" s="1">
        <v>0</v>
      </c>
    </row>
    <row r="90" spans="1:5">
      <c r="A90" s="1" t="str">
        <f>"093000920149"</f>
        <v>093000920149</v>
      </c>
      <c r="B90" s="1" t="str">
        <f>"乔蒙蒙"</f>
        <v>乔蒙蒙</v>
      </c>
      <c r="C90" s="1">
        <v>0</v>
      </c>
      <c r="D90" s="1">
        <v>0</v>
      </c>
      <c r="E90" s="1">
        <v>0</v>
      </c>
    </row>
    <row r="91" spans="1:5">
      <c r="A91" s="1" t="str">
        <f>"093000041920003"</f>
        <v>093000041920003</v>
      </c>
      <c r="B91" s="1" t="str">
        <f>"吕家权"</f>
        <v>吕家权</v>
      </c>
      <c r="C91" s="1">
        <v>0</v>
      </c>
      <c r="D91" s="1">
        <v>0</v>
      </c>
      <c r="E91" s="1">
        <v>0</v>
      </c>
    </row>
    <row r="92" spans="1:5">
      <c r="A92" s="1" t="str">
        <f>"093000041920005"</f>
        <v>093000041920005</v>
      </c>
      <c r="B92" s="1" t="str">
        <f>"吴璧君"</f>
        <v>吴璧君</v>
      </c>
      <c r="C92" s="1">
        <v>0</v>
      </c>
      <c r="D92" s="1">
        <v>0</v>
      </c>
      <c r="E92" s="1">
        <v>0</v>
      </c>
    </row>
    <row r="93" spans="1:5">
      <c r="A93" s="1" t="str">
        <f>"093000920154"</f>
        <v>093000920154</v>
      </c>
      <c r="B93" s="1" t="str">
        <f>"石宇"</f>
        <v>石宇</v>
      </c>
      <c r="C93" s="1">
        <v>0</v>
      </c>
      <c r="D93" s="1">
        <v>0</v>
      </c>
      <c r="E93" s="1">
        <v>0</v>
      </c>
    </row>
    <row r="94" spans="1:5">
      <c r="A94" s="1" t="str">
        <f>"093000920156"</f>
        <v>093000920156</v>
      </c>
      <c r="B94" s="1" t="str">
        <f>"杨世军"</f>
        <v>杨世军</v>
      </c>
      <c r="C94" s="1">
        <v>0</v>
      </c>
      <c r="D94" s="1">
        <v>0</v>
      </c>
      <c r="E94" s="1">
        <v>0</v>
      </c>
    </row>
    <row r="95" spans="1:5">
      <c r="A95" s="1" t="str">
        <f>"093000920155"</f>
        <v>093000920155</v>
      </c>
      <c r="B95" s="1" t="str">
        <f>"冯霞"</f>
        <v>冯霞</v>
      </c>
      <c r="C95" s="1">
        <v>0</v>
      </c>
      <c r="D95" s="1">
        <v>0</v>
      </c>
      <c r="E95" s="1">
        <v>0</v>
      </c>
    </row>
    <row r="96" spans="1:5">
      <c r="A96" s="1" t="str">
        <f>"093000920158"</f>
        <v>093000920158</v>
      </c>
      <c r="B96" s="1" t="str">
        <f>"王德功"</f>
        <v>王德功</v>
      </c>
      <c r="C96" s="1">
        <v>0</v>
      </c>
      <c r="D96" s="1">
        <v>0</v>
      </c>
      <c r="E96" s="1">
        <v>0</v>
      </c>
    </row>
    <row r="97" spans="1:5">
      <c r="A97" s="1" t="str">
        <f>"093000920160"</f>
        <v>093000920160</v>
      </c>
      <c r="B97" s="1" t="str">
        <f>"庄中奇"</f>
        <v>庄中奇</v>
      </c>
      <c r="C97" s="1">
        <v>0</v>
      </c>
      <c r="D97" s="1">
        <v>255</v>
      </c>
      <c r="E97" s="1">
        <v>-261.69</v>
      </c>
    </row>
    <row r="98" spans="1:5">
      <c r="A98" s="1" t="str">
        <f>"093000037920005"</f>
        <v>093000037920005</v>
      </c>
      <c r="B98" s="1" t="str">
        <f>"方俊凯"</f>
        <v>方俊凯</v>
      </c>
      <c r="C98" s="1">
        <v>0</v>
      </c>
      <c r="D98" s="1">
        <v>0</v>
      </c>
      <c r="E98" s="1">
        <v>0</v>
      </c>
    </row>
    <row r="99" spans="1:5">
      <c r="A99" s="1" t="str">
        <f>"093000920163"</f>
        <v>093000920163</v>
      </c>
      <c r="B99" s="1" t="str">
        <f>"任鹏"</f>
        <v>任鹏</v>
      </c>
      <c r="C99" s="1">
        <v>0</v>
      </c>
      <c r="D99" s="1">
        <v>0</v>
      </c>
      <c r="E99" s="1">
        <v>0</v>
      </c>
    </row>
    <row r="100" spans="1:5">
      <c r="A100" s="1" t="str">
        <f>"093000040920016"</f>
        <v>093000040920016</v>
      </c>
      <c r="B100" s="1" t="str">
        <f>"朱伟超"</f>
        <v>朱伟超</v>
      </c>
      <c r="C100" s="1">
        <v>0</v>
      </c>
      <c r="D100" s="1">
        <v>0</v>
      </c>
      <c r="E100" s="1">
        <v>0</v>
      </c>
    </row>
    <row r="101" spans="1:5">
      <c r="A101" s="1" t="str">
        <f>"093000037920006"</f>
        <v>093000037920006</v>
      </c>
      <c r="B101" s="1" t="str">
        <f>"王向前"</f>
        <v>王向前</v>
      </c>
      <c r="C101" s="1">
        <v>-395</v>
      </c>
      <c r="D101" s="1">
        <v>546</v>
      </c>
      <c r="E101" s="1">
        <v>-184.97</v>
      </c>
    </row>
    <row r="102" spans="1:5">
      <c r="A102" s="1" t="str">
        <f>"093000920164"</f>
        <v>093000920164</v>
      </c>
      <c r="B102" s="1" t="str">
        <f>"刘双燕"</f>
        <v>刘双燕</v>
      </c>
      <c r="C102" s="1">
        <v>0</v>
      </c>
      <c r="D102" s="1">
        <v>0</v>
      </c>
      <c r="E102" s="1">
        <v>0</v>
      </c>
    </row>
    <row r="103" spans="1:5">
      <c r="A103" s="1" t="str">
        <f>"093000920167"</f>
        <v>093000920167</v>
      </c>
      <c r="B103" s="1" t="str">
        <f>"常斌乐"</f>
        <v>常斌乐</v>
      </c>
      <c r="C103" s="1">
        <v>0</v>
      </c>
      <c r="D103" s="1">
        <v>0</v>
      </c>
      <c r="E103" s="1">
        <v>0</v>
      </c>
    </row>
    <row r="104" spans="1:5">
      <c r="A104" s="1" t="str">
        <f>"093000920170"</f>
        <v>093000920170</v>
      </c>
      <c r="B104" s="1" t="str">
        <f>"柳玉兰"</f>
        <v>柳玉兰</v>
      </c>
      <c r="C104" s="1">
        <v>0</v>
      </c>
      <c r="D104" s="1">
        <v>0</v>
      </c>
      <c r="E104" s="1">
        <v>0</v>
      </c>
    </row>
    <row r="105" spans="1:5">
      <c r="A105" s="1" t="str">
        <f>"093000920171"</f>
        <v>093000920171</v>
      </c>
      <c r="B105" s="1" t="str">
        <f>"毛松玉"</f>
        <v>毛松玉</v>
      </c>
      <c r="C105" s="1">
        <v>0</v>
      </c>
      <c r="D105" s="1">
        <v>0</v>
      </c>
      <c r="E105" s="1">
        <v>0</v>
      </c>
    </row>
    <row r="106" spans="1:5">
      <c r="A106" s="1" t="str">
        <f>"093000920172"</f>
        <v>093000920172</v>
      </c>
      <c r="B106" s="1" t="str">
        <f>"付大帝"</f>
        <v>付大帝</v>
      </c>
      <c r="C106" s="1">
        <v>0</v>
      </c>
      <c r="D106" s="1">
        <v>0</v>
      </c>
      <c r="E106" s="1">
        <v>0</v>
      </c>
    </row>
    <row r="107" spans="1:5">
      <c r="A107" s="1" t="str">
        <f>"093000920173"</f>
        <v>093000920173</v>
      </c>
      <c r="B107" s="1" t="str">
        <f>"王浩东"</f>
        <v>王浩东</v>
      </c>
      <c r="C107" s="1">
        <v>0</v>
      </c>
      <c r="D107" s="1">
        <v>0</v>
      </c>
      <c r="E107" s="1">
        <v>0</v>
      </c>
    </row>
    <row r="108" spans="1:5">
      <c r="A108" s="1" t="str">
        <f>"093000920174"</f>
        <v>093000920174</v>
      </c>
      <c r="B108" s="1" t="str">
        <f>"段东阳"</f>
        <v>段东阳</v>
      </c>
      <c r="C108" s="1">
        <v>0</v>
      </c>
      <c r="D108" s="1">
        <v>0</v>
      </c>
      <c r="E108" s="1">
        <v>0</v>
      </c>
    </row>
    <row r="109" spans="1:5">
      <c r="A109" s="1" t="str">
        <f>"093000920175"</f>
        <v>093000920175</v>
      </c>
      <c r="B109" s="1" t="str">
        <f>"王瑞范"</f>
        <v>王瑞范</v>
      </c>
      <c r="C109" s="1">
        <v>0</v>
      </c>
      <c r="D109" s="1">
        <v>0</v>
      </c>
      <c r="E109" s="1">
        <v>0</v>
      </c>
    </row>
    <row r="110" spans="1:5">
      <c r="A110" s="1" t="str">
        <f>"093000037920007"</f>
        <v>093000037920007</v>
      </c>
      <c r="B110" s="1" t="str">
        <f>"程圳"</f>
        <v>程圳</v>
      </c>
      <c r="C110" s="1">
        <v>0</v>
      </c>
      <c r="D110" s="1">
        <v>0</v>
      </c>
      <c r="E110" s="1">
        <v>0</v>
      </c>
    </row>
    <row r="111" spans="1:5">
      <c r="A111" s="1" t="str">
        <f>"093000920176"</f>
        <v>093000920176</v>
      </c>
      <c r="B111" s="1" t="str">
        <f>"唐义花"</f>
        <v>唐义花</v>
      </c>
      <c r="C111" s="1">
        <v>0</v>
      </c>
      <c r="D111" s="1">
        <v>0</v>
      </c>
      <c r="E111" s="1">
        <v>0</v>
      </c>
    </row>
    <row r="112" spans="1:5">
      <c r="A112" s="1" t="str">
        <f>"093000037920008"</f>
        <v>093000037920008</v>
      </c>
      <c r="B112" s="1" t="str">
        <f>"程爱萍"</f>
        <v>程爱萍</v>
      </c>
      <c r="C112" s="1">
        <v>0</v>
      </c>
      <c r="D112" s="1">
        <v>0</v>
      </c>
      <c r="E112" s="1">
        <v>0</v>
      </c>
    </row>
    <row r="113" spans="1:5">
      <c r="A113" s="1" t="str">
        <f>"093000037920009"</f>
        <v>093000037920009</v>
      </c>
      <c r="B113" s="1" t="str">
        <f>"程爱华"</f>
        <v>程爱华</v>
      </c>
      <c r="C113" s="1">
        <v>0</v>
      </c>
      <c r="D113" s="1">
        <v>0</v>
      </c>
      <c r="E113" s="1">
        <v>0</v>
      </c>
    </row>
    <row r="114" spans="1:5">
      <c r="A114" s="1" t="str">
        <f>"093000920178"</f>
        <v>093000920178</v>
      </c>
      <c r="B114" s="1" t="str">
        <f>"简景雷"</f>
        <v>简景雷</v>
      </c>
      <c r="C114" s="1">
        <v>-183</v>
      </c>
      <c r="D114" s="1">
        <v>-5683</v>
      </c>
      <c r="E114" s="1">
        <v>-1084.26</v>
      </c>
    </row>
    <row r="115" spans="1:5">
      <c r="A115" s="1" t="str">
        <f>"093000920186"</f>
        <v>093000920186</v>
      </c>
      <c r="B115" s="1" t="str">
        <f>"苏东奇"</f>
        <v>苏东奇</v>
      </c>
      <c r="C115" s="1">
        <v>0</v>
      </c>
      <c r="D115" s="1">
        <v>0</v>
      </c>
      <c r="E115" s="1">
        <v>0</v>
      </c>
    </row>
    <row r="116" spans="1:5">
      <c r="A116" s="1" t="str">
        <f>"093000037920012"</f>
        <v>093000037920012</v>
      </c>
      <c r="B116" s="1" t="str">
        <f>"方明亮"</f>
        <v>方明亮</v>
      </c>
      <c r="C116" s="1">
        <v>0</v>
      </c>
      <c r="D116" s="1">
        <v>0</v>
      </c>
      <c r="E116" s="1">
        <v>0</v>
      </c>
    </row>
    <row r="117" spans="1:5">
      <c r="A117" s="1" t="str">
        <f>"093000920184"</f>
        <v>093000920184</v>
      </c>
      <c r="B117" s="1" t="str">
        <f>"奚大力"</f>
        <v>奚大力</v>
      </c>
      <c r="C117" s="1">
        <v>0</v>
      </c>
      <c r="D117" s="1">
        <v>0</v>
      </c>
      <c r="E117" s="1">
        <v>0</v>
      </c>
    </row>
    <row r="118" spans="1:5">
      <c r="A118" s="1" t="str">
        <f>"093000037920011"</f>
        <v>093000037920011</v>
      </c>
      <c r="B118" s="1" t="str">
        <f>"李洁"</f>
        <v>李洁</v>
      </c>
      <c r="C118" s="1">
        <v>0</v>
      </c>
      <c r="D118" s="1">
        <v>0</v>
      </c>
      <c r="E118" s="1">
        <v>0</v>
      </c>
    </row>
    <row r="119" spans="1:5">
      <c r="A119" s="1" t="str">
        <f>"093000037920010"</f>
        <v>093000037920010</v>
      </c>
      <c r="B119" s="1" t="str">
        <f>"时战群"</f>
        <v>时战群</v>
      </c>
      <c r="C119" s="1">
        <v>0</v>
      </c>
      <c r="D119" s="1">
        <v>0</v>
      </c>
      <c r="E119" s="1">
        <v>0</v>
      </c>
    </row>
    <row r="120" spans="1:5">
      <c r="A120" s="1" t="str">
        <f>"093000920181"</f>
        <v>093000920181</v>
      </c>
      <c r="B120" s="1" t="str">
        <f>"郁林楠"</f>
        <v>郁林楠</v>
      </c>
      <c r="C120" s="1">
        <v>0</v>
      </c>
      <c r="D120" s="1">
        <v>0</v>
      </c>
      <c r="E120" s="1">
        <v>0</v>
      </c>
    </row>
    <row r="121" spans="1:5">
      <c r="A121" s="1" t="str">
        <f>"093000920182"</f>
        <v>093000920182</v>
      </c>
      <c r="B121" s="1" t="str">
        <f>"刘春华"</f>
        <v>刘春华</v>
      </c>
      <c r="C121" s="1">
        <v>0</v>
      </c>
      <c r="D121" s="1">
        <v>0</v>
      </c>
      <c r="E121" s="1">
        <v>0</v>
      </c>
    </row>
    <row r="122" spans="1:5">
      <c r="A122" s="1" t="str">
        <f>"093000040920018"</f>
        <v>093000040920018</v>
      </c>
      <c r="B122" s="1" t="str">
        <f>"杨建红"</f>
        <v>杨建红</v>
      </c>
      <c r="C122" s="1">
        <v>0</v>
      </c>
      <c r="D122" s="1">
        <v>0</v>
      </c>
      <c r="E122" s="1">
        <v>0</v>
      </c>
    </row>
    <row r="123" spans="1:5">
      <c r="A123" s="1" t="str">
        <f>"093000920191"</f>
        <v>093000920191</v>
      </c>
      <c r="B123" s="1" t="str">
        <f>"雷书青"</f>
        <v>雷书青</v>
      </c>
      <c r="C123" s="1">
        <v>0</v>
      </c>
      <c r="D123" s="1">
        <v>0</v>
      </c>
      <c r="E123" s="1">
        <v>0</v>
      </c>
    </row>
    <row r="124" spans="1:5">
      <c r="A124" s="1" t="str">
        <f>"093000920192"</f>
        <v>093000920192</v>
      </c>
      <c r="B124" s="1" t="str">
        <f>"周兴豪"</f>
        <v>周兴豪</v>
      </c>
      <c r="C124" s="1">
        <v>0</v>
      </c>
      <c r="D124" s="1">
        <v>0</v>
      </c>
      <c r="E124" s="1">
        <v>0</v>
      </c>
    </row>
    <row r="125" spans="1:5">
      <c r="A125" s="1" t="str">
        <f>"093000920193"</f>
        <v>093000920193</v>
      </c>
      <c r="B125" s="1" t="str">
        <f>"张颖"</f>
        <v>张颖</v>
      </c>
      <c r="C125" s="1">
        <v>-60</v>
      </c>
      <c r="D125" s="1">
        <v>60</v>
      </c>
      <c r="E125" s="1">
        <v>-13.82</v>
      </c>
    </row>
    <row r="126" spans="1:5">
      <c r="A126" s="1" t="str">
        <f>"093000920194"</f>
        <v>093000920194</v>
      </c>
      <c r="B126" s="1" t="str">
        <f>"韩红乾"</f>
        <v>韩红乾</v>
      </c>
      <c r="C126" s="1">
        <v>0</v>
      </c>
      <c r="D126" s="1">
        <v>0</v>
      </c>
      <c r="E126" s="1">
        <v>0</v>
      </c>
    </row>
    <row r="127" spans="1:5">
      <c r="A127" s="1" t="str">
        <f>"093000037920013"</f>
        <v>093000037920013</v>
      </c>
      <c r="B127" s="1" t="str">
        <f>"方玉伟"</f>
        <v>方玉伟</v>
      </c>
      <c r="C127" s="1">
        <v>0</v>
      </c>
      <c r="D127" s="1">
        <v>-472</v>
      </c>
      <c r="E127" s="1">
        <v>-239.26</v>
      </c>
    </row>
    <row r="128" spans="1:5">
      <c r="A128" s="1" t="str">
        <f>"093000920196"</f>
        <v>093000920196</v>
      </c>
      <c r="B128" s="1" t="str">
        <f>"马仲秋"</f>
        <v>马仲秋</v>
      </c>
      <c r="C128" s="1">
        <v>0</v>
      </c>
      <c r="D128" s="1">
        <v>0</v>
      </c>
      <c r="E128" s="1">
        <v>0</v>
      </c>
    </row>
    <row r="129" spans="1:5">
      <c r="A129" s="1" t="str">
        <f>"093000920197"</f>
        <v>093000920197</v>
      </c>
      <c r="B129" s="1" t="str">
        <f>"胡钦"</f>
        <v>胡钦</v>
      </c>
      <c r="C129" s="1">
        <v>0</v>
      </c>
      <c r="D129" s="1">
        <v>0</v>
      </c>
      <c r="E129" s="1">
        <v>0</v>
      </c>
    </row>
    <row r="130" spans="1:5">
      <c r="A130" s="1" t="str">
        <f>"093000037920014"</f>
        <v>093000037920014</v>
      </c>
      <c r="B130" s="1" t="str">
        <f>"程俊丽"</f>
        <v>程俊丽</v>
      </c>
      <c r="C130" s="1">
        <v>0</v>
      </c>
      <c r="D130" s="1">
        <v>0</v>
      </c>
      <c r="E130" s="1">
        <v>0</v>
      </c>
    </row>
    <row r="131" spans="1:5">
      <c r="A131" s="1" t="str">
        <f>"093000040920019"</f>
        <v>093000040920019</v>
      </c>
      <c r="B131" s="1" t="str">
        <f>"崔亚阁"</f>
        <v>崔亚阁</v>
      </c>
      <c r="C131" s="1">
        <v>0</v>
      </c>
      <c r="D131" s="1">
        <v>0</v>
      </c>
      <c r="E131" s="1">
        <v>0</v>
      </c>
    </row>
    <row r="132" spans="1:5">
      <c r="A132" s="1" t="str">
        <f>"093000920202"</f>
        <v>093000920202</v>
      </c>
      <c r="B132" s="1" t="str">
        <f>"王一冰"</f>
        <v>王一冰</v>
      </c>
      <c r="C132" s="1">
        <v>0</v>
      </c>
      <c r="D132" s="1">
        <v>0</v>
      </c>
      <c r="E132" s="1">
        <v>0</v>
      </c>
    </row>
    <row r="133" spans="1:5">
      <c r="A133" s="1" t="str">
        <f>"093000920203"</f>
        <v>093000920203</v>
      </c>
      <c r="B133" s="1" t="str">
        <f>"李庆华"</f>
        <v>李庆华</v>
      </c>
      <c r="C133" s="1">
        <v>0</v>
      </c>
      <c r="D133" s="1">
        <v>0</v>
      </c>
      <c r="E133" s="1">
        <v>0</v>
      </c>
    </row>
    <row r="134" spans="1:5">
      <c r="A134" s="1" t="str">
        <f>"093000920204"</f>
        <v>093000920204</v>
      </c>
      <c r="B134" s="1" t="str">
        <f>"刘玉明"</f>
        <v>刘玉明</v>
      </c>
      <c r="C134" s="1">
        <v>0</v>
      </c>
      <c r="D134" s="1">
        <v>0</v>
      </c>
      <c r="E134" s="1">
        <v>0</v>
      </c>
    </row>
    <row r="135" spans="1:5">
      <c r="A135" s="1" t="str">
        <f>"093000920206"</f>
        <v>093000920206</v>
      </c>
      <c r="B135" s="1" t="str">
        <f>"史西娜"</f>
        <v>史西娜</v>
      </c>
      <c r="C135" s="1">
        <v>0</v>
      </c>
      <c r="D135" s="1">
        <v>0</v>
      </c>
      <c r="E135" s="1">
        <v>0</v>
      </c>
    </row>
    <row r="136" spans="1:5">
      <c r="A136" s="1" t="str">
        <f>"093000920207"</f>
        <v>093000920207</v>
      </c>
      <c r="B136" s="1" t="str">
        <f>"王黎明"</f>
        <v>王黎明</v>
      </c>
      <c r="C136" s="1">
        <v>0</v>
      </c>
      <c r="D136" s="1">
        <v>0</v>
      </c>
      <c r="E136" s="1">
        <v>0</v>
      </c>
    </row>
    <row r="137" spans="1:5">
      <c r="A137" s="1" t="str">
        <f>"093000920208"</f>
        <v>093000920208</v>
      </c>
      <c r="B137" s="1" t="str">
        <f>"周清坡"</f>
        <v>周清坡</v>
      </c>
      <c r="C137" s="1">
        <v>0</v>
      </c>
      <c r="D137" s="1">
        <v>0</v>
      </c>
      <c r="E137" s="1">
        <v>0</v>
      </c>
    </row>
    <row r="138" spans="1:5">
      <c r="A138" s="1" t="str">
        <f>"093000920209"</f>
        <v>093000920209</v>
      </c>
      <c r="B138" s="1" t="str">
        <f>"雷书红"</f>
        <v>雷书红</v>
      </c>
      <c r="C138" s="1">
        <v>0</v>
      </c>
      <c r="D138" s="1">
        <v>-249</v>
      </c>
      <c r="E138" s="1">
        <v>-124.93</v>
      </c>
    </row>
    <row r="139" spans="1:5">
      <c r="A139" s="1" t="str">
        <f>"093000037920015"</f>
        <v>093000037920015</v>
      </c>
      <c r="B139" s="1" t="str">
        <f>"张二涛"</f>
        <v>张二涛</v>
      </c>
      <c r="C139" s="1">
        <v>0</v>
      </c>
      <c r="D139" s="1">
        <v>0</v>
      </c>
      <c r="E139" s="1">
        <v>0</v>
      </c>
    </row>
    <row r="140" spans="1:5">
      <c r="A140" s="1" t="str">
        <f>"093000920211"</f>
        <v>093000920211</v>
      </c>
      <c r="B140" s="1" t="str">
        <f>"宋德全"</f>
        <v>宋德全</v>
      </c>
      <c r="C140" s="1">
        <v>0</v>
      </c>
      <c r="D140" s="1">
        <v>0</v>
      </c>
      <c r="E140" s="1">
        <v>0</v>
      </c>
    </row>
    <row r="141" spans="1:5">
      <c r="A141" s="1" t="str">
        <f>"093000920212"</f>
        <v>093000920212</v>
      </c>
      <c r="B141" s="1" t="str">
        <f>"程传旭"</f>
        <v>程传旭</v>
      </c>
      <c r="C141" s="1">
        <v>0</v>
      </c>
      <c r="D141" s="1">
        <v>-90</v>
      </c>
      <c r="E141" s="1">
        <v>-6.94</v>
      </c>
    </row>
    <row r="142" spans="1:5">
      <c r="A142" s="1" t="str">
        <f>"093000920213"</f>
        <v>093000920213</v>
      </c>
      <c r="B142" s="1" t="str">
        <f>"黄学涛"</f>
        <v>黄学涛</v>
      </c>
      <c r="C142" s="1">
        <v>0</v>
      </c>
      <c r="D142" s="1">
        <v>0</v>
      </c>
      <c r="E142" s="1">
        <v>0</v>
      </c>
    </row>
    <row r="143" spans="1:5">
      <c r="A143" s="1" t="str">
        <f>"093000920216"</f>
        <v>093000920216</v>
      </c>
      <c r="B143" s="1" t="str">
        <f>"周婉莹"</f>
        <v>周婉莹</v>
      </c>
      <c r="C143" s="1">
        <v>0</v>
      </c>
      <c r="D143" s="1">
        <v>-2178</v>
      </c>
      <c r="E143" s="1">
        <v>-676.95</v>
      </c>
    </row>
    <row r="144" spans="1:5">
      <c r="A144" s="1" t="str">
        <f>"093000920217"</f>
        <v>093000920217</v>
      </c>
      <c r="B144" s="1" t="str">
        <f>"陆燕芹"</f>
        <v>陆燕芹</v>
      </c>
      <c r="C144" s="1">
        <v>0</v>
      </c>
      <c r="D144" s="1">
        <v>0</v>
      </c>
      <c r="E144" s="1">
        <v>0</v>
      </c>
    </row>
    <row r="145" spans="1:5">
      <c r="A145" s="1" t="str">
        <f>"093000920219"</f>
        <v>093000920219</v>
      </c>
      <c r="B145" s="1" t="str">
        <f>"刘静"</f>
        <v>刘静</v>
      </c>
      <c r="C145" s="1">
        <v>-1181</v>
      </c>
      <c r="D145" s="1">
        <v>75</v>
      </c>
      <c r="E145" s="1">
        <v>-257.32</v>
      </c>
    </row>
    <row r="146" spans="1:5">
      <c r="A146" s="1" t="str">
        <f>"093000920220"</f>
        <v>093000920220</v>
      </c>
      <c r="B146" s="1" t="str">
        <f>"李丁"</f>
        <v>李丁</v>
      </c>
      <c r="C146" s="1">
        <v>365</v>
      </c>
      <c r="D146" s="1">
        <v>-599</v>
      </c>
      <c r="E146" s="1">
        <v>-149.01</v>
      </c>
    </row>
    <row r="147" spans="1:5">
      <c r="A147" s="1" t="str">
        <f>"093000920221"</f>
        <v>093000920221</v>
      </c>
      <c r="B147" s="1" t="str">
        <f>"古恬"</f>
        <v>古恬</v>
      </c>
      <c r="C147" s="1">
        <v>0</v>
      </c>
      <c r="D147" s="1">
        <v>-121</v>
      </c>
      <c r="E147" s="1">
        <v>-29.01</v>
      </c>
    </row>
    <row r="148" spans="1:5">
      <c r="A148" s="1" t="str">
        <f>"093000049920001"</f>
        <v>093000049920001</v>
      </c>
      <c r="B148" s="1" t="str">
        <f>"苗壮壮"</f>
        <v>苗壮壮</v>
      </c>
      <c r="C148" s="1">
        <v>0</v>
      </c>
      <c r="D148" s="1">
        <v>0</v>
      </c>
      <c r="E148" s="1">
        <v>0</v>
      </c>
    </row>
    <row r="149" spans="1:5">
      <c r="A149" s="1" t="str">
        <f>"093000920223"</f>
        <v>093000920223</v>
      </c>
      <c r="B149" s="1" t="str">
        <f>"张涛"</f>
        <v>张涛</v>
      </c>
      <c r="C149" s="1">
        <v>480</v>
      </c>
      <c r="D149" s="1">
        <v>1040</v>
      </c>
      <c r="E149" s="1">
        <v>-159.33</v>
      </c>
    </row>
    <row r="150" spans="1:5">
      <c r="A150" s="1" t="str">
        <f>"093000920224"</f>
        <v>093000920224</v>
      </c>
      <c r="B150" s="1" t="str">
        <f>"魏星垒"</f>
        <v>魏星垒</v>
      </c>
      <c r="C150" s="1">
        <v>0</v>
      </c>
      <c r="D150" s="1">
        <v>0</v>
      </c>
      <c r="E150" s="1">
        <v>0</v>
      </c>
    </row>
    <row r="151" spans="1:5">
      <c r="A151" s="1" t="str">
        <f>"093000920225"</f>
        <v>093000920225</v>
      </c>
      <c r="B151" s="1" t="str">
        <f>"雷书俊"</f>
        <v>雷书俊</v>
      </c>
      <c r="C151" s="1">
        <v>0</v>
      </c>
      <c r="D151" s="1">
        <v>0</v>
      </c>
      <c r="E151" s="1">
        <v>0</v>
      </c>
    </row>
    <row r="152" spans="1:5">
      <c r="A152" s="1" t="str">
        <f>"093000920226"</f>
        <v>093000920226</v>
      </c>
      <c r="B152" s="1" t="str">
        <f>"刘源"</f>
        <v>刘源</v>
      </c>
      <c r="C152" s="1">
        <v>0</v>
      </c>
      <c r="D152" s="1">
        <v>344</v>
      </c>
      <c r="E152" s="1">
        <v>-50.87</v>
      </c>
    </row>
    <row r="153" spans="1:5">
      <c r="A153" s="1" t="str">
        <f>"093000041920009"</f>
        <v>093000041920009</v>
      </c>
      <c r="B153" s="1" t="str">
        <f>"王宏章"</f>
        <v>王宏章</v>
      </c>
      <c r="C153" s="1">
        <v>0</v>
      </c>
      <c r="D153" s="1">
        <v>0</v>
      </c>
      <c r="E153" s="1">
        <v>0</v>
      </c>
    </row>
    <row r="154" spans="1:5">
      <c r="A154" s="1" t="str">
        <f>"093000920227"</f>
        <v>093000920227</v>
      </c>
      <c r="B154" s="1" t="str">
        <f>"李梦"</f>
        <v>李梦</v>
      </c>
      <c r="C154" s="1">
        <v>0</v>
      </c>
      <c r="D154" s="1">
        <v>0</v>
      </c>
      <c r="E154" s="1">
        <v>0</v>
      </c>
    </row>
    <row r="155" spans="1:5">
      <c r="A155" s="1" t="str">
        <f>"093000037920017"</f>
        <v>093000037920017</v>
      </c>
      <c r="B155" s="1" t="str">
        <f>"杨美勤"</f>
        <v>杨美勤</v>
      </c>
      <c r="C155" s="1">
        <v>0</v>
      </c>
      <c r="D155" s="1">
        <v>0</v>
      </c>
      <c r="E155" s="1">
        <v>0</v>
      </c>
    </row>
    <row r="156" spans="1:5">
      <c r="A156" s="1" t="str">
        <f>"093000051920001"</f>
        <v>093000051920001</v>
      </c>
      <c r="B156" s="1" t="str">
        <f>"艾亚楠"</f>
        <v>艾亚楠</v>
      </c>
      <c r="C156" s="1">
        <v>0</v>
      </c>
      <c r="D156" s="1">
        <v>0</v>
      </c>
      <c r="E156" s="1">
        <v>0</v>
      </c>
    </row>
    <row r="157" spans="1:5">
      <c r="A157" s="1" t="str">
        <f>"093000920233"</f>
        <v>093000920233</v>
      </c>
      <c r="B157" s="1" t="str">
        <f>"程建国"</f>
        <v>程建国</v>
      </c>
      <c r="C157" s="1">
        <v>0</v>
      </c>
      <c r="D157" s="1">
        <v>0</v>
      </c>
      <c r="E157" s="1">
        <v>0</v>
      </c>
    </row>
    <row r="158" spans="1:5">
      <c r="A158" s="1" t="str">
        <f>"093000920232"</f>
        <v>093000920232</v>
      </c>
      <c r="B158" s="1" t="str">
        <f>"邓聪聪"</f>
        <v>邓聪聪</v>
      </c>
      <c r="C158" s="1">
        <v>0</v>
      </c>
      <c r="D158" s="1">
        <v>0</v>
      </c>
      <c r="E158" s="1">
        <v>0</v>
      </c>
    </row>
    <row r="159" spans="1:5">
      <c r="A159" s="1" t="str">
        <f>"093000920234"</f>
        <v>093000920234</v>
      </c>
      <c r="B159" s="1" t="str">
        <f>"贾建军"</f>
        <v>贾建军</v>
      </c>
      <c r="C159" s="1">
        <v>103</v>
      </c>
      <c r="D159" s="1">
        <v>-2196</v>
      </c>
      <c r="E159" s="1">
        <v>-1010.37</v>
      </c>
    </row>
    <row r="160" spans="1:5">
      <c r="A160" s="1" t="str">
        <f>"093000920235"</f>
        <v>093000920235</v>
      </c>
      <c r="B160" s="1" t="str">
        <f>"杨桂花"</f>
        <v>杨桂花</v>
      </c>
      <c r="C160" s="1">
        <v>0</v>
      </c>
      <c r="D160" s="1">
        <v>0</v>
      </c>
      <c r="E160" s="1">
        <v>0</v>
      </c>
    </row>
    <row r="161" spans="1:5">
      <c r="A161" s="1" t="str">
        <f>"093000920238"</f>
        <v>093000920238</v>
      </c>
      <c r="B161" s="1" t="str">
        <f>"陈尹娟"</f>
        <v>陈尹娟</v>
      </c>
      <c r="C161" s="1">
        <v>0</v>
      </c>
      <c r="D161" s="1">
        <v>0</v>
      </c>
      <c r="E161" s="1">
        <v>0</v>
      </c>
    </row>
    <row r="162" spans="1:5">
      <c r="A162" s="1" t="str">
        <f>"093000041920010"</f>
        <v>093000041920010</v>
      </c>
      <c r="B162" s="1" t="str">
        <f>"周俊男"</f>
        <v>周俊男</v>
      </c>
      <c r="C162" s="1">
        <v>0</v>
      </c>
      <c r="D162" s="1">
        <v>0</v>
      </c>
      <c r="E162" s="1">
        <v>0</v>
      </c>
    </row>
    <row r="163" spans="1:5">
      <c r="A163" s="1" t="str">
        <f>"093000920240"</f>
        <v>093000920240</v>
      </c>
      <c r="B163" s="1" t="str">
        <f>"李贝贝"</f>
        <v>李贝贝</v>
      </c>
      <c r="C163" s="1">
        <v>0</v>
      </c>
      <c r="D163" s="1">
        <v>0</v>
      </c>
      <c r="E163" s="1">
        <v>0</v>
      </c>
    </row>
    <row r="164" spans="1:5">
      <c r="A164" s="1" t="str">
        <f>"093000920241"</f>
        <v>093000920241</v>
      </c>
      <c r="B164" s="1" t="str">
        <f>"刘俊"</f>
        <v>刘俊</v>
      </c>
      <c r="C164" s="1">
        <v>0</v>
      </c>
      <c r="D164" s="1">
        <v>0</v>
      </c>
      <c r="E164" s="1">
        <v>0</v>
      </c>
    </row>
    <row r="165" spans="1:5">
      <c r="A165" s="1" t="str">
        <f>"093000049920003"</f>
        <v>093000049920003</v>
      </c>
      <c r="B165" s="1" t="str">
        <f>"李明"</f>
        <v>李明</v>
      </c>
      <c r="C165" s="1">
        <v>0</v>
      </c>
      <c r="D165" s="1">
        <v>0</v>
      </c>
      <c r="E165" s="1">
        <v>0</v>
      </c>
    </row>
    <row r="166" spans="1:5">
      <c r="A166" s="1" t="str">
        <f>"093000920244"</f>
        <v>093000920244</v>
      </c>
      <c r="B166" s="1" t="str">
        <f>"何亚锦"</f>
        <v>何亚锦</v>
      </c>
      <c r="C166" s="1">
        <v>0</v>
      </c>
      <c r="D166" s="1">
        <v>0</v>
      </c>
      <c r="E166" s="1">
        <v>0</v>
      </c>
    </row>
    <row r="167" spans="1:5">
      <c r="A167" s="1" t="str">
        <f>"093000920245"</f>
        <v>093000920245</v>
      </c>
      <c r="B167" s="1" t="str">
        <f>"王二勇"</f>
        <v>王二勇</v>
      </c>
      <c r="C167" s="1">
        <v>0</v>
      </c>
      <c r="D167" s="1">
        <v>0</v>
      </c>
      <c r="E167" s="1">
        <v>0</v>
      </c>
    </row>
    <row r="168" spans="1:5">
      <c r="A168" s="1" t="str">
        <f>"093000041920011"</f>
        <v>093000041920011</v>
      </c>
      <c r="B168" s="1" t="str">
        <f>"贾繁"</f>
        <v>贾繁</v>
      </c>
      <c r="C168" s="1">
        <v>0</v>
      </c>
      <c r="D168" s="1">
        <v>0</v>
      </c>
      <c r="E168" s="1">
        <v>0</v>
      </c>
    </row>
    <row r="169" spans="1:5">
      <c r="A169" s="1" t="str">
        <f>"093000920246"</f>
        <v>093000920246</v>
      </c>
      <c r="B169" s="1" t="str">
        <f>"徐沛"</f>
        <v>徐沛</v>
      </c>
      <c r="C169" s="1">
        <v>-98</v>
      </c>
      <c r="D169" s="1">
        <v>22</v>
      </c>
      <c r="E169" s="1">
        <v>-89.47</v>
      </c>
    </row>
    <row r="170" spans="1:5">
      <c r="A170" s="1" t="str">
        <f>"093000920247"</f>
        <v>093000920247</v>
      </c>
      <c r="B170" s="1" t="str">
        <f>"张兴第"</f>
        <v>张兴第</v>
      </c>
      <c r="C170" s="1">
        <v>0</v>
      </c>
      <c r="D170" s="1">
        <v>0</v>
      </c>
      <c r="E170" s="1">
        <v>0</v>
      </c>
    </row>
    <row r="171" spans="1:5">
      <c r="A171" s="1" t="str">
        <f>"093000920250"</f>
        <v>093000920250</v>
      </c>
      <c r="B171" s="1" t="str">
        <f>"钱猛"</f>
        <v>钱猛</v>
      </c>
      <c r="C171" s="1">
        <v>0</v>
      </c>
      <c r="D171" s="1">
        <v>0</v>
      </c>
      <c r="E171" s="1">
        <v>0</v>
      </c>
    </row>
    <row r="172" spans="1:5">
      <c r="A172" s="1" t="str">
        <f>"093000920252"</f>
        <v>093000920252</v>
      </c>
      <c r="B172" s="1" t="str">
        <f>"杨祥义"</f>
        <v>杨祥义</v>
      </c>
      <c r="C172" s="1">
        <v>0</v>
      </c>
      <c r="D172" s="1">
        <v>0</v>
      </c>
      <c r="E172" s="1">
        <v>0</v>
      </c>
    </row>
    <row r="173" spans="1:5">
      <c r="A173" s="1" t="str">
        <f>"093000049920004"</f>
        <v>093000049920004</v>
      </c>
      <c r="B173" s="1" t="str">
        <f>"万龙"</f>
        <v>万龙</v>
      </c>
      <c r="C173" s="1">
        <v>0</v>
      </c>
      <c r="D173" s="1">
        <v>0</v>
      </c>
      <c r="E173" s="1">
        <v>0</v>
      </c>
    </row>
    <row r="174" spans="1:5">
      <c r="A174" s="1" t="str">
        <f>"093000920251"</f>
        <v>093000920251</v>
      </c>
      <c r="B174" s="1" t="str">
        <f>"户小方"</f>
        <v>户小方</v>
      </c>
      <c r="C174" s="1">
        <v>21</v>
      </c>
      <c r="D174" s="1">
        <v>666</v>
      </c>
      <c r="E174" s="1">
        <v>-431.21</v>
      </c>
    </row>
    <row r="175" spans="1:5">
      <c r="A175" s="1" t="str">
        <f>"093000049920005"</f>
        <v>093000049920005</v>
      </c>
      <c r="B175" s="1" t="str">
        <f>"刘银"</f>
        <v>刘银</v>
      </c>
      <c r="C175" s="1">
        <v>0</v>
      </c>
      <c r="D175" s="1">
        <v>0</v>
      </c>
      <c r="E175" s="1">
        <v>0</v>
      </c>
    </row>
    <row r="176" spans="1:5">
      <c r="A176" s="1" t="str">
        <f>"093000920253"</f>
        <v>093000920253</v>
      </c>
      <c r="B176" s="1" t="str">
        <f>"王大林"</f>
        <v>王大林</v>
      </c>
      <c r="C176" s="1">
        <v>0</v>
      </c>
      <c r="D176" s="1">
        <v>0</v>
      </c>
      <c r="E176" s="1">
        <v>0</v>
      </c>
    </row>
    <row r="177" spans="1:5">
      <c r="A177" s="1" t="str">
        <f>"093000920254"</f>
        <v>093000920254</v>
      </c>
      <c r="B177" s="1" t="str">
        <f>"刘蕾"</f>
        <v>刘蕾</v>
      </c>
      <c r="C177" s="1">
        <v>0</v>
      </c>
      <c r="D177" s="1">
        <v>0</v>
      </c>
      <c r="E177" s="1">
        <v>0</v>
      </c>
    </row>
    <row r="178" spans="1:5">
      <c r="A178" s="1" t="str">
        <f>"093000049920006"</f>
        <v>093000049920006</v>
      </c>
      <c r="B178" s="1" t="str">
        <f>"张帅"</f>
        <v>张帅</v>
      </c>
      <c r="C178" s="1">
        <v>0</v>
      </c>
      <c r="D178" s="1">
        <v>0</v>
      </c>
      <c r="E178" s="1">
        <v>0</v>
      </c>
    </row>
    <row r="179" spans="1:5">
      <c r="A179" s="1" t="str">
        <f>"093000920255"</f>
        <v>093000920255</v>
      </c>
      <c r="B179" s="1" t="str">
        <f>"王航"</f>
        <v>王航</v>
      </c>
      <c r="C179" s="1">
        <v>0</v>
      </c>
      <c r="D179" s="1">
        <v>-301</v>
      </c>
      <c r="E179" s="1">
        <v>-227.54</v>
      </c>
    </row>
    <row r="180" spans="1:5">
      <c r="A180" s="1" t="str">
        <f>"093000040920020"</f>
        <v>093000040920020</v>
      </c>
      <c r="B180" s="1" t="str">
        <f>"高宇飞"</f>
        <v>高宇飞</v>
      </c>
      <c r="C180" s="1">
        <v>0</v>
      </c>
      <c r="D180" s="1">
        <v>0</v>
      </c>
      <c r="E180" s="1">
        <v>0</v>
      </c>
    </row>
    <row r="181" spans="1:5">
      <c r="A181" s="1" t="str">
        <f>"093000920256"</f>
        <v>093000920256</v>
      </c>
      <c r="B181" s="1" t="str">
        <f>"冯强"</f>
        <v>冯强</v>
      </c>
      <c r="C181" s="1">
        <v>0</v>
      </c>
      <c r="D181" s="1">
        <v>0</v>
      </c>
      <c r="E181" s="1">
        <v>0</v>
      </c>
    </row>
    <row r="182" spans="1:5">
      <c r="A182" s="1" t="str">
        <f>"093000920258"</f>
        <v>093000920258</v>
      </c>
      <c r="B182" s="1" t="str">
        <f>"周玉平"</f>
        <v>周玉平</v>
      </c>
      <c r="C182" s="1">
        <v>0</v>
      </c>
      <c r="D182" s="1">
        <v>0</v>
      </c>
      <c r="E182" s="1">
        <v>0</v>
      </c>
    </row>
    <row r="183" spans="1:5">
      <c r="A183" s="1" t="str">
        <f>"093000041920012"</f>
        <v>093000041920012</v>
      </c>
      <c r="B183" s="1" t="str">
        <f>"张志宇"</f>
        <v>张志宇</v>
      </c>
      <c r="C183" s="1">
        <v>0</v>
      </c>
      <c r="D183" s="1">
        <v>0</v>
      </c>
      <c r="E183" s="1">
        <v>0</v>
      </c>
    </row>
    <row r="184" spans="1:5">
      <c r="A184" s="1" t="str">
        <f>"093000920262"</f>
        <v>093000920262</v>
      </c>
      <c r="B184" s="1" t="str">
        <f>"黄吉云"</f>
        <v>黄吉云</v>
      </c>
      <c r="C184" s="1">
        <v>0</v>
      </c>
      <c r="D184" s="1">
        <v>0</v>
      </c>
      <c r="E184" s="1">
        <v>0</v>
      </c>
    </row>
    <row r="185" spans="1:5">
      <c r="A185" s="1" t="str">
        <f>"093000920260"</f>
        <v>093000920260</v>
      </c>
      <c r="B185" s="1" t="str">
        <f>"王天秀"</f>
        <v>王天秀</v>
      </c>
      <c r="C185" s="1">
        <v>0</v>
      </c>
      <c r="D185" s="1">
        <v>0</v>
      </c>
      <c r="E185" s="1">
        <v>0</v>
      </c>
    </row>
    <row r="186" spans="1:5">
      <c r="A186" s="1" t="str">
        <f>"093000920259"</f>
        <v>093000920259</v>
      </c>
      <c r="B186" s="1" t="str">
        <f>"胡秀丽"</f>
        <v>胡秀丽</v>
      </c>
      <c r="C186" s="1">
        <v>0</v>
      </c>
      <c r="D186" s="1">
        <v>0</v>
      </c>
      <c r="E186" s="1">
        <v>0</v>
      </c>
    </row>
    <row r="187" spans="1:5">
      <c r="A187" s="1" t="str">
        <f>"093000037920018"</f>
        <v>093000037920018</v>
      </c>
      <c r="B187" s="1" t="str">
        <f>"杨可欣"</f>
        <v>杨可欣</v>
      </c>
      <c r="C187" s="1">
        <v>0</v>
      </c>
      <c r="D187" s="1">
        <v>-109</v>
      </c>
      <c r="E187" s="1">
        <v>-3.29</v>
      </c>
    </row>
    <row r="188" spans="1:5">
      <c r="A188" s="1" t="str">
        <f>"093000037920019"</f>
        <v>093000037920019</v>
      </c>
      <c r="B188" s="1" t="str">
        <f>"李建永"</f>
        <v>李建永</v>
      </c>
      <c r="C188" s="1">
        <v>-46</v>
      </c>
      <c r="D188" s="1">
        <v>-523</v>
      </c>
      <c r="E188" s="1">
        <v>-1372.43</v>
      </c>
    </row>
    <row r="189" spans="1:5">
      <c r="A189" s="1" t="str">
        <f>"093000037920020"</f>
        <v>093000037920020</v>
      </c>
      <c r="B189" s="1" t="str">
        <f>"伍萍"</f>
        <v>伍萍</v>
      </c>
      <c r="C189" s="1">
        <v>-163</v>
      </c>
      <c r="D189" s="1">
        <v>-1113</v>
      </c>
      <c r="E189" s="1">
        <v>-3692.3</v>
      </c>
    </row>
    <row r="190" spans="1:5">
      <c r="A190" s="1" t="str">
        <f>"093000920263"</f>
        <v>093000920263</v>
      </c>
      <c r="B190" s="1" t="str">
        <f>"叶涛"</f>
        <v>叶涛</v>
      </c>
      <c r="C190" s="1">
        <v>0</v>
      </c>
      <c r="D190" s="1">
        <v>0</v>
      </c>
      <c r="E190" s="1">
        <v>0</v>
      </c>
    </row>
    <row r="191" spans="1:5">
      <c r="A191" s="1" t="str">
        <f>"093000920264"</f>
        <v>093000920264</v>
      </c>
      <c r="B191" s="1" t="str">
        <f>"牛彬"</f>
        <v>牛彬</v>
      </c>
      <c r="C191" s="1">
        <v>0</v>
      </c>
      <c r="D191" s="1">
        <v>0</v>
      </c>
      <c r="E191" s="1">
        <v>0</v>
      </c>
    </row>
    <row r="192" spans="1:5">
      <c r="A192" s="1" t="str">
        <f>"093000049920008"</f>
        <v>093000049920008</v>
      </c>
      <c r="B192" s="1" t="str">
        <f>"张夏梦"</f>
        <v>张夏梦</v>
      </c>
      <c r="C192" s="1">
        <v>0</v>
      </c>
      <c r="D192" s="1">
        <v>0</v>
      </c>
      <c r="E192" s="1">
        <v>0</v>
      </c>
    </row>
    <row r="193" spans="1:5">
      <c r="A193" s="1" t="str">
        <f>"093000920266"</f>
        <v>093000920266</v>
      </c>
      <c r="B193" s="1" t="str">
        <f>"朱玉卫"</f>
        <v>朱玉卫</v>
      </c>
      <c r="C193" s="1">
        <v>0</v>
      </c>
      <c r="D193" s="1">
        <v>0</v>
      </c>
      <c r="E193" s="1">
        <v>0</v>
      </c>
    </row>
    <row r="194" spans="1:5">
      <c r="A194" s="1" t="str">
        <f>"093000920265"</f>
        <v>093000920265</v>
      </c>
      <c r="B194" s="1" t="str">
        <f>"刘娜"</f>
        <v>刘娜</v>
      </c>
      <c r="C194" s="1">
        <v>-401</v>
      </c>
      <c r="D194" s="1">
        <v>-433</v>
      </c>
      <c r="E194" s="1">
        <v>-82.87</v>
      </c>
    </row>
    <row r="195" spans="1:5">
      <c r="A195" s="1" t="str">
        <f>"093000037920021"</f>
        <v>093000037920021</v>
      </c>
      <c r="B195" s="1" t="str">
        <f>"王贝贝"</f>
        <v>王贝贝</v>
      </c>
      <c r="C195" s="1">
        <v>0</v>
      </c>
      <c r="D195" s="1">
        <v>0</v>
      </c>
      <c r="E195" s="1">
        <v>0</v>
      </c>
    </row>
    <row r="196" spans="1:5">
      <c r="A196" s="1" t="str">
        <f>"093000920268"</f>
        <v>093000920268</v>
      </c>
      <c r="B196" s="1" t="str">
        <f>"张柱"</f>
        <v>张柱</v>
      </c>
      <c r="C196" s="1">
        <v>0</v>
      </c>
      <c r="D196" s="1">
        <v>0</v>
      </c>
      <c r="E196" s="1">
        <v>0</v>
      </c>
    </row>
    <row r="197" spans="1:5">
      <c r="A197" s="1" t="str">
        <f>"093000920270"</f>
        <v>093000920270</v>
      </c>
      <c r="B197" s="1" t="str">
        <f>"付中原"</f>
        <v>付中原</v>
      </c>
      <c r="C197" s="1">
        <v>0</v>
      </c>
      <c r="D197" s="1">
        <v>0</v>
      </c>
      <c r="E197" s="1">
        <v>0</v>
      </c>
    </row>
    <row r="198" spans="1:5">
      <c r="A198" s="1" t="str">
        <f>"0930000000100"</f>
        <v>0930000000100</v>
      </c>
      <c r="B198" s="1" t="str">
        <f>"张恩"</f>
        <v>张恩</v>
      </c>
      <c r="C198" s="1">
        <v>0</v>
      </c>
      <c r="D198" s="1">
        <v>0</v>
      </c>
      <c r="E198" s="1">
        <v>0</v>
      </c>
    </row>
    <row r="199" spans="1:5">
      <c r="A199" s="1" t="str">
        <f>"093000920274"</f>
        <v>093000920274</v>
      </c>
      <c r="B199" s="1" t="str">
        <f>"郜坡"</f>
        <v>郜坡</v>
      </c>
      <c r="C199" s="1">
        <v>0</v>
      </c>
      <c r="D199" s="1">
        <v>0</v>
      </c>
      <c r="E199" s="1">
        <v>0</v>
      </c>
    </row>
    <row r="200" spans="1:5">
      <c r="A200" s="1" t="str">
        <f>"093000920275"</f>
        <v>093000920275</v>
      </c>
      <c r="B200" s="1" t="str">
        <f>"毛培梅"</f>
        <v>毛培梅</v>
      </c>
      <c r="C200" s="1">
        <v>0</v>
      </c>
      <c r="D200" s="1">
        <v>0</v>
      </c>
      <c r="E200" s="1">
        <v>0</v>
      </c>
    </row>
    <row r="201" spans="1:5">
      <c r="A201" s="1" t="str">
        <f>"0930000413400"</f>
        <v>0930000413400</v>
      </c>
      <c r="B201" s="1" t="str">
        <f>"陈娟"</f>
        <v>陈娟</v>
      </c>
      <c r="C201" s="1">
        <v>0</v>
      </c>
      <c r="D201" s="1">
        <v>0</v>
      </c>
      <c r="E201" s="1">
        <v>0</v>
      </c>
    </row>
    <row r="202" spans="1:5">
      <c r="A202" s="1" t="str">
        <f>"093000920276"</f>
        <v>093000920276</v>
      </c>
      <c r="B202" s="1" t="str">
        <f>"王芳"</f>
        <v>王芳</v>
      </c>
      <c r="C202" s="1">
        <v>0</v>
      </c>
      <c r="D202" s="1">
        <v>0</v>
      </c>
      <c r="E202" s="1">
        <v>0</v>
      </c>
    </row>
    <row r="203" spans="1:5">
      <c r="A203" s="1" t="str">
        <f>"0930000400900"</f>
        <v>0930000400900</v>
      </c>
      <c r="B203" s="1" t="str">
        <f>"郭洁连"</f>
        <v>郭洁连</v>
      </c>
      <c r="C203" s="1">
        <v>0</v>
      </c>
      <c r="D203" s="1">
        <v>0</v>
      </c>
      <c r="E203" s="1">
        <v>0</v>
      </c>
    </row>
    <row r="204" spans="1:5">
      <c r="A204" s="1" t="str">
        <f>"0930000000200"</f>
        <v>0930000000200</v>
      </c>
      <c r="B204" s="1" t="str">
        <f>"李帅伟"</f>
        <v>李帅伟</v>
      </c>
      <c r="C204" s="1">
        <v>0</v>
      </c>
      <c r="D204" s="1">
        <v>0</v>
      </c>
      <c r="E204" s="1">
        <v>0</v>
      </c>
    </row>
    <row r="205" spans="1:5">
      <c r="A205" s="1" t="str">
        <f>"093000041920013"</f>
        <v>093000041920013</v>
      </c>
      <c r="B205" s="1" t="str">
        <f>"汤慧"</f>
        <v>汤慧</v>
      </c>
      <c r="C205" s="1">
        <v>0</v>
      </c>
      <c r="D205" s="1">
        <v>0</v>
      </c>
      <c r="E205" s="1">
        <v>0</v>
      </c>
    </row>
    <row r="206" spans="1:5">
      <c r="A206" s="1" t="str">
        <f>"093000920288"</f>
        <v>093000920288</v>
      </c>
      <c r="B206" s="1" t="str">
        <f>"刘辉"</f>
        <v>刘辉</v>
      </c>
      <c r="C206" s="1">
        <v>0</v>
      </c>
      <c r="D206" s="1">
        <v>0</v>
      </c>
      <c r="E206" s="1">
        <v>0</v>
      </c>
    </row>
    <row r="207" spans="1:5">
      <c r="A207" s="1" t="str">
        <f>"093000920287"</f>
        <v>093000920287</v>
      </c>
      <c r="B207" s="1" t="str">
        <f>"乔峰"</f>
        <v>乔峰</v>
      </c>
      <c r="C207" s="1">
        <v>0</v>
      </c>
      <c r="D207" s="1">
        <v>0</v>
      </c>
      <c r="E207" s="1">
        <v>0</v>
      </c>
    </row>
    <row r="208" spans="1:5">
      <c r="A208" s="1" t="str">
        <f>"093000920286"</f>
        <v>093000920286</v>
      </c>
      <c r="B208" s="1" t="str">
        <f>"孙月阳"</f>
        <v>孙月阳</v>
      </c>
      <c r="C208" s="1">
        <v>0</v>
      </c>
      <c r="D208" s="1">
        <v>0</v>
      </c>
      <c r="E208" s="1">
        <v>0</v>
      </c>
    </row>
    <row r="209" spans="1:5">
      <c r="A209" s="1" t="str">
        <f>"093000920284"</f>
        <v>093000920284</v>
      </c>
      <c r="B209" s="1" t="str">
        <f>"郭清义"</f>
        <v>郭清义</v>
      </c>
      <c r="C209" s="1">
        <v>0</v>
      </c>
      <c r="D209" s="1">
        <v>0</v>
      </c>
      <c r="E209" s="1">
        <v>0</v>
      </c>
    </row>
    <row r="210" spans="1:5">
      <c r="A210" s="1" t="str">
        <f>"093000920282"</f>
        <v>093000920282</v>
      </c>
      <c r="B210" s="1" t="str">
        <f>"户方方"</f>
        <v>户方方</v>
      </c>
      <c r="C210" s="1">
        <v>-774</v>
      </c>
      <c r="D210" s="1">
        <v>-641</v>
      </c>
      <c r="E210" s="1">
        <v>-364.73</v>
      </c>
    </row>
    <row r="211" spans="1:5">
      <c r="A211" s="1" t="str">
        <f>"093000920281"</f>
        <v>093000920281</v>
      </c>
      <c r="B211" s="1" t="str">
        <f>"全丽"</f>
        <v>全丽</v>
      </c>
      <c r="C211" s="1">
        <v>0</v>
      </c>
      <c r="D211" s="1">
        <v>0</v>
      </c>
      <c r="E211" s="1">
        <v>0</v>
      </c>
    </row>
    <row r="212" spans="1:5">
      <c r="A212" s="1" t="str">
        <f>"093000920280"</f>
        <v>093000920280</v>
      </c>
      <c r="B212" s="1" t="str">
        <f>"张全德"</f>
        <v>张全德</v>
      </c>
      <c r="C212" s="1">
        <v>0</v>
      </c>
      <c r="D212" s="1">
        <v>0</v>
      </c>
      <c r="E212" s="1">
        <v>0</v>
      </c>
    </row>
    <row r="213" spans="1:5">
      <c r="A213" s="1" t="str">
        <f>"093000920278"</f>
        <v>093000920278</v>
      </c>
      <c r="B213" s="1" t="str">
        <f>"岳林林"</f>
        <v>岳林林</v>
      </c>
      <c r="C213" s="1">
        <v>0</v>
      </c>
      <c r="D213" s="1">
        <v>0</v>
      </c>
      <c r="E213" s="1">
        <v>0</v>
      </c>
    </row>
    <row r="214" spans="1:5">
      <c r="A214" s="1" t="str">
        <f>"093000920294"</f>
        <v>093000920294</v>
      </c>
      <c r="B214" s="1" t="str">
        <f>"蒋祖盛"</f>
        <v>蒋祖盛</v>
      </c>
      <c r="C214" s="1">
        <v>0</v>
      </c>
      <c r="D214" s="1">
        <v>0</v>
      </c>
      <c r="E214" s="1">
        <v>0</v>
      </c>
    </row>
    <row r="215" spans="1:5">
      <c r="A215" s="1" t="str">
        <f>"093000920297"</f>
        <v>093000920297</v>
      </c>
      <c r="B215" s="1" t="str">
        <f>"侯冰"</f>
        <v>侯冰</v>
      </c>
      <c r="C215" s="1">
        <v>0</v>
      </c>
      <c r="D215" s="1">
        <v>-269</v>
      </c>
      <c r="E215" s="1">
        <v>-57.66</v>
      </c>
    </row>
    <row r="216" spans="1:5">
      <c r="A216" s="1" t="str">
        <f>"093000920299"</f>
        <v>093000920299</v>
      </c>
      <c r="B216" s="1" t="str">
        <f>"王磊"</f>
        <v>王磊</v>
      </c>
      <c r="C216" s="1">
        <v>-2389</v>
      </c>
      <c r="D216" s="1">
        <v>268</v>
      </c>
      <c r="E216" s="1">
        <v>-1746.27</v>
      </c>
    </row>
    <row r="217" spans="1:5">
      <c r="A217" s="1" t="str">
        <f>"093000920298"</f>
        <v>093000920298</v>
      </c>
      <c r="B217" s="1" t="str">
        <f>"王斌"</f>
        <v>王斌</v>
      </c>
      <c r="C217" s="1">
        <v>0</v>
      </c>
      <c r="D217" s="1">
        <v>0</v>
      </c>
      <c r="E217" s="1">
        <v>0</v>
      </c>
    </row>
    <row r="218" spans="1:5">
      <c r="A218" s="1" t="str">
        <f>"093000920302"</f>
        <v>093000920302</v>
      </c>
      <c r="B218" s="1" t="str">
        <f>"王群锋"</f>
        <v>王群锋</v>
      </c>
      <c r="C218" s="1">
        <v>0</v>
      </c>
      <c r="D218" s="1">
        <v>0</v>
      </c>
      <c r="E218" s="1">
        <v>0</v>
      </c>
    </row>
    <row r="219" spans="1:5">
      <c r="A219" s="1" t="str">
        <f>"093000920303"</f>
        <v>093000920303</v>
      </c>
      <c r="B219" s="1" t="str">
        <f>"欧阳勇平"</f>
        <v>欧阳勇平</v>
      </c>
      <c r="C219" s="1">
        <v>0</v>
      </c>
      <c r="D219" s="1">
        <v>-1385</v>
      </c>
      <c r="E219" s="1">
        <v>-384.67</v>
      </c>
    </row>
    <row r="220" spans="1:5">
      <c r="A220" s="1" t="str">
        <f>"093000037920022"</f>
        <v>093000037920022</v>
      </c>
      <c r="B220" s="1" t="str">
        <f>"孙海平"</f>
        <v>孙海平</v>
      </c>
      <c r="C220" s="1">
        <v>0</v>
      </c>
      <c r="D220" s="1">
        <v>0</v>
      </c>
      <c r="E220" s="1">
        <v>0</v>
      </c>
    </row>
    <row r="221" spans="1:5">
      <c r="A221" s="1" t="str">
        <f>"093000920304"</f>
        <v>093000920304</v>
      </c>
      <c r="B221" s="1" t="str">
        <f>"王玉丹"</f>
        <v>王玉丹</v>
      </c>
      <c r="C221" s="1">
        <v>0</v>
      </c>
      <c r="D221" s="1">
        <v>0</v>
      </c>
      <c r="E221" s="1">
        <v>0</v>
      </c>
    </row>
    <row r="222" spans="1:5">
      <c r="A222" s="1" t="str">
        <f>"093000920305"</f>
        <v>093000920305</v>
      </c>
      <c r="B222" s="1" t="str">
        <f>"赵亚茹"</f>
        <v>赵亚茹</v>
      </c>
      <c r="C222" s="1">
        <v>0</v>
      </c>
      <c r="D222" s="1">
        <v>266</v>
      </c>
      <c r="E222" s="1">
        <v>-179.04</v>
      </c>
    </row>
    <row r="223" spans="1:5">
      <c r="A223" s="1" t="str">
        <f>"093000920306"</f>
        <v>093000920306</v>
      </c>
      <c r="B223" s="1" t="str">
        <f>"全合平"</f>
        <v>全合平</v>
      </c>
      <c r="C223" s="1">
        <v>-791</v>
      </c>
      <c r="D223" s="1">
        <v>882</v>
      </c>
      <c r="E223" s="1">
        <v>-140.02</v>
      </c>
    </row>
    <row r="224" spans="1:5">
      <c r="A224" s="1" t="str">
        <f>"093000051920002"</f>
        <v>093000051920002</v>
      </c>
      <c r="B224" s="1" t="str">
        <f>"张腾飞"</f>
        <v>张腾飞</v>
      </c>
      <c r="C224" s="1">
        <v>0</v>
      </c>
      <c r="D224" s="1">
        <v>0</v>
      </c>
      <c r="E224" s="1">
        <v>0</v>
      </c>
    </row>
    <row r="225" spans="1:5">
      <c r="A225" s="1" t="str">
        <f>"093000920307"</f>
        <v>093000920307</v>
      </c>
      <c r="B225" s="1" t="str">
        <f>"陈丽芹"</f>
        <v>陈丽芹</v>
      </c>
      <c r="C225" s="1">
        <v>-11861</v>
      </c>
      <c r="D225" s="1">
        <v>5905</v>
      </c>
      <c r="E225" s="1">
        <v>-3455.32</v>
      </c>
    </row>
    <row r="226" spans="1:5">
      <c r="A226" s="1" t="str">
        <f>"093000920308"</f>
        <v>093000920308</v>
      </c>
      <c r="B226" s="1" t="str">
        <f>"陈振慧"</f>
        <v>陈振慧</v>
      </c>
      <c r="C226" s="1">
        <v>0</v>
      </c>
      <c r="D226" s="1">
        <v>0</v>
      </c>
      <c r="E226" s="1">
        <v>0</v>
      </c>
    </row>
    <row r="227" spans="1:5">
      <c r="A227" s="1" t="str">
        <f>"093000000000"</f>
        <v>093000000000</v>
      </c>
      <c r="B227" s="1" t="str">
        <f>"雪东东"</f>
        <v>雪东东</v>
      </c>
      <c r="C227" s="1">
        <v>0</v>
      </c>
      <c r="D227" s="1">
        <v>-639</v>
      </c>
      <c r="E227" s="1">
        <v>-57.32</v>
      </c>
    </row>
    <row r="228" spans="1:5">
      <c r="A228" s="1" t="str">
        <f>"093000037920023"</f>
        <v>093000037920023</v>
      </c>
      <c r="B228" s="1" t="str">
        <f>"于方方"</f>
        <v>于方方</v>
      </c>
      <c r="C228" s="1">
        <v>0</v>
      </c>
      <c r="D228" s="1">
        <v>0</v>
      </c>
      <c r="E228" s="1">
        <v>0</v>
      </c>
    </row>
    <row r="229" spans="1:5">
      <c r="A229" s="1" t="str">
        <f>"093000059920001"</f>
        <v>093000059920001</v>
      </c>
      <c r="B229" s="1" t="str">
        <f>"杨鹏"</f>
        <v>杨鹏</v>
      </c>
      <c r="C229" s="1">
        <v>0</v>
      </c>
      <c r="D229" s="1">
        <v>0</v>
      </c>
      <c r="E229" s="1">
        <v>0</v>
      </c>
    </row>
    <row r="230" spans="1:5">
      <c r="A230" s="1" t="str">
        <f>"093000920313"</f>
        <v>093000920313</v>
      </c>
      <c r="B230" s="1" t="str">
        <f>"杨慧"</f>
        <v>杨慧</v>
      </c>
      <c r="C230" s="1">
        <v>0</v>
      </c>
      <c r="D230" s="1">
        <v>0</v>
      </c>
      <c r="E230" s="1">
        <v>0</v>
      </c>
    </row>
    <row r="231" spans="1:5">
      <c r="A231" s="1" t="str">
        <f>"093000049920010"</f>
        <v>093000049920010</v>
      </c>
      <c r="B231" s="1" t="str">
        <f>"潘士林"</f>
        <v>潘士林</v>
      </c>
      <c r="C231" s="1">
        <v>0</v>
      </c>
      <c r="D231" s="1">
        <v>0</v>
      </c>
      <c r="E231" s="1">
        <v>0</v>
      </c>
    </row>
    <row r="232" spans="1:5">
      <c r="A232" s="1" t="str">
        <f>"093000049920011"</f>
        <v>093000049920011</v>
      </c>
      <c r="B232" s="1" t="str">
        <f>"夏有志"</f>
        <v>夏有志</v>
      </c>
      <c r="C232" s="1">
        <v>0</v>
      </c>
      <c r="D232" s="1">
        <v>273</v>
      </c>
      <c r="E232" s="1">
        <v>-184.27</v>
      </c>
    </row>
    <row r="233" spans="1:5">
      <c r="A233" s="1" t="str">
        <f>"093000920314"</f>
        <v>093000920314</v>
      </c>
      <c r="B233" s="1" t="str">
        <f>"赵玉玲"</f>
        <v>赵玉玲</v>
      </c>
      <c r="C233" s="1">
        <v>0</v>
      </c>
      <c r="D233" s="1">
        <v>0</v>
      </c>
      <c r="E233" s="1">
        <v>0</v>
      </c>
    </row>
    <row r="234" spans="1:5">
      <c r="A234" s="1" t="str">
        <f>"093000049920012"</f>
        <v>093000049920012</v>
      </c>
      <c r="B234" s="1" t="str">
        <f>"程世俊"</f>
        <v>程世俊</v>
      </c>
      <c r="C234" s="1">
        <v>0</v>
      </c>
      <c r="D234" s="1">
        <v>0</v>
      </c>
      <c r="E234" s="1">
        <v>0</v>
      </c>
    </row>
    <row r="235" spans="1:5">
      <c r="A235" s="1" t="str">
        <f>"093000049920013"</f>
        <v>093000049920013</v>
      </c>
      <c r="B235" s="1" t="str">
        <f>"蔡培育"</f>
        <v>蔡培育</v>
      </c>
      <c r="C235" s="1">
        <v>0</v>
      </c>
      <c r="D235" s="1">
        <v>0</v>
      </c>
      <c r="E235" s="1">
        <v>0</v>
      </c>
    </row>
    <row r="236" spans="1:5">
      <c r="A236" s="1" t="str">
        <f>"093000049920014"</f>
        <v>093000049920014</v>
      </c>
      <c r="B236" s="1" t="str">
        <f>"刘欢"</f>
        <v>刘欢</v>
      </c>
      <c r="C236" s="1">
        <v>0</v>
      </c>
      <c r="D236" s="1">
        <v>0</v>
      </c>
      <c r="E236" s="1">
        <v>0</v>
      </c>
    </row>
    <row r="237" spans="1:5">
      <c r="A237" s="1" t="str">
        <f>"0930000000001"</f>
        <v>0930000000001</v>
      </c>
      <c r="B237" s="1" t="str">
        <f>"吴钊铭"</f>
        <v>吴钊铭</v>
      </c>
      <c r="C237" s="1">
        <v>0</v>
      </c>
      <c r="D237" s="1">
        <v>0</v>
      </c>
      <c r="E237" s="1">
        <v>0</v>
      </c>
    </row>
    <row r="238" spans="1:5">
      <c r="A238" s="1" t="str">
        <f>"093000041920016"</f>
        <v>093000041920016</v>
      </c>
      <c r="B238" s="1" t="str">
        <f>"彭新玉"</f>
        <v>彭新玉</v>
      </c>
      <c r="C238" s="1">
        <v>0</v>
      </c>
      <c r="D238" s="1">
        <v>0</v>
      </c>
      <c r="E238" s="1">
        <v>0</v>
      </c>
    </row>
    <row r="239" spans="1:5">
      <c r="A239" s="1" t="str">
        <f>"093000920316"</f>
        <v>093000920316</v>
      </c>
      <c r="B239" s="1" t="str">
        <f>"董雪"</f>
        <v>董雪</v>
      </c>
      <c r="C239" s="1">
        <v>0</v>
      </c>
      <c r="D239" s="1">
        <v>0</v>
      </c>
      <c r="E239" s="1">
        <v>0</v>
      </c>
    </row>
    <row r="240" spans="1:5">
      <c r="A240" s="1" t="str">
        <f>"093000046920002"</f>
        <v>093000046920002</v>
      </c>
      <c r="B240" s="1" t="str">
        <f>"张雄"</f>
        <v>张雄</v>
      </c>
      <c r="C240" s="1">
        <v>0</v>
      </c>
      <c r="D240" s="1">
        <v>0</v>
      </c>
      <c r="E240" s="1">
        <v>0</v>
      </c>
    </row>
    <row r="241" spans="1:5">
      <c r="A241" s="1" t="str">
        <f>"093000048920001"</f>
        <v>093000048920001</v>
      </c>
      <c r="B241" s="1" t="str">
        <f>"贺耀"</f>
        <v>贺耀</v>
      </c>
      <c r="C241" s="1">
        <v>0</v>
      </c>
      <c r="D241" s="1">
        <v>0</v>
      </c>
      <c r="E241" s="1">
        <v>0</v>
      </c>
    </row>
    <row r="242" spans="1:5">
      <c r="A242" s="1" t="str">
        <f>"093000040920024"</f>
        <v>093000040920024</v>
      </c>
      <c r="B242" s="1" t="str">
        <f>"王盼娜"</f>
        <v>王盼娜</v>
      </c>
      <c r="C242" s="1">
        <v>0</v>
      </c>
      <c r="D242" s="1">
        <v>0</v>
      </c>
      <c r="E242" s="1">
        <v>0</v>
      </c>
    </row>
    <row r="243" spans="1:5">
      <c r="A243" s="1" t="str">
        <f>"093000049920015"</f>
        <v>093000049920015</v>
      </c>
      <c r="B243" s="1" t="str">
        <f>"耿恒鑫"</f>
        <v>耿恒鑫</v>
      </c>
      <c r="C243" s="1">
        <v>0</v>
      </c>
      <c r="D243" s="1">
        <v>0</v>
      </c>
      <c r="E243" s="1">
        <v>0</v>
      </c>
    </row>
    <row r="244" spans="1:5">
      <c r="A244" s="1" t="str">
        <f>"093000920319"</f>
        <v>093000920319</v>
      </c>
      <c r="B244" s="1" t="str">
        <f>"崔栋栋"</f>
        <v>崔栋栋</v>
      </c>
      <c r="C244" s="1">
        <v>0</v>
      </c>
      <c r="D244" s="1">
        <v>9</v>
      </c>
      <c r="E244" s="1">
        <v>-7.03</v>
      </c>
    </row>
    <row r="245" spans="1:5">
      <c r="A245" s="1" t="str">
        <f>"0930000000002"</f>
        <v>0930000000002</v>
      </c>
      <c r="B245" s="1" t="str">
        <f>"邓连顺"</f>
        <v>邓连顺</v>
      </c>
      <c r="C245" s="1">
        <v>0</v>
      </c>
      <c r="D245" s="1">
        <v>0</v>
      </c>
      <c r="E245" s="1">
        <v>0</v>
      </c>
    </row>
    <row r="246" spans="1:5">
      <c r="A246" s="1" t="str">
        <f>"093000920321"</f>
        <v>093000920321</v>
      </c>
      <c r="B246" s="1" t="str">
        <f>"牛阳"</f>
        <v>牛阳</v>
      </c>
      <c r="C246" s="1">
        <v>0</v>
      </c>
      <c r="D246" s="1">
        <v>0</v>
      </c>
      <c r="E246" s="1">
        <v>0</v>
      </c>
    </row>
    <row r="247" spans="1:5">
      <c r="A247" s="1" t="str">
        <f>"0930000000003"</f>
        <v>0930000000003</v>
      </c>
      <c r="B247" s="1" t="str">
        <f>"李松芳"</f>
        <v>李松芳</v>
      </c>
      <c r="C247" s="1">
        <v>0</v>
      </c>
      <c r="D247" s="1">
        <v>0</v>
      </c>
      <c r="E247" s="1">
        <v>0</v>
      </c>
    </row>
    <row r="248" spans="1:5">
      <c r="A248" s="1" t="str">
        <f>"0930000000004"</f>
        <v>0930000000004</v>
      </c>
      <c r="B248" s="1" t="str">
        <f>"郭洪材"</f>
        <v>郭洪材</v>
      </c>
      <c r="C248" s="1">
        <v>0</v>
      </c>
      <c r="D248" s="1">
        <v>-1020</v>
      </c>
      <c r="E248" s="1">
        <v>-82.61</v>
      </c>
    </row>
    <row r="249" spans="1:5">
      <c r="A249" s="1" t="str">
        <f>"0930000000005"</f>
        <v>0930000000005</v>
      </c>
      <c r="B249" s="1" t="str">
        <f>"赵培龙"</f>
        <v>赵培龙</v>
      </c>
      <c r="C249" s="1">
        <v>0</v>
      </c>
      <c r="D249" s="1">
        <v>0</v>
      </c>
      <c r="E249" s="1">
        <v>0</v>
      </c>
    </row>
    <row r="250" spans="1:5">
      <c r="A250" s="1" t="str">
        <f>"0930000000006"</f>
        <v>0930000000006</v>
      </c>
      <c r="B250" s="1" t="str">
        <f>"魏立国"</f>
        <v>魏立国</v>
      </c>
      <c r="C250" s="1">
        <v>0</v>
      </c>
      <c r="D250" s="1">
        <v>0</v>
      </c>
      <c r="E250" s="1">
        <v>0</v>
      </c>
    </row>
    <row r="251" spans="1:5">
      <c r="A251" s="1" t="str">
        <f>"093000059920002"</f>
        <v>093000059920002</v>
      </c>
      <c r="B251" s="1" t="str">
        <f>"冯彬"</f>
        <v>冯彬</v>
      </c>
      <c r="C251" s="1">
        <v>0</v>
      </c>
      <c r="D251" s="1">
        <v>0</v>
      </c>
      <c r="E251" s="1">
        <v>0</v>
      </c>
    </row>
    <row r="252" spans="1:5">
      <c r="A252" s="1" t="str">
        <f>"093000920322"</f>
        <v>093000920322</v>
      </c>
      <c r="B252" s="1" t="str">
        <f>"朱祥中"</f>
        <v>朱祥中</v>
      </c>
      <c r="C252" s="1">
        <v>0</v>
      </c>
      <c r="D252" s="1">
        <v>0</v>
      </c>
      <c r="E252" s="1">
        <v>0</v>
      </c>
    </row>
    <row r="253" spans="1:5">
      <c r="A253" s="1" t="str">
        <f>"093000920323"</f>
        <v>093000920323</v>
      </c>
      <c r="B253" s="1" t="str">
        <f>"董方芳"</f>
        <v>董方芳</v>
      </c>
      <c r="C253" s="1">
        <v>0</v>
      </c>
      <c r="D253" s="1">
        <v>-211</v>
      </c>
      <c r="E253" s="1">
        <v>-19.5</v>
      </c>
    </row>
    <row r="254" spans="1:5">
      <c r="A254" s="1" t="str">
        <f>"093000920324"</f>
        <v>093000920324</v>
      </c>
      <c r="B254" s="1" t="str">
        <f>"袁媛"</f>
        <v>袁媛</v>
      </c>
      <c r="C254" s="1">
        <v>0</v>
      </c>
      <c r="D254" s="1">
        <v>0</v>
      </c>
      <c r="E254" s="1">
        <v>0</v>
      </c>
    </row>
    <row r="255" spans="1:5">
      <c r="A255" s="1" t="str">
        <f>"093000041920017"</f>
        <v>093000041920017</v>
      </c>
      <c r="B255" s="1" t="str">
        <f>"曾孝正"</f>
        <v>曾孝正</v>
      </c>
      <c r="C255" s="1">
        <v>0</v>
      </c>
      <c r="D255" s="1">
        <v>0</v>
      </c>
      <c r="E255" s="1">
        <v>0</v>
      </c>
    </row>
    <row r="256" spans="1:5">
      <c r="A256" s="1" t="str">
        <f>"093000056920002"</f>
        <v>093000056920002</v>
      </c>
      <c r="B256" s="1" t="str">
        <f>"王淑娟"</f>
        <v>王淑娟</v>
      </c>
      <c r="C256" s="1">
        <v>-5457</v>
      </c>
      <c r="D256" s="1">
        <v>2957</v>
      </c>
      <c r="E256" s="1">
        <v>-1983.7</v>
      </c>
    </row>
    <row r="257" spans="1:5">
      <c r="A257" s="1" t="str">
        <f>"093000049920016"</f>
        <v>093000049920016</v>
      </c>
      <c r="B257" s="1" t="str">
        <f>"刘新果"</f>
        <v>刘新果</v>
      </c>
      <c r="C257" s="1">
        <v>0</v>
      </c>
      <c r="D257" s="1">
        <v>0</v>
      </c>
      <c r="E257" s="1">
        <v>0</v>
      </c>
    </row>
    <row r="258" spans="1:5">
      <c r="A258" s="1" t="str">
        <f>"093000920326"</f>
        <v>093000920326</v>
      </c>
      <c r="B258" s="1" t="str">
        <f>"杜珂"</f>
        <v>杜珂</v>
      </c>
      <c r="C258" s="1">
        <v>0</v>
      </c>
      <c r="D258" s="1">
        <v>0</v>
      </c>
      <c r="E258" s="1">
        <v>0</v>
      </c>
    </row>
    <row r="259" spans="1:5">
      <c r="A259" s="1" t="str">
        <f>"093000920327"</f>
        <v>093000920327</v>
      </c>
      <c r="B259" s="1" t="str">
        <f>"王丹玉"</f>
        <v>王丹玉</v>
      </c>
      <c r="C259" s="1">
        <v>0</v>
      </c>
      <c r="D259" s="1">
        <v>0</v>
      </c>
      <c r="E259" s="1">
        <v>0</v>
      </c>
    </row>
    <row r="260" spans="1:5">
      <c r="A260" s="1" t="str">
        <f>"0930000000007"</f>
        <v>0930000000007</v>
      </c>
      <c r="B260" s="1" t="str">
        <f>"黄建华"</f>
        <v>黄建华</v>
      </c>
      <c r="C260" s="1">
        <v>0</v>
      </c>
      <c r="D260" s="1">
        <v>0</v>
      </c>
      <c r="E260" s="1">
        <v>0</v>
      </c>
    </row>
    <row r="261" spans="1:5">
      <c r="A261" s="1" t="str">
        <f>"0930000000008"</f>
        <v>0930000000008</v>
      </c>
      <c r="B261" s="1" t="str">
        <f>"邓菊花"</f>
        <v>邓菊花</v>
      </c>
      <c r="C261" s="1">
        <v>0</v>
      </c>
      <c r="D261" s="1">
        <v>0</v>
      </c>
      <c r="E261" s="1">
        <v>0</v>
      </c>
    </row>
    <row r="262" spans="1:5">
      <c r="A262" s="1" t="str">
        <f>"0930000000009"</f>
        <v>0930000000009</v>
      </c>
      <c r="B262" s="1" t="str">
        <f>"王桂霞"</f>
        <v>王桂霞</v>
      </c>
      <c r="C262" s="1">
        <v>0</v>
      </c>
      <c r="D262" s="1">
        <v>0</v>
      </c>
      <c r="E262" s="1">
        <v>0</v>
      </c>
    </row>
    <row r="263" spans="1:5">
      <c r="A263" s="1" t="str">
        <f>"093000049920020"</f>
        <v>093000049920020</v>
      </c>
      <c r="B263" s="1" t="str">
        <f>"禹业玲"</f>
        <v>禹业玲</v>
      </c>
      <c r="C263" s="1">
        <v>0</v>
      </c>
      <c r="D263" s="1">
        <v>0</v>
      </c>
      <c r="E263" s="1">
        <v>0</v>
      </c>
    </row>
    <row r="264" spans="1:5">
      <c r="A264" s="1" t="str">
        <f>"093000043920002"</f>
        <v>093000043920002</v>
      </c>
      <c r="B264" s="1" t="str">
        <f>"宋选杰"</f>
        <v>宋选杰</v>
      </c>
      <c r="C264" s="1">
        <v>0</v>
      </c>
      <c r="D264" s="1">
        <v>-1372</v>
      </c>
      <c r="E264" s="1">
        <v>-620.39</v>
      </c>
    </row>
    <row r="265" spans="1:5">
      <c r="A265" s="1" t="str">
        <f>"093000043920003"</f>
        <v>093000043920003</v>
      </c>
      <c r="B265" s="1" t="str">
        <f>"叶晶晶"</f>
        <v>叶晶晶</v>
      </c>
      <c r="C265" s="1">
        <v>-399</v>
      </c>
      <c r="D265" s="1">
        <v>-579</v>
      </c>
      <c r="E265" s="1">
        <v>-396.33</v>
      </c>
    </row>
    <row r="266" spans="1:5">
      <c r="A266" s="1" t="str">
        <f>"093000040920028"</f>
        <v>093000040920028</v>
      </c>
      <c r="B266" s="1" t="str">
        <f>"林柏全"</f>
        <v>林柏全</v>
      </c>
      <c r="C266" s="1">
        <v>0</v>
      </c>
      <c r="D266" s="1">
        <v>-1098</v>
      </c>
      <c r="E266" s="1">
        <v>-104.77</v>
      </c>
    </row>
    <row r="267" spans="1:5">
      <c r="A267" s="1" t="str">
        <f>"093000064920002"</f>
        <v>093000064920002</v>
      </c>
      <c r="B267" s="1" t="str">
        <f>"赵玉阳"</f>
        <v>赵玉阳</v>
      </c>
      <c r="C267" s="1">
        <v>0</v>
      </c>
      <c r="D267" s="1">
        <v>0</v>
      </c>
      <c r="E267" s="1">
        <v>0</v>
      </c>
    </row>
    <row r="268" spans="1:5">
      <c r="A268" s="1" t="str">
        <f>"0930000000010"</f>
        <v>0930000000010</v>
      </c>
      <c r="B268" s="1" t="str">
        <f>"靳成俊"</f>
        <v>靳成俊</v>
      </c>
      <c r="C268" s="1">
        <v>0</v>
      </c>
      <c r="D268" s="1">
        <v>0</v>
      </c>
      <c r="E268" s="1">
        <v>0</v>
      </c>
    </row>
    <row r="269" spans="1:5">
      <c r="A269" s="1" t="str">
        <f>"0930000000011"</f>
        <v>0930000000011</v>
      </c>
      <c r="B269" s="1" t="str">
        <f>"李玉奇"</f>
        <v>李玉奇</v>
      </c>
      <c r="C269" s="1">
        <v>0</v>
      </c>
      <c r="D269" s="1">
        <v>0</v>
      </c>
      <c r="E269" s="1">
        <v>0</v>
      </c>
    </row>
    <row r="270" spans="1:5">
      <c r="A270" s="1" t="str">
        <f>"093000064920003"</f>
        <v>093000064920003</v>
      </c>
      <c r="B270" s="1" t="str">
        <f>"李金平"</f>
        <v>李金平</v>
      </c>
      <c r="C270" s="1">
        <v>0</v>
      </c>
      <c r="D270" s="1">
        <v>0</v>
      </c>
      <c r="E270" s="1">
        <v>0</v>
      </c>
    </row>
    <row r="271" spans="1:5">
      <c r="A271" s="1" t="str">
        <f>"0930000000012"</f>
        <v>0930000000012</v>
      </c>
      <c r="B271" s="1" t="str">
        <f>"陆敏德"</f>
        <v>陆敏德</v>
      </c>
      <c r="C271" s="1">
        <v>0</v>
      </c>
      <c r="D271" s="1">
        <v>0</v>
      </c>
      <c r="E271" s="1">
        <v>0</v>
      </c>
    </row>
    <row r="272" spans="1:5">
      <c r="A272" s="1" t="str">
        <f>"093000064920004"</f>
        <v>093000064920004</v>
      </c>
      <c r="B272" s="1" t="str">
        <f>"张国云"</f>
        <v>张国云</v>
      </c>
      <c r="C272" s="1">
        <v>0</v>
      </c>
      <c r="D272" s="1">
        <v>0</v>
      </c>
      <c r="E272" s="1">
        <v>0</v>
      </c>
    </row>
    <row r="273" spans="1:5">
      <c r="A273" s="1" t="str">
        <f>"093000920333"</f>
        <v>093000920333</v>
      </c>
      <c r="B273" s="1" t="str">
        <f>"安卫华"</f>
        <v>安卫华</v>
      </c>
      <c r="C273" s="1">
        <v>0</v>
      </c>
      <c r="D273" s="1">
        <v>0</v>
      </c>
      <c r="E273" s="1">
        <v>0</v>
      </c>
    </row>
    <row r="274" spans="1:5">
      <c r="A274" s="1" t="str">
        <f>"093000920334"</f>
        <v>093000920334</v>
      </c>
      <c r="B274" s="1" t="str">
        <f>"张营"</f>
        <v>张营</v>
      </c>
      <c r="C274" s="1">
        <v>0</v>
      </c>
      <c r="D274" s="1">
        <v>-259</v>
      </c>
      <c r="E274" s="1">
        <v>-107.22</v>
      </c>
    </row>
    <row r="275" spans="1:5">
      <c r="A275" s="1" t="str">
        <f>"0930000000013"</f>
        <v>0930000000013</v>
      </c>
      <c r="B275" s="1" t="str">
        <f>"黄彩云"</f>
        <v>黄彩云</v>
      </c>
      <c r="C275" s="1">
        <v>0</v>
      </c>
      <c r="D275" s="1">
        <v>0</v>
      </c>
      <c r="E275" s="1">
        <v>0</v>
      </c>
    </row>
    <row r="276" spans="1:5">
      <c r="A276" s="1" t="str">
        <f>"093000064920005"</f>
        <v>093000064920005</v>
      </c>
      <c r="B276" s="1" t="str">
        <f>"魏贝贝"</f>
        <v>魏贝贝</v>
      </c>
      <c r="C276" s="1">
        <v>0</v>
      </c>
      <c r="D276" s="1">
        <v>0</v>
      </c>
      <c r="E276" s="1">
        <v>0</v>
      </c>
    </row>
    <row r="277" spans="1:5">
      <c r="A277" s="1" t="str">
        <f>"0930000000014"</f>
        <v>0930000000014</v>
      </c>
      <c r="B277" s="1" t="str">
        <f>"申团"</f>
        <v>申团</v>
      </c>
      <c r="C277" s="1">
        <v>0</v>
      </c>
      <c r="D277" s="1">
        <v>0</v>
      </c>
      <c r="E277" s="1">
        <v>0</v>
      </c>
    </row>
    <row r="278" spans="1:5">
      <c r="A278" s="1" t="str">
        <f>"093000064920006"</f>
        <v>093000064920006</v>
      </c>
      <c r="B278" s="1" t="str">
        <f>"李俊玲"</f>
        <v>李俊玲</v>
      </c>
      <c r="C278" s="1">
        <v>0</v>
      </c>
      <c r="D278" s="1">
        <v>0</v>
      </c>
      <c r="E278" s="1">
        <v>0</v>
      </c>
    </row>
    <row r="279" spans="1:5">
      <c r="A279" s="1" t="str">
        <f>"093000920335"</f>
        <v>093000920335</v>
      </c>
      <c r="B279" s="1" t="str">
        <f>"苏安峰"</f>
        <v>苏安峰</v>
      </c>
      <c r="C279" s="1">
        <v>-1295</v>
      </c>
      <c r="D279" s="1">
        <v>-2882</v>
      </c>
      <c r="E279" s="1">
        <v>-3464.8</v>
      </c>
    </row>
    <row r="280" spans="1:5">
      <c r="A280" s="1" t="str">
        <f>"093000064920007"</f>
        <v>093000064920007</v>
      </c>
      <c r="B280" s="1" t="str">
        <f>"朱西措"</f>
        <v>朱西措</v>
      </c>
      <c r="C280" s="1">
        <v>-138</v>
      </c>
      <c r="D280" s="1">
        <v>-1312</v>
      </c>
      <c r="E280" s="1">
        <v>-558.47</v>
      </c>
    </row>
    <row r="281" spans="1:5">
      <c r="A281" s="1" t="str">
        <f>"093000037920024"</f>
        <v>093000037920024</v>
      </c>
      <c r="B281" s="1" t="str">
        <f>"张永立"</f>
        <v>张永立</v>
      </c>
      <c r="C281" s="1">
        <v>-79</v>
      </c>
      <c r="D281" s="1">
        <v>138</v>
      </c>
      <c r="E281" s="1">
        <v>-48.37</v>
      </c>
    </row>
    <row r="282" spans="1:5">
      <c r="A282" s="1" t="str">
        <f>"093000920336"</f>
        <v>093000920336</v>
      </c>
      <c r="B282" s="1" t="str">
        <f>"孔庚"</f>
        <v>孔庚</v>
      </c>
      <c r="C282" s="1">
        <v>0</v>
      </c>
      <c r="D282" s="1">
        <v>0</v>
      </c>
      <c r="E282" s="1">
        <v>0</v>
      </c>
    </row>
    <row r="283" spans="1:5">
      <c r="A283" s="1" t="str">
        <f>"0930000513900"</f>
        <v>0930000513900</v>
      </c>
      <c r="B283" s="1" t="str">
        <f>"李学周 "</f>
        <v>李学周 </v>
      </c>
      <c r="C283" s="1">
        <v>0</v>
      </c>
      <c r="D283" s="1">
        <v>0</v>
      </c>
      <c r="E283" s="1">
        <v>0</v>
      </c>
    </row>
    <row r="284" spans="1:5">
      <c r="A284" s="1" t="str">
        <f>"093000037920025"</f>
        <v>093000037920025</v>
      </c>
      <c r="B284" s="1" t="str">
        <f>"张秋生"</f>
        <v>张秋生</v>
      </c>
      <c r="C284" s="1">
        <v>0</v>
      </c>
      <c r="D284" s="1">
        <v>0</v>
      </c>
      <c r="E284" s="1">
        <v>0</v>
      </c>
    </row>
    <row r="285" spans="1:5">
      <c r="A285" s="1" t="str">
        <f>"093000059920003"</f>
        <v>093000059920003</v>
      </c>
      <c r="B285" s="1" t="str">
        <f>"吴明明"</f>
        <v>吴明明</v>
      </c>
      <c r="C285" s="1">
        <v>0</v>
      </c>
      <c r="D285" s="1">
        <v>-202</v>
      </c>
      <c r="E285" s="1">
        <v>-638.16</v>
      </c>
    </row>
    <row r="286" spans="1:5">
      <c r="A286" s="1" t="str">
        <f>"093000040920031"</f>
        <v>093000040920031</v>
      </c>
      <c r="B286" s="1" t="str">
        <f>"李静静"</f>
        <v>李静静</v>
      </c>
      <c r="C286" s="1">
        <v>0</v>
      </c>
      <c r="D286" s="1">
        <v>0</v>
      </c>
      <c r="E286" s="1">
        <v>0</v>
      </c>
    </row>
    <row r="287" spans="1:5">
      <c r="A287" s="1" t="str">
        <f>"0930000513901"</f>
        <v>0930000513901</v>
      </c>
      <c r="B287" s="1" t="str">
        <f>"司艳光"</f>
        <v>司艳光</v>
      </c>
      <c r="C287" s="1">
        <v>0</v>
      </c>
      <c r="D287" s="1">
        <v>0</v>
      </c>
      <c r="E287" s="1">
        <v>0</v>
      </c>
    </row>
    <row r="288" spans="1:5">
      <c r="A288" s="1" t="str">
        <f>"0930000000015"</f>
        <v>0930000000015</v>
      </c>
      <c r="B288" s="1" t="str">
        <f>"姚海洋"</f>
        <v>姚海洋</v>
      </c>
      <c r="C288" s="1">
        <v>-170</v>
      </c>
      <c r="D288" s="1">
        <v>-488</v>
      </c>
      <c r="E288" s="1">
        <v>-311.51</v>
      </c>
    </row>
    <row r="289" spans="1:5">
      <c r="A289" s="1" t="str">
        <f>"093000920337"</f>
        <v>093000920337</v>
      </c>
      <c r="B289" s="1" t="str">
        <f>"尹增超"</f>
        <v>尹增超</v>
      </c>
      <c r="C289" s="1">
        <v>0</v>
      </c>
      <c r="D289" s="1">
        <v>0</v>
      </c>
      <c r="E289" s="1">
        <v>0</v>
      </c>
    </row>
    <row r="290" spans="1:5">
      <c r="A290" s="1" t="str">
        <f>"0930000000016"</f>
        <v>0930000000016</v>
      </c>
      <c r="B290" s="1" t="str">
        <f>"张智鹏"</f>
        <v>张智鹏</v>
      </c>
      <c r="C290" s="1">
        <v>0</v>
      </c>
      <c r="D290" s="1">
        <v>0</v>
      </c>
      <c r="E290" s="1">
        <v>0</v>
      </c>
    </row>
    <row r="291" spans="1:5">
      <c r="A291" s="1" t="str">
        <f>"093000920339"</f>
        <v>093000920339</v>
      </c>
      <c r="B291" s="1" t="str">
        <f>"周进"</f>
        <v>周进</v>
      </c>
      <c r="C291" s="1">
        <v>0</v>
      </c>
      <c r="D291" s="1">
        <v>0</v>
      </c>
      <c r="E291" s="1">
        <v>0</v>
      </c>
    </row>
    <row r="292" spans="1:5">
      <c r="A292" s="1" t="str">
        <f>"093000049920021"</f>
        <v>093000049920021</v>
      </c>
      <c r="B292" s="1" t="str">
        <f>"周凡博"</f>
        <v>周凡博</v>
      </c>
      <c r="C292" s="1">
        <v>0</v>
      </c>
      <c r="D292" s="1">
        <v>0</v>
      </c>
      <c r="E292" s="1">
        <v>0</v>
      </c>
    </row>
    <row r="293" spans="1:5">
      <c r="A293" s="1" t="str">
        <f>"093000920342"</f>
        <v>093000920342</v>
      </c>
      <c r="B293" s="1" t="str">
        <f>"郭娜"</f>
        <v>郭娜</v>
      </c>
      <c r="C293" s="1">
        <v>0</v>
      </c>
      <c r="D293" s="1">
        <v>0</v>
      </c>
      <c r="E293" s="1">
        <v>0</v>
      </c>
    </row>
    <row r="294" spans="1:5">
      <c r="A294" s="1" t="str">
        <f>"0930000000017"</f>
        <v>0930000000017</v>
      </c>
      <c r="B294" s="1" t="str">
        <f>"覃敏佳"</f>
        <v>覃敏佳</v>
      </c>
      <c r="C294" s="1">
        <v>0</v>
      </c>
      <c r="D294" s="1">
        <v>0</v>
      </c>
      <c r="E294" s="1">
        <v>0</v>
      </c>
    </row>
    <row r="295" spans="1:5">
      <c r="A295" s="1" t="str">
        <f>"0930000000018"</f>
        <v>0930000000018</v>
      </c>
      <c r="B295" s="1" t="str">
        <f>"许欢世"</f>
        <v>许欢世</v>
      </c>
      <c r="C295" s="1">
        <v>0</v>
      </c>
      <c r="D295" s="1">
        <v>-910</v>
      </c>
      <c r="E295" s="1">
        <v>-147.87</v>
      </c>
    </row>
    <row r="296" spans="1:5">
      <c r="A296" s="1" t="str">
        <f>"093000037920026"</f>
        <v>093000037920026</v>
      </c>
      <c r="B296" s="1" t="str">
        <f>"杨德霞"</f>
        <v>杨德霞</v>
      </c>
      <c r="C296" s="1">
        <v>0</v>
      </c>
      <c r="D296" s="1">
        <v>0</v>
      </c>
      <c r="E296" s="1">
        <v>0</v>
      </c>
    </row>
    <row r="297" spans="1:5">
      <c r="A297" s="1" t="str">
        <f>"0930000000019"</f>
        <v>0930000000019</v>
      </c>
      <c r="B297" s="1" t="str">
        <f>"刘少敏"</f>
        <v>刘少敏</v>
      </c>
      <c r="C297" s="1">
        <v>-400</v>
      </c>
      <c r="D297" s="1">
        <v>-700</v>
      </c>
      <c r="E297" s="1">
        <v>-77.26</v>
      </c>
    </row>
    <row r="298" spans="1:5">
      <c r="A298" s="1" t="str">
        <f>"093000064920009"</f>
        <v>093000064920009</v>
      </c>
      <c r="B298" s="1" t="str">
        <f>"岳玉青"</f>
        <v>岳玉青</v>
      </c>
      <c r="C298" s="1">
        <v>0</v>
      </c>
      <c r="D298" s="1">
        <v>0</v>
      </c>
      <c r="E298" s="1">
        <v>0</v>
      </c>
    </row>
    <row r="299" spans="1:5">
      <c r="A299" s="1" t="str">
        <f>"093000920349"</f>
        <v>093000920349</v>
      </c>
      <c r="B299" s="1" t="str">
        <f>"张晓会"</f>
        <v>张晓会</v>
      </c>
      <c r="C299" s="1">
        <v>-536</v>
      </c>
      <c r="D299" s="1">
        <v>106</v>
      </c>
      <c r="E299" s="1">
        <v>-318.23</v>
      </c>
    </row>
    <row r="300" spans="1:5">
      <c r="A300" s="1" t="str">
        <f>"093000037920027"</f>
        <v>093000037920027</v>
      </c>
      <c r="B300" s="1" t="str">
        <f>"王宁昌"</f>
        <v>王宁昌</v>
      </c>
      <c r="C300" s="1">
        <v>-356</v>
      </c>
      <c r="D300" s="1">
        <v>-386</v>
      </c>
      <c r="E300" s="1">
        <v>-104.43</v>
      </c>
    </row>
    <row r="301" spans="1:5">
      <c r="A301" s="1" t="str">
        <f>"093000043920004"</f>
        <v>093000043920004</v>
      </c>
      <c r="B301" s="1" t="str">
        <f>"张啸冲"</f>
        <v>张啸冲</v>
      </c>
      <c r="C301" s="1">
        <v>0</v>
      </c>
      <c r="D301" s="1">
        <v>0</v>
      </c>
      <c r="E301" s="1">
        <v>0</v>
      </c>
    </row>
    <row r="302" spans="1:5">
      <c r="A302" s="1" t="str">
        <f>"093000920350"</f>
        <v>093000920350</v>
      </c>
      <c r="B302" s="1" t="str">
        <f>"杨方"</f>
        <v>杨方</v>
      </c>
      <c r="C302" s="1">
        <v>0</v>
      </c>
      <c r="D302" s="1">
        <v>0</v>
      </c>
      <c r="E302" s="1">
        <v>0</v>
      </c>
    </row>
    <row r="303" spans="1:5">
      <c r="A303" s="1" t="str">
        <f>"093000920352"</f>
        <v>093000920352</v>
      </c>
      <c r="B303" s="1" t="str">
        <f>"张玉国"</f>
        <v>张玉国</v>
      </c>
      <c r="C303" s="1">
        <v>-3152</v>
      </c>
      <c r="D303" s="1">
        <v>2434</v>
      </c>
      <c r="E303" s="1">
        <v>-3319.93</v>
      </c>
    </row>
    <row r="304" spans="1:5">
      <c r="A304" s="1" t="str">
        <f>"093000920351"</f>
        <v>093000920351</v>
      </c>
      <c r="B304" s="1" t="str">
        <f>"张彦丽"</f>
        <v>张彦丽</v>
      </c>
      <c r="C304" s="1">
        <v>0</v>
      </c>
      <c r="D304" s="1">
        <v>-2169</v>
      </c>
      <c r="E304" s="1">
        <v>-415.81</v>
      </c>
    </row>
    <row r="305" spans="1:5">
      <c r="A305" s="1" t="str">
        <f>"093000920353"</f>
        <v>093000920353</v>
      </c>
      <c r="B305" s="1" t="str">
        <f>"黄金成"</f>
        <v>黄金成</v>
      </c>
      <c r="C305" s="1">
        <v>0</v>
      </c>
      <c r="D305" s="1">
        <v>0</v>
      </c>
      <c r="E305" s="1">
        <v>0</v>
      </c>
    </row>
    <row r="306" spans="1:5">
      <c r="A306" s="1" t="str">
        <f>"093000040920033"</f>
        <v>093000040920033</v>
      </c>
      <c r="B306" s="1" t="str">
        <f>"刘翠昌"</f>
        <v>刘翠昌</v>
      </c>
      <c r="C306" s="1">
        <v>-83</v>
      </c>
      <c r="D306" s="1">
        <v>1432</v>
      </c>
      <c r="E306" s="1">
        <v>-1230.58</v>
      </c>
    </row>
    <row r="307" spans="1:5">
      <c r="A307" s="1" t="str">
        <f>"093000049920025"</f>
        <v>093000049920025</v>
      </c>
      <c r="B307" s="1" t="str">
        <f>"马秀梅"</f>
        <v>马秀梅</v>
      </c>
      <c r="C307" s="1">
        <v>0</v>
      </c>
      <c r="D307" s="1">
        <v>760</v>
      </c>
      <c r="E307" s="1">
        <v>-81.41</v>
      </c>
    </row>
    <row r="308" spans="1:5">
      <c r="A308" s="1" t="str">
        <f>"093000037920029"</f>
        <v>093000037920029</v>
      </c>
      <c r="B308" s="1" t="str">
        <f>"李传涛"</f>
        <v>李传涛</v>
      </c>
      <c r="C308" s="1">
        <v>0</v>
      </c>
      <c r="D308" s="1">
        <v>0</v>
      </c>
      <c r="E308" s="1">
        <v>0</v>
      </c>
    </row>
    <row r="309" spans="1:5">
      <c r="A309" s="1" t="str">
        <f>"093000037920028"</f>
        <v>093000037920028</v>
      </c>
      <c r="B309" s="1" t="str">
        <f>"杨文明"</f>
        <v>杨文明</v>
      </c>
      <c r="C309" s="1">
        <v>0</v>
      </c>
      <c r="D309" s="1">
        <v>0</v>
      </c>
      <c r="E309" s="1">
        <v>0</v>
      </c>
    </row>
    <row r="310" spans="1:5">
      <c r="A310" s="1" t="str">
        <f>"093000049920026"</f>
        <v>093000049920026</v>
      </c>
      <c r="B310" s="1" t="str">
        <f>"杨玉焕"</f>
        <v>杨玉焕</v>
      </c>
      <c r="C310" s="1">
        <v>0</v>
      </c>
      <c r="D310" s="1">
        <v>0</v>
      </c>
      <c r="E310" s="1">
        <v>0</v>
      </c>
    </row>
    <row r="311" spans="1:5">
      <c r="A311" s="1" t="str">
        <f>"093000049920027"</f>
        <v>093000049920027</v>
      </c>
      <c r="B311" s="1" t="str">
        <f>"麻闯"</f>
        <v>麻闯</v>
      </c>
      <c r="C311" s="1">
        <v>0</v>
      </c>
      <c r="D311" s="1">
        <v>-712</v>
      </c>
      <c r="E311" s="1">
        <v>-108.32</v>
      </c>
    </row>
    <row r="312" spans="1:5">
      <c r="A312" s="1" t="str">
        <f>"093000920354"</f>
        <v>093000920354</v>
      </c>
      <c r="B312" s="1" t="str">
        <f>"薛海"</f>
        <v>薛海</v>
      </c>
      <c r="C312" s="1">
        <v>0</v>
      </c>
      <c r="D312" s="1">
        <v>0</v>
      </c>
      <c r="E312" s="1">
        <v>0</v>
      </c>
    </row>
    <row r="313" spans="1:5">
      <c r="A313" s="1" t="str">
        <f>"093000051920003"</f>
        <v>093000051920003</v>
      </c>
      <c r="B313" s="1" t="str">
        <f>"王欣"</f>
        <v>王欣</v>
      </c>
      <c r="C313" s="1">
        <v>0</v>
      </c>
      <c r="D313" s="1">
        <v>55</v>
      </c>
      <c r="E313" s="1">
        <v>-55.63</v>
      </c>
    </row>
    <row r="314" spans="1:5">
      <c r="A314" s="1" t="str">
        <f>"093000048920003"</f>
        <v>093000048920003</v>
      </c>
      <c r="B314" s="1" t="str">
        <f>"秦艳丽"</f>
        <v>秦艳丽</v>
      </c>
      <c r="C314" s="1">
        <v>-2387</v>
      </c>
      <c r="D314" s="1">
        <v>328</v>
      </c>
      <c r="E314" s="1">
        <v>-565.08</v>
      </c>
    </row>
    <row r="315" spans="1:5">
      <c r="A315" s="1" t="str">
        <f>"093000920359"</f>
        <v>093000920359</v>
      </c>
      <c r="B315" s="1" t="str">
        <f>"王丽红"</f>
        <v>王丽红</v>
      </c>
      <c r="C315" s="1">
        <v>0</v>
      </c>
      <c r="D315" s="1">
        <v>-1716</v>
      </c>
      <c r="E315" s="1">
        <v>-537.78</v>
      </c>
    </row>
    <row r="316" spans="1:5">
      <c r="A316" s="1" t="str">
        <f>"093000920358"</f>
        <v>093000920358</v>
      </c>
      <c r="B316" s="1" t="str">
        <f>"郭兴炎"</f>
        <v>郭兴炎</v>
      </c>
      <c r="C316" s="1">
        <v>0</v>
      </c>
      <c r="D316" s="1">
        <v>-1097</v>
      </c>
      <c r="E316" s="1">
        <v>-88.26</v>
      </c>
    </row>
    <row r="317" spans="1:5">
      <c r="A317" s="1" t="str">
        <f>"093000920360"</f>
        <v>093000920360</v>
      </c>
      <c r="B317" s="1" t="str">
        <f>"王宏江"</f>
        <v>王宏江</v>
      </c>
      <c r="C317" s="1">
        <v>0</v>
      </c>
      <c r="D317" s="1">
        <v>0</v>
      </c>
      <c r="E317" s="1">
        <v>0</v>
      </c>
    </row>
    <row r="318" spans="1:5">
      <c r="A318" s="1" t="str">
        <f>"093000920362"</f>
        <v>093000920362</v>
      </c>
      <c r="B318" s="1" t="str">
        <f>"谢建功"</f>
        <v>谢建功</v>
      </c>
      <c r="C318" s="1">
        <v>-1578</v>
      </c>
      <c r="D318" s="1">
        <v>337</v>
      </c>
      <c r="E318" s="1">
        <v>-687.24</v>
      </c>
    </row>
    <row r="319" spans="1:5">
      <c r="A319" s="1" t="str">
        <f>"093000920361"</f>
        <v>093000920361</v>
      </c>
      <c r="B319" s="1" t="str">
        <f>"郑龙"</f>
        <v>郑龙</v>
      </c>
      <c r="C319" s="1">
        <v>-1338</v>
      </c>
      <c r="D319" s="1">
        <v>-1011</v>
      </c>
      <c r="E319" s="1">
        <v>-459.91</v>
      </c>
    </row>
    <row r="320" spans="1:5">
      <c r="A320" s="1" t="str">
        <f>"093000062920003"</f>
        <v>093000062920003</v>
      </c>
      <c r="B320" s="1" t="str">
        <f>"余世恒"</f>
        <v>余世恒</v>
      </c>
      <c r="C320" s="1">
        <v>0</v>
      </c>
      <c r="D320" s="1">
        <v>0</v>
      </c>
      <c r="E320" s="1">
        <v>0</v>
      </c>
    </row>
    <row r="321" spans="1:5">
      <c r="A321" s="1" t="str">
        <f>"093000920366"</f>
        <v>093000920366</v>
      </c>
      <c r="B321" s="1" t="str">
        <f>"姚荣新"</f>
        <v>姚荣新</v>
      </c>
      <c r="C321" s="1">
        <v>-3720</v>
      </c>
      <c r="D321" s="1">
        <v>-31603</v>
      </c>
      <c r="E321" s="1">
        <v>-1504.1</v>
      </c>
    </row>
    <row r="322" spans="1:5">
      <c r="A322" s="1" t="str">
        <f>"093000067920003"</f>
        <v>093000067920003</v>
      </c>
      <c r="B322" s="1" t="str">
        <f>"韩超超"</f>
        <v>韩超超</v>
      </c>
      <c r="C322" s="1">
        <v>0</v>
      </c>
      <c r="D322" s="1">
        <v>-960</v>
      </c>
      <c r="E322" s="1">
        <v>-442.37</v>
      </c>
    </row>
    <row r="323" spans="1:5">
      <c r="A323" s="1" t="str">
        <f>"093000920371"</f>
        <v>093000920371</v>
      </c>
      <c r="B323" s="1" t="str">
        <f>"张向恒"</f>
        <v>张向恒</v>
      </c>
      <c r="C323" s="1">
        <v>0</v>
      </c>
      <c r="D323" s="1">
        <v>-112</v>
      </c>
      <c r="E323" s="1">
        <v>-999.17</v>
      </c>
    </row>
    <row r="324" spans="1:5">
      <c r="A324" s="1" t="str">
        <f>"093000067920004"</f>
        <v>093000067920004</v>
      </c>
      <c r="B324" s="1" t="str">
        <f>"刘天松"</f>
        <v>刘天松</v>
      </c>
      <c r="C324" s="1">
        <v>0</v>
      </c>
      <c r="D324" s="1">
        <v>-671</v>
      </c>
      <c r="E324" s="1">
        <v>-663.85</v>
      </c>
    </row>
    <row r="325" spans="1:5">
      <c r="A325" s="1" t="str">
        <f>"093000059920004"</f>
        <v>093000059920004</v>
      </c>
      <c r="B325" s="1" t="str">
        <f>"陈东"</f>
        <v>陈东</v>
      </c>
      <c r="C325" s="1">
        <v>-572</v>
      </c>
      <c r="D325" s="1">
        <v>-1931</v>
      </c>
      <c r="E325" s="1">
        <v>-696.56</v>
      </c>
    </row>
    <row r="326" spans="1:5">
      <c r="A326" s="1" t="str">
        <f>"093000041920018"</f>
        <v>093000041920018</v>
      </c>
      <c r="B326" s="1" t="str">
        <f>"马已成"</f>
        <v>马已成</v>
      </c>
      <c r="C326" s="1">
        <v>0</v>
      </c>
      <c r="D326" s="1">
        <v>1038</v>
      </c>
      <c r="E326" s="1">
        <v>-111.43</v>
      </c>
    </row>
    <row r="327" spans="1:5">
      <c r="A327" s="1" t="str">
        <f>"093000037920030"</f>
        <v>093000037920030</v>
      </c>
      <c r="B327" s="1" t="str">
        <f>"杨义成"</f>
        <v>杨义成</v>
      </c>
      <c r="C327" s="1">
        <v>28</v>
      </c>
      <c r="D327" s="1">
        <v>-495</v>
      </c>
      <c r="E327" s="1">
        <v>-261.52</v>
      </c>
    </row>
    <row r="328" spans="1:5">
      <c r="A328" s="1" t="str">
        <f>"093000049920029"</f>
        <v>093000049920029</v>
      </c>
      <c r="B328" s="1" t="str">
        <f>"张艳芬"</f>
        <v>张艳芬</v>
      </c>
      <c r="C328" s="1">
        <v>0</v>
      </c>
      <c r="D328" s="1">
        <v>0</v>
      </c>
      <c r="E328" s="1">
        <v>0</v>
      </c>
    </row>
    <row r="329" spans="1:5">
      <c r="A329" s="1" t="str">
        <f>"093000049920030"</f>
        <v>093000049920030</v>
      </c>
      <c r="B329" s="1" t="str">
        <f>"刘爱英"</f>
        <v>刘爱英</v>
      </c>
      <c r="C329" s="1">
        <v>0</v>
      </c>
      <c r="D329" s="1">
        <v>0</v>
      </c>
      <c r="E329" s="1">
        <v>0</v>
      </c>
    </row>
    <row r="330" spans="1:5">
      <c r="A330" s="1" t="str">
        <f>"093000059920005"</f>
        <v>093000059920005</v>
      </c>
      <c r="B330" s="1" t="str">
        <f>"全静波"</f>
        <v>全静波</v>
      </c>
      <c r="C330" s="1">
        <v>0</v>
      </c>
      <c r="D330" s="1">
        <v>-903</v>
      </c>
      <c r="E330" s="1">
        <v>-232.35</v>
      </c>
    </row>
    <row r="331" spans="1:5">
      <c r="A331" s="1" t="str">
        <f>"0930000483000"</f>
        <v>0930000483000</v>
      </c>
      <c r="B331" s="1" t="str">
        <f>"刘建基"</f>
        <v>刘建基</v>
      </c>
      <c r="C331" s="1">
        <v>0</v>
      </c>
      <c r="D331" s="1">
        <v>0</v>
      </c>
      <c r="E331" s="1">
        <v>0</v>
      </c>
    </row>
    <row r="332" spans="1:5">
      <c r="A332" s="1" t="str">
        <f>"093000040920034"</f>
        <v>093000040920034</v>
      </c>
      <c r="B332" s="1" t="str">
        <f>"赖胜基"</f>
        <v>赖胜基</v>
      </c>
      <c r="C332" s="1">
        <v>0</v>
      </c>
      <c r="D332" s="1">
        <v>0</v>
      </c>
      <c r="E332" s="1">
        <v>0</v>
      </c>
    </row>
    <row r="333" spans="1:5">
      <c r="A333" s="1" t="str">
        <f>"093000068920001"</f>
        <v>093000068920001</v>
      </c>
      <c r="B333" s="1" t="str">
        <f>"吴国斌"</f>
        <v>吴国斌</v>
      </c>
      <c r="C333" s="1">
        <v>0</v>
      </c>
      <c r="D333" s="1">
        <v>-1324</v>
      </c>
      <c r="E333" s="1">
        <v>-386.93</v>
      </c>
    </row>
    <row r="334" spans="1:5">
      <c r="A334" s="1" t="str">
        <f>"093000051920004"</f>
        <v>093000051920004</v>
      </c>
      <c r="B334" s="1" t="str">
        <f>"王新"</f>
        <v>王新</v>
      </c>
      <c r="C334" s="1">
        <v>0</v>
      </c>
      <c r="D334" s="1">
        <v>-909</v>
      </c>
      <c r="E334" s="1">
        <v>-276.85</v>
      </c>
    </row>
    <row r="335" spans="1:5">
      <c r="A335" s="1" t="str">
        <f>"093000067920007"</f>
        <v>093000067920007</v>
      </c>
      <c r="B335" s="1" t="str">
        <f>"张彦奎"</f>
        <v>张彦奎</v>
      </c>
      <c r="C335" s="1">
        <v>0</v>
      </c>
      <c r="D335" s="1">
        <v>-10</v>
      </c>
      <c r="E335" s="1">
        <v>-6.91</v>
      </c>
    </row>
    <row r="336" spans="1:5">
      <c r="A336" s="1" t="str">
        <f>"093000067920006"</f>
        <v>093000067920006</v>
      </c>
      <c r="B336" s="1" t="str">
        <f>"庞永帅"</f>
        <v>庞永帅</v>
      </c>
      <c r="C336" s="1">
        <v>0</v>
      </c>
      <c r="D336" s="1">
        <v>-79</v>
      </c>
      <c r="E336" s="1">
        <v>-55.55</v>
      </c>
    </row>
    <row r="337" spans="1:5">
      <c r="A337" s="1" t="str">
        <f>"093000067920005"</f>
        <v>093000067920005</v>
      </c>
      <c r="B337" s="1" t="str">
        <f>"张倡寅"</f>
        <v>张倡寅</v>
      </c>
      <c r="C337" s="1">
        <v>0</v>
      </c>
      <c r="D337" s="1">
        <v>-13</v>
      </c>
      <c r="E337" s="1">
        <v>-6.97</v>
      </c>
    </row>
    <row r="338" spans="1:5">
      <c r="A338" s="1" t="str">
        <f>"093000055920001"</f>
        <v>093000055920001</v>
      </c>
      <c r="B338" s="1" t="str">
        <f>"樊园园"</f>
        <v>樊园园</v>
      </c>
      <c r="C338" s="1">
        <v>-2777</v>
      </c>
      <c r="D338" s="1">
        <v>-1257</v>
      </c>
      <c r="E338" s="1">
        <v>-385.29</v>
      </c>
    </row>
    <row r="339" spans="1:5">
      <c r="A339" s="1" t="str">
        <f>"093000067920011"</f>
        <v>093000067920011</v>
      </c>
      <c r="B339" s="1" t="str">
        <f>"翟珊珊"</f>
        <v>翟珊珊</v>
      </c>
      <c r="C339" s="1">
        <v>0</v>
      </c>
      <c r="D339" s="1">
        <v>-8</v>
      </c>
      <c r="E339" s="1">
        <v>-7.09</v>
      </c>
    </row>
    <row r="340" spans="1:5">
      <c r="A340" s="1" t="str">
        <f>"093000067920013"</f>
        <v>093000067920013</v>
      </c>
      <c r="B340" s="1" t="str">
        <f>"吴艳艳"</f>
        <v>吴艳艳</v>
      </c>
      <c r="C340" s="1">
        <v>0</v>
      </c>
      <c r="D340" s="1">
        <v>-7</v>
      </c>
      <c r="E340" s="1">
        <v>-6.77</v>
      </c>
    </row>
    <row r="341" spans="1:5">
      <c r="A341" s="1" t="str">
        <f>"093000067920015"</f>
        <v>093000067920015</v>
      </c>
      <c r="B341" s="1" t="str">
        <f>"宋浩"</f>
        <v>宋浩</v>
      </c>
      <c r="C341" s="1">
        <v>0</v>
      </c>
      <c r="D341" s="1">
        <v>1</v>
      </c>
      <c r="E341" s="1">
        <v>-6.92</v>
      </c>
    </row>
    <row r="342" spans="1:5">
      <c r="A342" s="1" t="str">
        <f>"093000040001920001"</f>
        <v>093000040001920001</v>
      </c>
      <c r="B342" s="1" t="str">
        <f>"赵丽珍"</f>
        <v>赵丽珍</v>
      </c>
      <c r="C342" s="1">
        <v>0</v>
      </c>
      <c r="D342" s="1">
        <v>-1100</v>
      </c>
      <c r="E342" s="1">
        <v>-104.79</v>
      </c>
    </row>
    <row r="343" spans="1:5">
      <c r="A343" s="1" t="str">
        <f>"093000040001920002"</f>
        <v>093000040001920002</v>
      </c>
      <c r="B343" s="1" t="str">
        <f>"莫汝林"</f>
        <v>莫汝林</v>
      </c>
      <c r="C343" s="1">
        <v>0</v>
      </c>
      <c r="D343" s="1">
        <v>-1100</v>
      </c>
      <c r="E343" s="1">
        <v>-104.73</v>
      </c>
    </row>
    <row r="344" spans="1:5">
      <c r="A344" s="1" t="str">
        <f>"093000040920035"</f>
        <v>093000040920035</v>
      </c>
      <c r="B344" s="1" t="str">
        <f>"李永刚"</f>
        <v>李永刚</v>
      </c>
      <c r="C344" s="1">
        <v>0</v>
      </c>
      <c r="D344" s="1">
        <v>0</v>
      </c>
      <c r="E344" s="1">
        <v>0</v>
      </c>
    </row>
    <row r="345" spans="1:5">
      <c r="A345" s="1" t="str">
        <f>"093000067920016"</f>
        <v>093000067920016</v>
      </c>
      <c r="B345" s="1" t="str">
        <f>"王浩毅"</f>
        <v>王浩毅</v>
      </c>
      <c r="C345" s="1">
        <v>0</v>
      </c>
      <c r="D345" s="1">
        <v>-5</v>
      </c>
      <c r="E345" s="1">
        <v>-6.92</v>
      </c>
    </row>
    <row r="346" spans="1:5">
      <c r="A346" s="1" t="str">
        <f>"093000037920031"</f>
        <v>093000037920031</v>
      </c>
      <c r="B346" s="1" t="str">
        <f>"董江峰"</f>
        <v>董江峰</v>
      </c>
      <c r="C346" s="1">
        <v>0</v>
      </c>
      <c r="D346" s="1">
        <v>0</v>
      </c>
      <c r="E346" s="1">
        <v>0</v>
      </c>
    </row>
    <row r="347" spans="1:5">
      <c r="A347" s="1" t="str">
        <f>"0930000400010001"</f>
        <v>0930000400010001</v>
      </c>
      <c r="B347" s="1" t="str">
        <f>"赵春林"</f>
        <v>赵春林</v>
      </c>
      <c r="C347" s="1">
        <v>7</v>
      </c>
      <c r="D347" s="1">
        <v>934</v>
      </c>
      <c r="E347" s="1">
        <v>-265.2</v>
      </c>
    </row>
    <row r="348" spans="1:5">
      <c r="A348" s="1" t="str">
        <f>"093000920377"</f>
        <v>093000920377</v>
      </c>
      <c r="B348" s="1" t="str">
        <f>"宋元斌"</f>
        <v>宋元斌</v>
      </c>
      <c r="C348" s="1">
        <v>0</v>
      </c>
      <c r="D348" s="1">
        <v>4</v>
      </c>
      <c r="E348" s="1">
        <v>-6.94</v>
      </c>
    </row>
    <row r="349" spans="1:5">
      <c r="A349" s="1" t="str">
        <f>"0930000000021"</f>
        <v>0930000000021</v>
      </c>
      <c r="B349" s="1" t="str">
        <f>"赵信文"</f>
        <v>赵信文</v>
      </c>
      <c r="C349" s="1">
        <v>0</v>
      </c>
      <c r="D349" s="1">
        <v>0</v>
      </c>
      <c r="E349" s="1">
        <v>0</v>
      </c>
    </row>
    <row r="350" spans="1:5">
      <c r="A350" s="1" t="str">
        <f>"093000037920032"</f>
        <v>093000037920032</v>
      </c>
      <c r="B350" s="1" t="str">
        <f>"吴运枝"</f>
        <v>吴运枝</v>
      </c>
      <c r="C350" s="1">
        <v>-11</v>
      </c>
      <c r="D350" s="1">
        <v>30</v>
      </c>
      <c r="E350" s="1">
        <v>-104.53</v>
      </c>
    </row>
    <row r="351" spans="1:5">
      <c r="A351" s="1" t="str">
        <f>"093000037920033"</f>
        <v>093000037920033</v>
      </c>
      <c r="B351" s="1" t="str">
        <f>"周倩倩"</f>
        <v>周倩倩</v>
      </c>
      <c r="C351" s="1">
        <v>0</v>
      </c>
      <c r="D351" s="1">
        <v>-1</v>
      </c>
      <c r="E351" s="1">
        <v>-13.74</v>
      </c>
    </row>
    <row r="352" spans="1:5">
      <c r="A352" s="1" t="str">
        <f>"0930000483001"</f>
        <v>0930000483001</v>
      </c>
      <c r="B352" s="1" t="str">
        <f>"高书荣"</f>
        <v>高书荣</v>
      </c>
      <c r="C352" s="1">
        <v>0</v>
      </c>
      <c r="D352" s="1">
        <v>0</v>
      </c>
      <c r="E352" s="1">
        <v>0</v>
      </c>
    </row>
    <row r="353" spans="1:5">
      <c r="A353" s="1" t="str">
        <f>"093000040001920009"</f>
        <v>093000040001920009</v>
      </c>
      <c r="B353" s="1" t="str">
        <f>"彭敏荣"</f>
        <v>彭敏荣</v>
      </c>
      <c r="C353" s="1">
        <v>0</v>
      </c>
      <c r="D353" s="1">
        <v>-1098</v>
      </c>
      <c r="E353" s="1">
        <v>-104.69</v>
      </c>
    </row>
    <row r="354" spans="1:5">
      <c r="A354" s="1" t="str">
        <f>"093000037920034"</f>
        <v>093000037920034</v>
      </c>
      <c r="B354" s="1" t="str">
        <f>"张永涛"</f>
        <v>张永涛</v>
      </c>
      <c r="C354" s="1">
        <v>-193</v>
      </c>
      <c r="D354" s="1">
        <v>-412</v>
      </c>
      <c r="E354" s="1">
        <v>-294.19</v>
      </c>
    </row>
    <row r="355" spans="1:5">
      <c r="A355" s="1" t="str">
        <f>"093000040001920010"</f>
        <v>093000040001920010</v>
      </c>
      <c r="B355" s="1" t="str">
        <f>"赵超强"</f>
        <v>赵超强</v>
      </c>
      <c r="C355" s="1">
        <v>0</v>
      </c>
      <c r="D355" s="1">
        <v>0</v>
      </c>
      <c r="E355" s="1">
        <v>0</v>
      </c>
    </row>
    <row r="356" spans="1:5">
      <c r="A356" s="1" t="str">
        <f>"093000040001920011"</f>
        <v>093000040001920011</v>
      </c>
      <c r="B356" s="1" t="str">
        <f>"柳静媚"</f>
        <v>柳静媚</v>
      </c>
      <c r="C356" s="1">
        <v>0</v>
      </c>
      <c r="D356" s="1">
        <v>0</v>
      </c>
      <c r="E356" s="1">
        <v>0</v>
      </c>
    </row>
    <row r="357" spans="1:5">
      <c r="A357" s="1" t="str">
        <f>"093000040001920012"</f>
        <v>093000040001920012</v>
      </c>
      <c r="B357" s="1" t="str">
        <f>"刘宁"</f>
        <v>刘宁</v>
      </c>
      <c r="C357" s="1">
        <v>0</v>
      </c>
      <c r="D357" s="1">
        <v>0</v>
      </c>
      <c r="E357" s="1">
        <v>0</v>
      </c>
    </row>
    <row r="358" spans="1:5">
      <c r="A358" s="1" t="str">
        <f>"093000040001920014"</f>
        <v>093000040001920014</v>
      </c>
      <c r="B358" s="1" t="str">
        <f>"覃月松"</f>
        <v>覃月松</v>
      </c>
      <c r="C358" s="1">
        <v>-254</v>
      </c>
      <c r="D358" s="1">
        <v>966</v>
      </c>
      <c r="E358" s="1">
        <v>-101.8</v>
      </c>
    </row>
    <row r="359" spans="1:5">
      <c r="A359" s="1" t="str">
        <f>"093000040001920021"</f>
        <v>093000040001920021</v>
      </c>
      <c r="B359" s="1" t="str">
        <f>"赵晓清"</f>
        <v>赵晓清</v>
      </c>
      <c r="C359" s="1">
        <v>160</v>
      </c>
      <c r="D359" s="1">
        <v>-809</v>
      </c>
      <c r="E359" s="1">
        <v>-532.32</v>
      </c>
    </row>
    <row r="360" spans="1:5">
      <c r="A360" s="1" t="str">
        <f>"093000040001920022"</f>
        <v>093000040001920022</v>
      </c>
      <c r="B360" s="1" t="str">
        <f>"柳胜斌"</f>
        <v>柳胜斌</v>
      </c>
      <c r="C360" s="1">
        <v>0</v>
      </c>
      <c r="D360" s="1">
        <v>-1098</v>
      </c>
      <c r="E360" s="1">
        <v>-104.77</v>
      </c>
    </row>
    <row r="361" spans="1:5">
      <c r="A361" s="1" t="str">
        <f>"093000040001920024"</f>
        <v>093000040001920024</v>
      </c>
      <c r="B361" s="1" t="str">
        <f>"刘海金"</f>
        <v>刘海金</v>
      </c>
      <c r="C361" s="1">
        <v>0</v>
      </c>
      <c r="D361" s="1">
        <v>0</v>
      </c>
      <c r="E361" s="1">
        <v>0</v>
      </c>
    </row>
    <row r="362" spans="1:5">
      <c r="A362" s="1" t="str">
        <f>"093000040001920024"</f>
        <v>093000040001920024</v>
      </c>
      <c r="B362" s="1" t="str">
        <f>"柳海金"</f>
        <v>柳海金</v>
      </c>
      <c r="C362" s="1">
        <v>0</v>
      </c>
      <c r="D362" s="1">
        <v>0</v>
      </c>
      <c r="E362" s="1">
        <v>0</v>
      </c>
    </row>
    <row r="363" spans="1:5">
      <c r="A363" s="1" t="str">
        <f>"093000040001920025"</f>
        <v>093000040001920025</v>
      </c>
      <c r="B363" s="1" t="str">
        <f>"梁用超"</f>
        <v>梁用超</v>
      </c>
      <c r="C363" s="1">
        <v>0</v>
      </c>
      <c r="D363" s="1">
        <v>0</v>
      </c>
      <c r="E363" s="1">
        <v>0</v>
      </c>
    </row>
    <row r="364" spans="1:5">
      <c r="A364" s="1" t="str">
        <f>"093000040001920026"</f>
        <v>093000040001920026</v>
      </c>
      <c r="B364" s="1" t="str">
        <f>"林葵华"</f>
        <v>林葵华</v>
      </c>
      <c r="C364" s="1">
        <v>0</v>
      </c>
      <c r="D364" s="1">
        <v>0</v>
      </c>
      <c r="E364" s="1">
        <v>0</v>
      </c>
    </row>
    <row r="365" spans="1:5">
      <c r="A365" s="1" t="str">
        <f>"093000040001920031"</f>
        <v>093000040001920031</v>
      </c>
      <c r="B365" s="1" t="str">
        <f>"陈官源"</f>
        <v>陈官源</v>
      </c>
      <c r="C365" s="1">
        <v>0</v>
      </c>
      <c r="D365" s="1">
        <v>0</v>
      </c>
      <c r="E365" s="1">
        <v>0</v>
      </c>
    </row>
    <row r="366" spans="1:5">
      <c r="A366" s="1" t="str">
        <f>"093000040001920030"</f>
        <v>093000040001920030</v>
      </c>
      <c r="B366" s="1" t="str">
        <f>"陈绪董"</f>
        <v>陈绪董</v>
      </c>
      <c r="C366" s="1">
        <v>0</v>
      </c>
      <c r="D366" s="1">
        <v>0</v>
      </c>
      <c r="E366" s="1">
        <v>0</v>
      </c>
    </row>
    <row r="367" spans="1:5">
      <c r="A367" s="1" t="str">
        <f>"093000040001920028"</f>
        <v>093000040001920028</v>
      </c>
      <c r="B367" s="1" t="str">
        <f>"覃成彪"</f>
        <v>覃成彪</v>
      </c>
      <c r="C367" s="1">
        <v>0</v>
      </c>
      <c r="D367" s="1">
        <v>0</v>
      </c>
      <c r="E367" s="1">
        <v>0</v>
      </c>
    </row>
    <row r="368" spans="1:5">
      <c r="A368" s="1" t="str">
        <f>"093000040001920027"</f>
        <v>093000040001920027</v>
      </c>
      <c r="B368" s="1" t="str">
        <f>"李耀坚"</f>
        <v>李耀坚</v>
      </c>
      <c r="C368" s="1">
        <v>0</v>
      </c>
      <c r="D368" s="1">
        <v>-1098</v>
      </c>
      <c r="E368" s="1">
        <v>-104.81</v>
      </c>
    </row>
    <row r="369" spans="1:5">
      <c r="A369" s="1" t="str">
        <f>"093000070920001"</f>
        <v>093000070920001</v>
      </c>
      <c r="B369" s="1" t="str">
        <f>"李银弟"</f>
        <v>李银弟</v>
      </c>
      <c r="C369" s="1">
        <v>0</v>
      </c>
      <c r="D369" s="1">
        <v>-528</v>
      </c>
      <c r="E369" s="1">
        <v>-177.94</v>
      </c>
    </row>
    <row r="370" spans="1:5">
      <c r="A370" s="1" t="str">
        <f>"093000059920006"</f>
        <v>093000059920006</v>
      </c>
      <c r="B370" s="1" t="str">
        <f>"李涛"</f>
        <v>李涛</v>
      </c>
      <c r="C370" s="1">
        <v>-132</v>
      </c>
      <c r="D370" s="1">
        <v>-1659</v>
      </c>
      <c r="E370" s="1">
        <v>-720.7</v>
      </c>
    </row>
    <row r="371" spans="1:5">
      <c r="A371" s="1" t="str">
        <f>"0930000620000"</f>
        <v>0930000620000</v>
      </c>
      <c r="B371" s="1" t="str">
        <f>"黄榕"</f>
        <v>黄榕</v>
      </c>
      <c r="C371" s="1">
        <v>75</v>
      </c>
      <c r="D371" s="1">
        <v>1140</v>
      </c>
      <c r="E371" s="1">
        <v>-89.27</v>
      </c>
    </row>
    <row r="372" spans="1:5">
      <c r="A372" s="1" t="str">
        <f>"093000040001920033"</f>
        <v>093000040001920033</v>
      </c>
      <c r="B372" s="1" t="str">
        <f>"杨钦朝"</f>
        <v>杨钦朝</v>
      </c>
      <c r="C372" s="1">
        <v>0</v>
      </c>
      <c r="D372" s="1">
        <v>0</v>
      </c>
      <c r="E372" s="1">
        <v>0</v>
      </c>
    </row>
    <row r="373" spans="1:5">
      <c r="A373" s="1" t="str">
        <f>"093000040920036"</f>
        <v>093000040920036</v>
      </c>
      <c r="B373" s="1" t="str">
        <f>"李军刚"</f>
        <v>李军刚</v>
      </c>
      <c r="C373" s="1">
        <v>0</v>
      </c>
      <c r="D373" s="1">
        <v>0</v>
      </c>
      <c r="E373" s="1">
        <v>0</v>
      </c>
    </row>
    <row r="374" spans="1:5">
      <c r="A374" s="1" t="str">
        <f>"093000071920001"</f>
        <v>093000071920001</v>
      </c>
      <c r="B374" s="1" t="str">
        <f>"苏小慧"</f>
        <v>苏小慧</v>
      </c>
      <c r="C374" s="1">
        <v>-157</v>
      </c>
      <c r="D374" s="1">
        <v>-3347</v>
      </c>
      <c r="E374" s="1">
        <v>-1277.72</v>
      </c>
    </row>
    <row r="375" spans="1:5">
      <c r="A375" s="1" t="str">
        <f>"093000059920007"</f>
        <v>093000059920007</v>
      </c>
      <c r="B375" s="1" t="str">
        <f>"全光辉"</f>
        <v>全光辉</v>
      </c>
      <c r="C375" s="1">
        <v>0</v>
      </c>
      <c r="D375" s="1">
        <v>-812</v>
      </c>
      <c r="E375" s="1">
        <v>-528.19</v>
      </c>
    </row>
    <row r="376" spans="1:5">
      <c r="A376" s="1" t="str">
        <f>"0930000620001"</f>
        <v>0930000620001</v>
      </c>
      <c r="B376" s="1" t="str">
        <f>"陈家琪"</f>
        <v>陈家琪</v>
      </c>
      <c r="C376" s="1">
        <v>0</v>
      </c>
      <c r="D376" s="1">
        <v>872</v>
      </c>
      <c r="E376" s="1">
        <v>-55.23</v>
      </c>
    </row>
    <row r="377" spans="1:5">
      <c r="A377" s="1" t="str">
        <f>"093000048920006"</f>
        <v>093000048920006</v>
      </c>
      <c r="B377" s="1" t="str">
        <f>"杨霞"</f>
        <v>杨霞</v>
      </c>
      <c r="C377" s="1">
        <v>70</v>
      </c>
      <c r="D377" s="1">
        <v>-760</v>
      </c>
      <c r="E377" s="1">
        <v>-492.99</v>
      </c>
    </row>
    <row r="378" spans="1:5">
      <c r="A378" s="1" t="str">
        <f>"0930000000022"</f>
        <v>0930000000022</v>
      </c>
      <c r="B378" s="1" t="str">
        <f>"张宁"</f>
        <v>张宁</v>
      </c>
      <c r="C378" s="1">
        <v>-467</v>
      </c>
      <c r="D378" s="1">
        <v>135</v>
      </c>
      <c r="E378" s="1">
        <v>-231.44</v>
      </c>
    </row>
    <row r="379" spans="1:5">
      <c r="A379" s="1" t="str">
        <f>"093000040001920034"</f>
        <v>093000040001920034</v>
      </c>
      <c r="B379" s="1" t="str">
        <f>"姚学清"</f>
        <v>姚学清</v>
      </c>
      <c r="C379" s="1">
        <v>0</v>
      </c>
      <c r="D379" s="1">
        <v>0</v>
      </c>
      <c r="E379" s="1">
        <v>0</v>
      </c>
    </row>
    <row r="380" spans="1:5">
      <c r="A380" s="1" t="str">
        <f>"0930000000023"</f>
        <v>0930000000023</v>
      </c>
      <c r="B380" s="1" t="str">
        <f>"黄肇强"</f>
        <v>黄肇强</v>
      </c>
      <c r="C380" s="1">
        <v>0</v>
      </c>
      <c r="D380" s="1">
        <v>0</v>
      </c>
      <c r="E380" s="1">
        <v>0</v>
      </c>
    </row>
    <row r="381" spans="1:5">
      <c r="A381" s="1" t="str">
        <f>"093000920384"</f>
        <v>093000920384</v>
      </c>
      <c r="B381" s="1" t="str">
        <f>"刘凡"</f>
        <v>刘凡</v>
      </c>
      <c r="C381" s="1">
        <v>0</v>
      </c>
      <c r="D381" s="1">
        <v>0</v>
      </c>
      <c r="E381" s="1">
        <v>0</v>
      </c>
    </row>
    <row r="382" spans="1:5">
      <c r="A382" s="1" t="str">
        <f>"093000046920005"</f>
        <v>093000046920005</v>
      </c>
      <c r="B382" s="1" t="str">
        <f>"姚海焘"</f>
        <v>姚海焘</v>
      </c>
      <c r="C382" s="1">
        <v>0</v>
      </c>
      <c r="D382" s="1">
        <v>0</v>
      </c>
      <c r="E382" s="1">
        <v>0</v>
      </c>
    </row>
    <row r="383" spans="1:5">
      <c r="A383" s="1" t="str">
        <f>"093000040001920035"</f>
        <v>093000040001920035</v>
      </c>
      <c r="B383" s="1" t="str">
        <f>"黄耀湘"</f>
        <v>黄耀湘</v>
      </c>
      <c r="C383" s="1">
        <v>0</v>
      </c>
      <c r="D383" s="1">
        <v>0</v>
      </c>
      <c r="E383" s="1">
        <v>0</v>
      </c>
    </row>
    <row r="384" spans="1:5">
      <c r="A384" s="1" t="str">
        <f>"093000920387"</f>
        <v>093000920387</v>
      </c>
      <c r="B384" s="1" t="str">
        <f>"任龙飞"</f>
        <v>任龙飞</v>
      </c>
      <c r="C384" s="1">
        <v>0</v>
      </c>
      <c r="D384" s="1">
        <v>109</v>
      </c>
      <c r="E384" s="1">
        <v>-57.66</v>
      </c>
    </row>
    <row r="385" spans="1:5">
      <c r="A385" s="1" t="str">
        <f>"093000040001920036"</f>
        <v>093000040001920036</v>
      </c>
      <c r="B385" s="1" t="str">
        <f>" 林桦通"</f>
        <v> 林桦通</v>
      </c>
      <c r="C385" s="1">
        <v>26</v>
      </c>
      <c r="D385" s="1">
        <v>1162</v>
      </c>
      <c r="E385" s="1">
        <v>-101.87</v>
      </c>
    </row>
    <row r="386" spans="1:5">
      <c r="A386" s="1" t="str">
        <f>"093000920389"</f>
        <v>093000920389</v>
      </c>
      <c r="B386" s="1" t="str">
        <f>"冯书华"</f>
        <v>冯书华</v>
      </c>
      <c r="C386" s="1">
        <v>0</v>
      </c>
      <c r="D386" s="1">
        <v>706</v>
      </c>
      <c r="E386" s="1">
        <v>-215.71</v>
      </c>
    </row>
    <row r="387" spans="1:5">
      <c r="A387" s="1" t="str">
        <f>"093000048920007"</f>
        <v>093000048920007</v>
      </c>
      <c r="B387" s="1" t="str">
        <f>"岳文滔"</f>
        <v>岳文滔</v>
      </c>
      <c r="C387" s="1">
        <v>-1947</v>
      </c>
      <c r="D387" s="1">
        <v>1410</v>
      </c>
      <c r="E387" s="1">
        <v>-498.78</v>
      </c>
    </row>
    <row r="388" spans="1:5">
      <c r="A388" s="1" t="str">
        <f>"093000040001920038"</f>
        <v>093000040001920038</v>
      </c>
      <c r="B388" s="1" t="str">
        <f>"马伟峰"</f>
        <v>马伟峰</v>
      </c>
      <c r="C388" s="1">
        <v>0</v>
      </c>
      <c r="D388" s="1">
        <v>0</v>
      </c>
      <c r="E388" s="1">
        <v>0</v>
      </c>
    </row>
    <row r="389" spans="1:5">
      <c r="A389" s="1" t="str">
        <f>"093000040001920037"</f>
        <v>093000040001920037</v>
      </c>
      <c r="B389" s="1" t="str">
        <f>"姚海林"</f>
        <v>姚海林</v>
      </c>
      <c r="C389" s="1">
        <v>0</v>
      </c>
      <c r="D389" s="1">
        <v>0</v>
      </c>
      <c r="E389" s="1">
        <v>0</v>
      </c>
    </row>
    <row r="390" spans="1:5">
      <c r="A390" s="1" t="str">
        <f>"093000037920035"</f>
        <v>093000037920035</v>
      </c>
      <c r="B390" s="1" t="str">
        <f>"周小委"</f>
        <v>周小委</v>
      </c>
      <c r="C390" s="1">
        <v>0</v>
      </c>
      <c r="D390" s="1">
        <v>0</v>
      </c>
      <c r="E390" s="1">
        <v>0</v>
      </c>
    </row>
    <row r="391" spans="1:5">
      <c r="A391" s="1" t="str">
        <f>"093000040001920039"</f>
        <v>093000040001920039</v>
      </c>
      <c r="B391" s="1" t="str">
        <f>"覃业毅"</f>
        <v>覃业毅</v>
      </c>
      <c r="C391" s="1">
        <v>-254</v>
      </c>
      <c r="D391" s="1">
        <v>992</v>
      </c>
      <c r="E391" s="1">
        <v>-101.77</v>
      </c>
    </row>
    <row r="392" spans="1:5">
      <c r="A392" s="1" t="str">
        <f>"093000040001920040"</f>
        <v>093000040001920040</v>
      </c>
      <c r="B392" s="1" t="str">
        <f>"覃业叙"</f>
        <v>覃业叙</v>
      </c>
      <c r="C392" s="1">
        <v>0</v>
      </c>
      <c r="D392" s="1">
        <v>-1098</v>
      </c>
      <c r="E392" s="1">
        <v>-99.73</v>
      </c>
    </row>
    <row r="393" spans="1:5">
      <c r="A393" s="1" t="str">
        <f>"0930000000024"</f>
        <v>0930000000024</v>
      </c>
      <c r="B393" s="1" t="s">
        <v>5</v>
      </c>
      <c r="C393" s="1">
        <v>0</v>
      </c>
      <c r="D393" s="1">
        <v>0</v>
      </c>
      <c r="E393" s="1">
        <v>0</v>
      </c>
    </row>
    <row r="394" spans="1:5">
      <c r="A394" s="1" t="str">
        <f>"09300000000025"</f>
        <v>09300000000025</v>
      </c>
      <c r="B394" s="1" t="str">
        <f>"徐高梁"</f>
        <v>徐高梁</v>
      </c>
      <c r="C394" s="1">
        <v>0</v>
      </c>
      <c r="D394" s="1">
        <v>9</v>
      </c>
      <c r="E394" s="1">
        <v>-6.86</v>
      </c>
    </row>
    <row r="395" spans="1:5">
      <c r="A395" s="1" t="str">
        <f>"093000040001920041"</f>
        <v>093000040001920041</v>
      </c>
      <c r="B395" s="1" t="str">
        <f>"杨坤丽"</f>
        <v>杨坤丽</v>
      </c>
      <c r="C395" s="1">
        <v>0</v>
      </c>
      <c r="D395" s="1">
        <v>-1112</v>
      </c>
      <c r="E395" s="1">
        <v>-102.6</v>
      </c>
    </row>
    <row r="396" spans="1:5">
      <c r="A396" s="1" t="str">
        <f>"093000037920036"</f>
        <v>093000037920036</v>
      </c>
      <c r="B396" s="1" t="str">
        <f>"刘学科"</f>
        <v>刘学科</v>
      </c>
      <c r="C396" s="1">
        <v>-388</v>
      </c>
      <c r="D396" s="1">
        <v>-59</v>
      </c>
      <c r="E396" s="1">
        <v>-417.54</v>
      </c>
    </row>
    <row r="397" spans="1:5">
      <c r="A397" s="1" t="str">
        <f>"0930000620002"</f>
        <v>0930000620002</v>
      </c>
      <c r="B397" s="1" t="str">
        <f>"李心简"</f>
        <v>李心简</v>
      </c>
      <c r="C397" s="1">
        <v>-152</v>
      </c>
      <c r="D397" s="1">
        <v>445</v>
      </c>
      <c r="E397" s="1">
        <v>-678.48</v>
      </c>
    </row>
    <row r="398" spans="1:5">
      <c r="A398" s="1" t="str">
        <f>"093000037920037"</f>
        <v>093000037920037</v>
      </c>
      <c r="B398" s="1" t="str">
        <f>"杨文龙"</f>
        <v>杨文龙</v>
      </c>
      <c r="C398" s="1">
        <v>45</v>
      </c>
      <c r="D398" s="1">
        <v>-2105</v>
      </c>
      <c r="E398" s="1">
        <v>-2378.52</v>
      </c>
    </row>
    <row r="399" spans="1:5">
      <c r="A399" s="1" t="str">
        <f>"093000062920006"</f>
        <v>093000062920006</v>
      </c>
      <c r="B399" s="1" t="str">
        <f>"何世玉"</f>
        <v>何世玉</v>
      </c>
      <c r="C399" s="1">
        <v>0</v>
      </c>
      <c r="D399" s="1">
        <v>0</v>
      </c>
      <c r="E399" s="1">
        <v>0</v>
      </c>
    </row>
    <row r="400" spans="1:5">
      <c r="A400" s="1" t="str">
        <f>"093000040001920042"</f>
        <v>093000040001920042</v>
      </c>
      <c r="B400" s="1" t="str">
        <f>"黄上宾"</f>
        <v>黄上宾</v>
      </c>
      <c r="C400" s="1">
        <v>0</v>
      </c>
      <c r="D400" s="1">
        <v>-1100</v>
      </c>
      <c r="E400" s="1">
        <v>-108.59</v>
      </c>
    </row>
    <row r="401" spans="1:5">
      <c r="A401" s="1" t="str">
        <f>"0930000000025"</f>
        <v>0930000000025</v>
      </c>
      <c r="B401" s="1" t="str">
        <f>"刘彦萍"</f>
        <v>刘彦萍</v>
      </c>
      <c r="C401" s="1">
        <v>0</v>
      </c>
      <c r="D401" s="1">
        <v>0</v>
      </c>
      <c r="E401" s="1">
        <v>0</v>
      </c>
    </row>
    <row r="402" spans="1:5">
      <c r="A402" s="1" t="str">
        <f>"093000040001920044"</f>
        <v>093000040001920044</v>
      </c>
      <c r="B402" s="1" t="str">
        <f>"李崇源"</f>
        <v>李崇源</v>
      </c>
      <c r="C402" s="1">
        <v>-134</v>
      </c>
      <c r="D402" s="1">
        <v>1006</v>
      </c>
      <c r="E402" s="1">
        <v>-101.87</v>
      </c>
    </row>
    <row r="403" spans="1:5">
      <c r="A403" s="1" t="str">
        <f>"093000040001920045"</f>
        <v>093000040001920045</v>
      </c>
      <c r="B403" s="1" t="str">
        <f>"吴昌伟"</f>
        <v>吴昌伟</v>
      </c>
      <c r="C403" s="1">
        <v>0</v>
      </c>
      <c r="D403" s="1">
        <v>0</v>
      </c>
      <c r="E403" s="1">
        <v>0</v>
      </c>
    </row>
    <row r="404" spans="1:5">
      <c r="A404" s="1" t="str">
        <f>"093000067920019"</f>
        <v>093000067920019</v>
      </c>
      <c r="B404" s="1" t="str">
        <f>"马付林"</f>
        <v>马付林</v>
      </c>
      <c r="C404" s="1">
        <v>0</v>
      </c>
      <c r="D404" s="1">
        <v>-566</v>
      </c>
      <c r="E404" s="1">
        <v>-117.72</v>
      </c>
    </row>
    <row r="405" spans="1:5">
      <c r="A405" s="1" t="str">
        <f>"093000040001920046"</f>
        <v>093000040001920046</v>
      </c>
      <c r="B405" s="1" t="str">
        <f>"陈琴芬"</f>
        <v>陈琴芬</v>
      </c>
      <c r="C405" s="1">
        <v>0</v>
      </c>
      <c r="D405" s="1">
        <v>0</v>
      </c>
      <c r="E405" s="1">
        <v>0</v>
      </c>
    </row>
    <row r="406" spans="1:5">
      <c r="A406" s="1" t="str">
        <f>"093000040001920051"</f>
        <v>093000040001920051</v>
      </c>
      <c r="B406" s="1" t="str">
        <f>"林旭南"</f>
        <v>林旭南</v>
      </c>
      <c r="C406" s="1">
        <v>-990</v>
      </c>
      <c r="D406" s="1">
        <v>-90</v>
      </c>
      <c r="E406" s="1">
        <v>-99.33</v>
      </c>
    </row>
    <row r="407" spans="1:5">
      <c r="A407" s="1" t="str">
        <f>"093000040001920050"</f>
        <v>093000040001920050</v>
      </c>
      <c r="B407" s="1" t="str">
        <f>"莫宗钧"</f>
        <v>莫宗钧</v>
      </c>
      <c r="C407" s="1">
        <v>53</v>
      </c>
      <c r="D407" s="1">
        <v>1162</v>
      </c>
      <c r="E407" s="1">
        <v>-101.89</v>
      </c>
    </row>
    <row r="408" spans="1:5">
      <c r="A408" s="1" t="str">
        <f>"093000040001920049"</f>
        <v>093000040001920049</v>
      </c>
      <c r="B408" s="1" t="str">
        <f>"莫日胜"</f>
        <v>莫日胜</v>
      </c>
      <c r="C408" s="1">
        <v>-896</v>
      </c>
      <c r="D408" s="1">
        <v>-68</v>
      </c>
      <c r="E408" s="1">
        <v>-99.26</v>
      </c>
    </row>
    <row r="409" spans="1:5">
      <c r="A409" s="1" t="str">
        <f>"093000040001920048"</f>
        <v>093000040001920048</v>
      </c>
      <c r="B409" s="1" t="str">
        <f>"莫伟强"</f>
        <v>莫伟强</v>
      </c>
      <c r="C409" s="1">
        <v>-950</v>
      </c>
      <c r="D409" s="1">
        <v>-110</v>
      </c>
      <c r="E409" s="1">
        <v>-99.27</v>
      </c>
    </row>
    <row r="410" spans="1:5">
      <c r="A410" s="1" t="str">
        <f>"093000040001920047"</f>
        <v>093000040001920047</v>
      </c>
      <c r="B410" s="1" t="str">
        <f>"郭兆恒"</f>
        <v>郭兆恒</v>
      </c>
      <c r="C410" s="1">
        <v>380</v>
      </c>
      <c r="D410" s="1">
        <v>-460</v>
      </c>
      <c r="E410" s="1">
        <v>-239.08</v>
      </c>
    </row>
    <row r="411" spans="1:5">
      <c r="A411" s="1" t="str">
        <f>"093000040001920052"</f>
        <v>093000040001920052</v>
      </c>
      <c r="B411" s="1" t="str">
        <f>"莫训武"</f>
        <v>莫训武</v>
      </c>
      <c r="C411" s="1">
        <v>-94</v>
      </c>
      <c r="D411" s="1">
        <v>1162</v>
      </c>
      <c r="E411" s="1">
        <v>-101.76</v>
      </c>
    </row>
    <row r="412" spans="1:5">
      <c r="A412" s="1" t="str">
        <f>"093000040001920054"</f>
        <v>093000040001920054</v>
      </c>
      <c r="B412" s="1" t="str">
        <f>"王达初"</f>
        <v>王达初</v>
      </c>
      <c r="C412" s="1">
        <v>0</v>
      </c>
      <c r="D412" s="1">
        <v>0</v>
      </c>
      <c r="E412" s="1">
        <v>0</v>
      </c>
    </row>
    <row r="413" spans="1:5">
      <c r="A413" s="1" t="str">
        <f>"093000040001920053"</f>
        <v>093000040001920053</v>
      </c>
      <c r="B413" s="1" t="str">
        <f>"莫德森"</f>
        <v>莫德森</v>
      </c>
      <c r="C413" s="1">
        <v>-962</v>
      </c>
      <c r="D413" s="1">
        <v>-90</v>
      </c>
      <c r="E413" s="1">
        <v>-99.3</v>
      </c>
    </row>
    <row r="414" spans="1:5">
      <c r="A414" s="1" t="str">
        <f>"093000070920002"</f>
        <v>093000070920002</v>
      </c>
      <c r="B414" s="1" t="str">
        <f>"黄莹"</f>
        <v>黄莹</v>
      </c>
      <c r="C414" s="1">
        <v>0</v>
      </c>
      <c r="D414" s="1">
        <v>0</v>
      </c>
      <c r="E414" s="1">
        <v>0</v>
      </c>
    </row>
    <row r="415" spans="1:5">
      <c r="A415" s="1" t="str">
        <f>"093000040001920055"</f>
        <v>093000040001920055</v>
      </c>
      <c r="B415" s="1" t="str">
        <f>"易子洢"</f>
        <v>易子洢</v>
      </c>
      <c r="C415" s="1">
        <v>1060</v>
      </c>
      <c r="D415" s="1">
        <v>-2090</v>
      </c>
      <c r="E415" s="1">
        <v>-286.85</v>
      </c>
    </row>
    <row r="416" spans="1:5">
      <c r="A416" s="1" t="str">
        <f>"093000043920005"</f>
        <v>093000043920005</v>
      </c>
      <c r="B416" s="1" t="str">
        <f>"訾玉中"</f>
        <v>訾玉中</v>
      </c>
      <c r="C416" s="1">
        <v>0</v>
      </c>
      <c r="D416" s="1">
        <v>-917</v>
      </c>
      <c r="E416" s="1">
        <v>-338.57</v>
      </c>
    </row>
    <row r="417" spans="1:5">
      <c r="A417" s="1" t="str">
        <f>"093000067920020"</f>
        <v>093000067920020</v>
      </c>
      <c r="B417" s="1" t="str">
        <f>"廖世兵"</f>
        <v>廖世兵</v>
      </c>
      <c r="C417" s="1">
        <v>103</v>
      </c>
      <c r="D417" s="1">
        <v>-561</v>
      </c>
      <c r="E417" s="1">
        <v>-1456.11</v>
      </c>
    </row>
    <row r="418" spans="1:5">
      <c r="A418" s="1" t="str">
        <f>"093000067920021"</f>
        <v>093000067920021</v>
      </c>
      <c r="B418" s="1" t="str">
        <f>"陈梦云"</f>
        <v>陈梦云</v>
      </c>
      <c r="C418" s="1">
        <v>0</v>
      </c>
      <c r="D418" s="1">
        <v>-683</v>
      </c>
      <c r="E418" s="1">
        <v>-511.45</v>
      </c>
    </row>
    <row r="419" spans="1:5">
      <c r="A419" s="1" t="str">
        <f>"093000920396"</f>
        <v>093000920396</v>
      </c>
      <c r="B419" s="1" t="str">
        <f>"欧阳盼平"</f>
        <v>欧阳盼平</v>
      </c>
      <c r="C419" s="1">
        <v>-901</v>
      </c>
      <c r="D419" s="1">
        <v>324</v>
      </c>
      <c r="E419" s="1">
        <v>-353.48</v>
      </c>
    </row>
    <row r="420" spans="1:5">
      <c r="A420" s="1" t="str">
        <f>"093000040001920056"</f>
        <v>093000040001920056</v>
      </c>
      <c r="B420" s="1" t="str">
        <f>"何伦英"</f>
        <v>何伦英</v>
      </c>
      <c r="C420" s="1">
        <v>0</v>
      </c>
      <c r="D420" s="1">
        <v>-946</v>
      </c>
      <c r="E420" s="1">
        <v>-99.42</v>
      </c>
    </row>
    <row r="421" spans="1:5">
      <c r="A421" s="1" t="str">
        <f>"093000070920003"</f>
        <v>093000070920003</v>
      </c>
      <c r="B421" s="1" t="str">
        <f>"陈洁"</f>
        <v>陈洁</v>
      </c>
      <c r="C421" s="1">
        <v>0</v>
      </c>
      <c r="D421" s="1">
        <v>-566</v>
      </c>
      <c r="E421" s="1">
        <v>-342.81</v>
      </c>
    </row>
    <row r="422" spans="1:5">
      <c r="A422" s="1" t="str">
        <f>"093000040001920057"</f>
        <v>093000040001920057</v>
      </c>
      <c r="B422" s="1" t="str">
        <f>"莫胜森"</f>
        <v>莫胜森</v>
      </c>
      <c r="C422" s="1">
        <v>0</v>
      </c>
      <c r="D422" s="1">
        <v>0</v>
      </c>
      <c r="E422" s="1">
        <v>0</v>
      </c>
    </row>
    <row r="423" spans="1:5">
      <c r="A423" s="1" t="str">
        <f>"093000070920004"</f>
        <v>093000070920004</v>
      </c>
      <c r="B423" s="1" t="str">
        <f>"郭大洋"</f>
        <v>郭大洋</v>
      </c>
      <c r="C423" s="1">
        <v>0</v>
      </c>
      <c r="D423" s="1">
        <v>-886</v>
      </c>
      <c r="E423" s="1">
        <v>-199.53</v>
      </c>
    </row>
    <row r="424" spans="1:5">
      <c r="A424" s="1" t="str">
        <f>"093000920394"</f>
        <v>093000920394</v>
      </c>
      <c r="B424" s="1" t="str">
        <f>"马鑫隆"</f>
        <v>马鑫隆</v>
      </c>
      <c r="C424" s="1">
        <v>0</v>
      </c>
      <c r="D424" s="1">
        <v>0</v>
      </c>
      <c r="E424" s="1">
        <v>0</v>
      </c>
    </row>
    <row r="425" spans="1:5">
      <c r="A425" s="1" t="str">
        <f>"093000067920025"</f>
        <v>093000067920025</v>
      </c>
      <c r="B425" s="1" t="str">
        <f>"陈仁良"</f>
        <v>陈仁良</v>
      </c>
      <c r="C425" s="1">
        <v>0</v>
      </c>
      <c r="D425" s="1">
        <v>-60</v>
      </c>
      <c r="E425" s="1">
        <v>-495.39</v>
      </c>
    </row>
    <row r="426" spans="1:5">
      <c r="A426" s="1" t="str">
        <f>"093000920399"</f>
        <v>093000920399</v>
      </c>
      <c r="B426" s="1" t="str">
        <f>"张旭"</f>
        <v>张旭</v>
      </c>
      <c r="C426" s="1">
        <v>-65</v>
      </c>
      <c r="D426" s="1">
        <v>-1436</v>
      </c>
      <c r="E426" s="1">
        <v>-372.36</v>
      </c>
    </row>
    <row r="427" spans="1:5">
      <c r="A427" s="1" t="str">
        <f>"093000063920003"</f>
        <v>093000063920003</v>
      </c>
      <c r="B427" s="1" t="str">
        <f>"郭彬"</f>
        <v>郭彬</v>
      </c>
      <c r="C427" s="1">
        <v>0</v>
      </c>
      <c r="D427" s="1">
        <v>0</v>
      </c>
      <c r="E427" s="1">
        <v>0</v>
      </c>
    </row>
    <row r="428" spans="1:5">
      <c r="A428" s="1" t="str">
        <f>"093000063920004"</f>
        <v>093000063920004</v>
      </c>
      <c r="B428" s="1" t="str">
        <f>"郭建强"</f>
        <v>郭建强</v>
      </c>
      <c r="C428" s="1">
        <v>0</v>
      </c>
      <c r="D428" s="1">
        <v>0</v>
      </c>
      <c r="E428" s="1">
        <v>0</v>
      </c>
    </row>
    <row r="429" spans="1:5">
      <c r="A429" s="1" t="str">
        <f>"093000067920027"</f>
        <v>093000067920027</v>
      </c>
      <c r="B429" s="1" t="str">
        <f>"程英"</f>
        <v>程英</v>
      </c>
      <c r="C429" s="1">
        <v>0</v>
      </c>
      <c r="D429" s="1">
        <v>-6</v>
      </c>
      <c r="E429" s="1">
        <v>-6.98</v>
      </c>
    </row>
    <row r="430" spans="1:5">
      <c r="A430" s="1" t="str">
        <f>"093000049920033"</f>
        <v>093000049920033</v>
      </c>
      <c r="B430" s="1" t="str">
        <f>"杨卫东"</f>
        <v>杨卫东</v>
      </c>
      <c r="C430" s="1">
        <v>0</v>
      </c>
      <c r="D430" s="1">
        <v>-940</v>
      </c>
      <c r="E430" s="1">
        <v>-555.11</v>
      </c>
    </row>
    <row r="431" spans="1:5">
      <c r="A431" s="1" t="str">
        <f>"093000040001920059"</f>
        <v>093000040001920059</v>
      </c>
      <c r="B431" s="1" t="str">
        <f>"胡朝伟"</f>
        <v>胡朝伟</v>
      </c>
      <c r="C431" s="1">
        <v>0</v>
      </c>
      <c r="D431" s="1">
        <v>920</v>
      </c>
      <c r="E431" s="1">
        <v>-81.31</v>
      </c>
    </row>
    <row r="432" spans="1:5">
      <c r="A432" s="1" t="str">
        <f>"093000041920019"</f>
        <v>093000041920019</v>
      </c>
      <c r="B432" s="1" t="str">
        <f>"路晨"</f>
        <v>路晨</v>
      </c>
      <c r="C432" s="1">
        <v>0</v>
      </c>
      <c r="D432" s="1">
        <v>-1088</v>
      </c>
      <c r="E432" s="1">
        <v>-109.02</v>
      </c>
    </row>
    <row r="433" spans="1:5">
      <c r="A433" s="1" t="str">
        <f>"093000041920020"</f>
        <v>093000041920020</v>
      </c>
      <c r="B433" s="1" t="str">
        <f>"龙涛"</f>
        <v>龙涛</v>
      </c>
      <c r="C433" s="1">
        <v>0</v>
      </c>
      <c r="D433" s="1">
        <v>998</v>
      </c>
      <c r="E433" s="1">
        <v>-109.02</v>
      </c>
    </row>
    <row r="434" spans="1:5">
      <c r="A434" s="1" t="str">
        <f>"093000059920008"</f>
        <v>093000059920008</v>
      </c>
      <c r="B434" s="1" t="str">
        <f>"马自瑞"</f>
        <v>马自瑞</v>
      </c>
      <c r="C434" s="1">
        <v>-12865</v>
      </c>
      <c r="D434" s="1">
        <v>1447</v>
      </c>
      <c r="E434" s="1">
        <v>-3086.04</v>
      </c>
    </row>
    <row r="435" spans="1:5">
      <c r="A435" s="1" t="str">
        <f>"093000063920005"</f>
        <v>093000063920005</v>
      </c>
      <c r="B435" s="1" t="str">
        <f>"潘浩毅"</f>
        <v>潘浩毅</v>
      </c>
      <c r="C435" s="1">
        <v>-300</v>
      </c>
      <c r="D435" s="1">
        <v>-600</v>
      </c>
      <c r="E435" s="1">
        <v>-78.9</v>
      </c>
    </row>
    <row r="436" spans="1:5">
      <c r="A436" s="1" t="str">
        <f>"093000040001920061"</f>
        <v>093000040001920061</v>
      </c>
      <c r="B436" s="1" t="str">
        <f>"韦炳艺"</f>
        <v>韦炳艺</v>
      </c>
      <c r="C436" s="1">
        <v>0</v>
      </c>
      <c r="D436" s="1">
        <v>0</v>
      </c>
      <c r="E436" s="1">
        <v>0</v>
      </c>
    </row>
    <row r="437" spans="1:5">
      <c r="A437" s="1" t="str">
        <f>"093000048920008"</f>
        <v>093000048920008</v>
      </c>
      <c r="B437" s="1" t="str">
        <f>"贾小平"</f>
        <v>贾小平</v>
      </c>
      <c r="C437" s="1">
        <v>-1389</v>
      </c>
      <c r="D437" s="1">
        <v>113</v>
      </c>
      <c r="E437" s="1">
        <v>-487.99</v>
      </c>
    </row>
    <row r="438" spans="1:5">
      <c r="A438" s="1" t="str">
        <f>"093000049920034"</f>
        <v>093000049920034</v>
      </c>
      <c r="B438" s="1" t="str">
        <f>"毛爽"</f>
        <v>毛爽</v>
      </c>
      <c r="C438" s="1">
        <v>0</v>
      </c>
      <c r="D438" s="1">
        <v>-880</v>
      </c>
      <c r="E438" s="1">
        <v>-81.6</v>
      </c>
    </row>
    <row r="439" spans="1:5">
      <c r="A439" s="1" t="str">
        <f>"093000040001920062"</f>
        <v>093000040001920062</v>
      </c>
      <c r="B439" s="1" t="str">
        <f>"杨雪"</f>
        <v>杨雪</v>
      </c>
      <c r="C439" s="1">
        <v>0</v>
      </c>
      <c r="D439" s="1">
        <v>0</v>
      </c>
      <c r="E439" s="1">
        <v>0</v>
      </c>
    </row>
    <row r="440" spans="1:5">
      <c r="A440" s="1" t="str">
        <f>"093000048920010"</f>
        <v>093000048920010</v>
      </c>
      <c r="B440" s="1" t="str">
        <f>"秦艳凡"</f>
        <v>秦艳凡</v>
      </c>
      <c r="C440" s="1">
        <v>-880</v>
      </c>
      <c r="D440" s="1">
        <v>-374</v>
      </c>
      <c r="E440" s="1">
        <v>-178.73</v>
      </c>
    </row>
    <row r="441" spans="1:5">
      <c r="A441" s="1" t="str">
        <f>"093000047920001"</f>
        <v>093000047920001</v>
      </c>
      <c r="B441" s="1" t="str">
        <f>"付国景"</f>
        <v>付国景</v>
      </c>
      <c r="C441" s="1">
        <v>0</v>
      </c>
      <c r="D441" s="1">
        <v>0</v>
      </c>
      <c r="E441" s="1">
        <v>0</v>
      </c>
    </row>
    <row r="442" spans="1:5">
      <c r="A442" s="1" t="str">
        <f>"093000047920002"</f>
        <v>093000047920002</v>
      </c>
      <c r="B442" s="1" t="str">
        <f>"和成栓"</f>
        <v>和成栓</v>
      </c>
      <c r="C442" s="1">
        <v>0</v>
      </c>
      <c r="D442" s="1">
        <v>0</v>
      </c>
      <c r="E442" s="1">
        <v>0</v>
      </c>
    </row>
    <row r="443" spans="1:5">
      <c r="A443" s="1" t="str">
        <f>"093000059920009"</f>
        <v>093000059920009</v>
      </c>
      <c r="B443" s="1" t="str">
        <f>"申康佳"</f>
        <v>申康佳</v>
      </c>
      <c r="C443" s="1">
        <v>0</v>
      </c>
      <c r="D443" s="1">
        <v>0</v>
      </c>
      <c r="E443" s="1">
        <v>0</v>
      </c>
    </row>
    <row r="444" spans="1:5">
      <c r="A444" s="1" t="str">
        <f>"093000040001920064"</f>
        <v>093000040001920064</v>
      </c>
      <c r="B444" s="1" t="str">
        <f>"郭金玲"</f>
        <v>郭金玲</v>
      </c>
      <c r="C444" s="1">
        <v>0</v>
      </c>
      <c r="D444" s="1">
        <v>1658</v>
      </c>
      <c r="E444" s="1">
        <v>-362.87</v>
      </c>
    </row>
    <row r="445" spans="1:5">
      <c r="A445" s="1" t="str">
        <f>"093000040001920065"</f>
        <v>093000040001920065</v>
      </c>
      <c r="B445" s="1" t="str">
        <f>"梁照练"</f>
        <v>梁照练</v>
      </c>
      <c r="C445" s="1">
        <v>0</v>
      </c>
      <c r="D445" s="1">
        <v>0</v>
      </c>
      <c r="E445" s="1">
        <v>0</v>
      </c>
    </row>
    <row r="446" spans="1:5">
      <c r="A446" s="1" t="str">
        <f>"093000037920038"</f>
        <v>093000037920038</v>
      </c>
      <c r="B446" s="1" t="str">
        <f>"马灵灵"</f>
        <v>马灵灵</v>
      </c>
      <c r="C446" s="1">
        <v>-288</v>
      </c>
      <c r="D446" s="1">
        <v>-1152</v>
      </c>
      <c r="E446" s="1">
        <v>-375.19</v>
      </c>
    </row>
    <row r="447" spans="1:5">
      <c r="A447" s="1" t="str">
        <f>"0930000000020"</f>
        <v>0930000000020</v>
      </c>
      <c r="B447" s="1" t="str">
        <f>"郭还还"</f>
        <v>郭还还</v>
      </c>
      <c r="C447" s="1">
        <v>0</v>
      </c>
      <c r="D447" s="1">
        <v>0</v>
      </c>
      <c r="E447" s="1">
        <v>0</v>
      </c>
    </row>
    <row r="448" spans="1:5">
      <c r="A448" s="1" t="str">
        <f>"0930000000026"</f>
        <v>0930000000026</v>
      </c>
      <c r="B448" s="1" t="str">
        <f>"黄星"</f>
        <v>黄星</v>
      </c>
      <c r="C448" s="1">
        <v>30</v>
      </c>
      <c r="D448" s="1">
        <v>-1635</v>
      </c>
      <c r="E448" s="1">
        <v>-652.7</v>
      </c>
    </row>
    <row r="449" spans="1:5">
      <c r="A449" s="1" t="str">
        <f>"0930000000027"</f>
        <v>0930000000027</v>
      </c>
      <c r="B449" s="1" t="str">
        <f>"郭宗良"</f>
        <v>郭宗良</v>
      </c>
      <c r="C449" s="1">
        <v>0</v>
      </c>
      <c r="D449" s="1">
        <v>0</v>
      </c>
      <c r="E449" s="1">
        <v>0</v>
      </c>
    </row>
    <row r="450" spans="1:5">
      <c r="A450" s="1" t="str">
        <f>"093000047920003"</f>
        <v>093000047920003</v>
      </c>
      <c r="B450" s="1" t="str">
        <f>"宋克铎"</f>
        <v>宋克铎</v>
      </c>
      <c r="C450" s="1">
        <v>0</v>
      </c>
      <c r="D450" s="1">
        <v>0</v>
      </c>
      <c r="E450" s="1">
        <v>0</v>
      </c>
    </row>
    <row r="451" spans="1:5">
      <c r="A451" s="1" t="str">
        <f>"093000920402"</f>
        <v>093000920402</v>
      </c>
      <c r="B451" s="1" t="str">
        <f>"宋冲冲"</f>
        <v>宋冲冲</v>
      </c>
      <c r="C451" s="1">
        <v>0</v>
      </c>
      <c r="D451" s="1">
        <v>0</v>
      </c>
      <c r="E451" s="1">
        <v>0</v>
      </c>
    </row>
    <row r="452" spans="1:5">
      <c r="A452" s="1" t="str">
        <f>"093000049920035"</f>
        <v>093000049920035</v>
      </c>
      <c r="B452" s="1" t="str">
        <f>"魏元章"</f>
        <v>魏元章</v>
      </c>
      <c r="C452" s="1">
        <v>0</v>
      </c>
      <c r="D452" s="1">
        <v>-562</v>
      </c>
      <c r="E452" s="1">
        <v>-187.88</v>
      </c>
    </row>
    <row r="453" spans="1:5">
      <c r="A453" s="1" t="str">
        <f>"093000063920006"</f>
        <v>093000063920006</v>
      </c>
      <c r="B453" s="1" t="str">
        <f>"应帅"</f>
        <v>应帅</v>
      </c>
      <c r="C453" s="1">
        <v>0</v>
      </c>
      <c r="D453" s="1">
        <v>-1020</v>
      </c>
      <c r="E453" s="1">
        <v>-79.22</v>
      </c>
    </row>
    <row r="454" spans="1:5">
      <c r="A454" s="1" t="str">
        <f>"093000040920037"</f>
        <v>093000040920037</v>
      </c>
      <c r="B454" s="1" t="str">
        <f>"邓江艳"</f>
        <v>邓江艳</v>
      </c>
      <c r="C454" s="1">
        <v>-486</v>
      </c>
      <c r="D454" s="1">
        <v>-618</v>
      </c>
      <c r="E454" s="1">
        <v>-806.46</v>
      </c>
    </row>
    <row r="455" spans="1:5">
      <c r="A455" s="1" t="str">
        <f>"093000068920005"</f>
        <v>093000068920005</v>
      </c>
      <c r="B455" s="1" t="str">
        <f>"何珏"</f>
        <v>何珏</v>
      </c>
      <c r="C455" s="1">
        <v>0</v>
      </c>
      <c r="D455" s="1">
        <v>0</v>
      </c>
      <c r="E455" s="1">
        <v>0</v>
      </c>
    </row>
    <row r="456" spans="1:5">
      <c r="A456" s="1" t="str">
        <f>"093000059920010"</f>
        <v>093000059920010</v>
      </c>
      <c r="B456" s="1" t="str">
        <f>"蒋海涛"</f>
        <v>蒋海涛</v>
      </c>
      <c r="C456" s="1">
        <v>0</v>
      </c>
      <c r="D456" s="1">
        <v>0</v>
      </c>
      <c r="E456" s="1">
        <v>0</v>
      </c>
    </row>
    <row r="457" spans="1:5">
      <c r="A457" s="1" t="str">
        <f>"0930000000028"</f>
        <v>0930000000028</v>
      </c>
      <c r="B457" s="1" t="str">
        <f>"吴桂霞"</f>
        <v>吴桂霞</v>
      </c>
      <c r="C457" s="1">
        <v>0</v>
      </c>
      <c r="D457" s="1">
        <v>-12</v>
      </c>
      <c r="E457" s="1">
        <v>-6.89</v>
      </c>
    </row>
    <row r="458" spans="1:5">
      <c r="A458" s="1" t="str">
        <f>"093000049920036"</f>
        <v>093000049920036</v>
      </c>
      <c r="B458" s="1" t="str">
        <f>"张静"</f>
        <v>张静</v>
      </c>
      <c r="C458" s="1">
        <v>0</v>
      </c>
      <c r="D458" s="1">
        <v>-920</v>
      </c>
      <c r="E458" s="1">
        <v>-77.54</v>
      </c>
    </row>
    <row r="459" spans="1:5">
      <c r="A459" s="1" t="str">
        <f>"093000037920039"</f>
        <v>093000037920039</v>
      </c>
      <c r="B459" s="1" t="str">
        <f>"杨帅"</f>
        <v>杨帅</v>
      </c>
      <c r="C459" s="1">
        <v>0</v>
      </c>
      <c r="D459" s="1">
        <v>0</v>
      </c>
      <c r="E459" s="1">
        <v>0</v>
      </c>
    </row>
    <row r="460" spans="1:5">
      <c r="A460" s="1" t="str">
        <f>"093000040001920067"</f>
        <v>093000040001920067</v>
      </c>
      <c r="B460" s="1" t="str">
        <f>"卢艺"</f>
        <v>卢艺</v>
      </c>
      <c r="C460" s="1">
        <v>0</v>
      </c>
      <c r="D460" s="1">
        <v>-1280</v>
      </c>
      <c r="E460" s="1">
        <v>-159.04</v>
      </c>
    </row>
    <row r="461" spans="1:5">
      <c r="A461" s="1" t="str">
        <f>"093000040920039"</f>
        <v>093000040920039</v>
      </c>
      <c r="B461" s="1" t="str">
        <f>"郭晓辉"</f>
        <v>郭晓辉</v>
      </c>
      <c r="C461" s="1">
        <v>0</v>
      </c>
      <c r="D461" s="1">
        <v>104</v>
      </c>
      <c r="E461" s="1">
        <v>-110.81</v>
      </c>
    </row>
    <row r="462" spans="1:5">
      <c r="A462" s="1" t="str">
        <f>"093000040920038"</f>
        <v>093000040920038</v>
      </c>
      <c r="B462" s="1" t="str">
        <f>"张继存"</f>
        <v>张继存</v>
      </c>
      <c r="C462" s="1">
        <v>0</v>
      </c>
      <c r="D462" s="1">
        <v>0</v>
      </c>
      <c r="E462" s="1">
        <v>0</v>
      </c>
    </row>
    <row r="463" spans="1:5">
      <c r="A463" s="1" t="str">
        <f>"093000041920021"</f>
        <v>093000041920021</v>
      </c>
      <c r="B463" s="1" t="str">
        <f>"邬振"</f>
        <v>邬振</v>
      </c>
      <c r="C463" s="1">
        <v>0</v>
      </c>
      <c r="D463" s="1">
        <v>-1138</v>
      </c>
      <c r="E463" s="1">
        <v>-111.42</v>
      </c>
    </row>
    <row r="464" spans="1:5">
      <c r="A464" s="1" t="str">
        <f>"093000037920040"</f>
        <v>093000037920040</v>
      </c>
      <c r="B464" s="1" t="str">
        <f>"冯锦辉"</f>
        <v>冯锦辉</v>
      </c>
      <c r="C464" s="1">
        <v>0</v>
      </c>
      <c r="D464" s="1">
        <v>0</v>
      </c>
      <c r="E464" s="1">
        <v>0</v>
      </c>
    </row>
    <row r="465" spans="1:5">
      <c r="A465" s="1" t="str">
        <f>"093000067920033"</f>
        <v>093000067920033</v>
      </c>
      <c r="B465" s="1" t="str">
        <f>"刘九平"</f>
        <v>刘九平</v>
      </c>
      <c r="C465" s="1">
        <v>0</v>
      </c>
      <c r="D465" s="1">
        <v>0</v>
      </c>
      <c r="E465" s="1">
        <v>0</v>
      </c>
    </row>
    <row r="466" spans="1:5">
      <c r="A466" s="1" t="str">
        <f>"0930000000029"</f>
        <v>0930000000029</v>
      </c>
      <c r="B466" s="1" t="str">
        <f>"代世文"</f>
        <v>代世文</v>
      </c>
      <c r="C466" s="1">
        <v>0</v>
      </c>
      <c r="D466" s="1">
        <v>0</v>
      </c>
      <c r="E466" s="1">
        <v>0</v>
      </c>
    </row>
    <row r="467" spans="1:5">
      <c r="A467" s="1" t="str">
        <f>"093000037920041"</f>
        <v>093000037920041</v>
      </c>
      <c r="B467" s="1" t="str">
        <f>"韩玉坤"</f>
        <v>韩玉坤</v>
      </c>
      <c r="C467" s="1">
        <v>0</v>
      </c>
      <c r="D467" s="1">
        <v>-172</v>
      </c>
      <c r="E467" s="1">
        <v>-48.75</v>
      </c>
    </row>
    <row r="468" spans="1:5">
      <c r="A468" s="1" t="str">
        <f>"093000040001920068"</f>
        <v>093000040001920068</v>
      </c>
      <c r="B468" s="1" t="str">
        <f>"邱明铭"</f>
        <v>邱明铭</v>
      </c>
      <c r="C468" s="1">
        <v>0</v>
      </c>
      <c r="D468" s="1">
        <v>-1134</v>
      </c>
      <c r="E468" s="1">
        <v>-119.66</v>
      </c>
    </row>
    <row r="469" spans="1:5">
      <c r="A469" s="1" t="str">
        <f>"093000046920006"</f>
        <v>093000046920006</v>
      </c>
      <c r="B469" s="1" t="str">
        <f>"杨文辉"</f>
        <v>杨文辉</v>
      </c>
      <c r="C469" s="1">
        <v>0</v>
      </c>
      <c r="D469" s="1">
        <v>-2316</v>
      </c>
      <c r="E469" s="1">
        <v>-558.33</v>
      </c>
    </row>
    <row r="470" spans="1:5">
      <c r="A470" s="1" t="str">
        <f>"093000040920040"</f>
        <v>093000040920040</v>
      </c>
      <c r="B470" s="1" t="str">
        <f>"毛延涛"</f>
        <v>毛延涛</v>
      </c>
      <c r="C470" s="1">
        <v>0</v>
      </c>
      <c r="D470" s="1">
        <v>0</v>
      </c>
      <c r="E470" s="1">
        <v>0</v>
      </c>
    </row>
    <row r="471" spans="1:5">
      <c r="A471" s="1" t="str">
        <f>"0930000000030"</f>
        <v>0930000000030</v>
      </c>
      <c r="B471" s="1" t="str">
        <f>"丘文发"</f>
        <v>丘文发</v>
      </c>
      <c r="C471" s="1">
        <v>0</v>
      </c>
      <c r="D471" s="1">
        <v>-980</v>
      </c>
      <c r="E471" s="1">
        <v>-78.58</v>
      </c>
    </row>
    <row r="472" spans="1:5">
      <c r="A472" s="1" t="str">
        <f>"0930000740000"</f>
        <v>0930000740000</v>
      </c>
      <c r="B472" s="1" t="str">
        <f>"林锦荣"</f>
        <v>林锦荣</v>
      </c>
      <c r="C472" s="1">
        <v>0</v>
      </c>
      <c r="D472" s="1">
        <v>588</v>
      </c>
      <c r="E472" s="1">
        <v>-320.64</v>
      </c>
    </row>
    <row r="473" spans="1:5">
      <c r="A473" s="1" t="str">
        <f>"0930000000031"</f>
        <v>0930000000031</v>
      </c>
      <c r="B473" s="1" t="str">
        <f>"任亚迪"</f>
        <v>任亚迪</v>
      </c>
      <c r="C473" s="1">
        <v>0</v>
      </c>
      <c r="D473" s="1">
        <v>0</v>
      </c>
      <c r="E473" s="1">
        <v>0</v>
      </c>
    </row>
    <row r="474" spans="1:5">
      <c r="A474" s="1" t="str">
        <f>"093000067920035"</f>
        <v>093000067920035</v>
      </c>
      <c r="B474" s="1" t="str">
        <f>"周浩"</f>
        <v>周浩</v>
      </c>
      <c r="C474" s="1">
        <v>0</v>
      </c>
      <c r="D474" s="1">
        <v>0</v>
      </c>
      <c r="E474" s="1">
        <v>0</v>
      </c>
    </row>
    <row r="475" spans="1:5">
      <c r="A475" s="1" t="str">
        <f>"0930000000032"</f>
        <v>0930000000032</v>
      </c>
      <c r="B475" s="1" t="str">
        <f>"王立"</f>
        <v>王立</v>
      </c>
      <c r="C475" s="1">
        <v>49</v>
      </c>
      <c r="D475" s="1">
        <v>634</v>
      </c>
      <c r="E475" s="1">
        <v>-487.24</v>
      </c>
    </row>
    <row r="476" spans="1:5">
      <c r="A476" s="1" t="str">
        <f>"0930000000033"</f>
        <v>0930000000033</v>
      </c>
      <c r="B476" s="1" t="str">
        <f>"魏乾卫"</f>
        <v>魏乾卫</v>
      </c>
      <c r="C476" s="1">
        <v>0</v>
      </c>
      <c r="D476" s="1">
        <v>-18</v>
      </c>
      <c r="E476" s="1">
        <v>-7.06</v>
      </c>
    </row>
    <row r="477" spans="1:5">
      <c r="A477" s="1" t="str">
        <f>"093000920410"</f>
        <v>093000920410</v>
      </c>
      <c r="B477" s="1" t="str">
        <f>"朱树果"</f>
        <v>朱树果</v>
      </c>
      <c r="C477" s="1">
        <v>-309</v>
      </c>
      <c r="D477" s="1">
        <v>-1105</v>
      </c>
      <c r="E477" s="1">
        <v>-275.87</v>
      </c>
    </row>
    <row r="478" spans="1:5">
      <c r="A478" s="1" t="str">
        <f>"093000040001920070"</f>
        <v>093000040001920070</v>
      </c>
      <c r="B478" s="1" t="str">
        <f>"宁淑梅"</f>
        <v>宁淑梅</v>
      </c>
      <c r="C478" s="1">
        <v>0</v>
      </c>
      <c r="D478" s="1">
        <v>0</v>
      </c>
      <c r="E478" s="1">
        <v>0</v>
      </c>
    </row>
    <row r="479" spans="1:5">
      <c r="A479" s="1" t="str">
        <f>"093000068920007"</f>
        <v>093000068920007</v>
      </c>
      <c r="B479" s="1" t="str">
        <f>"蔡桁"</f>
        <v>蔡桁</v>
      </c>
      <c r="C479" s="1">
        <v>0</v>
      </c>
      <c r="D479" s="1">
        <v>-954</v>
      </c>
      <c r="E479" s="1">
        <v>-110.86</v>
      </c>
    </row>
    <row r="480" spans="1:5">
      <c r="A480" s="1" t="str">
        <f>"093000046920007"</f>
        <v>093000046920007</v>
      </c>
      <c r="B480" s="1" t="str">
        <f>"李树先"</f>
        <v>李树先</v>
      </c>
      <c r="C480" s="1">
        <v>-347</v>
      </c>
      <c r="D480" s="1">
        <v>-353</v>
      </c>
      <c r="E480" s="1">
        <v>-719.7</v>
      </c>
    </row>
    <row r="481" spans="1:5">
      <c r="A481" s="1" t="str">
        <f>"093000067920037"</f>
        <v>093000067920037</v>
      </c>
      <c r="B481" s="1" t="str">
        <f>"王华涛"</f>
        <v>王华涛</v>
      </c>
      <c r="C481" s="1">
        <v>0</v>
      </c>
      <c r="D481" s="1">
        <v>-8</v>
      </c>
      <c r="E481" s="1">
        <v>-7.05</v>
      </c>
    </row>
    <row r="482" spans="1:5">
      <c r="A482" s="1" t="str">
        <f>"093000040001920069"</f>
        <v>093000040001920069</v>
      </c>
      <c r="B482" s="1" t="str">
        <f>"邱丽妮"</f>
        <v>邱丽妮</v>
      </c>
      <c r="C482" s="1">
        <v>2443</v>
      </c>
      <c r="D482" s="1">
        <v>-612</v>
      </c>
      <c r="E482" s="1">
        <v>-173.27</v>
      </c>
    </row>
    <row r="483" spans="1:5">
      <c r="A483" s="1" t="str">
        <f>"093000064920014"</f>
        <v>093000064920014</v>
      </c>
      <c r="B483" s="1" t="str">
        <f>"庞金龙"</f>
        <v>庞金龙</v>
      </c>
      <c r="C483" s="1">
        <v>-246</v>
      </c>
      <c r="D483" s="1">
        <v>-7</v>
      </c>
      <c r="E483" s="1">
        <v>-1363.96</v>
      </c>
    </row>
    <row r="484" spans="1:5">
      <c r="A484" s="1" t="str">
        <f>"0930000000034"</f>
        <v>0930000000034</v>
      </c>
      <c r="B484" s="1" t="str">
        <f>"陈赞汝"</f>
        <v>陈赞汝</v>
      </c>
      <c r="C484" s="1">
        <v>0</v>
      </c>
      <c r="D484" s="1">
        <v>1000</v>
      </c>
      <c r="E484" s="1">
        <v>-79.1</v>
      </c>
    </row>
    <row r="485" spans="1:5">
      <c r="A485" s="1" t="str">
        <f>"0930000000035"</f>
        <v>0930000000035</v>
      </c>
      <c r="B485" s="1" t="str">
        <f>"郭君蒙"</f>
        <v>郭君蒙</v>
      </c>
      <c r="C485" s="1">
        <v>0</v>
      </c>
      <c r="D485" s="1">
        <v>0</v>
      </c>
      <c r="E485" s="1">
        <v>0</v>
      </c>
    </row>
    <row r="486" spans="1:5">
      <c r="A486" s="1" t="str">
        <f>"093000064920016"</f>
        <v>093000064920016</v>
      </c>
      <c r="B486" s="1" t="str">
        <f>"潘志远"</f>
        <v>潘志远</v>
      </c>
      <c r="C486" s="1">
        <v>-215</v>
      </c>
      <c r="D486" s="1">
        <v>1088</v>
      </c>
      <c r="E486" s="1">
        <v>-510.2</v>
      </c>
    </row>
    <row r="487" spans="1:5">
      <c r="A487" s="1" t="str">
        <f>"093000064920017"</f>
        <v>093000064920017</v>
      </c>
      <c r="B487" s="1" t="str">
        <f>"闫振强"</f>
        <v>闫振强</v>
      </c>
      <c r="C487" s="1">
        <v>-1261</v>
      </c>
      <c r="D487" s="1">
        <v>-1412</v>
      </c>
      <c r="E487" s="1">
        <v>-961.72</v>
      </c>
    </row>
    <row r="488" spans="1:5">
      <c r="A488" s="1" t="str">
        <f>"093000067920039"</f>
        <v>093000067920039</v>
      </c>
      <c r="B488" s="1" t="str">
        <f>" 刘俊"</f>
        <v> 刘俊</v>
      </c>
      <c r="C488" s="1">
        <v>0</v>
      </c>
      <c r="D488" s="1">
        <v>0</v>
      </c>
      <c r="E488" s="1">
        <v>0</v>
      </c>
    </row>
    <row r="489" spans="1:5">
      <c r="A489" s="1" t="str">
        <f>"093000059920011"</f>
        <v>093000059920011</v>
      </c>
      <c r="B489" s="1" t="str">
        <f>"张洁"</f>
        <v>张洁</v>
      </c>
      <c r="C489" s="1">
        <v>0</v>
      </c>
      <c r="D489" s="1">
        <v>343</v>
      </c>
      <c r="E489" s="1">
        <v>-874.12</v>
      </c>
    </row>
    <row r="490" spans="1:5">
      <c r="A490" s="1" t="str">
        <f>"093000071920002"</f>
        <v>093000071920002</v>
      </c>
      <c r="B490" s="1" t="str">
        <f>"郑长江"</f>
        <v>郑长江</v>
      </c>
      <c r="C490" s="1">
        <v>0</v>
      </c>
      <c r="D490" s="1">
        <v>0</v>
      </c>
      <c r="E490" s="1">
        <v>0</v>
      </c>
    </row>
    <row r="491" spans="1:5">
      <c r="A491" s="1" t="str">
        <f>"093000040920041"</f>
        <v>093000040920041</v>
      </c>
      <c r="B491" s="1" t="str">
        <f>"张延军"</f>
        <v>张延军</v>
      </c>
      <c r="C491" s="1">
        <v>0</v>
      </c>
      <c r="D491" s="1">
        <v>0</v>
      </c>
      <c r="E491" s="1">
        <v>0</v>
      </c>
    </row>
    <row r="492" spans="1:5">
      <c r="A492" s="1" t="str">
        <f>"093000040920042"</f>
        <v>093000040920042</v>
      </c>
      <c r="B492" s="1" t="str">
        <f>"肖洒"</f>
        <v>肖洒</v>
      </c>
      <c r="C492" s="1">
        <v>0</v>
      </c>
      <c r="D492" s="1">
        <v>0</v>
      </c>
      <c r="E492" s="1">
        <v>0</v>
      </c>
    </row>
    <row r="493" spans="1:5">
      <c r="A493" s="1" t="str">
        <f>"093000920413"</f>
        <v>093000920413</v>
      </c>
      <c r="B493" s="1" t="str">
        <f>"胡娟"</f>
        <v>胡娟</v>
      </c>
      <c r="C493" s="1">
        <v>0</v>
      </c>
      <c r="D493" s="1">
        <v>0</v>
      </c>
      <c r="E493" s="1">
        <v>0</v>
      </c>
    </row>
    <row r="494" spans="1:5">
      <c r="A494" s="1" t="str">
        <f>"0930000740002"</f>
        <v>0930000740002</v>
      </c>
      <c r="B494" s="1" t="str">
        <f>"彭志恒 	"</f>
        <v>彭志恒 	</v>
      </c>
      <c r="C494" s="1">
        <v>-28</v>
      </c>
      <c r="D494" s="1">
        <v>-84</v>
      </c>
      <c r="E494" s="1">
        <v>-27.27</v>
      </c>
    </row>
    <row r="495" spans="1:5">
      <c r="A495" s="1" t="str">
        <f>"0930000740003"</f>
        <v>0930000740003</v>
      </c>
      <c r="B495" s="1" t="str">
        <f>"孟家才"</f>
        <v>孟家才</v>
      </c>
      <c r="C495" s="1">
        <v>0</v>
      </c>
      <c r="D495" s="1">
        <v>0</v>
      </c>
      <c r="E495" s="1">
        <v>0</v>
      </c>
    </row>
    <row r="496" spans="1:5">
      <c r="A496" s="1" t="str">
        <f>"093000920415"</f>
        <v>093000920415</v>
      </c>
      <c r="B496" s="1" t="str">
        <f>"任颖俊"</f>
        <v>任颖俊</v>
      </c>
      <c r="C496" s="1">
        <v>0</v>
      </c>
      <c r="D496" s="1">
        <v>0</v>
      </c>
      <c r="E496" s="1">
        <v>0</v>
      </c>
    </row>
    <row r="497" spans="1:5">
      <c r="A497" s="1" t="str">
        <f>"093000920414"</f>
        <v>093000920414</v>
      </c>
      <c r="B497" s="1" t="str">
        <f>"张恒"</f>
        <v>张恒</v>
      </c>
      <c r="C497" s="1">
        <v>0</v>
      </c>
      <c r="D497" s="1">
        <v>0</v>
      </c>
      <c r="E497" s="1">
        <v>0</v>
      </c>
    </row>
    <row r="498" spans="1:5">
      <c r="A498" s="1" t="str">
        <f>"093000041920022"</f>
        <v>093000041920022</v>
      </c>
      <c r="B498" s="1" t="str">
        <f>"谭观峰"</f>
        <v>谭观峰</v>
      </c>
      <c r="C498" s="1">
        <v>0</v>
      </c>
      <c r="D498" s="1">
        <v>-1088</v>
      </c>
      <c r="E498" s="1">
        <v>-109.4</v>
      </c>
    </row>
    <row r="499" spans="1:5">
      <c r="A499" s="1" t="str">
        <f>"093000044920002"</f>
        <v>093000044920002</v>
      </c>
      <c r="B499" s="1" t="str">
        <f>"吕淅淅"</f>
        <v>吕淅淅</v>
      </c>
      <c r="C499" s="1">
        <v>0</v>
      </c>
      <c r="D499" s="1">
        <v>0</v>
      </c>
      <c r="E499" s="1">
        <v>0</v>
      </c>
    </row>
    <row r="500" spans="1:5">
      <c r="A500" s="1" t="str">
        <f>"093000920419"</f>
        <v>093000920419</v>
      </c>
      <c r="B500" s="1" t="str">
        <f>"郑翔宇"</f>
        <v>郑翔宇</v>
      </c>
      <c r="C500" s="1">
        <v>0</v>
      </c>
      <c r="D500" s="1">
        <v>-3</v>
      </c>
      <c r="E500" s="1">
        <v>-6.96</v>
      </c>
    </row>
    <row r="501" spans="1:5">
      <c r="A501" s="1" t="str">
        <f>"093000064920020"</f>
        <v>093000064920020</v>
      </c>
      <c r="B501" s="1" t="str">
        <f>"李华敏"</f>
        <v>李华敏</v>
      </c>
      <c r="C501" s="1">
        <v>0</v>
      </c>
      <c r="D501" s="1">
        <v>-1096</v>
      </c>
      <c r="E501" s="1">
        <v>-217.19</v>
      </c>
    </row>
    <row r="502" spans="1:5">
      <c r="A502" s="1" t="str">
        <f>"093000066920003"</f>
        <v>093000066920003</v>
      </c>
      <c r="B502" s="1" t="str">
        <f>"杨寒超"</f>
        <v>杨寒超</v>
      </c>
      <c r="C502" s="1">
        <v>0</v>
      </c>
      <c r="D502" s="1">
        <v>0</v>
      </c>
      <c r="E502" s="1">
        <v>0</v>
      </c>
    </row>
    <row r="503" spans="1:5">
      <c r="A503" s="1" t="str">
        <f>"093000920420"</f>
        <v>093000920420</v>
      </c>
      <c r="B503" s="1" t="str">
        <f>"樊首品"</f>
        <v>樊首品</v>
      </c>
      <c r="C503" s="1">
        <v>0</v>
      </c>
      <c r="D503" s="1">
        <v>0</v>
      </c>
      <c r="E503" s="1">
        <v>0</v>
      </c>
    </row>
    <row r="504" spans="1:5">
      <c r="A504" s="1" t="str">
        <f>"0930000740001"</f>
        <v>0930000740001</v>
      </c>
      <c r="B504" s="1" t="str">
        <f>"杨昌优"</f>
        <v>杨昌优</v>
      </c>
      <c r="C504" s="1">
        <v>0</v>
      </c>
      <c r="D504" s="1">
        <v>0</v>
      </c>
      <c r="E504" s="1">
        <v>0</v>
      </c>
    </row>
    <row r="505" spans="1:5">
      <c r="A505" s="1" t="str">
        <f>"093000920423"</f>
        <v>093000920423</v>
      </c>
      <c r="B505" s="1" t="str">
        <f>"罗玮"</f>
        <v>罗玮</v>
      </c>
      <c r="C505" s="1">
        <v>0</v>
      </c>
      <c r="D505" s="1">
        <v>0</v>
      </c>
      <c r="E505" s="1">
        <v>0</v>
      </c>
    </row>
    <row r="506" spans="1:5">
      <c r="A506" s="1" t="str">
        <f>"093000059920012"</f>
        <v>093000059920012</v>
      </c>
      <c r="B506" s="1" t="str">
        <f>"李军伟"</f>
        <v>李军伟</v>
      </c>
      <c r="C506" s="1">
        <v>-207</v>
      </c>
      <c r="D506" s="1">
        <v>-3466</v>
      </c>
      <c r="E506" s="1">
        <v>-1175.36</v>
      </c>
    </row>
    <row r="507" spans="1:5">
      <c r="A507" s="1" t="str">
        <f>"093000046920008"</f>
        <v>093000046920008</v>
      </c>
      <c r="B507" s="1" t="str">
        <f>"李玉勤"</f>
        <v>李玉勤</v>
      </c>
      <c r="C507" s="1">
        <v>0</v>
      </c>
      <c r="D507" s="1">
        <v>-753</v>
      </c>
      <c r="E507" s="1">
        <v>-234.77</v>
      </c>
    </row>
    <row r="508" spans="1:5">
      <c r="A508" s="1" t="str">
        <f>"093000066920008"</f>
        <v>093000066920008</v>
      </c>
      <c r="B508" s="1" t="str">
        <f>"杨帅"</f>
        <v>杨帅</v>
      </c>
      <c r="C508" s="1">
        <v>0</v>
      </c>
      <c r="D508" s="1">
        <v>0</v>
      </c>
      <c r="E508" s="1">
        <v>0</v>
      </c>
    </row>
    <row r="509" spans="1:5">
      <c r="A509" s="1" t="str">
        <f>"093000063920010"</f>
        <v>093000063920010</v>
      </c>
      <c r="B509" s="1" t="str">
        <f>"  罗小娟"</f>
        <v>  罗小娟</v>
      </c>
      <c r="C509" s="1">
        <v>0</v>
      </c>
      <c r="D509" s="1">
        <v>0</v>
      </c>
      <c r="E509" s="1">
        <v>0</v>
      </c>
    </row>
    <row r="510" spans="1:5">
      <c r="A510" s="1" t="str">
        <f>"093000051920006"</f>
        <v>093000051920006</v>
      </c>
      <c r="B510" s="1" t="str">
        <f>"郑志辉"</f>
        <v>郑志辉</v>
      </c>
      <c r="C510" s="1">
        <v>0</v>
      </c>
      <c r="D510" s="1">
        <v>-649</v>
      </c>
      <c r="E510" s="1">
        <v>-396.52</v>
      </c>
    </row>
    <row r="511" spans="1:5">
      <c r="A511" s="1" t="str">
        <f>"093000040001002"</f>
        <v>093000040001002</v>
      </c>
      <c r="B511" s="1" t="str">
        <f>"肖健"</f>
        <v>肖健</v>
      </c>
      <c r="C511" s="1">
        <v>0</v>
      </c>
      <c r="D511" s="1">
        <v>0</v>
      </c>
      <c r="E511" s="1">
        <v>0</v>
      </c>
    </row>
    <row r="512" spans="1:5">
      <c r="A512" s="1" t="str">
        <f>"093000040001920071"</f>
        <v>093000040001920071</v>
      </c>
      <c r="B512" s="1" t="str">
        <f>"吕桂贞"</f>
        <v>吕桂贞</v>
      </c>
      <c r="C512" s="1">
        <v>0</v>
      </c>
      <c r="D512" s="1">
        <v>1000</v>
      </c>
      <c r="E512" s="1">
        <v>-79</v>
      </c>
    </row>
    <row r="513" spans="1:5">
      <c r="A513" s="1" t="str">
        <f>"093000040001920073"</f>
        <v>093000040001920073</v>
      </c>
      <c r="B513" s="1" t="str">
        <f>"梁兴勇"</f>
        <v>梁兴勇</v>
      </c>
      <c r="C513" s="1">
        <v>-500</v>
      </c>
      <c r="D513" s="1">
        <v>-540</v>
      </c>
      <c r="E513" s="1">
        <v>-77.95</v>
      </c>
    </row>
    <row r="514" spans="1:5">
      <c r="A514" s="1" t="str">
        <f>"093000040001920072"</f>
        <v>093000040001920072</v>
      </c>
      <c r="B514" s="1" t="str">
        <f>"林圣容"</f>
        <v>林圣容</v>
      </c>
      <c r="C514" s="1">
        <v>0</v>
      </c>
      <c r="D514" s="1">
        <v>0</v>
      </c>
      <c r="E514" s="1">
        <v>0</v>
      </c>
    </row>
    <row r="515" spans="1:5">
      <c r="A515" s="1" t="str">
        <f>"093000040001920074"</f>
        <v>093000040001920074</v>
      </c>
      <c r="B515" s="1" t="str">
        <f>"余霞"</f>
        <v>余霞</v>
      </c>
      <c r="C515" s="1">
        <v>0</v>
      </c>
      <c r="D515" s="1">
        <v>0</v>
      </c>
      <c r="E515" s="1">
        <v>0</v>
      </c>
    </row>
    <row r="516" spans="1:5">
      <c r="A516" s="1" t="str">
        <f>"093000059920013"</f>
        <v>093000059920013</v>
      </c>
      <c r="B516" s="1" t="str">
        <f>"李军良"</f>
        <v>李军良</v>
      </c>
      <c r="C516" s="1">
        <v>-1792</v>
      </c>
      <c r="D516" s="1">
        <v>2508</v>
      </c>
      <c r="E516" s="1">
        <v>-1362.05</v>
      </c>
    </row>
    <row r="517" spans="1:5">
      <c r="A517" s="1" t="str">
        <f>"093000068920008"</f>
        <v>093000068920008</v>
      </c>
      <c r="B517" s="1" t="str">
        <f>"黄彩金"</f>
        <v>黄彩金</v>
      </c>
      <c r="C517" s="1">
        <v>0</v>
      </c>
      <c r="D517" s="1">
        <v>-16</v>
      </c>
      <c r="E517" s="1">
        <v>-6.69</v>
      </c>
    </row>
    <row r="518" spans="1:5">
      <c r="A518" s="1" t="str">
        <f>"093000049920037"</f>
        <v>093000049920037</v>
      </c>
      <c r="B518" s="1" t="str">
        <f>"李佩"</f>
        <v>李佩</v>
      </c>
      <c r="C518" s="1">
        <v>0</v>
      </c>
      <c r="D518" s="1">
        <v>70</v>
      </c>
      <c r="E518" s="1">
        <v>-110.87</v>
      </c>
    </row>
    <row r="519" spans="1:5">
      <c r="A519" s="1" t="str">
        <f>"093000040920043"</f>
        <v>093000040920043</v>
      </c>
      <c r="B519" s="1" t="str">
        <f>"杨兆金"</f>
        <v>杨兆金</v>
      </c>
      <c r="C519" s="1">
        <v>0</v>
      </c>
      <c r="D519" s="1">
        <v>0</v>
      </c>
      <c r="E519" s="1">
        <v>0</v>
      </c>
    </row>
    <row r="520" spans="1:5">
      <c r="A520" s="1" t="str">
        <f>"093000047920004"</f>
        <v>093000047920004</v>
      </c>
      <c r="B520" s="1" t="str">
        <f>"付保玺"</f>
        <v>付保玺</v>
      </c>
      <c r="C520" s="1">
        <v>-659</v>
      </c>
      <c r="D520" s="1">
        <v>217</v>
      </c>
      <c r="E520" s="1">
        <v>-943.97</v>
      </c>
    </row>
    <row r="521" spans="1:5">
      <c r="A521" s="1" t="str">
        <f>"093000064920021"</f>
        <v>093000064920021</v>
      </c>
      <c r="B521" s="1" t="str">
        <f>"吴长建"</f>
        <v>吴长建</v>
      </c>
      <c r="C521" s="1">
        <v>0</v>
      </c>
      <c r="D521" s="1">
        <v>1455</v>
      </c>
      <c r="E521" s="1">
        <v>-111.09</v>
      </c>
    </row>
    <row r="522" spans="1:5">
      <c r="A522" s="1" t="str">
        <f>"093000044920004"</f>
        <v>093000044920004</v>
      </c>
      <c r="B522" s="1" t="str">
        <f>"贾西闯"</f>
        <v>贾西闯</v>
      </c>
      <c r="C522" s="1">
        <v>0</v>
      </c>
      <c r="D522" s="1">
        <v>0</v>
      </c>
      <c r="E522" s="1">
        <v>0</v>
      </c>
    </row>
    <row r="523" spans="1:5">
      <c r="A523" s="1" t="str">
        <f>"093000047920005"</f>
        <v>093000047920005</v>
      </c>
      <c r="B523" s="1" t="str">
        <f>"邢文勤"</f>
        <v>邢文勤</v>
      </c>
      <c r="C523" s="1">
        <v>-2911</v>
      </c>
      <c r="D523" s="1">
        <v>617</v>
      </c>
      <c r="E523" s="1">
        <v>-1747.14</v>
      </c>
    </row>
    <row r="524" spans="1:5">
      <c r="A524" s="1" t="str">
        <f>"093000040001920075"</f>
        <v>093000040001920075</v>
      </c>
      <c r="B524" s="1" t="str">
        <f>"林满章"</f>
        <v>林满章</v>
      </c>
      <c r="C524" s="1">
        <v>320</v>
      </c>
      <c r="D524" s="1">
        <v>1560</v>
      </c>
      <c r="E524" s="1">
        <v>-219.51</v>
      </c>
    </row>
    <row r="525" spans="1:5">
      <c r="A525" s="1" t="str">
        <f>"093000037920042"</f>
        <v>093000037920042</v>
      </c>
      <c r="B525" s="1" t="str">
        <f>"张清明"</f>
        <v>张清明</v>
      </c>
      <c r="C525" s="1">
        <v>0</v>
      </c>
      <c r="D525" s="1">
        <v>-10</v>
      </c>
      <c r="E525" s="1">
        <v>-196.24</v>
      </c>
    </row>
    <row r="526" spans="1:5">
      <c r="A526" s="1" t="str">
        <f>"093000046920009"</f>
        <v>093000046920009</v>
      </c>
      <c r="B526" s="1" t="str">
        <f>"侯林强"</f>
        <v>侯林强</v>
      </c>
      <c r="C526" s="1">
        <v>0</v>
      </c>
      <c r="D526" s="1">
        <v>0</v>
      </c>
      <c r="E526" s="1">
        <v>0</v>
      </c>
    </row>
    <row r="527" spans="1:5">
      <c r="A527" s="1" t="str">
        <f>"093000920430"</f>
        <v>093000920430</v>
      </c>
      <c r="B527" s="1" t="str">
        <f>"方思玉"</f>
        <v>方思玉</v>
      </c>
      <c r="C527" s="1">
        <v>0</v>
      </c>
      <c r="D527" s="1">
        <v>0</v>
      </c>
      <c r="E527" s="1">
        <v>0</v>
      </c>
    </row>
    <row r="528" spans="1:5">
      <c r="A528" s="1" t="str">
        <f>"093000064920022"</f>
        <v>093000064920022</v>
      </c>
      <c r="B528" s="1" t="str">
        <f>"王攀玄"</f>
        <v>王攀玄</v>
      </c>
      <c r="C528" s="1">
        <v>-733</v>
      </c>
      <c r="D528" s="1">
        <v>-533</v>
      </c>
      <c r="E528" s="1">
        <v>-403.8</v>
      </c>
    </row>
    <row r="529" spans="1:5">
      <c r="A529" s="1" t="str">
        <f>"0930000740004"</f>
        <v>0930000740004</v>
      </c>
      <c r="B529" s="1" t="str">
        <f>"覃永扬"</f>
        <v>覃永扬</v>
      </c>
      <c r="C529" s="1">
        <v>0</v>
      </c>
      <c r="D529" s="1">
        <v>974</v>
      </c>
      <c r="E529" s="1">
        <v>-108.88</v>
      </c>
    </row>
    <row r="530" spans="1:5">
      <c r="A530" s="1" t="str">
        <f>"0930000000036"</f>
        <v>0930000000036</v>
      </c>
      <c r="B530" s="1" t="str">
        <f>"祝洋洋"</f>
        <v>祝洋洋</v>
      </c>
      <c r="C530" s="1">
        <v>0</v>
      </c>
      <c r="D530" s="1">
        <v>0</v>
      </c>
      <c r="E530" s="1">
        <v>0</v>
      </c>
    </row>
    <row r="531" spans="1:5">
      <c r="A531" s="1" t="str">
        <f>"093000070920006"</f>
        <v>093000070920006</v>
      </c>
      <c r="B531" s="1" t="str">
        <f>"魏新杰"</f>
        <v>魏新杰</v>
      </c>
      <c r="C531" s="1">
        <v>-588</v>
      </c>
      <c r="D531" s="1">
        <v>-292</v>
      </c>
      <c r="E531" s="1">
        <v>-221.78</v>
      </c>
    </row>
    <row r="532" spans="1:5">
      <c r="A532" s="1" t="str">
        <f>"093000064920024"</f>
        <v>093000064920024</v>
      </c>
      <c r="B532" s="1" t="str">
        <f>"杨帅"</f>
        <v>杨帅</v>
      </c>
      <c r="C532" s="1">
        <v>-48</v>
      </c>
      <c r="D532" s="1">
        <v>1178</v>
      </c>
      <c r="E532" s="1">
        <v>-111.73</v>
      </c>
    </row>
    <row r="533" spans="1:5">
      <c r="A533" s="1" t="str">
        <f>"093000070920007"</f>
        <v>093000070920007</v>
      </c>
      <c r="B533" s="1" t="str">
        <f>"张爔木"</f>
        <v>张爔木</v>
      </c>
      <c r="C533" s="1">
        <v>0</v>
      </c>
      <c r="D533" s="1">
        <v>0</v>
      </c>
      <c r="E533" s="1">
        <v>0</v>
      </c>
    </row>
    <row r="534" spans="1:5">
      <c r="A534" s="1" t="str">
        <f>"093000040001920077"</f>
        <v>093000040001920077</v>
      </c>
      <c r="B534" s="1" t="str">
        <f>"周定均"</f>
        <v>周定均</v>
      </c>
      <c r="C534" s="1">
        <v>0</v>
      </c>
      <c r="D534" s="1">
        <v>0</v>
      </c>
      <c r="E534" s="1">
        <v>0</v>
      </c>
    </row>
    <row r="535" spans="1:5">
      <c r="A535" s="1" t="str">
        <f>"093000920433"</f>
        <v>093000920433</v>
      </c>
      <c r="B535" s="1" t="str">
        <f>"李海龙"</f>
        <v>李海龙</v>
      </c>
      <c r="C535" s="1">
        <v>0</v>
      </c>
      <c r="D535" s="1">
        <v>0</v>
      </c>
      <c r="E535" s="1">
        <v>0</v>
      </c>
    </row>
    <row r="536" spans="1:5">
      <c r="A536" s="1" t="str">
        <f>"093000046920010"</f>
        <v>093000046920010</v>
      </c>
      <c r="B536" s="1" t="str">
        <f>"姚海萍"</f>
        <v>姚海萍</v>
      </c>
      <c r="C536" s="1">
        <v>0</v>
      </c>
      <c r="D536" s="1">
        <v>0</v>
      </c>
      <c r="E536" s="1">
        <v>0</v>
      </c>
    </row>
    <row r="537" spans="1:5">
      <c r="A537" s="1" t="str">
        <f>"093000043920009"</f>
        <v>093000043920009</v>
      </c>
      <c r="B537" s="1" t="str">
        <f>"杨慧"</f>
        <v>杨慧</v>
      </c>
      <c r="C537" s="1">
        <v>18</v>
      </c>
      <c r="D537" s="1">
        <v>53</v>
      </c>
      <c r="E537" s="1">
        <v>-644.22</v>
      </c>
    </row>
    <row r="538" spans="1:5">
      <c r="A538" s="1" t="str">
        <f>"093000064920025"</f>
        <v>093000064920025</v>
      </c>
      <c r="B538" s="1" t="str">
        <f>"候会乾"</f>
        <v>候会乾</v>
      </c>
      <c r="C538" s="1">
        <v>-795</v>
      </c>
      <c r="D538" s="1">
        <v>-1365</v>
      </c>
      <c r="E538" s="1">
        <v>-165.11</v>
      </c>
    </row>
    <row r="539" spans="1:5">
      <c r="A539" s="1" t="str">
        <f>"093000920431"</f>
        <v>093000920431</v>
      </c>
      <c r="B539" s="1" t="str">
        <f>"马红飞"</f>
        <v>马红飞</v>
      </c>
      <c r="C539" s="1">
        <v>-1068</v>
      </c>
      <c r="D539" s="1">
        <v>-444</v>
      </c>
      <c r="E539" s="1">
        <v>-304.66</v>
      </c>
    </row>
    <row r="540" spans="1:5">
      <c r="A540" s="1" t="str">
        <f>"093000067920051"</f>
        <v>093000067920051</v>
      </c>
      <c r="B540" s="1" t="str">
        <f>"宋敏"</f>
        <v>宋敏</v>
      </c>
      <c r="C540" s="1">
        <v>0</v>
      </c>
      <c r="D540" s="1">
        <v>0</v>
      </c>
      <c r="E540" s="1">
        <v>0</v>
      </c>
    </row>
    <row r="541" spans="1:5">
      <c r="A541" s="1" t="str">
        <f>"093000040001920078"</f>
        <v>093000040001920078</v>
      </c>
      <c r="B541" s="1" t="str">
        <f>"何达庆"</f>
        <v>何达庆</v>
      </c>
      <c r="C541" s="1">
        <v>0</v>
      </c>
      <c r="D541" s="1">
        <v>-1080</v>
      </c>
      <c r="E541" s="1">
        <v>-98.37</v>
      </c>
    </row>
    <row r="542" spans="1:5">
      <c r="A542" s="1" t="str">
        <f>"093000046920011"</f>
        <v>093000046920011</v>
      </c>
      <c r="B542" s="1" t="str">
        <f>"王攀瑞"</f>
        <v>王攀瑞</v>
      </c>
      <c r="C542" s="1">
        <v>0</v>
      </c>
      <c r="D542" s="1">
        <v>0</v>
      </c>
      <c r="E542" s="1">
        <v>0</v>
      </c>
    </row>
    <row r="543" spans="1:5">
      <c r="A543" s="1" t="str">
        <f>"093000040001920079"</f>
        <v>093000040001920079</v>
      </c>
      <c r="B543" s="1" t="str">
        <f>"蔡深壮"</f>
        <v>蔡深壮</v>
      </c>
      <c r="C543" s="1">
        <v>0</v>
      </c>
      <c r="D543" s="1">
        <v>-1020</v>
      </c>
      <c r="E543" s="1">
        <v>-98.73</v>
      </c>
    </row>
    <row r="544" spans="1:5">
      <c r="A544" s="1" t="str">
        <f>"0930000000038"</f>
        <v>0930000000038</v>
      </c>
      <c r="B544" s="1" t="str">
        <f>"覃举扬"</f>
        <v>覃举扬</v>
      </c>
      <c r="C544" s="1">
        <v>0</v>
      </c>
      <c r="D544" s="1">
        <v>688</v>
      </c>
      <c r="E544" s="1">
        <v>-101.1</v>
      </c>
    </row>
    <row r="545" spans="1:5">
      <c r="A545" s="1" t="str">
        <f>"0930000000039"</f>
        <v>0930000000039</v>
      </c>
      <c r="B545" s="1" t="str">
        <f>"黄迪"</f>
        <v>黄迪</v>
      </c>
      <c r="C545" s="1">
        <v>0</v>
      </c>
      <c r="D545" s="1">
        <v>960</v>
      </c>
      <c r="E545" s="1">
        <v>-108.86</v>
      </c>
    </row>
    <row r="546" spans="1:5">
      <c r="A546" s="1" t="str">
        <f>"093000047920006"</f>
        <v>093000047920006</v>
      </c>
      <c r="B546" s="1" t="str">
        <f>"郭子路"</f>
        <v>郭子路</v>
      </c>
      <c r="C546" s="1">
        <v>0</v>
      </c>
      <c r="D546" s="1">
        <v>0</v>
      </c>
      <c r="E546" s="1">
        <v>0</v>
      </c>
    </row>
    <row r="547" spans="1:5">
      <c r="A547" s="1" t="str">
        <f>"0930000680000"</f>
        <v>0930000680000</v>
      </c>
      <c r="B547" s="1" t="str">
        <f>"卢滨滨"</f>
        <v>卢滨滨</v>
      </c>
      <c r="C547" s="1">
        <v>-981</v>
      </c>
      <c r="D547" s="1">
        <v>46</v>
      </c>
      <c r="E547" s="1">
        <v>-360.24</v>
      </c>
    </row>
    <row r="548" spans="1:5">
      <c r="A548" s="1" t="str">
        <f>"0930000680001"</f>
        <v>0930000680001</v>
      </c>
      <c r="B548" s="1" t="str">
        <f>"杨冬旭"</f>
        <v>杨冬旭</v>
      </c>
      <c r="C548" s="1">
        <v>-221</v>
      </c>
      <c r="D548" s="1">
        <v>-346</v>
      </c>
      <c r="E548" s="1">
        <v>-155.51</v>
      </c>
    </row>
    <row r="549" spans="1:5">
      <c r="A549" s="1" t="str">
        <f>"093000064920026"</f>
        <v>093000064920026</v>
      </c>
      <c r="B549" s="1" t="str">
        <f>"闫金柱"</f>
        <v>闫金柱</v>
      </c>
      <c r="C549" s="1">
        <v>129</v>
      </c>
      <c r="D549" s="1">
        <v>-2165</v>
      </c>
      <c r="E549" s="1">
        <v>-513.88</v>
      </c>
    </row>
    <row r="550" spans="1:5">
      <c r="A550" s="1" t="str">
        <f>"093000040001920080"</f>
        <v>093000040001920080</v>
      </c>
      <c r="B550" s="1" t="str">
        <f>"邱振勇"</f>
        <v>邱振勇</v>
      </c>
      <c r="C550" s="1">
        <v>0</v>
      </c>
      <c r="D550" s="1">
        <v>0</v>
      </c>
      <c r="E550" s="1">
        <v>0</v>
      </c>
    </row>
    <row r="551" spans="1:5">
      <c r="A551" s="1" t="str">
        <f>"093000043920010"</f>
        <v>093000043920010</v>
      </c>
      <c r="B551" s="1" t="str">
        <f>"王连秀"</f>
        <v>王连秀</v>
      </c>
      <c r="C551" s="1">
        <v>-876</v>
      </c>
      <c r="D551" s="1">
        <v>163</v>
      </c>
      <c r="E551" s="1">
        <v>-849.6</v>
      </c>
    </row>
    <row r="552" spans="1:5">
      <c r="A552" s="1" t="str">
        <f>"093000043920011"</f>
        <v>093000043920011</v>
      </c>
      <c r="B552" s="1" t="str">
        <f>"柳霞"</f>
        <v>柳霞</v>
      </c>
      <c r="C552" s="1">
        <v>-344</v>
      </c>
      <c r="D552" s="1">
        <v>-551</v>
      </c>
      <c r="E552" s="1">
        <v>-924.78</v>
      </c>
    </row>
    <row r="553" spans="1:5">
      <c r="A553" s="1" t="str">
        <f>"093000040001920081"</f>
        <v>093000040001920081</v>
      </c>
      <c r="B553" s="1" t="str">
        <f>"刘奎英"</f>
        <v>刘奎英</v>
      </c>
      <c r="C553" s="1">
        <v>94</v>
      </c>
      <c r="D553" s="1">
        <v>1162</v>
      </c>
      <c r="E553" s="1">
        <v>-101.93</v>
      </c>
    </row>
    <row r="554" spans="1:5">
      <c r="A554" s="1" t="str">
        <f>"093000068920011"</f>
        <v>093000068920011</v>
      </c>
      <c r="B554" s="1" t="str">
        <f>"周富"</f>
        <v>周富</v>
      </c>
      <c r="C554" s="1">
        <v>0</v>
      </c>
      <c r="D554" s="1">
        <v>0</v>
      </c>
      <c r="E554" s="1">
        <v>0</v>
      </c>
    </row>
    <row r="555" spans="1:5">
      <c r="A555" s="1" t="str">
        <f>"093000068920009"</f>
        <v>093000068920009</v>
      </c>
      <c r="B555" s="1" t="str">
        <f>"李奇峰"</f>
        <v>李奇峰</v>
      </c>
      <c r="C555" s="1">
        <v>0</v>
      </c>
      <c r="D555" s="1">
        <v>1195</v>
      </c>
      <c r="E555" s="1">
        <v>-362.56</v>
      </c>
    </row>
    <row r="556" spans="1:5">
      <c r="A556" s="1" t="str">
        <f>"093000068920013"</f>
        <v>093000068920013</v>
      </c>
      <c r="B556" s="1" t="str">
        <f>"陈燕"</f>
        <v>陈燕</v>
      </c>
      <c r="C556" s="1">
        <v>0</v>
      </c>
      <c r="D556" s="1">
        <v>9</v>
      </c>
      <c r="E556" s="1">
        <v>-6.7</v>
      </c>
    </row>
    <row r="557" spans="1:5">
      <c r="A557" s="1" t="str">
        <f>"093000068920012"</f>
        <v>093000068920012</v>
      </c>
      <c r="B557" s="1" t="str">
        <f>"唐碧莎"</f>
        <v>唐碧莎</v>
      </c>
      <c r="C557" s="1">
        <v>0</v>
      </c>
      <c r="D557" s="1">
        <v>1</v>
      </c>
      <c r="E557" s="1">
        <v>-6.68</v>
      </c>
    </row>
    <row r="558" spans="1:5">
      <c r="A558" s="1" t="str">
        <f>"093000068920010"</f>
        <v>093000068920010</v>
      </c>
      <c r="B558" s="1" t="str">
        <f>"莫院兰"</f>
        <v>莫院兰</v>
      </c>
      <c r="C558" s="1">
        <v>12</v>
      </c>
      <c r="D558" s="1">
        <v>14</v>
      </c>
      <c r="E558" s="1">
        <v>-26.87</v>
      </c>
    </row>
    <row r="559" spans="1:5">
      <c r="A559" s="1" t="str">
        <f>"093000046920012"</f>
        <v>093000046920012</v>
      </c>
      <c r="B559" s="1" t="str">
        <f>"冉少雅"</f>
        <v>冉少雅</v>
      </c>
      <c r="C559" s="1">
        <v>0</v>
      </c>
      <c r="D559" s="1">
        <v>-806</v>
      </c>
      <c r="E559" s="1">
        <v>-532.48</v>
      </c>
    </row>
    <row r="560" spans="1:5">
      <c r="A560" s="1" t="str">
        <f>"093000040920044"</f>
        <v>093000040920044</v>
      </c>
      <c r="B560" s="1" t="str">
        <f>"张翠娜"</f>
        <v>张翠娜</v>
      </c>
      <c r="C560" s="1">
        <v>0</v>
      </c>
      <c r="D560" s="1">
        <v>338</v>
      </c>
      <c r="E560" s="1">
        <v>-584.4</v>
      </c>
    </row>
    <row r="561" spans="1:5">
      <c r="A561" s="1" t="str">
        <f>"093000041920023"</f>
        <v>093000041920023</v>
      </c>
      <c r="B561" s="1" t="str">
        <f>"王昭"</f>
        <v>王昭</v>
      </c>
      <c r="C561" s="1">
        <v>0</v>
      </c>
      <c r="D561" s="1">
        <v>976</v>
      </c>
      <c r="E561" s="1">
        <v>-109.42</v>
      </c>
    </row>
    <row r="562" spans="1:5">
      <c r="A562" s="1" t="str">
        <f>"093000064920029"</f>
        <v>093000064920029</v>
      </c>
      <c r="B562" s="1" t="str">
        <f>"陈遇三"</f>
        <v>陈遇三</v>
      </c>
      <c r="C562" s="1">
        <v>-936</v>
      </c>
      <c r="D562" s="1">
        <v>-410</v>
      </c>
      <c r="E562" s="1">
        <v>-379.16</v>
      </c>
    </row>
    <row r="563" spans="1:5">
      <c r="A563" s="1" t="str">
        <f>"093000064920030"</f>
        <v>093000064920030</v>
      </c>
      <c r="B563" s="1" t="str">
        <f>"郑绍爱"</f>
        <v>郑绍爱</v>
      </c>
      <c r="C563" s="1">
        <v>0</v>
      </c>
      <c r="D563" s="1">
        <v>1292</v>
      </c>
      <c r="E563" s="1">
        <v>-221.51</v>
      </c>
    </row>
    <row r="564" spans="1:5">
      <c r="A564" s="1" t="str">
        <f>"093000037920043"</f>
        <v>093000037920043</v>
      </c>
      <c r="B564" s="1" t="str">
        <f>"叶海燕"</f>
        <v>叶海燕</v>
      </c>
      <c r="C564" s="1">
        <v>0</v>
      </c>
      <c r="D564" s="1">
        <v>0</v>
      </c>
      <c r="E564" s="1">
        <v>0</v>
      </c>
    </row>
    <row r="565" spans="1:5">
      <c r="A565" s="1" t="str">
        <f>"093000051920007"</f>
        <v>093000051920007</v>
      </c>
      <c r="B565" s="1" t="str">
        <f>"郑志霞"</f>
        <v>郑志霞</v>
      </c>
      <c r="C565" s="1">
        <v>0</v>
      </c>
      <c r="D565" s="1">
        <v>0</v>
      </c>
      <c r="E565" s="1">
        <v>0</v>
      </c>
    </row>
    <row r="566" spans="1:5">
      <c r="A566" s="1" t="str">
        <f>"0930000000040"</f>
        <v>0930000000040</v>
      </c>
      <c r="B566" s="1" t="str">
        <f>"朱子建"</f>
        <v>朱子建</v>
      </c>
      <c r="C566" s="1">
        <v>-700</v>
      </c>
      <c r="D566" s="1">
        <v>4530</v>
      </c>
      <c r="E566" s="1">
        <v>-925.23</v>
      </c>
    </row>
    <row r="567" spans="1:5">
      <c r="A567" s="1" t="str">
        <f>"0930000000041"</f>
        <v>0930000000041</v>
      </c>
      <c r="B567" s="1" t="str">
        <f>"付宏英"</f>
        <v>付宏英</v>
      </c>
      <c r="C567" s="1">
        <v>0</v>
      </c>
      <c r="D567" s="1">
        <v>0</v>
      </c>
      <c r="E567" s="1">
        <v>0</v>
      </c>
    </row>
    <row r="568" spans="1:5">
      <c r="A568" s="1" t="str">
        <f>"093000046920013"</f>
        <v>093000046920013</v>
      </c>
      <c r="B568" s="1" t="str">
        <f>"申征"</f>
        <v>申征</v>
      </c>
      <c r="C568" s="1">
        <v>-2196</v>
      </c>
      <c r="D568" s="1">
        <v>323</v>
      </c>
      <c r="E568" s="1">
        <v>-1571.62</v>
      </c>
    </row>
    <row r="569" spans="1:5">
      <c r="A569" s="1" t="str">
        <f>"093000046920014"</f>
        <v>093000046920014</v>
      </c>
      <c r="B569" s="1" t="str">
        <f>"白中宇"</f>
        <v>白中宇</v>
      </c>
      <c r="C569" s="1">
        <v>-2012</v>
      </c>
      <c r="D569" s="1">
        <v>-2032</v>
      </c>
      <c r="E569" s="1">
        <v>-1928.76</v>
      </c>
    </row>
    <row r="570" spans="1:5">
      <c r="A570" s="1" t="str">
        <f>"093000046920015"</f>
        <v>093000046920015</v>
      </c>
      <c r="B570" s="1" t="str">
        <f>"王少锋"</f>
        <v>王少锋</v>
      </c>
      <c r="C570" s="1">
        <v>0</v>
      </c>
      <c r="D570" s="1">
        <v>0</v>
      </c>
      <c r="E570" s="1">
        <v>0</v>
      </c>
    </row>
    <row r="571" spans="1:5">
      <c r="A571" s="1" t="str">
        <f>"093000044920006"</f>
        <v>093000044920006</v>
      </c>
      <c r="B571" s="1" t="str">
        <f>"金志业"</f>
        <v>金志业</v>
      </c>
      <c r="C571" s="1">
        <v>0</v>
      </c>
      <c r="D571" s="1">
        <v>59</v>
      </c>
      <c r="E571" s="1">
        <v>-46.7</v>
      </c>
    </row>
    <row r="572" spans="1:5">
      <c r="A572" s="1" t="str">
        <f>"0930000730001"</f>
        <v>0930000730001</v>
      </c>
      <c r="B572" s="1" t="str">
        <f>"张杰"</f>
        <v>张杰</v>
      </c>
      <c r="C572" s="1">
        <v>0</v>
      </c>
      <c r="D572" s="1">
        <v>962</v>
      </c>
      <c r="E572" s="1">
        <v>-108.7</v>
      </c>
    </row>
    <row r="573" spans="1:5">
      <c r="A573" s="1" t="str">
        <f>"0930000620005"</f>
        <v>0930000620005</v>
      </c>
      <c r="B573" s="1" t="str">
        <f>"陈志艺"</f>
        <v>陈志艺</v>
      </c>
      <c r="C573" s="1">
        <v>0</v>
      </c>
      <c r="D573" s="1">
        <v>516</v>
      </c>
      <c r="E573" s="1">
        <v>-53.19</v>
      </c>
    </row>
    <row r="574" spans="1:5">
      <c r="A574" s="1" t="str">
        <f>"093000070920008"</f>
        <v>093000070920008</v>
      </c>
      <c r="B574" s="1" t="str">
        <f>"许德朝"</f>
        <v>许德朝</v>
      </c>
      <c r="C574" s="1">
        <v>0</v>
      </c>
      <c r="D574" s="1">
        <v>0</v>
      </c>
      <c r="E574" s="1">
        <v>0</v>
      </c>
    </row>
    <row r="575" spans="1:5">
      <c r="A575" s="1" t="str">
        <f>"093000920441"</f>
        <v>093000920441</v>
      </c>
      <c r="B575" s="1" t="str">
        <f>"林杏州"</f>
        <v>林杏州</v>
      </c>
      <c r="C575" s="1">
        <v>0</v>
      </c>
      <c r="D575" s="1">
        <v>0</v>
      </c>
      <c r="E575" s="1">
        <v>0</v>
      </c>
    </row>
    <row r="576" spans="1:5">
      <c r="A576" s="1" t="str">
        <f>"093000040920045"</f>
        <v>093000040920045</v>
      </c>
      <c r="B576" s="1" t="str">
        <f>"郝运波"</f>
        <v>郝运波</v>
      </c>
      <c r="C576" s="1">
        <v>0</v>
      </c>
      <c r="D576" s="1">
        <v>0</v>
      </c>
      <c r="E576" s="1">
        <v>0</v>
      </c>
    </row>
    <row r="577" spans="1:5">
      <c r="A577" s="1" t="str">
        <f>"093000043920012"</f>
        <v>093000043920012</v>
      </c>
      <c r="B577" s="1" t="str">
        <f>"訾玉蛟"</f>
        <v>訾玉蛟</v>
      </c>
      <c r="C577" s="1">
        <v>0</v>
      </c>
      <c r="D577" s="1">
        <v>-854</v>
      </c>
      <c r="E577" s="1">
        <v>-220.7</v>
      </c>
    </row>
    <row r="578" spans="1:5">
      <c r="A578" s="1" t="str">
        <f>"0930000620006"</f>
        <v>0930000620006</v>
      </c>
      <c r="B578" s="1" t="str">
        <f>"刘岳锋"</f>
        <v>刘岳锋</v>
      </c>
      <c r="C578" s="1">
        <v>0</v>
      </c>
      <c r="D578" s="1">
        <v>0</v>
      </c>
      <c r="E578" s="1">
        <v>0</v>
      </c>
    </row>
    <row r="579" spans="1:5">
      <c r="A579" s="1" t="str">
        <f>"0930000000042"</f>
        <v>0930000000042</v>
      </c>
      <c r="B579" s="1" t="str">
        <f>"肖良兵"</f>
        <v>肖良兵</v>
      </c>
      <c r="C579" s="1">
        <v>0</v>
      </c>
      <c r="D579" s="1">
        <v>0</v>
      </c>
      <c r="E579" s="1">
        <v>0</v>
      </c>
    </row>
    <row r="580" spans="1:5">
      <c r="A580" s="1" t="str">
        <f>"0930000000043"</f>
        <v>0930000000043</v>
      </c>
      <c r="B580" s="1" t="str">
        <f>"张可良"</f>
        <v>张可良</v>
      </c>
      <c r="C580" s="1">
        <v>-30</v>
      </c>
      <c r="D580" s="1">
        <v>-31</v>
      </c>
      <c r="E580" s="1">
        <v>-6.92</v>
      </c>
    </row>
    <row r="581" spans="1:5">
      <c r="A581" s="1" t="str">
        <f>"093000055920002"</f>
        <v>093000055920002</v>
      </c>
      <c r="B581" s="1" t="str">
        <f>"王远"</f>
        <v>王远</v>
      </c>
      <c r="C581" s="1">
        <v>0</v>
      </c>
      <c r="D581" s="1">
        <v>0</v>
      </c>
      <c r="E581" s="1">
        <v>0</v>
      </c>
    </row>
    <row r="582" spans="1:5">
      <c r="A582" s="1" t="str">
        <f>"093000068920018"</f>
        <v>093000068920018</v>
      </c>
      <c r="B582" s="1" t="str">
        <f>"邓婷丹"</f>
        <v>邓婷丹</v>
      </c>
      <c r="C582" s="1">
        <v>0</v>
      </c>
      <c r="D582" s="1">
        <v>18</v>
      </c>
      <c r="E582" s="1">
        <v>-13.42</v>
      </c>
    </row>
    <row r="583" spans="1:5">
      <c r="A583" s="1" t="str">
        <f>"093000046920016"</f>
        <v>093000046920016</v>
      </c>
      <c r="B583" s="1" t="str">
        <f>"全建茹"</f>
        <v>全建茹</v>
      </c>
      <c r="C583" s="1">
        <v>0</v>
      </c>
      <c r="D583" s="1">
        <v>0</v>
      </c>
      <c r="E583" s="1">
        <v>0</v>
      </c>
    </row>
    <row r="584" spans="1:5">
      <c r="A584" s="1" t="str">
        <f>"093000920443"</f>
        <v>093000920443</v>
      </c>
      <c r="B584" s="1" t="str">
        <f>"程倩倩"</f>
        <v>程倩倩</v>
      </c>
      <c r="C584" s="1">
        <v>0</v>
      </c>
      <c r="D584" s="1">
        <v>-1233</v>
      </c>
      <c r="E584" s="1">
        <v>-515.71</v>
      </c>
    </row>
    <row r="585" spans="1:5">
      <c r="A585" s="1" t="str">
        <f>"093000044920007"</f>
        <v>093000044920007</v>
      </c>
      <c r="B585" s="1" t="str">
        <f>"王善涛"</f>
        <v>王善涛</v>
      </c>
      <c r="C585" s="1">
        <v>0</v>
      </c>
      <c r="D585" s="1">
        <v>-510</v>
      </c>
      <c r="E585" s="1">
        <v>-181.13</v>
      </c>
    </row>
    <row r="586" spans="1:5">
      <c r="A586" s="1" t="str">
        <f>"093000055920003"</f>
        <v>093000055920003</v>
      </c>
      <c r="B586" s="1" t="str">
        <f>"夏闪"</f>
        <v>夏闪</v>
      </c>
      <c r="C586" s="1">
        <v>0</v>
      </c>
      <c r="D586" s="1">
        <v>0</v>
      </c>
      <c r="E586" s="1">
        <v>0</v>
      </c>
    </row>
    <row r="587" spans="1:5">
      <c r="A587" s="1" t="str">
        <f>"093000068920020"</f>
        <v>093000068920020</v>
      </c>
      <c r="B587" s="1" t="str">
        <f>"谢暧荣"</f>
        <v>谢暧荣</v>
      </c>
      <c r="C587" s="1">
        <v>0</v>
      </c>
      <c r="D587" s="1">
        <v>15</v>
      </c>
      <c r="E587" s="1">
        <v>-6.74</v>
      </c>
    </row>
    <row r="588" spans="1:5">
      <c r="A588" s="1" t="str">
        <f>"093000068920019"</f>
        <v>093000068920019</v>
      </c>
      <c r="B588" s="1" t="str">
        <f>"覃良意"</f>
        <v>覃良意</v>
      </c>
      <c r="C588" s="1">
        <v>0</v>
      </c>
      <c r="D588" s="1">
        <v>0</v>
      </c>
      <c r="E588" s="1">
        <v>0</v>
      </c>
    </row>
    <row r="589" spans="1:5">
      <c r="A589" s="1" t="str">
        <f>"093000068920021"</f>
        <v>093000068920021</v>
      </c>
      <c r="B589" s="1" t="str">
        <f>"邹美婷"</f>
        <v>邹美婷</v>
      </c>
      <c r="C589" s="1">
        <v>0</v>
      </c>
      <c r="D589" s="1">
        <v>0</v>
      </c>
      <c r="E589" s="1">
        <v>0</v>
      </c>
    </row>
    <row r="590" spans="1:5">
      <c r="A590" s="1" t="str">
        <f>"093000068920025"</f>
        <v>093000068920025</v>
      </c>
      <c r="B590" s="1" t="str">
        <f>"区梦云"</f>
        <v>区梦云</v>
      </c>
      <c r="C590" s="1">
        <v>0</v>
      </c>
      <c r="D590" s="1">
        <v>0</v>
      </c>
      <c r="E590" s="1">
        <v>0</v>
      </c>
    </row>
    <row r="591" spans="1:5">
      <c r="A591" s="1" t="str">
        <f>"093000037920044"</f>
        <v>093000037920044</v>
      </c>
      <c r="B591" s="1" t="str">
        <f>"李威锋"</f>
        <v>李威锋</v>
      </c>
      <c r="C591" s="1">
        <v>0</v>
      </c>
      <c r="D591" s="1">
        <v>0</v>
      </c>
      <c r="E591" s="1">
        <v>0</v>
      </c>
    </row>
    <row r="592" spans="1:5">
      <c r="A592" s="1" t="str">
        <f>"093000920445"</f>
        <v>093000920445</v>
      </c>
      <c r="B592" s="1" t="str">
        <f>"周树忠"</f>
        <v>周树忠</v>
      </c>
      <c r="C592" s="1">
        <v>0</v>
      </c>
      <c r="D592" s="1">
        <v>0</v>
      </c>
      <c r="E592" s="1">
        <v>0</v>
      </c>
    </row>
    <row r="593" spans="1:5">
      <c r="A593" s="1" t="str">
        <f>"093000048920011"</f>
        <v>093000048920011</v>
      </c>
      <c r="B593" s="1" t="str">
        <f>"唐春江"</f>
        <v>唐春江</v>
      </c>
      <c r="C593" s="1">
        <v>-717</v>
      </c>
      <c r="D593" s="1">
        <v>-113</v>
      </c>
      <c r="E593" s="1">
        <v>-101.39</v>
      </c>
    </row>
    <row r="594" spans="1:5">
      <c r="A594" s="1" t="str">
        <f>"093000067920059"</f>
        <v>093000067920059</v>
      </c>
      <c r="B594" s="1" t="str">
        <f>"王嘉恒"</f>
        <v>王嘉恒</v>
      </c>
      <c r="C594" s="1">
        <v>0</v>
      </c>
      <c r="D594" s="1">
        <v>0</v>
      </c>
      <c r="E594" s="1">
        <v>0</v>
      </c>
    </row>
    <row r="595" spans="1:5">
      <c r="A595" s="1" t="str">
        <f>"093000040001920082"</f>
        <v>093000040001920082</v>
      </c>
      <c r="B595" s="1" t="str">
        <f>"吴伟杰"</f>
        <v>吴伟杰</v>
      </c>
      <c r="C595" s="1">
        <v>-306</v>
      </c>
      <c r="D595" s="1">
        <v>1214</v>
      </c>
      <c r="E595" s="1">
        <v>-104.84</v>
      </c>
    </row>
    <row r="596" spans="1:5">
      <c r="A596" s="1" t="str">
        <f>"093000067920063"</f>
        <v>093000067920063</v>
      </c>
      <c r="B596" s="1" t="str">
        <f>"叶乙宏"</f>
        <v>叶乙宏</v>
      </c>
      <c r="C596" s="1">
        <v>0</v>
      </c>
      <c r="D596" s="1">
        <v>0</v>
      </c>
      <c r="E596" s="1">
        <v>0</v>
      </c>
    </row>
    <row r="597" spans="1:5">
      <c r="A597" s="1" t="str">
        <f>"093000066920010"</f>
        <v>093000066920010</v>
      </c>
      <c r="B597" s="1" t="str">
        <f>"唐爱民"</f>
        <v>唐爱民</v>
      </c>
      <c r="C597" s="1">
        <v>0</v>
      </c>
      <c r="D597" s="1">
        <v>0</v>
      </c>
      <c r="E597" s="1">
        <v>0</v>
      </c>
    </row>
    <row r="598" spans="1:5">
      <c r="A598" s="1" t="str">
        <f>"0930000000044"</f>
        <v>0930000000044</v>
      </c>
      <c r="B598" s="1" t="str">
        <f>"罗少明"</f>
        <v>罗少明</v>
      </c>
      <c r="C598" s="1">
        <v>0</v>
      </c>
      <c r="D598" s="1">
        <v>-1050</v>
      </c>
      <c r="E598" s="1">
        <v>-177.3</v>
      </c>
    </row>
    <row r="599" spans="1:5">
      <c r="A599" s="1" t="str">
        <f>"0930000000045"</f>
        <v>0930000000045</v>
      </c>
      <c r="B599" s="1" t="str">
        <f>"李巧敏"</f>
        <v>李巧敏</v>
      </c>
      <c r="C599" s="1">
        <v>0</v>
      </c>
      <c r="D599" s="1">
        <v>0</v>
      </c>
      <c r="E599" s="1">
        <v>0</v>
      </c>
    </row>
    <row r="600" spans="1:5">
      <c r="A600" s="1" t="str">
        <f>"093000037920045"</f>
        <v>093000037920045</v>
      </c>
      <c r="B600" s="1" t="str">
        <f>"闫俊红"</f>
        <v>闫俊红</v>
      </c>
      <c r="C600" s="1">
        <v>0</v>
      </c>
      <c r="D600" s="1">
        <v>0</v>
      </c>
      <c r="E600" s="1">
        <v>0</v>
      </c>
    </row>
    <row r="601" spans="1:5">
      <c r="A601" s="1" t="str">
        <f>"093000040920046"</f>
        <v>093000040920046</v>
      </c>
      <c r="B601" s="1" t="str">
        <f>"覃宝安"</f>
        <v>覃宝安</v>
      </c>
      <c r="C601" s="1">
        <v>0</v>
      </c>
      <c r="D601" s="1">
        <v>0</v>
      </c>
      <c r="E601" s="1">
        <v>0</v>
      </c>
    </row>
    <row r="602" spans="1:5">
      <c r="A602" s="1" t="str">
        <f>"093000059920014"</f>
        <v>093000059920014</v>
      </c>
      <c r="B602" s="1" t="str">
        <f>"毛淅萌"</f>
        <v>毛淅萌</v>
      </c>
      <c r="C602" s="1">
        <v>-10</v>
      </c>
      <c r="D602" s="1">
        <v>-548</v>
      </c>
      <c r="E602" s="1">
        <v>-393.94</v>
      </c>
    </row>
    <row r="603" spans="1:5">
      <c r="A603" s="1" t="str">
        <f>"093000071920004"</f>
        <v>093000071920004</v>
      </c>
      <c r="B603" s="1" t="str">
        <f>"杨会梅"</f>
        <v>杨会梅</v>
      </c>
      <c r="C603" s="1">
        <v>0</v>
      </c>
      <c r="D603" s="1">
        <v>0</v>
      </c>
      <c r="E603" s="1">
        <v>0</v>
      </c>
    </row>
    <row r="604" spans="1:5">
      <c r="A604" s="1" t="str">
        <f>"093000071920005"</f>
        <v>093000071920005</v>
      </c>
      <c r="B604" s="1" t="str">
        <f>"张杭"</f>
        <v>张杭</v>
      </c>
      <c r="C604" s="1">
        <v>0</v>
      </c>
      <c r="D604" s="1">
        <v>0</v>
      </c>
      <c r="E604" s="1">
        <v>0</v>
      </c>
    </row>
    <row r="605" spans="1:5">
      <c r="A605" s="1" t="str">
        <f>"093000043920013"</f>
        <v>093000043920013</v>
      </c>
      <c r="B605" s="1" t="str">
        <f>"马红艳"</f>
        <v>马红艳</v>
      </c>
      <c r="C605" s="1">
        <v>0</v>
      </c>
      <c r="D605" s="1">
        <v>-152</v>
      </c>
      <c r="E605" s="1">
        <v>-711.88</v>
      </c>
    </row>
    <row r="606" spans="1:5">
      <c r="A606" s="1" t="str">
        <f>"0930000000046"</f>
        <v>0930000000046</v>
      </c>
      <c r="B606" s="1" t="str">
        <f>"钟娟萍"</f>
        <v>钟娟萍</v>
      </c>
      <c r="C606" s="1">
        <v>0</v>
      </c>
      <c r="D606" s="1">
        <v>0</v>
      </c>
      <c r="E606" s="1">
        <v>0</v>
      </c>
    </row>
    <row r="607" spans="1:5">
      <c r="A607" s="1" t="str">
        <f>"093000068920026"</f>
        <v>093000068920026</v>
      </c>
      <c r="B607" s="1" t="str">
        <f>"周国泉"</f>
        <v>周国泉</v>
      </c>
      <c r="C607" s="1">
        <v>0</v>
      </c>
      <c r="D607" s="1">
        <v>0</v>
      </c>
      <c r="E607" s="1">
        <v>0</v>
      </c>
    </row>
    <row r="608" spans="1:5">
      <c r="A608" s="1" t="str">
        <f>"093000044920008"</f>
        <v>093000044920008</v>
      </c>
      <c r="B608" s="1" t="str">
        <f>"郭保国"</f>
        <v>郭保国</v>
      </c>
      <c r="C608" s="1">
        <v>0</v>
      </c>
      <c r="D608" s="1">
        <v>0</v>
      </c>
      <c r="E608" s="1">
        <v>0</v>
      </c>
    </row>
    <row r="609" spans="1:5">
      <c r="A609" s="1" t="str">
        <f>"093000068920027"</f>
        <v>093000068920027</v>
      </c>
      <c r="B609" s="1" t="str">
        <f>"黄建习"</f>
        <v>黄建习</v>
      </c>
      <c r="C609" s="1">
        <v>0</v>
      </c>
      <c r="D609" s="1">
        <v>0</v>
      </c>
      <c r="E609" s="1">
        <v>0</v>
      </c>
    </row>
    <row r="610" spans="1:5">
      <c r="A610" s="1" t="str">
        <f>"0930000000047"</f>
        <v>0930000000047</v>
      </c>
      <c r="B610" s="1" t="str">
        <f>"左有志"</f>
        <v>左有志</v>
      </c>
      <c r="C610" s="1">
        <v>0</v>
      </c>
      <c r="D610" s="1">
        <v>-330</v>
      </c>
      <c r="E610" s="1">
        <v>-252.21</v>
      </c>
    </row>
    <row r="611" spans="1:5">
      <c r="A611" s="1" t="str">
        <f>"093000041920024"</f>
        <v>093000041920024</v>
      </c>
      <c r="B611" s="1" t="str">
        <f>"冼业富"</f>
        <v>冼业富</v>
      </c>
      <c r="C611" s="1">
        <v>0</v>
      </c>
      <c r="D611" s="1">
        <v>0</v>
      </c>
      <c r="E611" s="1">
        <v>0</v>
      </c>
    </row>
    <row r="612" spans="1:5">
      <c r="A612" s="1" t="str">
        <f>"093000044920009"</f>
        <v>093000044920009</v>
      </c>
      <c r="B612" s="1" t="str">
        <f>"杜雷"</f>
        <v>杜雷</v>
      </c>
      <c r="C612" s="1">
        <v>0</v>
      </c>
      <c r="D612" s="1">
        <v>-30</v>
      </c>
      <c r="E612" s="1">
        <v>-6.75</v>
      </c>
    </row>
    <row r="613" spans="1:5">
      <c r="A613" s="1" t="str">
        <f>"093000064920031"</f>
        <v>093000064920031</v>
      </c>
      <c r="B613" s="1" t="str">
        <f>"邓强"</f>
        <v>邓强</v>
      </c>
      <c r="C613" s="1">
        <v>-588</v>
      </c>
      <c r="D613" s="1">
        <v>-393</v>
      </c>
      <c r="E613" s="1">
        <v>-110.9</v>
      </c>
    </row>
    <row r="614" spans="1:5">
      <c r="A614" s="1" t="str">
        <f>"093000064920034"</f>
        <v>093000064920034</v>
      </c>
      <c r="B614" s="1" t="str">
        <f>"闻豪"</f>
        <v>闻豪</v>
      </c>
      <c r="C614" s="1">
        <v>-158</v>
      </c>
      <c r="D614" s="1">
        <v>1452</v>
      </c>
      <c r="E614" s="1">
        <v>-221.04</v>
      </c>
    </row>
    <row r="615" spans="1:5">
      <c r="A615" s="1" t="str">
        <f>"093000088920001"</f>
        <v>093000088920001</v>
      </c>
      <c r="B615" s="1" t="str">
        <f>"魏长玉"</f>
        <v>魏长玉</v>
      </c>
      <c r="C615" s="1">
        <v>0</v>
      </c>
      <c r="D615" s="1">
        <v>-18</v>
      </c>
      <c r="E615" s="1">
        <v>-6.93</v>
      </c>
    </row>
    <row r="616" spans="1:5">
      <c r="A616" s="1" t="str">
        <f>"0930000730002"</f>
        <v>0930000730002</v>
      </c>
      <c r="B616" s="1" t="str">
        <f>"秦水娟"</f>
        <v>秦水娟</v>
      </c>
      <c r="C616" s="1">
        <v>0</v>
      </c>
      <c r="D616" s="1">
        <v>-1031</v>
      </c>
      <c r="E616" s="1">
        <v>-108.74</v>
      </c>
    </row>
    <row r="617" spans="1:5">
      <c r="A617" s="1" t="str">
        <f>"093000059920015"</f>
        <v>093000059920015</v>
      </c>
      <c r="B617" s="1" t="str">
        <f>"马慧"</f>
        <v>马慧</v>
      </c>
      <c r="C617" s="1">
        <v>0</v>
      </c>
      <c r="D617" s="1">
        <v>719</v>
      </c>
      <c r="E617" s="1">
        <v>-580.25</v>
      </c>
    </row>
    <row r="618" spans="1:5">
      <c r="A618" s="1" t="str">
        <f>"093000040920049"</f>
        <v>093000040920049</v>
      </c>
      <c r="B618" s="1" t="str">
        <f>"马祝才"</f>
        <v>马祝才</v>
      </c>
      <c r="C618" s="1">
        <v>0</v>
      </c>
      <c r="D618" s="1">
        <v>0</v>
      </c>
      <c r="E618" s="1">
        <v>0</v>
      </c>
    </row>
    <row r="619" spans="1:5">
      <c r="A619" s="1" t="str">
        <f>"093000040001920084"</f>
        <v>093000040001920084</v>
      </c>
      <c r="B619" s="1" t="str">
        <f>"何丽红"</f>
        <v>何丽红</v>
      </c>
      <c r="C619" s="1">
        <v>0</v>
      </c>
      <c r="D619" s="1">
        <v>0</v>
      </c>
      <c r="E619" s="1">
        <v>0</v>
      </c>
    </row>
    <row r="620" spans="1:5">
      <c r="A620" s="1" t="str">
        <f>"093000044920010"</f>
        <v>093000044920010</v>
      </c>
      <c r="B620" s="1" t="str">
        <f>"何明"</f>
        <v>何明</v>
      </c>
      <c r="C620" s="1">
        <v>0</v>
      </c>
      <c r="D620" s="1">
        <v>0</v>
      </c>
      <c r="E620" s="1">
        <v>0</v>
      </c>
    </row>
    <row r="621" spans="1:5">
      <c r="A621" s="1" t="str">
        <f>"0930000000049"</f>
        <v>0930000000049</v>
      </c>
      <c r="B621" s="1" t="str">
        <f>"耿明栓"</f>
        <v>耿明栓</v>
      </c>
      <c r="C621" s="1">
        <v>0</v>
      </c>
      <c r="D621" s="1">
        <v>0</v>
      </c>
      <c r="E621" s="1">
        <v>0</v>
      </c>
    </row>
    <row r="622" spans="1:5">
      <c r="A622" s="1" t="str">
        <f>"0930000000050"</f>
        <v>0930000000050</v>
      </c>
      <c r="B622" s="1" t="str">
        <f>"仵玉华"</f>
        <v>仵玉华</v>
      </c>
      <c r="C622" s="1">
        <v>-614</v>
      </c>
      <c r="D622" s="1">
        <v>-41</v>
      </c>
      <c r="E622" s="1">
        <v>-100.93</v>
      </c>
    </row>
    <row r="623" spans="1:5">
      <c r="A623" s="1" t="str">
        <f>"093000920460"</f>
        <v>093000920460</v>
      </c>
      <c r="B623" s="1" t="str">
        <f>"张俊文"</f>
        <v>张俊文</v>
      </c>
      <c r="C623" s="1">
        <v>0</v>
      </c>
      <c r="D623" s="1">
        <v>0</v>
      </c>
      <c r="E623" s="1">
        <v>0</v>
      </c>
    </row>
    <row r="624" spans="1:5">
      <c r="A624" s="1" t="str">
        <f>"093000067920064"</f>
        <v>093000067920064</v>
      </c>
      <c r="B624" s="1" t="str">
        <f>"杨清岩 "</f>
        <v>杨清岩 </v>
      </c>
      <c r="C624" s="1">
        <v>0</v>
      </c>
      <c r="D624" s="1">
        <v>0</v>
      </c>
      <c r="E624" s="1">
        <v>0</v>
      </c>
    </row>
    <row r="625" spans="1:5">
      <c r="A625" s="1" t="str">
        <f>"0930000620007"</f>
        <v>0930000620007</v>
      </c>
      <c r="B625" s="1" t="str">
        <f>"刘成新"</f>
        <v>刘成新</v>
      </c>
      <c r="C625" s="1">
        <v>0</v>
      </c>
      <c r="D625" s="1">
        <v>0</v>
      </c>
      <c r="E625" s="1">
        <v>0</v>
      </c>
    </row>
    <row r="626" spans="1:5">
      <c r="A626" s="1" t="str">
        <f>"093000064920035"</f>
        <v>093000064920035</v>
      </c>
      <c r="B626" s="1" t="str">
        <f>"李志聪"</f>
        <v>李志聪</v>
      </c>
      <c r="C626" s="1">
        <v>0</v>
      </c>
      <c r="D626" s="1">
        <v>0</v>
      </c>
      <c r="E626" s="1">
        <v>0</v>
      </c>
    </row>
    <row r="627" spans="1:5">
      <c r="A627" s="1" t="str">
        <f>"093000044920011"</f>
        <v>093000044920011</v>
      </c>
      <c r="B627" s="1" t="str">
        <f>"赵斌"</f>
        <v>赵斌</v>
      </c>
      <c r="C627" s="1">
        <v>0</v>
      </c>
      <c r="D627" s="1">
        <v>0</v>
      </c>
      <c r="E627" s="1">
        <v>0</v>
      </c>
    </row>
    <row r="628" spans="1:5">
      <c r="A628" s="1" t="str">
        <f>"093000070920010"</f>
        <v>093000070920010</v>
      </c>
      <c r="B628" s="1" t="str">
        <f>"刘荫"</f>
        <v>刘荫</v>
      </c>
      <c r="C628" s="1">
        <v>0</v>
      </c>
      <c r="D628" s="1">
        <v>43</v>
      </c>
      <c r="E628" s="1">
        <v>-586.41</v>
      </c>
    </row>
    <row r="629" spans="1:5">
      <c r="A629" s="1" t="str">
        <f>"093000049920038"</f>
        <v>093000049920038</v>
      </c>
      <c r="B629" s="1" t="str">
        <f>"王洁杰"</f>
        <v>王洁杰</v>
      </c>
      <c r="C629" s="1">
        <v>0</v>
      </c>
      <c r="D629" s="1">
        <v>0</v>
      </c>
      <c r="E629" s="1">
        <v>0</v>
      </c>
    </row>
    <row r="630" spans="1:5">
      <c r="A630" s="1" t="str">
        <f>"0930000000051"</f>
        <v>0930000000051</v>
      </c>
      <c r="B630" s="1" t="str">
        <f>"葛军发"</f>
        <v>葛军发</v>
      </c>
      <c r="C630" s="1">
        <v>-686</v>
      </c>
      <c r="D630" s="1">
        <v>-225</v>
      </c>
      <c r="E630" s="1">
        <v>-315.06</v>
      </c>
    </row>
    <row r="631" spans="1:5">
      <c r="A631" s="1" t="str">
        <f>"0930000620008"</f>
        <v>0930000620008</v>
      </c>
      <c r="B631" s="1" t="str">
        <f>"罗冲"</f>
        <v>罗冲</v>
      </c>
      <c r="C631" s="1">
        <v>0</v>
      </c>
      <c r="D631" s="1">
        <v>0</v>
      </c>
      <c r="E631" s="1">
        <v>0</v>
      </c>
    </row>
    <row r="632" spans="1:5">
      <c r="A632" s="1" t="str">
        <f>"093000040001920085"</f>
        <v>093000040001920085</v>
      </c>
      <c r="B632" s="1" t="str">
        <f>"陈枷澈"</f>
        <v>陈枷澈</v>
      </c>
      <c r="C632" s="1">
        <v>0</v>
      </c>
      <c r="D632" s="1">
        <v>-940</v>
      </c>
      <c r="E632" s="1">
        <v>-242.25</v>
      </c>
    </row>
    <row r="633" spans="1:5">
      <c r="A633" s="1" t="str">
        <f>"093000048920012"</f>
        <v>093000048920012</v>
      </c>
      <c r="B633" s="1" t="str">
        <f>"马青"</f>
        <v>马青</v>
      </c>
      <c r="C633" s="1">
        <v>12</v>
      </c>
      <c r="D633" s="1">
        <v>-181</v>
      </c>
      <c r="E633" s="1">
        <v>-269.61</v>
      </c>
    </row>
    <row r="634" spans="1:5">
      <c r="A634" s="1" t="str">
        <f>"093000059920016"</f>
        <v>093000059920016</v>
      </c>
      <c r="B634" s="1" t="str">
        <f>"王思倩"</f>
        <v>王思倩</v>
      </c>
      <c r="C634" s="1">
        <v>-196</v>
      </c>
      <c r="D634" s="1">
        <v>73</v>
      </c>
      <c r="E634" s="1">
        <v>-127.46</v>
      </c>
    </row>
    <row r="635" spans="1:5">
      <c r="A635" s="1" t="str">
        <f>"093000059920017"</f>
        <v>093000059920017</v>
      </c>
      <c r="B635" s="1" t="str">
        <f>"陈浩"</f>
        <v>陈浩</v>
      </c>
      <c r="C635" s="1">
        <v>0</v>
      </c>
      <c r="D635" s="1">
        <v>0</v>
      </c>
      <c r="E635" s="1">
        <v>0</v>
      </c>
    </row>
    <row r="636" spans="1:5">
      <c r="A636" s="1" t="str">
        <f>"093000068920032"</f>
        <v>093000068920032</v>
      </c>
      <c r="B636" s="1" t="str">
        <f>"陈禾灵"</f>
        <v>陈禾灵</v>
      </c>
      <c r="C636" s="1">
        <v>0</v>
      </c>
      <c r="D636" s="1">
        <v>-689</v>
      </c>
      <c r="E636" s="1">
        <v>-107.85</v>
      </c>
    </row>
    <row r="637" spans="1:5">
      <c r="A637" s="1" t="str">
        <f>"093000068920031"</f>
        <v>093000068920031</v>
      </c>
      <c r="B637" s="1" t="str">
        <f>"王华东"</f>
        <v>王华东</v>
      </c>
      <c r="C637" s="1">
        <v>-577</v>
      </c>
      <c r="D637" s="1">
        <v>134</v>
      </c>
      <c r="E637" s="1">
        <v>-2868.21</v>
      </c>
    </row>
    <row r="638" spans="1:5">
      <c r="A638" s="1" t="str">
        <f>"093000068920033"</f>
        <v>093000068920033</v>
      </c>
      <c r="B638" s="1" t="str">
        <f>"潘敬奎"</f>
        <v>潘敬奎</v>
      </c>
      <c r="C638" s="1">
        <v>0</v>
      </c>
      <c r="D638" s="1">
        <v>-43</v>
      </c>
      <c r="E638" s="1">
        <v>-100.94</v>
      </c>
    </row>
    <row r="639" spans="1:5">
      <c r="A639" s="1" t="str">
        <f>"093000920465"</f>
        <v>093000920465</v>
      </c>
      <c r="B639" s="1" t="str">
        <f>"陈月阳"</f>
        <v>陈月阳</v>
      </c>
      <c r="C639" s="1">
        <v>-203</v>
      </c>
      <c r="D639" s="1">
        <v>48</v>
      </c>
      <c r="E639" s="1">
        <v>-219.9</v>
      </c>
    </row>
    <row r="640" spans="1:5">
      <c r="A640" s="1" t="str">
        <f>"093000064920036"</f>
        <v>093000064920036</v>
      </c>
      <c r="B640" s="1" t="str">
        <f>"王维"</f>
        <v>王维</v>
      </c>
      <c r="C640" s="1">
        <v>1237</v>
      </c>
      <c r="D640" s="1">
        <v>1989</v>
      </c>
      <c r="E640" s="1">
        <v>-476.58</v>
      </c>
    </row>
    <row r="641" spans="1:5">
      <c r="A641" s="1" t="str">
        <f>"0930000000052"</f>
        <v>0930000000052</v>
      </c>
      <c r="B641" s="1" t="str">
        <f>"韦欢华"</f>
        <v>韦欢华</v>
      </c>
      <c r="C641" s="1">
        <v>0</v>
      </c>
      <c r="D641" s="1">
        <v>592</v>
      </c>
      <c r="E641" s="1">
        <v>-1026.51</v>
      </c>
    </row>
    <row r="642" spans="1:5">
      <c r="A642" s="1" t="str">
        <f>"093000043920014"</f>
        <v>093000043920014</v>
      </c>
      <c r="B642" s="1" t="str">
        <f>"张军乾"</f>
        <v>张军乾</v>
      </c>
      <c r="C642" s="1">
        <v>0</v>
      </c>
      <c r="D642" s="1">
        <v>0</v>
      </c>
      <c r="E642" s="1">
        <v>0</v>
      </c>
    </row>
    <row r="643" spans="1:5">
      <c r="A643" s="1" t="str">
        <f>"093000043920014"</f>
        <v>093000043920014</v>
      </c>
      <c r="B643" s="1" t="str">
        <f>"赵军乾"</f>
        <v>赵军乾</v>
      </c>
      <c r="C643" s="1">
        <v>0</v>
      </c>
      <c r="D643" s="1">
        <v>0</v>
      </c>
      <c r="E643" s="1">
        <v>0</v>
      </c>
    </row>
    <row r="644" spans="1:5">
      <c r="A644" s="1" t="str">
        <f>"0930000620009"</f>
        <v>0930000620009</v>
      </c>
      <c r="B644" s="1" t="str">
        <f>"刘银锋"</f>
        <v>刘银锋</v>
      </c>
      <c r="C644" s="1">
        <v>0</v>
      </c>
      <c r="D644" s="1">
        <v>0</v>
      </c>
      <c r="E644" s="1">
        <v>0</v>
      </c>
    </row>
    <row r="645" spans="1:5">
      <c r="A645" s="1" t="str">
        <f>"093000043920015"</f>
        <v>093000043920015</v>
      </c>
      <c r="B645" s="1" t="str">
        <f>"赵倩"</f>
        <v>赵倩</v>
      </c>
      <c r="C645" s="1">
        <v>-2840</v>
      </c>
      <c r="D645" s="1">
        <v>-200</v>
      </c>
      <c r="E645" s="1">
        <v>-72.16</v>
      </c>
    </row>
    <row r="646" spans="1:5">
      <c r="A646" s="1" t="str">
        <f>"093000068920034"</f>
        <v>093000068920034</v>
      </c>
      <c r="B646" s="1" t="str">
        <f>"雷晴"</f>
        <v>雷晴</v>
      </c>
      <c r="C646" s="1">
        <v>-39</v>
      </c>
      <c r="D646" s="1">
        <v>138</v>
      </c>
      <c r="E646" s="1">
        <v>-75.56</v>
      </c>
    </row>
    <row r="647" spans="1:5">
      <c r="A647" s="1" t="str">
        <f>"0930000620010"</f>
        <v>0930000620010</v>
      </c>
      <c r="B647" s="1" t="str">
        <f>"付鹏飞"</f>
        <v>付鹏飞</v>
      </c>
      <c r="C647" s="1">
        <v>0</v>
      </c>
      <c r="D647" s="1">
        <v>0</v>
      </c>
      <c r="E647" s="1">
        <v>0</v>
      </c>
    </row>
    <row r="648" spans="1:5">
      <c r="A648" s="1" t="str">
        <f>"093000064920037"</f>
        <v>093000064920037</v>
      </c>
      <c r="B648" s="1" t="str">
        <f>"焦晓静"</f>
        <v>焦晓静</v>
      </c>
      <c r="C648" s="1">
        <v>-1023</v>
      </c>
      <c r="D648" s="1">
        <v>-1174</v>
      </c>
      <c r="E648" s="1">
        <v>-213.33</v>
      </c>
    </row>
    <row r="649" spans="1:5">
      <c r="A649" s="1" t="str">
        <f>"093000067920066"</f>
        <v>093000067920066</v>
      </c>
      <c r="B649" s="1" t="str">
        <f>"梁建国"</f>
        <v>梁建国</v>
      </c>
      <c r="C649" s="1">
        <v>0</v>
      </c>
      <c r="D649" s="1">
        <v>0</v>
      </c>
      <c r="E649" s="1">
        <v>0</v>
      </c>
    </row>
    <row r="650" spans="1:5">
      <c r="A650" s="1" t="str">
        <f>"093000040001920086"</f>
        <v>093000040001920086</v>
      </c>
      <c r="B650" s="1" t="str">
        <f>"郭隆龙"</f>
        <v>郭隆龙</v>
      </c>
      <c r="C650" s="1">
        <v>244</v>
      </c>
      <c r="D650" s="1">
        <v>-1331</v>
      </c>
      <c r="E650" s="1">
        <v>-111.55</v>
      </c>
    </row>
    <row r="651" spans="1:5">
      <c r="A651" s="1" t="str">
        <f>"093000920466"</f>
        <v>093000920466</v>
      </c>
      <c r="B651" s="1" t="str">
        <f>"周立来"</f>
        <v>周立来</v>
      </c>
      <c r="C651" s="1">
        <v>0</v>
      </c>
      <c r="D651" s="1">
        <v>2</v>
      </c>
      <c r="E651" s="1">
        <v>-65.24</v>
      </c>
    </row>
    <row r="652" spans="1:5">
      <c r="A652" s="1" t="str">
        <f>"093000070920011"</f>
        <v>093000070920011</v>
      </c>
      <c r="B652" s="1" t="str">
        <f>"孙小芳"</f>
        <v>孙小芳</v>
      </c>
      <c r="C652" s="1">
        <v>0</v>
      </c>
      <c r="D652" s="1">
        <v>-706</v>
      </c>
      <c r="E652" s="1">
        <v>-208.93</v>
      </c>
    </row>
    <row r="653" spans="1:5">
      <c r="A653" s="1" t="str">
        <f>"093000040001920088"</f>
        <v>093000040001920088</v>
      </c>
      <c r="B653" s="1" t="str">
        <f>"麦杰波"</f>
        <v>麦杰波</v>
      </c>
      <c r="C653" s="1">
        <v>0</v>
      </c>
      <c r="D653" s="1">
        <v>0</v>
      </c>
      <c r="E653" s="1">
        <v>0</v>
      </c>
    </row>
    <row r="654" spans="1:5">
      <c r="A654" s="1" t="str">
        <f>"093000068920035"</f>
        <v>093000068920035</v>
      </c>
      <c r="B654" s="1" t="str">
        <f>"陆乙玮"</f>
        <v>陆乙玮</v>
      </c>
      <c r="C654" s="1">
        <v>-263</v>
      </c>
      <c r="D654" s="1">
        <v>93</v>
      </c>
      <c r="E654" s="1">
        <v>-20.39</v>
      </c>
    </row>
    <row r="655" spans="1:5">
      <c r="A655" s="1" t="str">
        <f>"0930000730003"</f>
        <v>0930000730003</v>
      </c>
      <c r="B655" s="1" t="str">
        <f>"龙晓霞"</f>
        <v>龙晓霞</v>
      </c>
      <c r="C655" s="1">
        <v>0</v>
      </c>
      <c r="D655" s="1">
        <v>0</v>
      </c>
      <c r="E655" s="1">
        <v>0</v>
      </c>
    </row>
    <row r="656" spans="1:5">
      <c r="A656" s="1" t="str">
        <f>"093000071920007"</f>
        <v>093000071920007</v>
      </c>
      <c r="B656" s="1" t="str">
        <f>"郑朝东"</f>
        <v>郑朝东</v>
      </c>
      <c r="C656" s="1">
        <v>0</v>
      </c>
      <c r="D656" s="1">
        <v>0</v>
      </c>
      <c r="E656" s="1">
        <v>0</v>
      </c>
    </row>
    <row r="657" spans="1:5">
      <c r="A657" s="1" t="str">
        <f>"093000068920036"</f>
        <v>093000068920036</v>
      </c>
      <c r="B657" s="1" t="str">
        <f>"肖婉婕"</f>
        <v>肖婉婕</v>
      </c>
      <c r="C657" s="1">
        <v>0</v>
      </c>
      <c r="D657" s="1">
        <v>0</v>
      </c>
      <c r="E657" s="1">
        <v>0</v>
      </c>
    </row>
    <row r="658" spans="1:5">
      <c r="A658" s="1" t="str">
        <f>"093000070920012"</f>
        <v>093000070920012</v>
      </c>
      <c r="B658" s="1" t="str">
        <f>"陈婷婷"</f>
        <v>陈婷婷</v>
      </c>
      <c r="C658" s="1">
        <v>0</v>
      </c>
      <c r="D658" s="1">
        <v>496</v>
      </c>
      <c r="E658" s="1">
        <v>-53.38</v>
      </c>
    </row>
    <row r="659" spans="1:5">
      <c r="A659" s="1" t="str">
        <f>"093000044920013"</f>
        <v>093000044920013</v>
      </c>
      <c r="B659" s="1" t="str">
        <f>"胡云召"</f>
        <v>胡云召</v>
      </c>
      <c r="C659" s="1">
        <v>0</v>
      </c>
      <c r="D659" s="1">
        <v>0</v>
      </c>
      <c r="E659" s="1">
        <v>0</v>
      </c>
    </row>
    <row r="660" spans="1:5">
      <c r="A660" s="1" t="str">
        <f>"093000040001920089"</f>
        <v>093000040001920089</v>
      </c>
      <c r="B660" s="1" t="str">
        <f>"林伟华"</f>
        <v>林伟华</v>
      </c>
      <c r="C660" s="1">
        <v>0</v>
      </c>
      <c r="D660" s="1">
        <v>-960</v>
      </c>
      <c r="E660" s="1">
        <v>-99.62</v>
      </c>
    </row>
    <row r="661" spans="1:5">
      <c r="A661" s="1" t="str">
        <f>"093000071920008"</f>
        <v>093000071920008</v>
      </c>
      <c r="B661" s="1" t="str">
        <f>"刘大娃"</f>
        <v>刘大娃</v>
      </c>
      <c r="C661" s="1">
        <v>0</v>
      </c>
      <c r="D661" s="1">
        <v>0</v>
      </c>
      <c r="E661" s="1">
        <v>0</v>
      </c>
    </row>
    <row r="662" spans="1:5">
      <c r="A662" s="1" t="str">
        <f>"093000047920007"</f>
        <v>093000047920007</v>
      </c>
      <c r="B662" s="1" t="str">
        <f>"孟祥太"</f>
        <v>孟祥太</v>
      </c>
      <c r="C662" s="1">
        <v>0</v>
      </c>
      <c r="D662" s="1">
        <v>0</v>
      </c>
      <c r="E662" s="1">
        <v>0</v>
      </c>
    </row>
    <row r="663" spans="1:5">
      <c r="A663" s="1" t="str">
        <f>"093000064920038"</f>
        <v>093000064920038</v>
      </c>
      <c r="B663" s="1" t="str">
        <f>"王冰"</f>
        <v>王冰</v>
      </c>
      <c r="C663" s="1">
        <v>-148</v>
      </c>
      <c r="D663" s="1">
        <v>-243</v>
      </c>
      <c r="E663" s="1">
        <v>-406.08</v>
      </c>
    </row>
    <row r="664" spans="1:5">
      <c r="A664" s="1" t="str">
        <f>"0930000470000"</f>
        <v>0930000470000</v>
      </c>
      <c r="B664" s="1" t="str">
        <f>"李广"</f>
        <v>李广</v>
      </c>
      <c r="C664" s="1">
        <v>0</v>
      </c>
      <c r="D664" s="1">
        <v>0</v>
      </c>
      <c r="E664" s="1">
        <v>0</v>
      </c>
    </row>
    <row r="665" spans="1:5">
      <c r="A665" s="1" t="str">
        <f>"0930000620011"</f>
        <v>0930000620011</v>
      </c>
      <c r="B665" s="1" t="str">
        <f>"麦爱萍"</f>
        <v>麦爱萍</v>
      </c>
      <c r="C665" s="1">
        <v>0</v>
      </c>
      <c r="D665" s="1">
        <v>818</v>
      </c>
      <c r="E665" s="1">
        <v>-50.98</v>
      </c>
    </row>
    <row r="666" spans="1:5">
      <c r="A666" s="1" t="str">
        <f>"093000049920039"</f>
        <v>093000049920039</v>
      </c>
      <c r="B666" s="1" t="str">
        <f>"黄克涛"</f>
        <v>黄克涛</v>
      </c>
      <c r="C666" s="1">
        <v>0</v>
      </c>
      <c r="D666" s="1">
        <v>0</v>
      </c>
      <c r="E666" s="1">
        <v>0</v>
      </c>
    </row>
    <row r="667" spans="1:5">
      <c r="A667" s="1" t="str">
        <f>"093000044920014"</f>
        <v>093000044920014</v>
      </c>
      <c r="B667" s="1" t="str">
        <f>"刘国清"</f>
        <v>刘国清</v>
      </c>
      <c r="C667" s="1">
        <v>0</v>
      </c>
      <c r="D667" s="1">
        <v>0</v>
      </c>
      <c r="E667" s="1">
        <v>0</v>
      </c>
    </row>
    <row r="668" spans="1:5">
      <c r="A668" s="1" t="str">
        <f>"093000047920009"</f>
        <v>093000047920009</v>
      </c>
      <c r="B668" s="1" t="str">
        <f>"郭飞"</f>
        <v>郭飞</v>
      </c>
      <c r="C668" s="1">
        <v>-439</v>
      </c>
      <c r="D668" s="1">
        <v>365</v>
      </c>
      <c r="E668" s="1">
        <v>-175.09</v>
      </c>
    </row>
    <row r="669" spans="1:5">
      <c r="A669" s="1" t="str">
        <f>"093000040001920090"</f>
        <v>093000040001920090</v>
      </c>
      <c r="B669" s="1" t="str">
        <f>"郭月桂"</f>
        <v>郭月桂</v>
      </c>
      <c r="C669" s="1">
        <v>-120</v>
      </c>
      <c r="D669" s="1">
        <v>992</v>
      </c>
      <c r="E669" s="1">
        <v>-101.89</v>
      </c>
    </row>
    <row r="670" spans="1:5">
      <c r="A670" s="1" t="str">
        <f>"0930000000053"</f>
        <v>0930000000053</v>
      </c>
      <c r="B670" s="1" t="str">
        <f>"胡兵兵"</f>
        <v>胡兵兵</v>
      </c>
      <c r="C670" s="1">
        <v>0</v>
      </c>
      <c r="D670" s="1">
        <v>-49</v>
      </c>
      <c r="E670" s="1">
        <v>-6.9</v>
      </c>
    </row>
    <row r="671" spans="1:5">
      <c r="A671" s="1" t="str">
        <f>"093000041920025"</f>
        <v>093000041920025</v>
      </c>
      <c r="B671" s="1" t="str">
        <f>"陈相财"</f>
        <v>陈相财</v>
      </c>
      <c r="C671" s="1">
        <v>0</v>
      </c>
      <c r="D671" s="1">
        <v>-1220</v>
      </c>
      <c r="E671" s="1">
        <v>-102.5</v>
      </c>
    </row>
    <row r="672" spans="1:5">
      <c r="A672" s="1" t="str">
        <f>"093000041920026"</f>
        <v>093000041920026</v>
      </c>
      <c r="B672" s="1" t="str">
        <f>"欧艺"</f>
        <v>欧艺</v>
      </c>
      <c r="C672" s="1">
        <v>0</v>
      </c>
      <c r="D672" s="1">
        <v>1128</v>
      </c>
      <c r="E672" s="1">
        <v>-102.5</v>
      </c>
    </row>
    <row r="673" spans="1:5">
      <c r="A673" s="1" t="str">
        <f>"093000067920071"</f>
        <v>093000067920071</v>
      </c>
      <c r="B673" s="1" t="str">
        <f>"顾元广"</f>
        <v>顾元广</v>
      </c>
      <c r="C673" s="1">
        <v>0</v>
      </c>
      <c r="D673" s="1">
        <v>0</v>
      </c>
      <c r="E673" s="1">
        <v>0</v>
      </c>
    </row>
    <row r="674" spans="1:5">
      <c r="A674" s="1" t="str">
        <f>"093000044920016"</f>
        <v>093000044920016</v>
      </c>
      <c r="B674" s="1" t="str">
        <f>"曲东红"</f>
        <v>曲东红</v>
      </c>
      <c r="C674" s="1">
        <v>-262</v>
      </c>
      <c r="D674" s="1">
        <v>648</v>
      </c>
      <c r="E674" s="1">
        <v>-267.79</v>
      </c>
    </row>
    <row r="675" spans="1:5">
      <c r="A675" s="1" t="str">
        <f>"093000088920002"</f>
        <v>093000088920002</v>
      </c>
      <c r="B675" s="1" t="str">
        <f>"秦文通"</f>
        <v>秦文通</v>
      </c>
      <c r="C675" s="1">
        <v>90</v>
      </c>
      <c r="D675" s="1">
        <v>298</v>
      </c>
      <c r="E675" s="1">
        <v>-128.18</v>
      </c>
    </row>
    <row r="676" spans="1:5">
      <c r="A676" s="1" t="str">
        <f>"093000920473"</f>
        <v>093000920473</v>
      </c>
      <c r="B676" s="1" t="str">
        <f>"陈露露"</f>
        <v>陈露露</v>
      </c>
      <c r="C676" s="1">
        <v>0</v>
      </c>
      <c r="D676" s="1">
        <v>287</v>
      </c>
      <c r="E676" s="1">
        <v>-146.57</v>
      </c>
    </row>
    <row r="677" spans="1:5">
      <c r="A677" s="1" t="str">
        <f>"093000066920011"</f>
        <v>093000066920011</v>
      </c>
      <c r="B677" s="1" t="str">
        <f>"曹海营"</f>
        <v>曹海营</v>
      </c>
      <c r="C677" s="1">
        <v>0</v>
      </c>
      <c r="D677" s="1">
        <v>0</v>
      </c>
      <c r="E677" s="1">
        <v>0</v>
      </c>
    </row>
    <row r="678" spans="1:5">
      <c r="A678" s="1" t="str">
        <f>"093000064920039"</f>
        <v>093000064920039</v>
      </c>
      <c r="B678" s="1" t="str">
        <f>"李贺威"</f>
        <v>李贺威</v>
      </c>
      <c r="C678" s="1">
        <v>-76</v>
      </c>
      <c r="D678" s="1">
        <v>1670</v>
      </c>
      <c r="E678" s="1">
        <v>-951.29</v>
      </c>
    </row>
    <row r="679" spans="1:5">
      <c r="A679" s="1" t="str">
        <f>"093000068920039"</f>
        <v>093000068920039</v>
      </c>
      <c r="B679" s="1" t="str">
        <f>"黄恒福"</f>
        <v>黄恒福</v>
      </c>
      <c r="C679" s="1">
        <v>0</v>
      </c>
      <c r="D679" s="1">
        <v>471</v>
      </c>
      <c r="E679" s="1">
        <v>-50.89</v>
      </c>
    </row>
    <row r="680" spans="1:5">
      <c r="A680" s="1" t="str">
        <f>"093000088920003"</f>
        <v>093000088920003</v>
      </c>
      <c r="B680" s="1" t="str">
        <f>"李书霞"</f>
        <v>李书霞</v>
      </c>
      <c r="C680" s="1">
        <v>-28</v>
      </c>
      <c r="D680" s="1">
        <v>14</v>
      </c>
      <c r="E680" s="1">
        <v>-13.83</v>
      </c>
    </row>
    <row r="681" spans="1:5">
      <c r="A681" s="1" t="str">
        <f>"093000068920040"</f>
        <v>093000068920040</v>
      </c>
      <c r="B681" s="1" t="str">
        <f>"陈劲"</f>
        <v>陈劲</v>
      </c>
      <c r="C681" s="1">
        <v>0</v>
      </c>
      <c r="D681" s="1">
        <v>0</v>
      </c>
      <c r="E681" s="1">
        <v>0</v>
      </c>
    </row>
    <row r="682" spans="1:5">
      <c r="A682" s="1" t="str">
        <f>"093000063920011"</f>
        <v>093000063920011</v>
      </c>
      <c r="B682" s="1" t="str">
        <f>"周燕燕"</f>
        <v>周燕燕</v>
      </c>
      <c r="C682" s="1">
        <v>0</v>
      </c>
      <c r="D682" s="1">
        <v>0</v>
      </c>
      <c r="E682" s="1">
        <v>0</v>
      </c>
    </row>
    <row r="683" spans="1:5">
      <c r="A683" s="1" t="str">
        <f>"0930000620053"</f>
        <v>0930000620053</v>
      </c>
      <c r="B683" s="1" t="str">
        <f>"文勇辉"</f>
        <v>文勇辉</v>
      </c>
      <c r="C683" s="1">
        <v>0</v>
      </c>
      <c r="D683" s="1">
        <v>0</v>
      </c>
      <c r="E683" s="1">
        <v>0</v>
      </c>
    </row>
    <row r="684" spans="1:5">
      <c r="A684" s="1" t="str">
        <f>"093000088920004"</f>
        <v>093000088920004</v>
      </c>
      <c r="B684" s="1" t="str">
        <f>"陈淅江"</f>
        <v>陈淅江</v>
      </c>
      <c r="C684" s="1">
        <v>-12</v>
      </c>
      <c r="D684" s="1">
        <v>0</v>
      </c>
      <c r="E684" s="1">
        <v>-10.44</v>
      </c>
    </row>
    <row r="685" spans="1:5">
      <c r="A685" s="1" t="str">
        <f>"0930000000054"</f>
        <v>0930000000054</v>
      </c>
      <c r="B685" s="1" t="str">
        <f>"刘月同"</f>
        <v>刘月同</v>
      </c>
      <c r="C685" s="1">
        <v>0</v>
      </c>
      <c r="D685" s="1">
        <v>-317</v>
      </c>
      <c r="E685" s="1">
        <v>-51.23</v>
      </c>
    </row>
    <row r="686" spans="1:5">
      <c r="A686" s="1" t="str">
        <f>"093000040001920092"</f>
        <v>093000040001920092</v>
      </c>
      <c r="B686" s="1" t="str">
        <f>"扬梓玄"</f>
        <v>扬梓玄</v>
      </c>
      <c r="C686" s="1">
        <v>0</v>
      </c>
      <c r="D686" s="1">
        <v>0</v>
      </c>
      <c r="E686" s="1">
        <v>0</v>
      </c>
    </row>
    <row r="687" spans="1:5">
      <c r="A687" s="1" t="str">
        <f>"093000068920041"</f>
        <v>093000068920041</v>
      </c>
      <c r="B687" s="1" t="str">
        <f>"李承育"</f>
        <v>李承育</v>
      </c>
      <c r="C687" s="1">
        <v>0</v>
      </c>
      <c r="D687" s="1">
        <v>0</v>
      </c>
      <c r="E687" s="1">
        <v>0</v>
      </c>
    </row>
    <row r="688" spans="1:5">
      <c r="A688" s="1" t="str">
        <f>"093000920474"</f>
        <v>093000920474</v>
      </c>
      <c r="B688" s="1" t="str">
        <f>"司启航"</f>
        <v>司启航</v>
      </c>
      <c r="C688" s="1">
        <v>0</v>
      </c>
      <c r="D688" s="1">
        <v>0</v>
      </c>
      <c r="E688" s="1">
        <v>0</v>
      </c>
    </row>
    <row r="689" spans="1:5">
      <c r="A689" s="1" t="str">
        <f>"093000040001920093"</f>
        <v>093000040001920093</v>
      </c>
      <c r="B689" s="1" t="str">
        <f>"郭远"</f>
        <v>郭远</v>
      </c>
      <c r="C689" s="1">
        <v>0</v>
      </c>
      <c r="D689" s="1">
        <v>876</v>
      </c>
      <c r="E689" s="1">
        <v>-98.68</v>
      </c>
    </row>
    <row r="690" spans="1:5">
      <c r="A690" s="1" t="str">
        <f>"093000040001920094"</f>
        <v>093000040001920094</v>
      </c>
      <c r="B690" s="1" t="str">
        <f>"黄静红"</f>
        <v>黄静红</v>
      </c>
      <c r="C690" s="1">
        <v>-702</v>
      </c>
      <c r="D690" s="1">
        <v>0</v>
      </c>
      <c r="E690" s="1">
        <v>-48.99</v>
      </c>
    </row>
    <row r="691" spans="1:5">
      <c r="A691" s="1" t="str">
        <f>"093000040001920095"</f>
        <v>093000040001920095</v>
      </c>
      <c r="B691" s="1" t="str">
        <f>"郑慧莲"</f>
        <v>郑慧莲</v>
      </c>
      <c r="C691" s="1">
        <v>0</v>
      </c>
      <c r="D691" s="1">
        <v>-1068</v>
      </c>
      <c r="E691" s="1">
        <v>-98.58</v>
      </c>
    </row>
    <row r="692" spans="1:5">
      <c r="A692" s="1" t="str">
        <f>"093000040001920096"</f>
        <v>093000040001920096</v>
      </c>
      <c r="B692" s="1" t="str">
        <f>"陈华秀"</f>
        <v>陈华秀</v>
      </c>
      <c r="C692" s="1">
        <v>0</v>
      </c>
      <c r="D692" s="1">
        <v>0</v>
      </c>
      <c r="E692" s="1">
        <v>0</v>
      </c>
    </row>
    <row r="693" spans="1:5">
      <c r="A693" s="1" t="str">
        <f>"093000040920050"</f>
        <v>093000040920050</v>
      </c>
      <c r="B693" s="1" t="str">
        <f>"冯林谦"</f>
        <v>冯林谦</v>
      </c>
      <c r="C693" s="1">
        <v>0</v>
      </c>
      <c r="D693" s="1">
        <v>-6</v>
      </c>
      <c r="E693" s="1">
        <v>-147.78</v>
      </c>
    </row>
    <row r="694" spans="1:5">
      <c r="A694" s="1" t="str">
        <f>"093000064920040"</f>
        <v>093000064920040</v>
      </c>
      <c r="B694" s="1" t="str">
        <f>"崔爽"</f>
        <v>崔爽</v>
      </c>
      <c r="C694" s="1">
        <v>-1470</v>
      </c>
      <c r="D694" s="1">
        <v>-1</v>
      </c>
      <c r="E694" s="1">
        <v>-1024.96</v>
      </c>
    </row>
    <row r="695" spans="1:5">
      <c r="A695" s="1" t="str">
        <f>"0930000620054"</f>
        <v>0930000620054</v>
      </c>
      <c r="B695" s="1" t="str">
        <f>"麦宁宁"</f>
        <v>麦宁宁</v>
      </c>
      <c r="C695" s="1">
        <v>0</v>
      </c>
      <c r="D695" s="1">
        <v>0</v>
      </c>
      <c r="E695" s="1">
        <v>0</v>
      </c>
    </row>
    <row r="696" spans="1:5">
      <c r="A696" s="1" t="str">
        <f>"093000044920017"</f>
        <v>093000044920017</v>
      </c>
      <c r="B696" s="1" t="str">
        <f>"乔楚"</f>
        <v>乔楚</v>
      </c>
      <c r="C696" s="1">
        <v>0</v>
      </c>
      <c r="D696" s="1">
        <v>0</v>
      </c>
      <c r="E696" s="1">
        <v>0</v>
      </c>
    </row>
    <row r="697" spans="1:5">
      <c r="A697" s="1" t="str">
        <f>"093000920478"</f>
        <v>093000920478</v>
      </c>
      <c r="B697" s="1" t="str">
        <f>"王同贤"</f>
        <v>王同贤</v>
      </c>
      <c r="C697" s="1">
        <v>0</v>
      </c>
      <c r="D697" s="1">
        <v>0</v>
      </c>
      <c r="E697" s="1">
        <v>0</v>
      </c>
    </row>
    <row r="698" spans="1:5">
      <c r="A698" s="1" t="str">
        <f>"093000067920074"</f>
        <v>093000067920074</v>
      </c>
      <c r="B698" s="1" t="str">
        <f>"姚建明"</f>
        <v>姚建明</v>
      </c>
      <c r="C698" s="1">
        <v>0</v>
      </c>
      <c r="D698" s="1">
        <v>0</v>
      </c>
      <c r="E698" s="1">
        <v>0</v>
      </c>
    </row>
    <row r="699" spans="1:5">
      <c r="A699" s="1" t="str">
        <f>"093000067920076"</f>
        <v>093000067920076</v>
      </c>
      <c r="B699" s="1" t="str">
        <f>"宋柄威"</f>
        <v>宋柄威</v>
      </c>
      <c r="C699" s="1">
        <v>0</v>
      </c>
      <c r="D699" s="1">
        <v>-10</v>
      </c>
      <c r="E699" s="1">
        <v>-6.72</v>
      </c>
    </row>
    <row r="700" spans="1:5">
      <c r="A700" s="1" t="str">
        <f>"093000068920042"</f>
        <v>093000068920042</v>
      </c>
      <c r="B700" s="1" t="str">
        <f>"吴施敏"</f>
        <v>吴施敏</v>
      </c>
      <c r="C700" s="1">
        <v>0</v>
      </c>
      <c r="D700" s="1">
        <v>0</v>
      </c>
      <c r="E700" s="1">
        <v>0</v>
      </c>
    </row>
    <row r="701" spans="1:5">
      <c r="A701" s="1" t="str">
        <f>"093000070920013"</f>
        <v>093000070920013</v>
      </c>
      <c r="B701" s="1" t="str">
        <f>"王刚"</f>
        <v>王刚</v>
      </c>
      <c r="C701" s="1">
        <v>0</v>
      </c>
      <c r="D701" s="1">
        <v>0</v>
      </c>
      <c r="E701" s="1">
        <v>0</v>
      </c>
    </row>
    <row r="702" spans="1:5">
      <c r="A702" s="1" t="str">
        <f>"093000049920040"</f>
        <v>093000049920040</v>
      </c>
      <c r="B702" s="1" t="str">
        <f>"高德泉"</f>
        <v>高德泉</v>
      </c>
      <c r="C702" s="1">
        <v>0</v>
      </c>
      <c r="D702" s="1">
        <v>517</v>
      </c>
      <c r="E702" s="1">
        <v>-51.33</v>
      </c>
    </row>
    <row r="703" spans="1:5">
      <c r="A703" s="1" t="str">
        <f>"093000043920016"</f>
        <v>093000043920016</v>
      </c>
      <c r="B703" s="1" t="str">
        <f>"王长春"</f>
        <v>王长春</v>
      </c>
      <c r="C703" s="1">
        <v>0</v>
      </c>
      <c r="D703" s="1">
        <v>-219</v>
      </c>
      <c r="E703" s="1">
        <v>-158.41</v>
      </c>
    </row>
    <row r="704" spans="1:5">
      <c r="A704" s="1" t="str">
        <f>"093000049920041"</f>
        <v>093000049920041</v>
      </c>
      <c r="B704" s="1" t="str">
        <f>"张佩佩"</f>
        <v>张佩佩</v>
      </c>
      <c r="C704" s="1">
        <v>0</v>
      </c>
      <c r="D704" s="1">
        <v>0</v>
      </c>
      <c r="E704" s="1">
        <v>0</v>
      </c>
    </row>
    <row r="705" spans="1:5">
      <c r="A705" s="1" t="str">
        <f>"093000043920017"</f>
        <v>093000043920017</v>
      </c>
      <c r="B705" s="1" t="str">
        <f>"李晓"</f>
        <v>李晓</v>
      </c>
      <c r="C705" s="1">
        <v>0</v>
      </c>
      <c r="D705" s="1">
        <v>-337</v>
      </c>
      <c r="E705" s="1">
        <v>-170.87</v>
      </c>
    </row>
    <row r="706" spans="1:5">
      <c r="A706" s="1" t="str">
        <f>"093000040001920097"</f>
        <v>093000040001920097</v>
      </c>
      <c r="B706" s="1" t="str">
        <f>"麦丽燕"</f>
        <v>麦丽燕</v>
      </c>
      <c r="C706" s="1">
        <v>0</v>
      </c>
      <c r="D706" s="1">
        <v>-1086</v>
      </c>
      <c r="E706" s="1">
        <v>-99.44</v>
      </c>
    </row>
    <row r="707" spans="1:5">
      <c r="A707" s="1" t="str">
        <f>"093000072920002"</f>
        <v>093000072920002</v>
      </c>
      <c r="B707" s="1" t="str">
        <f>"卢居勇"</f>
        <v>卢居勇</v>
      </c>
      <c r="C707" s="1">
        <v>0</v>
      </c>
      <c r="D707" s="1">
        <v>254</v>
      </c>
      <c r="E707" s="1">
        <v>-98.41</v>
      </c>
    </row>
    <row r="708" spans="1:5">
      <c r="A708" s="1" t="str">
        <f>"093000070920014"</f>
        <v>093000070920014</v>
      </c>
      <c r="B708" s="1" t="str">
        <f>"叶后山"</f>
        <v>叶后山</v>
      </c>
      <c r="C708" s="1">
        <v>0</v>
      </c>
      <c r="D708" s="1">
        <v>0</v>
      </c>
      <c r="E708" s="1">
        <v>0</v>
      </c>
    </row>
    <row r="709" spans="1:5">
      <c r="A709" s="1" t="str">
        <f>"0930000370044"</f>
        <v>0930000370044</v>
      </c>
      <c r="B709" s="1" t="str">
        <f>"乔世杰"</f>
        <v>乔世杰</v>
      </c>
      <c r="C709" s="1">
        <v>0</v>
      </c>
      <c r="D709" s="1">
        <v>0</v>
      </c>
      <c r="E709" s="1">
        <v>0</v>
      </c>
    </row>
    <row r="710" spans="1:5">
      <c r="A710" s="1" t="str">
        <f>"093000040001920098"</f>
        <v>093000040001920098</v>
      </c>
      <c r="B710" s="1" t="str">
        <f>"邱启文"</f>
        <v>邱启文</v>
      </c>
      <c r="C710" s="1">
        <v>0</v>
      </c>
      <c r="D710" s="1">
        <v>0</v>
      </c>
      <c r="E710" s="1">
        <v>0</v>
      </c>
    </row>
    <row r="711" spans="1:5">
      <c r="A711" s="1" t="str">
        <f>"093000068920047"</f>
        <v>093000068920047</v>
      </c>
      <c r="B711" s="1" t="str">
        <f>"陈明珊"</f>
        <v>陈明珊</v>
      </c>
      <c r="C711" s="1">
        <v>0</v>
      </c>
      <c r="D711" s="1">
        <v>0</v>
      </c>
      <c r="E711" s="1">
        <v>0</v>
      </c>
    </row>
    <row r="712" spans="1:5">
      <c r="A712" s="1" t="str">
        <f>"093000068920046"</f>
        <v>093000068920046</v>
      </c>
      <c r="B712" s="1" t="str">
        <f>"武刚"</f>
        <v>武刚</v>
      </c>
      <c r="C712" s="1">
        <v>0</v>
      </c>
      <c r="D712" s="1">
        <v>0</v>
      </c>
      <c r="E712" s="1">
        <v>0</v>
      </c>
    </row>
    <row r="713" spans="1:5">
      <c r="A713" s="1" t="str">
        <f>"093000046920017"</f>
        <v>093000046920017</v>
      </c>
      <c r="B713" s="1" t="str">
        <f>"全淅"</f>
        <v>全淅</v>
      </c>
      <c r="C713" s="1">
        <v>0</v>
      </c>
      <c r="D713" s="1">
        <v>0</v>
      </c>
      <c r="E713" s="1">
        <v>0</v>
      </c>
    </row>
    <row r="714" spans="1:5">
      <c r="A714" s="1" t="str">
        <f>"093000040001920099"</f>
        <v>093000040001920099</v>
      </c>
      <c r="B714" s="1" t="str">
        <f>"罗杰"</f>
        <v>罗杰</v>
      </c>
      <c r="C714" s="1">
        <v>0</v>
      </c>
      <c r="D714" s="1">
        <v>0</v>
      </c>
      <c r="E714" s="1">
        <v>0</v>
      </c>
    </row>
    <row r="715" spans="1:5">
      <c r="A715" s="1" t="str">
        <f>"093000040001920100"</f>
        <v>093000040001920100</v>
      </c>
      <c r="B715" s="1" t="str">
        <f>"郭日丽"</f>
        <v>郭日丽</v>
      </c>
      <c r="C715" s="1">
        <v>0</v>
      </c>
      <c r="D715" s="1">
        <v>0</v>
      </c>
      <c r="E715" s="1">
        <v>0</v>
      </c>
    </row>
    <row r="716" spans="1:5">
      <c r="A716" s="1" t="str">
        <f>"0930000620055"</f>
        <v>0930000620055</v>
      </c>
      <c r="B716" s="1" t="str">
        <f>"罗焕"</f>
        <v>罗焕</v>
      </c>
      <c r="C716" s="1">
        <v>0</v>
      </c>
      <c r="D716" s="1">
        <v>0</v>
      </c>
      <c r="E716" s="1">
        <v>0</v>
      </c>
    </row>
    <row r="717" spans="1:5">
      <c r="A717" s="1" t="str">
        <f>"0930000370045"</f>
        <v>0930000370045</v>
      </c>
      <c r="B717" s="1" t="str">
        <f>"任丽莎"</f>
        <v>任丽莎</v>
      </c>
      <c r="C717" s="1">
        <v>0</v>
      </c>
      <c r="D717" s="1">
        <v>90</v>
      </c>
      <c r="E717" s="1">
        <v>-105.03</v>
      </c>
    </row>
    <row r="718" spans="1:5">
      <c r="A718" s="1" t="str">
        <f>"093000043920018"</f>
        <v>093000043920018</v>
      </c>
      <c r="B718" s="1" t="str">
        <f>"张松岑"</f>
        <v>张松岑</v>
      </c>
      <c r="C718" s="1">
        <v>0</v>
      </c>
      <c r="D718" s="1">
        <v>64</v>
      </c>
      <c r="E718" s="1">
        <v>-50.38</v>
      </c>
    </row>
    <row r="719" spans="1:5">
      <c r="A719" s="1" t="str">
        <f>"093000040001920101"</f>
        <v>093000040001920101</v>
      </c>
      <c r="B719" s="1" t="str">
        <f>"李炳柱"</f>
        <v>李炳柱</v>
      </c>
      <c r="C719" s="1">
        <v>0</v>
      </c>
      <c r="D719" s="1">
        <v>-1068</v>
      </c>
      <c r="E719" s="1">
        <v>-98.9</v>
      </c>
    </row>
    <row r="720" spans="1:5">
      <c r="A720" s="1" t="str">
        <f>"0930000790001"</f>
        <v>0930000790001</v>
      </c>
      <c r="B720" s="1" t="str">
        <f>"鲁月"</f>
        <v>鲁月</v>
      </c>
      <c r="C720" s="1">
        <v>0</v>
      </c>
      <c r="D720" s="1">
        <v>-68</v>
      </c>
      <c r="E720" s="1">
        <v>-13.77</v>
      </c>
    </row>
    <row r="721" spans="1:5">
      <c r="A721" s="1" t="str">
        <f>"093000040001920104"</f>
        <v>093000040001920104</v>
      </c>
      <c r="B721" s="1" t="str">
        <f>"文鑫"</f>
        <v>文鑫</v>
      </c>
      <c r="C721" s="1">
        <v>0</v>
      </c>
      <c r="D721" s="1">
        <v>-1068</v>
      </c>
      <c r="E721" s="1">
        <v>-98.7</v>
      </c>
    </row>
    <row r="722" spans="1:5">
      <c r="A722" s="1" t="str">
        <f>"093000040001920105"</f>
        <v>093000040001920105</v>
      </c>
      <c r="B722" s="1" t="str">
        <f>"林星华"</f>
        <v>林星华</v>
      </c>
      <c r="C722" s="1">
        <v>0</v>
      </c>
      <c r="D722" s="1">
        <v>848</v>
      </c>
      <c r="E722" s="1">
        <v>-99.64</v>
      </c>
    </row>
    <row r="723" spans="1:5">
      <c r="A723" s="1" t="str">
        <f>"093000920480"</f>
        <v>093000920480</v>
      </c>
      <c r="B723" s="1" t="str">
        <f>"诸葛明威"</f>
        <v>诸葛明威</v>
      </c>
      <c r="C723" s="1">
        <v>0</v>
      </c>
      <c r="D723" s="1">
        <v>0</v>
      </c>
      <c r="E723" s="1">
        <v>0</v>
      </c>
    </row>
    <row r="724" spans="1:5">
      <c r="A724" s="1" t="str">
        <f>"0930000400012"</f>
        <v>0930000400012</v>
      </c>
      <c r="B724" s="1" t="str">
        <f>"张鑫旺"</f>
        <v>张鑫旺</v>
      </c>
      <c r="C724" s="1">
        <v>0</v>
      </c>
      <c r="D724" s="1">
        <v>0</v>
      </c>
      <c r="E724" s="1">
        <v>0</v>
      </c>
    </row>
    <row r="725" spans="1:5">
      <c r="A725" s="1" t="str">
        <f>"093000040920052"</f>
        <v>093000040920052</v>
      </c>
      <c r="B725" s="1" t="str">
        <f>"郭艳丽"</f>
        <v>郭艳丽</v>
      </c>
      <c r="C725" s="1">
        <v>0</v>
      </c>
      <c r="D725" s="1">
        <v>0</v>
      </c>
      <c r="E725" s="1">
        <v>0</v>
      </c>
    </row>
    <row r="726" spans="1:5">
      <c r="A726" s="1" t="str">
        <f>"093000037920046"</f>
        <v>093000037920046</v>
      </c>
      <c r="B726" s="1" t="str">
        <f>"白公平"</f>
        <v>白公平</v>
      </c>
      <c r="C726" s="1">
        <v>0</v>
      </c>
      <c r="D726" s="1">
        <v>-9</v>
      </c>
      <c r="E726" s="1">
        <v>-13.77</v>
      </c>
    </row>
    <row r="727" spans="1:5">
      <c r="A727" s="1" t="str">
        <f>"0930000560003"</f>
        <v>0930000560003</v>
      </c>
      <c r="B727" s="1" t="str">
        <f>"邹顺凯"</f>
        <v>邹顺凯</v>
      </c>
      <c r="C727" s="1">
        <v>-135</v>
      </c>
      <c r="D727" s="1">
        <v>-501</v>
      </c>
      <c r="E727" s="1">
        <v>-74.32</v>
      </c>
    </row>
    <row r="728" spans="1:5">
      <c r="A728" s="1" t="str">
        <f>"093000043920019"</f>
        <v>093000043920019</v>
      </c>
      <c r="B728" s="1" t="str">
        <f>"曲慧"</f>
        <v>曲慧</v>
      </c>
      <c r="C728" s="1">
        <v>0</v>
      </c>
      <c r="D728" s="1">
        <v>-146</v>
      </c>
      <c r="E728" s="1">
        <v>-48.91</v>
      </c>
    </row>
    <row r="729" spans="1:5">
      <c r="A729" s="1" t="str">
        <f>"0930000790002"</f>
        <v>0930000790002</v>
      </c>
      <c r="B729" s="1" t="str">
        <f>"方成伟"</f>
        <v>方成伟</v>
      </c>
      <c r="C729" s="1">
        <v>0</v>
      </c>
      <c r="D729" s="1">
        <v>0</v>
      </c>
      <c r="E729" s="1">
        <v>0</v>
      </c>
    </row>
    <row r="730" spans="1:5">
      <c r="A730" s="1" t="str">
        <f>"093000039001920002"</f>
        <v>093000039001920002</v>
      </c>
      <c r="B730" s="1" t="str">
        <f>"焦丰锐"</f>
        <v>焦丰锐</v>
      </c>
      <c r="C730" s="1">
        <v>0</v>
      </c>
      <c r="D730" s="1">
        <v>-363</v>
      </c>
      <c r="E730" s="1">
        <v>-98.63</v>
      </c>
    </row>
    <row r="731" spans="1:5">
      <c r="A731" s="1" t="str">
        <f>"0930000620056"</f>
        <v>0930000620056</v>
      </c>
      <c r="B731" s="1" t="str">
        <f>"陆艳慧"</f>
        <v>陆艳慧</v>
      </c>
      <c r="C731" s="1">
        <v>0</v>
      </c>
      <c r="D731" s="1">
        <v>0</v>
      </c>
      <c r="E731" s="1">
        <v>0</v>
      </c>
    </row>
    <row r="732" spans="1:5">
      <c r="A732" s="1" t="str">
        <f>"093000044920019"</f>
        <v>093000044920019</v>
      </c>
      <c r="B732" s="1" t="str">
        <f>"岳瑞霞"</f>
        <v>岳瑞霞</v>
      </c>
      <c r="C732" s="1">
        <v>0</v>
      </c>
      <c r="D732" s="1">
        <v>0</v>
      </c>
      <c r="E732" s="1">
        <v>0</v>
      </c>
    </row>
    <row r="733" spans="1:5">
      <c r="A733" s="1" t="str">
        <f>"093000040920053"</f>
        <v>093000040920053</v>
      </c>
      <c r="B733" s="1" t="str">
        <f>"尚光华"</f>
        <v>尚光华</v>
      </c>
      <c r="C733" s="1">
        <v>0</v>
      </c>
      <c r="D733" s="1">
        <v>-33</v>
      </c>
      <c r="E733" s="1">
        <v>-148.04</v>
      </c>
    </row>
    <row r="734" spans="1:5">
      <c r="A734" s="1" t="str">
        <f>"0930000620057"</f>
        <v>0930000620057</v>
      </c>
      <c r="B734" s="1" t="str">
        <f>"黄翠兰"</f>
        <v>黄翠兰</v>
      </c>
      <c r="C734" s="1">
        <v>0</v>
      </c>
      <c r="D734" s="1">
        <v>0</v>
      </c>
      <c r="E734" s="1">
        <v>0</v>
      </c>
    </row>
    <row r="735" spans="1:5">
      <c r="A735" s="1" t="str">
        <f>"093000040001920106"</f>
        <v>093000040001920106</v>
      </c>
      <c r="B735" s="1" t="str">
        <f>"杨金明"</f>
        <v>杨金明</v>
      </c>
      <c r="C735" s="1">
        <v>0</v>
      </c>
      <c r="D735" s="1">
        <v>0</v>
      </c>
      <c r="E735" s="1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2016-08-03T12:18:44Z</dcterms:created>
  <dcterms:modified xsi:type="dcterms:W3CDTF">2016-08-03T12:19:12Z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