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1492" windowHeight="9918" activeTab="1" tabRatio="600"/>
  </bookViews>
  <sheets>
    <sheet name="customer-funds" sheetId="1" r:id="rId2"/>
    <sheet name="工作表2" sheetId="2" r:id="rId3"/>
  </sheets>
</workbook>
</file>

<file path=xl/sharedStrings.xml><?xml version="1.0" encoding="utf-8"?>
<sst xmlns="http://schemas.openxmlformats.org/spreadsheetml/2006/main" count="4594" uniqueCount="2272">
  <si>
    <t>登录账号</t>
  </si>
  <si>
    <t>账户名称</t>
  </si>
  <si>
    <t>结算盈亏</t>
  </si>
  <si>
    <t>平仓盈亏</t>
  </si>
  <si>
    <t>交易手续费</t>
  </si>
  <si>
    <t>093000920003</t>
  </si>
  <si>
    <t>孙佳佳</t>
  </si>
  <si>
    <t>093000920005</t>
  </si>
  <si>
    <t>王一冰</t>
  </si>
  <si>
    <t>093000920008</t>
  </si>
  <si>
    <t>张峻磐</t>
  </si>
  <si>
    <t>093000920013</t>
  </si>
  <si>
    <t>任美宇</t>
  </si>
  <si>
    <t>093000920004</t>
  </si>
  <si>
    <t>邹旭翠</t>
  </si>
  <si>
    <t>093000920015</t>
  </si>
  <si>
    <t>李刚</t>
  </si>
  <si>
    <t>093000920019</t>
  </si>
  <si>
    <t>钱丹</t>
  </si>
  <si>
    <t>093000920018</t>
  </si>
  <si>
    <t>肖诗琴</t>
  </si>
  <si>
    <t>093000920021</t>
  </si>
  <si>
    <t>马琳</t>
  </si>
  <si>
    <t>093000920022</t>
  </si>
  <si>
    <t>陈卓</t>
  </si>
  <si>
    <t>093000920023</t>
  </si>
  <si>
    <t>叶超亚</t>
  </si>
  <si>
    <t>093000920012</t>
  </si>
  <si>
    <t>张凯</t>
  </si>
  <si>
    <t>093000920024</t>
  </si>
  <si>
    <t>王静</t>
  </si>
  <si>
    <t>093000920025</t>
  </si>
  <si>
    <t>张苗苗</t>
  </si>
  <si>
    <t>093000920026</t>
  </si>
  <si>
    <t>单尽亮</t>
  </si>
  <si>
    <t>093000920027</t>
  </si>
  <si>
    <t>章秀敏</t>
  </si>
  <si>
    <t>093000920028</t>
  </si>
  <si>
    <t>李昊远</t>
  </si>
  <si>
    <t>093000920029</t>
  </si>
  <si>
    <t>张亚雷</t>
  </si>
  <si>
    <t>093000920030</t>
  </si>
  <si>
    <t>肖岗</t>
  </si>
  <si>
    <t>093000920032</t>
  </si>
  <si>
    <t>冯桂敏</t>
  </si>
  <si>
    <t>093000920034</t>
  </si>
  <si>
    <t>马群</t>
  </si>
  <si>
    <t>093000920036</t>
  </si>
  <si>
    <t>肖玲玲</t>
  </si>
  <si>
    <t>093000920035</t>
  </si>
  <si>
    <t>高一兵</t>
  </si>
  <si>
    <t>093000920038</t>
  </si>
  <si>
    <t>谭海艳</t>
  </si>
  <si>
    <t>093000920039</t>
  </si>
  <si>
    <t>孙晓枝</t>
  </si>
  <si>
    <t>093000920042</t>
  </si>
  <si>
    <t>杨滔</t>
  </si>
  <si>
    <t>093000038920001</t>
  </si>
  <si>
    <t>郭婷婷</t>
  </si>
  <si>
    <t>093000920047</t>
  </si>
  <si>
    <t>刘云飞</t>
  </si>
  <si>
    <t>093000920048</t>
  </si>
  <si>
    <t>刘轲</t>
  </si>
  <si>
    <t>093000920051</t>
  </si>
  <si>
    <t>王森林</t>
  </si>
  <si>
    <t>093000920052</t>
  </si>
  <si>
    <t>王天一</t>
  </si>
  <si>
    <t>093000920056</t>
  </si>
  <si>
    <t>韩雷</t>
  </si>
  <si>
    <t>093000920057</t>
  </si>
  <si>
    <t>刘垚</t>
  </si>
  <si>
    <t>093000920060</t>
  </si>
  <si>
    <t>常相依</t>
  </si>
  <si>
    <t>093000920061</t>
  </si>
  <si>
    <t>黄靖雅</t>
  </si>
  <si>
    <t>093000920064</t>
  </si>
  <si>
    <t>邹萍</t>
  </si>
  <si>
    <t>093000920065</t>
  </si>
  <si>
    <t>訾玉新</t>
  </si>
  <si>
    <t>093000042920001</t>
  </si>
  <si>
    <t>孔洋</t>
  </si>
  <si>
    <t>093000920069</t>
  </si>
  <si>
    <t>郭庆宽</t>
  </si>
  <si>
    <t>093000920070</t>
  </si>
  <si>
    <t>常国中</t>
  </si>
  <si>
    <t>093000920071</t>
  </si>
  <si>
    <t>常啸</t>
  </si>
  <si>
    <t>093000920072</t>
  </si>
  <si>
    <t>张远飞</t>
  </si>
  <si>
    <t>093000920073</t>
  </si>
  <si>
    <t>王璇</t>
  </si>
  <si>
    <t>093000920074</t>
  </si>
  <si>
    <t>王燕</t>
  </si>
  <si>
    <t>093000920077</t>
  </si>
  <si>
    <t>王晨</t>
  </si>
  <si>
    <t>093000920078</t>
  </si>
  <si>
    <t>杜柯彤</t>
  </si>
  <si>
    <t>093000920080</t>
  </si>
  <si>
    <t>王小川</t>
  </si>
  <si>
    <t>093000920089</t>
  </si>
  <si>
    <t>郑冰云</t>
  </si>
  <si>
    <t>093000920090</t>
  </si>
  <si>
    <t>尹凯杰</t>
  </si>
  <si>
    <t>093000920091</t>
  </si>
  <si>
    <t>苗帅</t>
  </si>
  <si>
    <t>093000920094</t>
  </si>
  <si>
    <t>王丽</t>
  </si>
  <si>
    <t>093000920098</t>
  </si>
  <si>
    <t>马晶</t>
  </si>
  <si>
    <t>093000920097</t>
  </si>
  <si>
    <t>易明勋</t>
  </si>
  <si>
    <t>093000920096</t>
  </si>
  <si>
    <t>程伟</t>
  </si>
  <si>
    <t>093000040920001</t>
  </si>
  <si>
    <t>马余辉</t>
  </si>
  <si>
    <t>093000040920002</t>
  </si>
  <si>
    <t>李志伟</t>
  </si>
  <si>
    <t>093000920100</t>
  </si>
  <si>
    <t>周正</t>
  </si>
  <si>
    <t>093000920099</t>
  </si>
  <si>
    <t>陈隽</t>
  </si>
  <si>
    <t>093000920101</t>
  </si>
  <si>
    <t>冯震</t>
  </si>
  <si>
    <t>093000920104</t>
  </si>
  <si>
    <t>魏宏生</t>
  </si>
  <si>
    <t>093000920103</t>
  </si>
  <si>
    <t>王磊</t>
  </si>
  <si>
    <t>093000040920005</t>
  </si>
  <si>
    <t>罗小倩</t>
  </si>
  <si>
    <t>093000920106</t>
  </si>
  <si>
    <t>王铎</t>
  </si>
  <si>
    <t>093000040920003</t>
  </si>
  <si>
    <t>郭国显</t>
  </si>
  <si>
    <t>093000920111</t>
  </si>
  <si>
    <t>张志华</t>
  </si>
  <si>
    <t>093000920112</t>
  </si>
  <si>
    <t>许西霞</t>
  </si>
  <si>
    <t>093000920116</t>
  </si>
  <si>
    <t>周静林</t>
  </si>
  <si>
    <t>093000040920009</t>
  </si>
  <si>
    <t>陈红</t>
  </si>
  <si>
    <t>093000920117</t>
  </si>
  <si>
    <t>张延贺</t>
  </si>
  <si>
    <t>093000920119</t>
  </si>
  <si>
    <t>刘秋芬</t>
  </si>
  <si>
    <t>093000040920010</t>
  </si>
  <si>
    <t>齐许兵</t>
  </si>
  <si>
    <t>093000920120</t>
  </si>
  <si>
    <t>乔昆林</t>
  </si>
  <si>
    <t>093000037920004</t>
  </si>
  <si>
    <t>程杨</t>
  </si>
  <si>
    <t>093000920125</t>
  </si>
  <si>
    <t>田玲玲</t>
  </si>
  <si>
    <t>093000920131</t>
  </si>
  <si>
    <t>安伟</t>
  </si>
  <si>
    <t>093000920129</t>
  </si>
  <si>
    <t>李东生</t>
  </si>
  <si>
    <t>093000920135</t>
  </si>
  <si>
    <t>程峰</t>
  </si>
  <si>
    <t>093000920132</t>
  </si>
  <si>
    <t>麻永超</t>
  </si>
  <si>
    <t>093000920136</t>
  </si>
  <si>
    <t>郑本伍</t>
  </si>
  <si>
    <t>093000920138</t>
  </si>
  <si>
    <t>张瑞猛</t>
  </si>
  <si>
    <t>093000920137</t>
  </si>
  <si>
    <t>刘明</t>
  </si>
  <si>
    <t>093000920139</t>
  </si>
  <si>
    <t>张剑功</t>
  </si>
  <si>
    <t>093000920121</t>
  </si>
  <si>
    <t>全建宇</t>
  </si>
  <si>
    <t>093000920143</t>
  </si>
  <si>
    <t>张海龙</t>
  </si>
  <si>
    <t>093000920145</t>
  </si>
  <si>
    <t>代文琦</t>
  </si>
  <si>
    <t>093000920146</t>
  </si>
  <si>
    <t>冯中塬</t>
  </si>
  <si>
    <t>093000920147</t>
  </si>
  <si>
    <t>曾欣</t>
  </si>
  <si>
    <t>093000040920012</t>
  </si>
  <si>
    <t>赫聚岭</t>
  </si>
  <si>
    <t>093000920149</t>
  </si>
  <si>
    <t>乔蒙蒙</t>
  </si>
  <si>
    <t>093000041920003</t>
  </si>
  <si>
    <t>吕家权</t>
  </si>
  <si>
    <t>093000041920005</t>
  </si>
  <si>
    <t>吴璧君</t>
  </si>
  <si>
    <t>093000920154</t>
  </si>
  <si>
    <t>石宇</t>
  </si>
  <si>
    <t>093000920156</t>
  </si>
  <si>
    <t>杨世军</t>
  </si>
  <si>
    <t>093000920155</t>
  </si>
  <si>
    <t>冯霞</t>
  </si>
  <si>
    <t>093000920158</t>
  </si>
  <si>
    <t>王德功</t>
  </si>
  <si>
    <t>093000920160</t>
  </si>
  <si>
    <t>庄中奇</t>
  </si>
  <si>
    <t>093000037920005</t>
  </si>
  <si>
    <t>方俊凯</t>
  </si>
  <si>
    <t>093000920163</t>
  </si>
  <si>
    <t>任鹏</t>
  </si>
  <si>
    <t>093000040920016</t>
  </si>
  <si>
    <t>朱伟超</t>
  </si>
  <si>
    <t>093000037920006</t>
  </si>
  <si>
    <t>王向前</t>
  </si>
  <si>
    <t>093000920164</t>
  </si>
  <si>
    <t>刘双燕</t>
  </si>
  <si>
    <t>093000920167</t>
  </si>
  <si>
    <t>常斌乐</t>
  </si>
  <si>
    <t>093000920170</t>
  </si>
  <si>
    <t>柳玉兰</t>
  </si>
  <si>
    <t>093000920171</t>
  </si>
  <si>
    <t>毛松玉</t>
  </si>
  <si>
    <t>093000920172</t>
  </si>
  <si>
    <t>付大帝</t>
  </si>
  <si>
    <t>093000920173</t>
  </si>
  <si>
    <t>王浩东</t>
  </si>
  <si>
    <t>093000920174</t>
  </si>
  <si>
    <t>段东阳</t>
  </si>
  <si>
    <t>093000920175</t>
  </si>
  <si>
    <t>王瑞范</t>
  </si>
  <si>
    <t>093000037920007</t>
  </si>
  <si>
    <t>程圳</t>
  </si>
  <si>
    <t>093000920176</t>
  </si>
  <si>
    <t>唐义花</t>
  </si>
  <si>
    <t>093000037920008</t>
  </si>
  <si>
    <t>程爱萍</t>
  </si>
  <si>
    <t>093000037920009</t>
  </si>
  <si>
    <t>程爱华</t>
  </si>
  <si>
    <t>093000920178</t>
  </si>
  <si>
    <t>简景雷</t>
  </si>
  <si>
    <t>093000920186</t>
  </si>
  <si>
    <t>苏东奇</t>
  </si>
  <si>
    <t>093000037920012</t>
  </si>
  <si>
    <t>方明亮</t>
  </si>
  <si>
    <t>093000920184</t>
  </si>
  <si>
    <t>奚大力</t>
  </si>
  <si>
    <t>093000037920011</t>
  </si>
  <si>
    <t>李洁</t>
  </si>
  <si>
    <t>093000037920010</t>
  </si>
  <si>
    <t>时战群</t>
  </si>
  <si>
    <t>093000920181</t>
  </si>
  <si>
    <t>郁林楠</t>
  </si>
  <si>
    <t>093000920182</t>
  </si>
  <si>
    <t>刘春华</t>
  </si>
  <si>
    <t>093000040920018</t>
  </si>
  <si>
    <t>杨建红</t>
  </si>
  <si>
    <t>093000920191</t>
  </si>
  <si>
    <t>雷书青</t>
  </si>
  <si>
    <t>093000920192</t>
  </si>
  <si>
    <t>周兴豪</t>
  </si>
  <si>
    <t>093000920193</t>
  </si>
  <si>
    <t>张颖</t>
  </si>
  <si>
    <t>093000920194</t>
  </si>
  <si>
    <t>韩红乾</t>
  </si>
  <si>
    <t>093000037920013</t>
  </si>
  <si>
    <t>方玉伟</t>
  </si>
  <si>
    <t>093000920196</t>
  </si>
  <si>
    <t>马仲秋</t>
  </si>
  <si>
    <t>093000920197</t>
  </si>
  <si>
    <t>胡钦</t>
  </si>
  <si>
    <t>093000037920014</t>
  </si>
  <si>
    <t>程俊丽</t>
  </si>
  <si>
    <t>093000040920019</t>
  </si>
  <si>
    <t>崔亚阁</t>
  </si>
  <si>
    <t>093000920202</t>
  </si>
  <si>
    <t>093000920203</t>
  </si>
  <si>
    <t>李庆华</t>
  </si>
  <si>
    <t>093000920204</t>
  </si>
  <si>
    <t>刘玉明</t>
  </si>
  <si>
    <t>093000920206</t>
  </si>
  <si>
    <t>史西娜</t>
  </si>
  <si>
    <t>093000920207</t>
  </si>
  <si>
    <t>王黎明</t>
  </si>
  <si>
    <t>093000920208</t>
  </si>
  <si>
    <t>周清坡</t>
  </si>
  <si>
    <t>093000920209</t>
  </si>
  <si>
    <t>雷书红</t>
  </si>
  <si>
    <t>093000037920015</t>
  </si>
  <si>
    <t>张二涛</t>
  </si>
  <si>
    <t>093000920211</t>
  </si>
  <si>
    <t>宋德全</t>
  </si>
  <si>
    <t>093000920212</t>
  </si>
  <si>
    <t>程传旭</t>
  </si>
  <si>
    <t>093000920213</t>
  </si>
  <si>
    <t>黄学涛</t>
  </si>
  <si>
    <t>093000920216</t>
  </si>
  <si>
    <t>周婉莹</t>
  </si>
  <si>
    <t>093000920217</t>
  </si>
  <si>
    <t>陆燕芹</t>
  </si>
  <si>
    <t>093000920219</t>
  </si>
  <si>
    <t>刘静</t>
  </si>
  <si>
    <t>093000920220</t>
  </si>
  <si>
    <t>李丁</t>
  </si>
  <si>
    <t>093000920221</t>
  </si>
  <si>
    <t>古恬</t>
  </si>
  <si>
    <t>093000049920001</t>
  </si>
  <si>
    <t>苗壮壮</t>
  </si>
  <si>
    <t>093000920223</t>
  </si>
  <si>
    <t>张涛</t>
  </si>
  <si>
    <t>093000920224</t>
  </si>
  <si>
    <t>魏星垒</t>
  </si>
  <si>
    <t>093000920225</t>
  </si>
  <si>
    <t>雷书俊</t>
  </si>
  <si>
    <t>093000920226</t>
  </si>
  <si>
    <t>刘源</t>
  </si>
  <si>
    <t>093000041920009</t>
  </si>
  <si>
    <t>王宏章</t>
  </si>
  <si>
    <t>093000920227</t>
  </si>
  <si>
    <t>李梦</t>
  </si>
  <si>
    <t>093000037920017</t>
  </si>
  <si>
    <t>杨美勤</t>
  </si>
  <si>
    <t>093000051920001</t>
  </si>
  <si>
    <t>艾亚楠</t>
  </si>
  <si>
    <t>093000920233</t>
  </si>
  <si>
    <t>程建国</t>
  </si>
  <si>
    <t>093000920232</t>
  </si>
  <si>
    <t>邓聪聪</t>
  </si>
  <si>
    <t>093000920234</t>
  </si>
  <si>
    <t>贾建军</t>
  </si>
  <si>
    <t>093000920235</t>
  </si>
  <si>
    <t>杨桂花</t>
  </si>
  <si>
    <t>093000920238</t>
  </si>
  <si>
    <t>陈尹娟</t>
  </si>
  <si>
    <t>093000041920010</t>
  </si>
  <si>
    <t>周俊男</t>
  </si>
  <si>
    <t>093000920240</t>
  </si>
  <si>
    <t>李贝贝</t>
  </si>
  <si>
    <t>093000920241</t>
  </si>
  <si>
    <t>刘俊</t>
  </si>
  <si>
    <t>093000049920003</t>
  </si>
  <si>
    <t>李明</t>
  </si>
  <si>
    <t>093000920244</t>
  </si>
  <si>
    <t>何亚锦</t>
  </si>
  <si>
    <t>093000920245</t>
  </si>
  <si>
    <t>王二勇</t>
  </si>
  <si>
    <t>093000041920011</t>
  </si>
  <si>
    <t>贾繁</t>
  </si>
  <si>
    <t>093000920246</t>
  </si>
  <si>
    <t>徐沛</t>
  </si>
  <si>
    <t>093000920247</t>
  </si>
  <si>
    <t>张兴第</t>
  </si>
  <si>
    <t>093000920250</t>
  </si>
  <si>
    <t>钱猛</t>
  </si>
  <si>
    <t>093000920252</t>
  </si>
  <si>
    <t>杨祥义</t>
  </si>
  <si>
    <t>093000049920004</t>
  </si>
  <si>
    <t>万龙</t>
  </si>
  <si>
    <t>093000920251</t>
  </si>
  <si>
    <t>户小方</t>
  </si>
  <si>
    <t>093000049920005</t>
  </si>
  <si>
    <t>刘银</t>
  </si>
  <si>
    <t>093000920253</t>
  </si>
  <si>
    <t>王大林</t>
  </si>
  <si>
    <t>093000920254</t>
  </si>
  <si>
    <t>刘蕾</t>
  </si>
  <si>
    <t>093000049920006</t>
  </si>
  <si>
    <t>张帅</t>
  </si>
  <si>
    <t>093000920255</t>
  </si>
  <si>
    <t>王航</t>
  </si>
  <si>
    <t>093000040920020</t>
  </si>
  <si>
    <t>高宇飞</t>
  </si>
  <si>
    <t>093000920256</t>
  </si>
  <si>
    <t>冯强</t>
  </si>
  <si>
    <t>093000920258</t>
  </si>
  <si>
    <t>周玉平</t>
  </si>
  <si>
    <t>093000041920012</t>
  </si>
  <si>
    <t>张志宇</t>
  </si>
  <si>
    <t>093000920262</t>
  </si>
  <si>
    <t>黄吉云</t>
  </si>
  <si>
    <t>093000920260</t>
  </si>
  <si>
    <t>王天秀</t>
  </si>
  <si>
    <t>093000920259</t>
  </si>
  <si>
    <t>胡秀丽</t>
  </si>
  <si>
    <t>093000037920018</t>
  </si>
  <si>
    <t>杨可欣</t>
  </si>
  <si>
    <t>093000037920019</t>
  </si>
  <si>
    <t>李建永</t>
  </si>
  <si>
    <t>093000037920020</t>
  </si>
  <si>
    <t>伍萍</t>
  </si>
  <si>
    <t>093000920263</t>
  </si>
  <si>
    <t>叶涛</t>
  </si>
  <si>
    <t>093000920264</t>
  </si>
  <si>
    <t>牛彬</t>
  </si>
  <si>
    <t>093000049920008</t>
  </si>
  <si>
    <t>张夏梦</t>
  </si>
  <si>
    <t>093000920266</t>
  </si>
  <si>
    <t>朱玉卫</t>
  </si>
  <si>
    <t>093000920265</t>
  </si>
  <si>
    <t>刘娜</t>
  </si>
  <si>
    <t>093000037920021</t>
  </si>
  <si>
    <t>王贝贝</t>
  </si>
  <si>
    <t>093000920268</t>
  </si>
  <si>
    <t>张柱</t>
  </si>
  <si>
    <t>093000920270</t>
  </si>
  <si>
    <t>付中原</t>
  </si>
  <si>
    <t>0930000001</t>
  </si>
  <si>
    <t>岳林林</t>
  </si>
  <si>
    <t>0930000000100</t>
  </si>
  <si>
    <t>张恩</t>
  </si>
  <si>
    <t>093000920274</t>
  </si>
  <si>
    <t>郜坡</t>
  </si>
  <si>
    <t>093000920275</t>
  </si>
  <si>
    <t>毛培梅</t>
  </si>
  <si>
    <t>0930000413400</t>
  </si>
  <si>
    <t>陈娟</t>
  </si>
  <si>
    <t>093000920276</t>
  </si>
  <si>
    <t>王芳</t>
  </si>
  <si>
    <t>0930000400900</t>
  </si>
  <si>
    <t>郭洁连</t>
  </si>
  <si>
    <t>0930000000200</t>
  </si>
  <si>
    <t>李帅伟</t>
  </si>
  <si>
    <t>093000041920013</t>
  </si>
  <si>
    <t>汤慧</t>
  </si>
  <si>
    <t>093000920288</t>
  </si>
  <si>
    <t>刘辉</t>
  </si>
  <si>
    <t>093000920287</t>
  </si>
  <si>
    <t>乔峰</t>
  </si>
  <si>
    <t>093000920286</t>
  </si>
  <si>
    <t>孙月阳</t>
  </si>
  <si>
    <t>093000920284</t>
  </si>
  <si>
    <t>郭清义</t>
  </si>
  <si>
    <t>093000920282</t>
  </si>
  <si>
    <t>户方方</t>
  </si>
  <si>
    <t>093000920281</t>
  </si>
  <si>
    <t>全丽</t>
  </si>
  <si>
    <t>093000920280</t>
  </si>
  <si>
    <t>张全德</t>
  </si>
  <si>
    <t>093000920278</t>
  </si>
  <si>
    <t>093000920294</t>
  </si>
  <si>
    <t>蒋祖盛</t>
  </si>
  <si>
    <t>093000920297</t>
  </si>
  <si>
    <t>侯冰</t>
  </si>
  <si>
    <t>093000920299</t>
  </si>
  <si>
    <t>093000920298</t>
  </si>
  <si>
    <t>王斌</t>
  </si>
  <si>
    <t>093000920302</t>
  </si>
  <si>
    <t>王群锋</t>
  </si>
  <si>
    <t>093000920303</t>
  </si>
  <si>
    <t>欧阳勇平</t>
  </si>
  <si>
    <t>093000037920022</t>
  </si>
  <si>
    <t>孙海平</t>
  </si>
  <si>
    <t>093000920304</t>
  </si>
  <si>
    <t>王玉丹</t>
  </si>
  <si>
    <t>093000920305</t>
  </si>
  <si>
    <t>赵亚茹</t>
  </si>
  <si>
    <t>093000920306</t>
  </si>
  <si>
    <t>全合平</t>
  </si>
  <si>
    <t>093000051920002</t>
  </si>
  <si>
    <t>张腾飞</t>
  </si>
  <si>
    <t>093000920307</t>
  </si>
  <si>
    <t>陈丽芹</t>
  </si>
  <si>
    <t>093000920308</t>
  </si>
  <si>
    <t>陈振慧</t>
  </si>
  <si>
    <t>093000000000</t>
  </si>
  <si>
    <t>雪东东</t>
  </si>
  <si>
    <t>093000037920023</t>
  </si>
  <si>
    <t>于方方</t>
  </si>
  <si>
    <t>093000059920001</t>
  </si>
  <si>
    <t>杨鹏</t>
  </si>
  <si>
    <t>093000920313</t>
  </si>
  <si>
    <t>杨慧</t>
  </si>
  <si>
    <t>093000049920010</t>
  </si>
  <si>
    <t>潘士林</t>
  </si>
  <si>
    <t>093000049920011</t>
  </si>
  <si>
    <t>夏有志</t>
  </si>
  <si>
    <t>093000920314</t>
  </si>
  <si>
    <t>赵玉玲</t>
  </si>
  <si>
    <t>093000049920012</t>
  </si>
  <si>
    <t>程世俊</t>
  </si>
  <si>
    <t>093000049920013</t>
  </si>
  <si>
    <t>蔡培育</t>
  </si>
  <si>
    <t>093000049920014</t>
  </si>
  <si>
    <t>刘欢</t>
  </si>
  <si>
    <t>0930000000001</t>
  </si>
  <si>
    <t>吴钊铭</t>
  </si>
  <si>
    <t>093000041920016</t>
  </si>
  <si>
    <t>彭新玉</t>
  </si>
  <si>
    <t>093000920316</t>
  </si>
  <si>
    <t>董雪</t>
  </si>
  <si>
    <t>093000046920002</t>
  </si>
  <si>
    <t>张雄</t>
  </si>
  <si>
    <t>093000048920001</t>
  </si>
  <si>
    <t>贺耀</t>
  </si>
  <si>
    <t>093000040920024</t>
  </si>
  <si>
    <t>王盼娜</t>
  </si>
  <si>
    <t>093000049920015</t>
  </si>
  <si>
    <t>耿恒鑫</t>
  </si>
  <si>
    <t>093000920319</t>
  </si>
  <si>
    <t>崔栋栋</t>
  </si>
  <si>
    <t>0930000000002</t>
  </si>
  <si>
    <t>邓连顺</t>
  </si>
  <si>
    <t>093000920321</t>
  </si>
  <si>
    <t>牛阳</t>
  </si>
  <si>
    <t>0930000000003</t>
  </si>
  <si>
    <t>李松芳</t>
  </si>
  <si>
    <t>0930000000004</t>
  </si>
  <si>
    <t>郭洪材</t>
  </si>
  <si>
    <t>0930000000005</t>
  </si>
  <si>
    <t>赵培龙</t>
  </si>
  <si>
    <t>0930000000006</t>
  </si>
  <si>
    <t>魏立国</t>
  </si>
  <si>
    <t>093000059920002</t>
  </si>
  <si>
    <t>冯彬</t>
  </si>
  <si>
    <t>093000920322</t>
  </si>
  <si>
    <t>朱祥中</t>
  </si>
  <si>
    <t>093000920323</t>
  </si>
  <si>
    <t>董方芳</t>
  </si>
  <si>
    <t>093000920324</t>
  </si>
  <si>
    <t>袁媛</t>
  </si>
  <si>
    <t>093000041920017</t>
  </si>
  <si>
    <t>曾孝正</t>
  </si>
  <si>
    <t>093000056920002</t>
  </si>
  <si>
    <t>王淑娟</t>
  </si>
  <si>
    <t>093000049920016</t>
  </si>
  <si>
    <t>刘新果</t>
  </si>
  <si>
    <t>093000920326</t>
  </si>
  <si>
    <t>杜珂</t>
  </si>
  <si>
    <t>093000920327</t>
  </si>
  <si>
    <t>王丹玉</t>
  </si>
  <si>
    <t>0930000000007</t>
  </si>
  <si>
    <t>黄建华</t>
  </si>
  <si>
    <t>0930000000008</t>
  </si>
  <si>
    <t>邓菊花</t>
  </si>
  <si>
    <t>0930000000009</t>
  </si>
  <si>
    <t>王桂霞</t>
  </si>
  <si>
    <t>093000049920020</t>
  </si>
  <si>
    <t>禹业玲</t>
  </si>
  <si>
    <t>093000043920002</t>
  </si>
  <si>
    <t>宋选杰</t>
  </si>
  <si>
    <t>093000043920003</t>
  </si>
  <si>
    <t>叶晶晶</t>
  </si>
  <si>
    <t>093000040920028</t>
  </si>
  <si>
    <t>林柏全</t>
  </si>
  <si>
    <t>093000064920002</t>
  </si>
  <si>
    <t>赵玉阳</t>
  </si>
  <si>
    <t>0930000000010</t>
  </si>
  <si>
    <t>靳成俊</t>
  </si>
  <si>
    <t>0930000000011</t>
  </si>
  <si>
    <t>李玉奇</t>
  </si>
  <si>
    <t>093000064920003</t>
  </si>
  <si>
    <t>李金平</t>
  </si>
  <si>
    <t>0930000000012</t>
  </si>
  <si>
    <t>陆敏德</t>
  </si>
  <si>
    <t>093000064920004</t>
  </si>
  <si>
    <t>张国云</t>
  </si>
  <si>
    <t>093000920333</t>
  </si>
  <si>
    <t>安卫华</t>
  </si>
  <si>
    <t>093000920334</t>
  </si>
  <si>
    <t>张营</t>
  </si>
  <si>
    <t>0930000000013</t>
  </si>
  <si>
    <t>黄彩云</t>
  </si>
  <si>
    <t>093000064920005</t>
  </si>
  <si>
    <t>魏贝贝</t>
  </si>
  <si>
    <t>0930000000014</t>
  </si>
  <si>
    <t>申团</t>
  </si>
  <si>
    <t>093000064920006</t>
  </si>
  <si>
    <t>李俊玲</t>
  </si>
  <si>
    <t>093000920335</t>
  </si>
  <si>
    <t>苏安峰</t>
  </si>
  <si>
    <t>093000064920007</t>
  </si>
  <si>
    <t>朱西措</t>
  </si>
  <si>
    <t>093000037920024</t>
  </si>
  <si>
    <t>张永立</t>
  </si>
  <si>
    <t>093000920336</t>
  </si>
  <si>
    <t>孔庚</t>
  </si>
  <si>
    <t>0930000513900</t>
  </si>
  <si>
    <t xml:space="preserve">李学周 </t>
  </si>
  <si>
    <t>093000037920025</t>
  </si>
  <si>
    <t>张秋生</t>
  </si>
  <si>
    <t>093000059920003</t>
  </si>
  <si>
    <t>吴明明</t>
  </si>
  <si>
    <t>093000040920031</t>
  </si>
  <si>
    <t>李静静</t>
  </si>
  <si>
    <t>0930000513901</t>
  </si>
  <si>
    <t>司艳光</t>
  </si>
  <si>
    <t>0930000000015</t>
  </si>
  <si>
    <t>姚海洋</t>
  </si>
  <si>
    <t>093000920337</t>
  </si>
  <si>
    <t>尹增超</t>
  </si>
  <si>
    <t>0930000000016</t>
  </si>
  <si>
    <t>张智鹏</t>
  </si>
  <si>
    <t>093000920339</t>
  </si>
  <si>
    <t>周进</t>
  </si>
  <si>
    <t>093000049920021</t>
  </si>
  <si>
    <t>周凡博</t>
  </si>
  <si>
    <t>093000920342</t>
  </si>
  <si>
    <t>郭娜</t>
  </si>
  <si>
    <t>0930000000017</t>
  </si>
  <si>
    <t>覃敏佳</t>
  </si>
  <si>
    <t>0930000000018</t>
  </si>
  <si>
    <t>许欢世</t>
  </si>
  <si>
    <t>093000037920026</t>
  </si>
  <si>
    <t>杨德霞</t>
  </si>
  <si>
    <t>0930000000019</t>
  </si>
  <si>
    <t>刘少敏</t>
  </si>
  <si>
    <t>093000064920009</t>
  </si>
  <si>
    <t>岳玉青</t>
  </si>
  <si>
    <t>093000920349</t>
  </si>
  <si>
    <t>张晓会</t>
  </si>
  <si>
    <t>093000037920027</t>
  </si>
  <si>
    <t>王宁昌</t>
  </si>
  <si>
    <t>093000043920004</t>
  </si>
  <si>
    <t>张啸冲</t>
  </si>
  <si>
    <t>093000920350</t>
  </si>
  <si>
    <t>杨方</t>
  </si>
  <si>
    <t>093000920352</t>
  </si>
  <si>
    <t>张玉国</t>
  </si>
  <si>
    <t>093000920351</t>
  </si>
  <si>
    <t>张彦丽</t>
  </si>
  <si>
    <t>093000920353</t>
  </si>
  <si>
    <t>黄金成</t>
  </si>
  <si>
    <t>093000040920033</t>
  </si>
  <si>
    <t>刘翠昌</t>
  </si>
  <si>
    <t>093000049920025</t>
  </si>
  <si>
    <t>马秀梅</t>
  </si>
  <si>
    <t>093000037920029</t>
  </si>
  <si>
    <t>李传涛</t>
  </si>
  <si>
    <t>093000037920028</t>
  </si>
  <si>
    <t>杨文明</t>
  </si>
  <si>
    <t>093000049920026</t>
  </si>
  <si>
    <t>杨玉焕</t>
  </si>
  <si>
    <t>093000049920027</t>
  </si>
  <si>
    <t>麻闯</t>
  </si>
  <si>
    <t>093000920354</t>
  </si>
  <si>
    <t>薛海</t>
  </si>
  <si>
    <t>093000051920003</t>
  </si>
  <si>
    <t>王欣</t>
  </si>
  <si>
    <t>093000048920003</t>
  </si>
  <si>
    <t>秦艳丽</t>
  </si>
  <si>
    <t>093000920359</t>
  </si>
  <si>
    <t>王丽红</t>
  </si>
  <si>
    <t>093000920358</t>
  </si>
  <si>
    <t>郭兴炎</t>
  </si>
  <si>
    <t>093000920360</t>
  </si>
  <si>
    <t>王宏江</t>
  </si>
  <si>
    <t>093000920362</t>
  </si>
  <si>
    <t>谢建功</t>
  </si>
  <si>
    <t>093000920361</t>
  </si>
  <si>
    <t>郑龙</t>
  </si>
  <si>
    <t>093000062920003</t>
  </si>
  <si>
    <t>余世恒</t>
  </si>
  <si>
    <t>093000920366</t>
  </si>
  <si>
    <t>姚荣新</t>
  </si>
  <si>
    <t>093000067920003</t>
  </si>
  <si>
    <t>韩超超</t>
  </si>
  <si>
    <t>093000920371</t>
  </si>
  <si>
    <t>张向恒</t>
  </si>
  <si>
    <t>093000067920004</t>
  </si>
  <si>
    <t>刘天松</t>
  </si>
  <si>
    <t>093000059920004</t>
  </si>
  <si>
    <t>陈东</t>
  </si>
  <si>
    <t>093000041920018</t>
  </si>
  <si>
    <t>马已成</t>
  </si>
  <si>
    <t>093000037920030</t>
  </si>
  <si>
    <t>杨义成</t>
  </si>
  <si>
    <t>093000049920029</t>
  </si>
  <si>
    <t>张艳芬</t>
  </si>
  <si>
    <t>093000049920030</t>
  </si>
  <si>
    <t>刘爱英</t>
  </si>
  <si>
    <t>093000059920005</t>
  </si>
  <si>
    <t>全静波</t>
  </si>
  <si>
    <t>0930000483000</t>
  </si>
  <si>
    <t>刘建基</t>
  </si>
  <si>
    <t>093000040920034</t>
  </si>
  <si>
    <t>赖胜基</t>
  </si>
  <si>
    <t>093000068920001</t>
  </si>
  <si>
    <t>吴国斌</t>
  </si>
  <si>
    <t>093000051920004</t>
  </si>
  <si>
    <t>王新</t>
  </si>
  <si>
    <t>093000067920007</t>
  </si>
  <si>
    <t>张彦奎</t>
  </si>
  <si>
    <t>093000067920006</t>
  </si>
  <si>
    <t>庞永帅</t>
  </si>
  <si>
    <t>093000067920005</t>
  </si>
  <si>
    <t>张倡寅</t>
  </si>
  <si>
    <t>093000055920001</t>
  </si>
  <si>
    <t>樊园园</t>
  </si>
  <si>
    <t>093000067920011</t>
  </si>
  <si>
    <t>翟珊珊</t>
  </si>
  <si>
    <t>093000067920013</t>
  </si>
  <si>
    <t>吴艳艳</t>
  </si>
  <si>
    <t>093000067920015</t>
  </si>
  <si>
    <t>宋浩</t>
  </si>
  <si>
    <t>093000040001920001</t>
  </si>
  <si>
    <t>赵丽珍</t>
  </si>
  <si>
    <t>093000040001920002</t>
  </si>
  <si>
    <t>莫汝林</t>
  </si>
  <si>
    <t>093000040920035</t>
  </si>
  <si>
    <t>李永刚</t>
  </si>
  <si>
    <t>093000067920016</t>
  </si>
  <si>
    <t>王浩毅</t>
  </si>
  <si>
    <t>093000037920031</t>
  </si>
  <si>
    <t>董江峰</t>
  </si>
  <si>
    <t>0930000400010001</t>
  </si>
  <si>
    <t>赵春林</t>
  </si>
  <si>
    <t>093000920377</t>
  </si>
  <si>
    <t>宋元斌</t>
  </si>
  <si>
    <t>0930000000021</t>
  </si>
  <si>
    <t>赵信文</t>
  </si>
  <si>
    <t>093000037920032</t>
  </si>
  <si>
    <t>吴运枝</t>
  </si>
  <si>
    <t>093000037920033</t>
  </si>
  <si>
    <t>周倩倩</t>
  </si>
  <si>
    <t>0930000483001</t>
  </si>
  <si>
    <t>高书荣</t>
  </si>
  <si>
    <t>093000040001920009</t>
  </si>
  <si>
    <t>彭敏荣</t>
  </si>
  <si>
    <t>093000037920034</t>
  </si>
  <si>
    <t>张永涛</t>
  </si>
  <si>
    <t>093000040001920010</t>
  </si>
  <si>
    <t>赵超强</t>
  </si>
  <si>
    <t>093000040001920011</t>
  </si>
  <si>
    <t>柳静媚</t>
  </si>
  <si>
    <t>093000040001920012</t>
  </si>
  <si>
    <t>刘宁</t>
  </si>
  <si>
    <t>093000040001920014</t>
  </si>
  <si>
    <t>覃月松</t>
  </si>
  <si>
    <t>093000040001920021</t>
  </si>
  <si>
    <t>赵晓清</t>
  </si>
  <si>
    <t>093000040001920022</t>
  </si>
  <si>
    <t>柳胜斌</t>
  </si>
  <si>
    <t>093000040001920024</t>
  </si>
  <si>
    <t>刘海金</t>
  </si>
  <si>
    <t>柳海金</t>
  </si>
  <si>
    <t>093000040001920025</t>
  </si>
  <si>
    <t>梁用超</t>
  </si>
  <si>
    <t>093000040001920026</t>
  </si>
  <si>
    <t>林葵华</t>
  </si>
  <si>
    <t>093000040001920031</t>
  </si>
  <si>
    <t>陈官源</t>
  </si>
  <si>
    <t>093000040001920030</t>
  </si>
  <si>
    <t>陈绪董</t>
  </si>
  <si>
    <t>093000040001920028</t>
  </si>
  <si>
    <t>覃成彪</t>
  </si>
  <si>
    <t>093000040001920027</t>
  </si>
  <si>
    <t>李耀坚</t>
  </si>
  <si>
    <t>093000070920001</t>
  </si>
  <si>
    <t>李银弟</t>
  </si>
  <si>
    <t>093000059920006</t>
  </si>
  <si>
    <t>李涛</t>
  </si>
  <si>
    <t>0930000620000</t>
  </si>
  <si>
    <t>黄榕</t>
  </si>
  <si>
    <t>093000040001920033</t>
  </si>
  <si>
    <t>杨钦朝</t>
  </si>
  <si>
    <t>093000040920036</t>
  </si>
  <si>
    <t>李军刚</t>
  </si>
  <si>
    <t>093000071920001</t>
  </si>
  <si>
    <t>苏小慧</t>
  </si>
  <si>
    <t>093000059920007</t>
  </si>
  <si>
    <t>全光辉</t>
  </si>
  <si>
    <t>0930000620001</t>
  </si>
  <si>
    <t>陈家琪</t>
  </si>
  <si>
    <t>093000048920006</t>
  </si>
  <si>
    <t>杨霞</t>
  </si>
  <si>
    <t>0930000000022</t>
  </si>
  <si>
    <t>张宁</t>
  </si>
  <si>
    <t>093000040001920034</t>
  </si>
  <si>
    <t>姚学清</t>
  </si>
  <si>
    <t>0930000000023</t>
  </si>
  <si>
    <t>黄肇强</t>
  </si>
  <si>
    <t>093000920384</t>
  </si>
  <si>
    <t>刘凡</t>
  </si>
  <si>
    <t>093000046920005</t>
  </si>
  <si>
    <t>姚海焘</t>
  </si>
  <si>
    <t>093000040001920035</t>
  </si>
  <si>
    <t>黄耀湘</t>
  </si>
  <si>
    <t>093000920387</t>
  </si>
  <si>
    <t>任龙飞</t>
  </si>
  <si>
    <t>093000040001920036</t>
  </si>
  <si>
    <t xml:space="preserve"> 林桦通</t>
  </si>
  <si>
    <t>093000920389</t>
  </si>
  <si>
    <t>冯书华</t>
  </si>
  <si>
    <t>093000048920007</t>
  </si>
  <si>
    <t>岳文滔</t>
  </si>
  <si>
    <t>093000040001920038</t>
  </si>
  <si>
    <t>马伟峰</t>
  </si>
  <si>
    <t>093000040001920037</t>
  </si>
  <si>
    <t>姚海林</t>
  </si>
  <si>
    <t>093000037920035</t>
  </si>
  <si>
    <t>周小委</t>
  </si>
  <si>
    <t>093000040001920039</t>
  </si>
  <si>
    <t>覃业毅</t>
  </si>
  <si>
    <t>093000040001920040</t>
  </si>
  <si>
    <t>覃业叙</t>
  </si>
  <si>
    <t>0930000000024</t>
  </si>
  <si>
    <t>="李怡良 _x0009_"</t>
  </si>
  <si>
    <t>09300000000025</t>
  </si>
  <si>
    <t>徐高梁</t>
  </si>
  <si>
    <t>093000040001920041</t>
  </si>
  <si>
    <t>杨坤丽</t>
  </si>
  <si>
    <t>093000037920036</t>
  </si>
  <si>
    <t>刘学科</t>
  </si>
  <si>
    <t>0930000620002</t>
  </si>
  <si>
    <t>李心简</t>
  </si>
  <si>
    <t>093000037920037</t>
  </si>
  <si>
    <t>杨文龙</t>
  </si>
  <si>
    <t>093000062920006</t>
  </si>
  <si>
    <t>何世玉</t>
  </si>
  <si>
    <t>093000040001920042</t>
  </si>
  <si>
    <t>黄上宾</t>
  </si>
  <si>
    <t>0930000000025</t>
  </si>
  <si>
    <t>刘彦萍</t>
  </si>
  <si>
    <t>093000040001920044</t>
  </si>
  <si>
    <t>李崇源</t>
  </si>
  <si>
    <t>093000040001920045</t>
  </si>
  <si>
    <t>吴昌伟</t>
  </si>
  <si>
    <t>093000067920019</t>
  </si>
  <si>
    <t>马付林</t>
  </si>
  <si>
    <t>093000040001920046</t>
  </si>
  <si>
    <t>陈琴芬</t>
  </si>
  <si>
    <t>093000040001920051</t>
  </si>
  <si>
    <t>林旭南</t>
  </si>
  <si>
    <t>093000040001920050</t>
  </si>
  <si>
    <t>莫宗钧</t>
  </si>
  <si>
    <t>093000040001920049</t>
  </si>
  <si>
    <t>莫日胜</t>
  </si>
  <si>
    <t>093000040001920048</t>
  </si>
  <si>
    <t>莫伟强</t>
  </si>
  <si>
    <t>093000040001920047</t>
  </si>
  <si>
    <t>郭兆恒</t>
  </si>
  <si>
    <t>093000040001920052</t>
  </si>
  <si>
    <t>莫训武</t>
  </si>
  <si>
    <t>093000040001920054</t>
  </si>
  <si>
    <t>王达初</t>
  </si>
  <si>
    <t>093000040001920053</t>
  </si>
  <si>
    <t>莫德森</t>
  </si>
  <si>
    <t>093000070920002</t>
  </si>
  <si>
    <t>黄莹</t>
  </si>
  <si>
    <t>093000040001920055</t>
  </si>
  <si>
    <t>易子洢</t>
  </si>
  <si>
    <t>093000043920005</t>
  </si>
  <si>
    <t>訾玉中</t>
  </si>
  <si>
    <t>093000067920020</t>
  </si>
  <si>
    <t>廖世兵</t>
  </si>
  <si>
    <t>093000067920021</t>
  </si>
  <si>
    <t>陈梦云</t>
  </si>
  <si>
    <t>093000920396</t>
  </si>
  <si>
    <t>欧阳盼平</t>
  </si>
  <si>
    <t>093000040001920056</t>
  </si>
  <si>
    <t>何伦英</t>
  </si>
  <si>
    <t>093000070920003</t>
  </si>
  <si>
    <t>陈洁</t>
  </si>
  <si>
    <t>093000040001920057</t>
  </si>
  <si>
    <t>莫胜森</t>
  </si>
  <si>
    <t>093000070920004</t>
  </si>
  <si>
    <t>郭大洋</t>
  </si>
  <si>
    <t>093000920394</t>
  </si>
  <si>
    <t>马鑫隆</t>
  </si>
  <si>
    <t>093000067920025</t>
  </si>
  <si>
    <t>陈仁良</t>
  </si>
  <si>
    <t>093000920399</t>
  </si>
  <si>
    <t>张旭</t>
  </si>
  <si>
    <t>093000063920003</t>
  </si>
  <si>
    <t>郭彬</t>
  </si>
  <si>
    <t>093000063920004</t>
  </si>
  <si>
    <t>郭建强</t>
  </si>
  <si>
    <t>093000067920027</t>
  </si>
  <si>
    <t>程英</t>
  </si>
  <si>
    <t>093000049920033</t>
  </si>
  <si>
    <t>杨卫东</t>
  </si>
  <si>
    <t>093000040001920059</t>
  </si>
  <si>
    <t>胡朝伟</t>
  </si>
  <si>
    <t>093000041920019</t>
  </si>
  <si>
    <t>路晨</t>
  </si>
  <si>
    <t>093000041920020</t>
  </si>
  <si>
    <t>龙涛</t>
  </si>
  <si>
    <t>093000059920008</t>
  </si>
  <si>
    <t>马自瑞</t>
  </si>
  <si>
    <t>093000063920005</t>
  </si>
  <si>
    <t>潘浩毅</t>
  </si>
  <si>
    <t>093000040001920061</t>
  </si>
  <si>
    <t>韦炳艺</t>
  </si>
  <si>
    <t>093000048920008</t>
  </si>
  <si>
    <t>贾小平</t>
  </si>
  <si>
    <t>093000049920034</t>
  </si>
  <si>
    <t>毛爽</t>
  </si>
  <si>
    <t>093000040001920062</t>
  </si>
  <si>
    <t>杨雪</t>
  </si>
  <si>
    <t>093000048920010</t>
  </si>
  <si>
    <t>秦艳凡</t>
  </si>
  <si>
    <t>093000047920001</t>
  </si>
  <si>
    <t>付国景</t>
  </si>
  <si>
    <t>093000047920002</t>
  </si>
  <si>
    <t>和成栓</t>
  </si>
  <si>
    <t>093000059920009</t>
  </si>
  <si>
    <t>申康佳</t>
  </si>
  <si>
    <t>093000040001920064</t>
  </si>
  <si>
    <t>郭金玲</t>
  </si>
  <si>
    <t>093000040001920065</t>
  </si>
  <si>
    <t>梁照练</t>
  </si>
  <si>
    <t>093000037920038</t>
  </si>
  <si>
    <t>马灵灵</t>
  </si>
  <si>
    <t>0930000000020</t>
  </si>
  <si>
    <t>郭还还</t>
  </si>
  <si>
    <t>0930000000026</t>
  </si>
  <si>
    <t>黄星</t>
  </si>
  <si>
    <t>0930000000027</t>
  </si>
  <si>
    <t>郭宗良</t>
  </si>
  <si>
    <t>093000047920003</t>
  </si>
  <si>
    <t>宋克铎</t>
  </si>
  <si>
    <t>093000920402</t>
  </si>
  <si>
    <t>宋冲冲</t>
  </si>
  <si>
    <t>093000049920035</t>
  </si>
  <si>
    <t>魏元章</t>
  </si>
  <si>
    <t>093000063920006</t>
  </si>
  <si>
    <t>应帅</t>
  </si>
  <si>
    <t>093000040920037</t>
  </si>
  <si>
    <t>邓江艳</t>
  </si>
  <si>
    <t>093000068920005</t>
  </si>
  <si>
    <t>何珏</t>
  </si>
  <si>
    <t>093000059920010</t>
  </si>
  <si>
    <t>蒋海涛</t>
  </si>
  <si>
    <t>0930000000028</t>
  </si>
  <si>
    <t>吴桂霞</t>
  </si>
  <si>
    <t>093000049920036</t>
  </si>
  <si>
    <t>张静</t>
  </si>
  <si>
    <t>093000037920039</t>
  </si>
  <si>
    <t>杨帅</t>
  </si>
  <si>
    <t>093000040001920067</t>
  </si>
  <si>
    <t>卢艺</t>
  </si>
  <si>
    <t>093000040920039</t>
  </si>
  <si>
    <t>郭晓辉</t>
  </si>
  <si>
    <t>093000040920038</t>
  </si>
  <si>
    <t>张继存</t>
  </si>
  <si>
    <t>093000041920021</t>
  </si>
  <si>
    <t>邬振</t>
  </si>
  <si>
    <t>093000037920040</t>
  </si>
  <si>
    <t>冯锦辉</t>
  </si>
  <si>
    <t>093000067920033</t>
  </si>
  <si>
    <t>刘九平</t>
  </si>
  <si>
    <t>0930000000029</t>
  </si>
  <si>
    <t>代世文</t>
  </si>
  <si>
    <t>093000037920041</t>
  </si>
  <si>
    <t>韩玉坤</t>
  </si>
  <si>
    <t>093000040001920068</t>
  </si>
  <si>
    <t>邱明铭</t>
  </si>
  <si>
    <t>093000046920006</t>
  </si>
  <si>
    <t>杨文辉</t>
  </si>
  <si>
    <t>093000040920040</t>
  </si>
  <si>
    <t>毛延涛</t>
  </si>
  <si>
    <t>0930000000030</t>
  </si>
  <si>
    <t>丘文发</t>
  </si>
  <si>
    <t>0930000740000</t>
  </si>
  <si>
    <t>林锦荣</t>
  </si>
  <si>
    <t>0930000000031</t>
  </si>
  <si>
    <t>任亚迪</t>
  </si>
  <si>
    <t>093000067920035</t>
  </si>
  <si>
    <t>周浩</t>
  </si>
  <si>
    <t>0930000000032</t>
  </si>
  <si>
    <t>王立</t>
  </si>
  <si>
    <t>0930000000033</t>
  </si>
  <si>
    <t>魏乾卫</t>
  </si>
  <si>
    <t>093000920410</t>
  </si>
  <si>
    <t>朱树果</t>
  </si>
  <si>
    <t>093000040001920070</t>
  </si>
  <si>
    <t>宁淑梅</t>
  </si>
  <si>
    <t>093000068920007</t>
  </si>
  <si>
    <t>蔡桁</t>
  </si>
  <si>
    <t>093000046920007</t>
  </si>
  <si>
    <t>李树先</t>
  </si>
  <si>
    <t>093000067920037</t>
  </si>
  <si>
    <t>王华涛</t>
  </si>
  <si>
    <t>093000040001920069</t>
  </si>
  <si>
    <t>邱丽妮</t>
  </si>
  <si>
    <t>093000064920014</t>
  </si>
  <si>
    <t>庞金龙</t>
  </si>
  <si>
    <t>0930000000034</t>
  </si>
  <si>
    <t>陈赞汝</t>
  </si>
  <si>
    <t>0930000000035</t>
  </si>
  <si>
    <t>郭君蒙</t>
  </si>
  <si>
    <t>093000064920016</t>
  </si>
  <si>
    <t>潘志远</t>
  </si>
  <si>
    <t>093000064920017</t>
  </si>
  <si>
    <t>闫振强</t>
  </si>
  <si>
    <t>093000067920039</t>
  </si>
  <si>
    <t xml:space="preserve"> 刘俊</t>
  </si>
  <si>
    <t>093000059920011</t>
  </si>
  <si>
    <t>张洁</t>
  </si>
  <si>
    <t>093000071920002</t>
  </si>
  <si>
    <t>郑长江</t>
  </si>
  <si>
    <t>093000040920041</t>
  </si>
  <si>
    <t>张延军</t>
  </si>
  <si>
    <t>093000040920042</t>
  </si>
  <si>
    <t>肖洒</t>
  </si>
  <si>
    <t>093000920413</t>
  </si>
  <si>
    <t>胡娟</t>
  </si>
  <si>
    <t>0930000740002</t>
  </si>
  <si>
    <t>="彭志恒 _x0009_"</t>
  </si>
  <si>
    <t xml:space="preserve">彭志恒 </t>
  </si>
  <si>
    <t>0930000740003</t>
  </si>
  <si>
    <t>孟家才</t>
  </si>
  <si>
    <t>093000920415</t>
  </si>
  <si>
    <t>任颖俊</t>
  </si>
  <si>
    <t>093000920414</t>
  </si>
  <si>
    <t>张恒</t>
  </si>
  <si>
    <t>093000041920022</t>
  </si>
  <si>
    <t>谭观峰</t>
  </si>
  <si>
    <t>093000044920002</t>
  </si>
  <si>
    <t>吕淅淅</t>
  </si>
  <si>
    <t>093000920419</t>
  </si>
  <si>
    <t>郑翔宇</t>
  </si>
  <si>
    <t>093000064920020</t>
  </si>
  <si>
    <t>李华敏</t>
  </si>
  <si>
    <t>093000066920003</t>
  </si>
  <si>
    <t>杨寒超</t>
  </si>
  <si>
    <t>093000920420</t>
  </si>
  <si>
    <t>樊首品</t>
  </si>
  <si>
    <t>0930000740001</t>
  </si>
  <si>
    <t>杨昌优</t>
  </si>
  <si>
    <t>093000920423</t>
  </si>
  <si>
    <t>罗玮</t>
  </si>
  <si>
    <t>093000059920012</t>
  </si>
  <si>
    <t>李军伟</t>
  </si>
  <si>
    <t>093000046920008</t>
  </si>
  <si>
    <t>李玉勤</t>
  </si>
  <si>
    <t>093000066920008</t>
  </si>
  <si>
    <t>093000063920010</t>
  </si>
  <si>
    <t xml:space="preserve">  罗小娟</t>
  </si>
  <si>
    <t>罗小娟</t>
  </si>
  <si>
    <t>093000051920006</t>
  </si>
  <si>
    <t>郑志辉</t>
  </si>
  <si>
    <t>093000040001002</t>
  </si>
  <si>
    <t>肖健</t>
  </si>
  <si>
    <t>093000040001920071</t>
  </si>
  <si>
    <t>吕桂贞</t>
  </si>
  <si>
    <t>093000040001920073</t>
  </si>
  <si>
    <t>梁兴勇</t>
  </si>
  <si>
    <t>093000040001920072</t>
  </si>
  <si>
    <t>林圣容</t>
  </si>
  <si>
    <t>093000040001920074</t>
  </si>
  <si>
    <t>余霞</t>
  </si>
  <si>
    <t>093000059920013</t>
  </si>
  <si>
    <t>李军良</t>
  </si>
  <si>
    <t>093000068920008</t>
  </si>
  <si>
    <t>黄彩金</t>
  </si>
  <si>
    <t>093000049920037</t>
  </si>
  <si>
    <t>李佩</t>
  </si>
  <si>
    <t>093000040920043</t>
  </si>
  <si>
    <t>杨兆金</t>
  </si>
  <si>
    <t>093000047920004</t>
  </si>
  <si>
    <t>付保玺</t>
  </si>
  <si>
    <t>093000064920021</t>
  </si>
  <si>
    <t>吴长建</t>
  </si>
  <si>
    <t>093000044920004</t>
  </si>
  <si>
    <t>贾西闯</t>
  </si>
  <si>
    <t>093000047920005</t>
  </si>
  <si>
    <t>邢文勤</t>
  </si>
  <si>
    <t>093000040001920075</t>
  </si>
  <si>
    <t>林满章</t>
  </si>
  <si>
    <t>093000037920042</t>
  </si>
  <si>
    <t>张清明</t>
  </si>
  <si>
    <t>093000046920009</t>
  </si>
  <si>
    <t>侯林强</t>
  </si>
  <si>
    <t>093000920430</t>
  </si>
  <si>
    <t>方思玉</t>
  </si>
  <si>
    <t>093000064920022</t>
  </si>
  <si>
    <t>王攀玄</t>
  </si>
  <si>
    <t>0930000740004</t>
  </si>
  <si>
    <t>覃永扬</t>
  </si>
  <si>
    <t>0930000000036</t>
  </si>
  <si>
    <t>祝洋洋</t>
  </si>
  <si>
    <t>093000070920006</t>
  </si>
  <si>
    <t>魏新杰</t>
  </si>
  <si>
    <t>093000064920024</t>
  </si>
  <si>
    <t>093000070920007</t>
  </si>
  <si>
    <t>张爔木</t>
  </si>
  <si>
    <t>093000040001920077</t>
  </si>
  <si>
    <t>周定均</t>
  </si>
  <si>
    <t>093000920433</t>
  </si>
  <si>
    <t>李海龙</t>
  </si>
  <si>
    <t>093000046920010</t>
  </si>
  <si>
    <t>姚海萍</t>
  </si>
  <si>
    <t>093000043920009</t>
  </si>
  <si>
    <t>093000064920025</t>
  </si>
  <si>
    <t>候会乾</t>
  </si>
  <si>
    <t>093000920431</t>
  </si>
  <si>
    <t>马红飞</t>
  </si>
  <si>
    <t>093000067920051</t>
  </si>
  <si>
    <t>宋敏</t>
  </si>
  <si>
    <t>093000040001920078</t>
  </si>
  <si>
    <t>何达庆</t>
  </si>
  <si>
    <t>093000046920011</t>
  </si>
  <si>
    <t>王攀瑞</t>
  </si>
  <si>
    <t>093000040001920079</t>
  </si>
  <si>
    <t>蔡深壮</t>
  </si>
  <si>
    <t>0930000000038</t>
  </si>
  <si>
    <t>覃举扬</t>
  </si>
  <si>
    <t>0930000000039</t>
  </si>
  <si>
    <t>黄迪</t>
  </si>
  <si>
    <t>093000047920006</t>
  </si>
  <si>
    <t>郭子路</t>
  </si>
  <si>
    <t>0930000680000</t>
  </si>
  <si>
    <t>卢滨滨</t>
  </si>
  <si>
    <t>0930000680001</t>
  </si>
  <si>
    <t>杨冬旭</t>
  </si>
  <si>
    <t>093000064920026</t>
  </si>
  <si>
    <t>闫金柱</t>
  </si>
  <si>
    <t>093000040001920080</t>
  </si>
  <si>
    <t>邱振勇</t>
  </si>
  <si>
    <t>093000043920010</t>
  </si>
  <si>
    <t>王连秀</t>
  </si>
  <si>
    <t>093000043920011</t>
  </si>
  <si>
    <t>柳霞</t>
  </si>
  <si>
    <t>093000040001920081</t>
  </si>
  <si>
    <t>刘奎英</t>
  </si>
  <si>
    <t>093000068920011</t>
  </si>
  <si>
    <t>周富</t>
  </si>
  <si>
    <t>093000068920009</t>
  </si>
  <si>
    <t>李奇峰</t>
  </si>
  <si>
    <t>093000068920013</t>
  </si>
  <si>
    <t>陈燕</t>
  </si>
  <si>
    <t>093000068920012</t>
  </si>
  <si>
    <t>唐碧莎</t>
  </si>
  <si>
    <t>093000068920010</t>
  </si>
  <si>
    <t>莫院兰</t>
  </si>
  <si>
    <t>093000046920012</t>
  </si>
  <si>
    <t>冉少雅</t>
  </si>
  <si>
    <t>093000040920044</t>
  </si>
  <si>
    <t>张翠娜</t>
  </si>
  <si>
    <t>093000041920023</t>
  </si>
  <si>
    <t>王昭</t>
  </si>
  <si>
    <t>093000064920029</t>
  </si>
  <si>
    <t>陈遇三</t>
  </si>
  <si>
    <t>093000064920030</t>
  </si>
  <si>
    <t>郑绍爱</t>
  </si>
  <si>
    <t>093000037920043</t>
  </si>
  <si>
    <t>叶海燕</t>
  </si>
  <si>
    <t>093000051920007</t>
  </si>
  <si>
    <t>郑志霞</t>
  </si>
  <si>
    <t>0930000000040</t>
  </si>
  <si>
    <t>朱子建</t>
  </si>
  <si>
    <t>0930000000041</t>
  </si>
  <si>
    <t>付宏英</t>
  </si>
  <si>
    <t>093000046920013</t>
  </si>
  <si>
    <t>申征</t>
  </si>
  <si>
    <t>093000046920014</t>
  </si>
  <si>
    <t>白中宇</t>
  </si>
  <si>
    <t>093000046920015</t>
  </si>
  <si>
    <t>王少锋</t>
  </si>
  <si>
    <t>093000044920006</t>
  </si>
  <si>
    <t>金志业</t>
  </si>
  <si>
    <t>0930000730001</t>
  </si>
  <si>
    <t>张杰</t>
  </si>
  <si>
    <t>0930000620005</t>
  </si>
  <si>
    <t>陈志艺</t>
  </si>
  <si>
    <t>093000070920008</t>
  </si>
  <si>
    <t>许德朝</t>
  </si>
  <si>
    <t>093000920441</t>
  </si>
  <si>
    <t>林杏州</t>
  </si>
  <si>
    <t>093000040920045</t>
  </si>
  <si>
    <t>郝运波</t>
  </si>
  <si>
    <t>093000043920012</t>
  </si>
  <si>
    <t>訾玉蛟</t>
  </si>
  <si>
    <t>0930000620006</t>
  </si>
  <si>
    <t>刘岳锋</t>
  </si>
  <si>
    <t>0930000000042</t>
  </si>
  <si>
    <t>肖良兵</t>
  </si>
  <si>
    <t>0930000000043</t>
  </si>
  <si>
    <t>张可良</t>
  </si>
  <si>
    <t>093000055920002</t>
  </si>
  <si>
    <t>王远</t>
  </si>
  <si>
    <t>093000068920018</t>
  </si>
  <si>
    <t>邓婷丹</t>
  </si>
  <si>
    <t>093000046920016</t>
  </si>
  <si>
    <t>全建茹</t>
  </si>
  <si>
    <t>093000920443</t>
  </si>
  <si>
    <t>程倩倩</t>
  </si>
  <si>
    <t>093000044920007</t>
  </si>
  <si>
    <t>王善涛</t>
  </si>
  <si>
    <t>093000055920003</t>
  </si>
  <si>
    <t>夏闪</t>
  </si>
  <si>
    <t>093000068920020</t>
  </si>
  <si>
    <t>谢暧荣</t>
  </si>
  <si>
    <t>093000068920019</t>
  </si>
  <si>
    <t>覃良意</t>
  </si>
  <si>
    <t>093000068920021</t>
  </si>
  <si>
    <t>邹美婷</t>
  </si>
  <si>
    <t>093000068920025</t>
  </si>
  <si>
    <t>区梦云</t>
  </si>
  <si>
    <t>093000037920044</t>
  </si>
  <si>
    <t>李威锋</t>
  </si>
  <si>
    <t>093000920445</t>
  </si>
  <si>
    <t>周树忠</t>
  </si>
  <si>
    <t>093000048920011</t>
  </si>
  <si>
    <t>唐春江</t>
  </si>
  <si>
    <t>093000067920059</t>
  </si>
  <si>
    <t>王嘉恒</t>
  </si>
  <si>
    <t>093000040001920082</t>
  </si>
  <si>
    <t>吴伟杰</t>
  </si>
  <si>
    <t>093000067920063</t>
  </si>
  <si>
    <t>叶乙宏</t>
  </si>
  <si>
    <t>093000066920010</t>
  </si>
  <si>
    <t>唐爱民</t>
  </si>
  <si>
    <t>0930000000044</t>
  </si>
  <si>
    <t>罗少明</t>
  </si>
  <si>
    <t>0930000000045</t>
  </si>
  <si>
    <t>李巧敏</t>
  </si>
  <si>
    <t>093000037920045</t>
  </si>
  <si>
    <t>闫俊红</t>
  </si>
  <si>
    <t>093000040920046</t>
  </si>
  <si>
    <t>覃宝安</t>
  </si>
  <si>
    <t>093000059920014</t>
  </si>
  <si>
    <t>毛淅萌</t>
  </si>
  <si>
    <t>093000071920004</t>
  </si>
  <si>
    <t>杨会梅</t>
  </si>
  <si>
    <t>093000071920005</t>
  </si>
  <si>
    <t>张杭</t>
  </si>
  <si>
    <t>093000043920013</t>
  </si>
  <si>
    <t>马红艳</t>
  </si>
  <si>
    <t>0930000000046</t>
  </si>
  <si>
    <t>钟娟萍</t>
  </si>
  <si>
    <t>093000068920026</t>
  </si>
  <si>
    <t>周国泉</t>
  </si>
  <si>
    <t>093000044920008</t>
  </si>
  <si>
    <t>郭保国</t>
  </si>
  <si>
    <t>093000068920027</t>
  </si>
  <si>
    <t>黄建习</t>
  </si>
  <si>
    <t>0930000000047</t>
  </si>
  <si>
    <t>左有志</t>
  </si>
  <si>
    <t>093000041920024</t>
  </si>
  <si>
    <t>冼业富</t>
  </si>
  <si>
    <t>093000044920009</t>
  </si>
  <si>
    <t>杜雷</t>
  </si>
  <si>
    <t>093000064920031</t>
  </si>
  <si>
    <t>邓强</t>
  </si>
  <si>
    <t>093000064920034</t>
  </si>
  <si>
    <t>闻豪</t>
  </si>
  <si>
    <t>093000088920001</t>
  </si>
  <si>
    <t>魏长玉</t>
  </si>
  <si>
    <t>0930000730002</t>
  </si>
  <si>
    <t>秦水娟</t>
  </si>
  <si>
    <t>093000059920015</t>
  </si>
  <si>
    <t>马慧</t>
  </si>
  <si>
    <t>093000040920049</t>
  </si>
  <si>
    <t>马祝才</t>
  </si>
  <si>
    <t>093000040001920084</t>
  </si>
  <si>
    <t>何丽红</t>
  </si>
  <si>
    <t>093000044920010</t>
  </si>
  <si>
    <t>何明</t>
  </si>
  <si>
    <t>0930000000049</t>
  </si>
  <si>
    <t>耿明栓</t>
  </si>
  <si>
    <t>0930000000050</t>
  </si>
  <si>
    <t>仵玉华</t>
  </si>
  <si>
    <t>093000920460</t>
  </si>
  <si>
    <t>张俊文</t>
  </si>
  <si>
    <t>093000067920064</t>
  </si>
  <si>
    <t xml:space="preserve">杨清岩 </t>
  </si>
  <si>
    <t>0930000620007</t>
  </si>
  <si>
    <t>刘成新</t>
  </si>
  <si>
    <t>093000064920035</t>
  </si>
  <si>
    <t>李志聪</t>
  </si>
  <si>
    <t>093000044920011</t>
  </si>
  <si>
    <t>赵斌</t>
  </si>
  <si>
    <t>093000070920010</t>
  </si>
  <si>
    <t>刘荫</t>
  </si>
  <si>
    <t>093000049920038</t>
  </si>
  <si>
    <t>王洁杰</t>
  </si>
  <si>
    <t>0930000000051</t>
  </si>
  <si>
    <t>葛军发</t>
  </si>
  <si>
    <t>0930000620008</t>
  </si>
  <si>
    <t>罗冲</t>
  </si>
  <si>
    <t>093000040001920085</t>
  </si>
  <si>
    <t>陈枷澈</t>
  </si>
  <si>
    <t>093000048920012</t>
  </si>
  <si>
    <t>马青</t>
  </si>
  <si>
    <t>093000059920016</t>
  </si>
  <si>
    <t>王思倩</t>
  </si>
  <si>
    <t>093000059920017</t>
  </si>
  <si>
    <t>陈浩</t>
  </si>
  <si>
    <t>093000068920032</t>
  </si>
  <si>
    <t>陈禾灵</t>
  </si>
  <si>
    <t>093000068920031</t>
  </si>
  <si>
    <t>王华东</t>
  </si>
  <si>
    <t>093000068920033</t>
  </si>
  <si>
    <t>潘敬奎</t>
  </si>
  <si>
    <t>093000920465</t>
  </si>
  <si>
    <t>陈月阳</t>
  </si>
  <si>
    <t>093000064920036</t>
  </si>
  <si>
    <t>王维</t>
  </si>
  <si>
    <t>0930000000052</t>
  </si>
  <si>
    <t>韦欢华</t>
  </si>
  <si>
    <t>093000043920014</t>
  </si>
  <si>
    <t>张军乾</t>
  </si>
  <si>
    <t>赵军乾</t>
  </si>
  <si>
    <t>0930000620009</t>
  </si>
  <si>
    <t>刘银锋</t>
  </si>
  <si>
    <t>093000043920015</t>
  </si>
  <si>
    <t>赵倩</t>
  </si>
  <si>
    <t>093000068920034</t>
  </si>
  <si>
    <t>雷晴</t>
  </si>
  <si>
    <t>0930000620010</t>
  </si>
  <si>
    <t>付鹏飞</t>
  </si>
  <si>
    <t>093000064920037</t>
  </si>
  <si>
    <t>焦晓静</t>
  </si>
  <si>
    <t>093000067920066</t>
  </si>
  <si>
    <t>梁建国</t>
  </si>
  <si>
    <t>093000040001920086</t>
  </si>
  <si>
    <t>郭隆龙</t>
  </si>
  <si>
    <t>093000920466</t>
  </si>
  <si>
    <t>周立来</t>
  </si>
  <si>
    <t>093000070920011</t>
  </si>
  <si>
    <t>孙小芳</t>
  </si>
  <si>
    <t>093000040001920088</t>
  </si>
  <si>
    <t>麦杰波</t>
  </si>
  <si>
    <t>093000068920035</t>
  </si>
  <si>
    <t>陆乙玮</t>
  </si>
  <si>
    <t>0930000730003</t>
  </si>
  <si>
    <t>龙晓霞</t>
  </si>
  <si>
    <t>093000071920007</t>
  </si>
  <si>
    <t>郑朝东</t>
  </si>
  <si>
    <t>093000068920036</t>
  </si>
  <si>
    <t>肖婉婕</t>
  </si>
  <si>
    <t>093000070920012</t>
  </si>
  <si>
    <t>陈婷婷</t>
  </si>
  <si>
    <t>093000044920013</t>
  </si>
  <si>
    <t>胡云召</t>
  </si>
  <si>
    <t>093000040001920089</t>
  </si>
  <si>
    <t>林伟华</t>
  </si>
  <si>
    <t>093000071920008</t>
  </si>
  <si>
    <t>刘大娃</t>
  </si>
  <si>
    <t>093000047920007</t>
  </si>
  <si>
    <t>孟祥太</t>
  </si>
  <si>
    <t>093000064920038</t>
  </si>
  <si>
    <t>王冰</t>
  </si>
  <si>
    <t>0930000470000</t>
  </si>
  <si>
    <t>李广</t>
  </si>
  <si>
    <t>0930000620011</t>
  </si>
  <si>
    <t>麦爱萍</t>
  </si>
  <si>
    <t>093000049920039</t>
  </si>
  <si>
    <t>黄克涛</t>
  </si>
  <si>
    <t>093000044920014</t>
  </si>
  <si>
    <t>刘国清</t>
  </si>
  <si>
    <t>093000047920009</t>
  </si>
  <si>
    <t>郭飞</t>
  </si>
  <si>
    <t>093000040001920090</t>
  </si>
  <si>
    <t>郭月桂</t>
  </si>
  <si>
    <t>0930000000053</t>
  </si>
  <si>
    <t>胡兵兵</t>
  </si>
  <si>
    <t>093000041920025</t>
  </si>
  <si>
    <t>陈相财</t>
  </si>
  <si>
    <t>093000041920026</t>
  </si>
  <si>
    <t>欧艺</t>
  </si>
  <si>
    <t>093000067920071</t>
  </si>
  <si>
    <t>顾元广</t>
  </si>
  <si>
    <t>093000044920016</t>
  </si>
  <si>
    <t>曲东红</t>
  </si>
  <si>
    <t>093000088920002</t>
  </si>
  <si>
    <t>秦文通</t>
  </si>
  <si>
    <t>093000920473</t>
  </si>
  <si>
    <t>陈露露</t>
  </si>
  <si>
    <t>093000066920011</t>
  </si>
  <si>
    <t>曹海营</t>
  </si>
  <si>
    <t>093000064920039</t>
  </si>
  <si>
    <t>李贺威</t>
  </si>
  <si>
    <t>093000068920039</t>
  </si>
  <si>
    <t>黄恒福</t>
  </si>
  <si>
    <t>093000088920003</t>
  </si>
  <si>
    <t>李书霞</t>
  </si>
  <si>
    <t>093000068920040</t>
  </si>
  <si>
    <t>陈劲</t>
  </si>
  <si>
    <t>093000063920011</t>
  </si>
  <si>
    <t>周燕燕</t>
  </si>
  <si>
    <t>0930000620053</t>
  </si>
  <si>
    <t>文勇辉</t>
  </si>
  <si>
    <t>093000088920004</t>
  </si>
  <si>
    <t>陈淅江</t>
  </si>
  <si>
    <t>0930000000054</t>
  </si>
  <si>
    <t>刘月同</t>
  </si>
  <si>
    <t>093000040001920092</t>
  </si>
  <si>
    <t>扬梓玄</t>
  </si>
  <si>
    <t>093000068920041</t>
  </si>
  <si>
    <t>李承育</t>
  </si>
  <si>
    <t>093000920474</t>
  </si>
  <si>
    <t>司启航</t>
  </si>
  <si>
    <t>093000040001920093</t>
  </si>
  <si>
    <t>郭远</t>
  </si>
  <si>
    <t>093000040001920094</t>
  </si>
  <si>
    <t>黄静红</t>
  </si>
  <si>
    <t>093000040001920095</t>
  </si>
  <si>
    <t>郑慧莲</t>
  </si>
  <si>
    <t>093000040001920096</t>
  </si>
  <si>
    <t>陈华秀</t>
  </si>
  <si>
    <t>093000040920050</t>
  </si>
  <si>
    <t>冯林谦</t>
  </si>
  <si>
    <t>093000064920040</t>
  </si>
  <si>
    <t>崔爽</t>
  </si>
  <si>
    <t>0930000620054</t>
  </si>
  <si>
    <t>麦宁宁</t>
  </si>
  <si>
    <t>093000044920017</t>
  </si>
  <si>
    <t>乔楚</t>
  </si>
  <si>
    <t>093000920478</t>
  </si>
  <si>
    <t>王同贤</t>
  </si>
  <si>
    <t>093000067920074</t>
  </si>
  <si>
    <t>姚建明</t>
  </si>
  <si>
    <t>093000067920076</t>
  </si>
  <si>
    <t>宋柄威</t>
  </si>
  <si>
    <t>093000068920042</t>
  </si>
  <si>
    <t>吴施敏</t>
  </si>
  <si>
    <t>093000070920013</t>
  </si>
  <si>
    <t>王刚</t>
  </si>
  <si>
    <t>093000049920040</t>
  </si>
  <si>
    <t>高德泉</t>
  </si>
  <si>
    <t>093000043920016</t>
  </si>
  <si>
    <t>王长春</t>
  </si>
  <si>
    <t>093000049920041</t>
  </si>
  <si>
    <t>张佩佩</t>
  </si>
  <si>
    <t>093000043920017</t>
  </si>
  <si>
    <t>李晓</t>
  </si>
  <si>
    <t>093000040001920097</t>
  </si>
  <si>
    <t>麦丽燕</t>
  </si>
  <si>
    <t>093000072920002</t>
  </si>
  <si>
    <t>卢居勇</t>
  </si>
  <si>
    <t>093000070920014</t>
  </si>
  <si>
    <t>叶后山</t>
  </si>
  <si>
    <t>0930000370044</t>
  </si>
  <si>
    <t>乔世杰</t>
  </si>
  <si>
    <t>093000040001920098</t>
  </si>
  <si>
    <t>邱启文</t>
  </si>
  <si>
    <t>093000068920047</t>
  </si>
  <si>
    <t>陈明珊</t>
  </si>
  <si>
    <t>093000068920046</t>
  </si>
  <si>
    <t>武刚</t>
  </si>
  <si>
    <t>093000046920017</t>
  </si>
  <si>
    <t>全淅</t>
  </si>
  <si>
    <t>093000040001920099</t>
  </si>
  <si>
    <t>罗杰</t>
  </si>
  <si>
    <t>093000040001920100</t>
  </si>
  <si>
    <t>郭日丽</t>
  </si>
  <si>
    <t>0930000620055</t>
  </si>
  <si>
    <t>罗焕</t>
  </si>
  <si>
    <t>0930000370045</t>
  </si>
  <si>
    <t>任丽莎</t>
  </si>
  <si>
    <t>093000043920018</t>
  </si>
  <si>
    <t>张松岑</t>
  </si>
  <si>
    <t>093000040001920101</t>
  </si>
  <si>
    <t>李炳柱</t>
  </si>
  <si>
    <t>0930000790001</t>
  </si>
  <si>
    <t>鲁月</t>
  </si>
  <si>
    <t>093000040001920104</t>
  </si>
  <si>
    <t>文鑫</t>
  </si>
  <si>
    <t>093000040001920105</t>
  </si>
  <si>
    <t>林星华</t>
  </si>
  <si>
    <t>093000920480</t>
  </si>
  <si>
    <t>诸葛明威</t>
  </si>
  <si>
    <t>0930000400012</t>
  </si>
  <si>
    <t>张鑫旺</t>
  </si>
  <si>
    <t>093000040920052</t>
  </si>
  <si>
    <t>郭艳丽</t>
  </si>
  <si>
    <t>093000037920046</t>
  </si>
  <si>
    <t>白公平</t>
  </si>
  <si>
    <t>0930000560003</t>
  </si>
  <si>
    <t>邹顺凯</t>
  </si>
  <si>
    <t>093000043920019</t>
  </si>
  <si>
    <t>曲慧</t>
  </si>
  <si>
    <t>0930000790002</t>
  </si>
  <si>
    <t>方成伟</t>
  </si>
  <si>
    <t>093000039001920002</t>
  </si>
  <si>
    <t>焦丰锐</t>
  </si>
  <si>
    <t>0930000620056</t>
  </si>
  <si>
    <t>陆艳慧</t>
  </si>
  <si>
    <t>093000044920019</t>
  </si>
  <si>
    <t>岳瑞霞</t>
  </si>
  <si>
    <t>093000040920053</t>
  </si>
  <si>
    <t>尚光华</t>
  </si>
  <si>
    <t>0930000620057</t>
  </si>
  <si>
    <t>黄翠兰</t>
  </si>
  <si>
    <t>093000040001920106</t>
  </si>
  <si>
    <t>杨金明</t>
  </si>
  <si>
    <t>093000043920020</t>
  </si>
  <si>
    <t>杜燕</t>
  </si>
  <si>
    <t>093000067920079</t>
  </si>
  <si>
    <t>冯肖飞</t>
  </si>
  <si>
    <t>0930000670011</t>
  </si>
  <si>
    <t>胡林</t>
  </si>
  <si>
    <t>093000040001920107</t>
  </si>
  <si>
    <t>温石杏</t>
  </si>
  <si>
    <t>0930000790003</t>
  </si>
  <si>
    <t>曾坤</t>
  </si>
  <si>
    <t>093000043920021</t>
  </si>
  <si>
    <t>朱明丽</t>
  </si>
  <si>
    <t>093000920485</t>
  </si>
  <si>
    <t>陈秋凤</t>
  </si>
  <si>
    <t>093000040001920109</t>
  </si>
  <si>
    <t>冯俊铭</t>
  </si>
  <si>
    <t>093000040920054</t>
  </si>
  <si>
    <t>张彦存</t>
  </si>
  <si>
    <t>093000040001920110</t>
  </si>
  <si>
    <t>柳艺春</t>
  </si>
  <si>
    <t>093000040001920111</t>
  </si>
  <si>
    <t>胡桂绪</t>
  </si>
  <si>
    <t>093000043920022</t>
  </si>
  <si>
    <t>任超奇</t>
  </si>
  <si>
    <t>093000040001920112</t>
  </si>
  <si>
    <t>李东新</t>
  </si>
  <si>
    <t>093000040001920113</t>
  </si>
  <si>
    <t>李巨文</t>
  </si>
  <si>
    <t>093000059920018</t>
  </si>
  <si>
    <t>王程超</t>
  </si>
  <si>
    <t>093000063920012</t>
  </si>
  <si>
    <t>李兰</t>
  </si>
  <si>
    <t>093000041920027</t>
  </si>
  <si>
    <t>史天皓</t>
  </si>
  <si>
    <t>093000041920028</t>
  </si>
  <si>
    <t>陆永久</t>
  </si>
  <si>
    <t>0930000640001</t>
  </si>
  <si>
    <t>汪春桥</t>
  </si>
  <si>
    <t>093000920491</t>
  </si>
  <si>
    <t>冯翔</t>
  </si>
  <si>
    <t>093000920492</t>
  </si>
  <si>
    <t>金俊杰</t>
  </si>
  <si>
    <t>0930000000055</t>
  </si>
  <si>
    <t>张磊</t>
  </si>
  <si>
    <t>0930000730004</t>
  </si>
  <si>
    <t>王桂秀</t>
  </si>
  <si>
    <t>0930000000056</t>
  </si>
  <si>
    <t>吴梦娇</t>
  </si>
  <si>
    <t>093000043920023</t>
  </si>
  <si>
    <t>宋江立</t>
  </si>
  <si>
    <t>093000059920019</t>
  </si>
  <si>
    <t>闫艳</t>
  </si>
  <si>
    <t>093000040001920114</t>
  </si>
  <si>
    <t>欧钊华</t>
  </si>
  <si>
    <t>093000068920048</t>
  </si>
  <si>
    <t>容兰珍</t>
  </si>
  <si>
    <t>0930000620003</t>
  </si>
  <si>
    <t>涂家炜</t>
  </si>
  <si>
    <t>093000040001920115</t>
  </si>
  <si>
    <t>林乐文</t>
  </si>
  <si>
    <t>0930000640002</t>
  </si>
  <si>
    <t>孙转娃</t>
  </si>
  <si>
    <t>093000039001920003</t>
  </si>
  <si>
    <t>李国付</t>
  </si>
  <si>
    <t>093000920495</t>
  </si>
  <si>
    <t>李世源</t>
  </si>
  <si>
    <t>0930000640003</t>
  </si>
  <si>
    <t>王浩</t>
  </si>
  <si>
    <t>0930000640004</t>
  </si>
  <si>
    <t>陈奎</t>
  </si>
  <si>
    <t>093000040001920116</t>
  </si>
  <si>
    <t>叶容伶</t>
  </si>
  <si>
    <t>093000067920085</t>
  </si>
  <si>
    <t>申长山</t>
  </si>
  <si>
    <t>0930000000057</t>
  </si>
  <si>
    <t>冯彩龙</t>
  </si>
  <si>
    <t>093000041920029</t>
  </si>
  <si>
    <t>刘宽愉</t>
  </si>
  <si>
    <t>093000041920030</t>
  </si>
  <si>
    <t>曾作伟</t>
  </si>
  <si>
    <t>0930000800001</t>
  </si>
  <si>
    <t>谢嘉铭</t>
  </si>
  <si>
    <t>093000049920042</t>
  </si>
  <si>
    <t>韩发强</t>
  </si>
  <si>
    <t>0930000640005</t>
  </si>
  <si>
    <t>刘闯</t>
  </si>
  <si>
    <t>093000039001920004</t>
  </si>
  <si>
    <t>乔春霖</t>
  </si>
  <si>
    <t>0930000730005</t>
  </si>
  <si>
    <t>文小红</t>
  </si>
  <si>
    <t>0930000058</t>
  </si>
  <si>
    <t>刘强</t>
  </si>
  <si>
    <t>0930000000058</t>
  </si>
  <si>
    <t>莫坚华</t>
  </si>
  <si>
    <t>0930000810001</t>
  </si>
  <si>
    <t>朱永明</t>
  </si>
  <si>
    <t>093000043920025</t>
  </si>
  <si>
    <t>胡亚磊</t>
  </si>
  <si>
    <t>093000920501</t>
  </si>
  <si>
    <t>张占领</t>
  </si>
  <si>
    <t>093000039001920005</t>
  </si>
  <si>
    <t>李庆印</t>
  </si>
  <si>
    <t>093000040920056</t>
  </si>
  <si>
    <t>刘志萍</t>
  </si>
  <si>
    <t>0930000000059</t>
  </si>
  <si>
    <t>0930000000060</t>
  </si>
  <si>
    <t>马帅</t>
  </si>
  <si>
    <t>0930000810002</t>
  </si>
  <si>
    <t>孙晨阳</t>
  </si>
  <si>
    <t>0930000000061</t>
  </si>
  <si>
    <t>李根</t>
  </si>
  <si>
    <t>0930000000062</t>
  </si>
  <si>
    <t>蒋国鹏</t>
  </si>
  <si>
    <t>0930000000063</t>
  </si>
  <si>
    <t>王文杰</t>
  </si>
  <si>
    <t>093000046920018</t>
  </si>
  <si>
    <t>毕龙才</t>
  </si>
  <si>
    <t>0930000000064</t>
  </si>
  <si>
    <t>0930000000065</t>
  </si>
  <si>
    <t>李冬阳</t>
  </si>
  <si>
    <t>0930000000066</t>
  </si>
  <si>
    <t>刘栋</t>
  </si>
  <si>
    <t>0930000000067</t>
  </si>
  <si>
    <t>班义倬</t>
  </si>
  <si>
    <t>0930000000068</t>
  </si>
  <si>
    <t>宋丙奇</t>
  </si>
  <si>
    <t>0930000810003</t>
  </si>
  <si>
    <t>孙谦</t>
  </si>
  <si>
    <t>0930000810004</t>
  </si>
  <si>
    <t>刘勇</t>
  </si>
  <si>
    <t>0930000810005</t>
  </si>
  <si>
    <t>魏坤龙</t>
  </si>
  <si>
    <t>0930000000069</t>
  </si>
  <si>
    <t>岳建杰</t>
  </si>
  <si>
    <t>0930000000070</t>
  </si>
  <si>
    <t>刘迪</t>
  </si>
  <si>
    <t>0930000810006</t>
  </si>
  <si>
    <t>刘新阳</t>
  </si>
  <si>
    <t>0930000000071</t>
  </si>
  <si>
    <t>赵嘉嘉</t>
  </si>
  <si>
    <t>0930000810007</t>
  </si>
  <si>
    <t>孙立</t>
  </si>
  <si>
    <t>093000044920022</t>
  </si>
  <si>
    <t>王向阳</t>
  </si>
  <si>
    <t>0930000790004</t>
  </si>
  <si>
    <t>何海彬</t>
  </si>
  <si>
    <t>093000039001920006</t>
  </si>
  <si>
    <t>093000920505</t>
  </si>
  <si>
    <t>王震</t>
  </si>
  <si>
    <t>093000920504</t>
  </si>
  <si>
    <t>赵国</t>
  </si>
  <si>
    <t>0930000730006</t>
  </si>
  <si>
    <t>黄俊桦</t>
  </si>
  <si>
    <t>0930000620004</t>
  </si>
  <si>
    <t>黄显成</t>
  </si>
  <si>
    <t>0930000790005</t>
  </si>
  <si>
    <t>郭宗霞</t>
  </si>
  <si>
    <t>093000049920043</t>
  </si>
  <si>
    <t>邱全伟</t>
  </si>
  <si>
    <t>0930000000101</t>
  </si>
  <si>
    <t>黄小艳</t>
  </si>
  <si>
    <t>093000043920026</t>
  </si>
  <si>
    <t>吕建荣</t>
  </si>
  <si>
    <t>0930000000072</t>
  </si>
  <si>
    <t>李鹏</t>
  </si>
  <si>
    <t>093000088920006</t>
  </si>
  <si>
    <t>党九山</t>
  </si>
  <si>
    <t>093000067920086</t>
  </si>
  <si>
    <t>陈兴隆</t>
  </si>
  <si>
    <t>093000041920031</t>
  </si>
  <si>
    <t>周梦桢</t>
  </si>
  <si>
    <t>0930000640006</t>
  </si>
  <si>
    <t>梁丰安</t>
  </si>
  <si>
    <t>093000059920020</t>
  </si>
  <si>
    <t>徐路娟</t>
  </si>
  <si>
    <t>093000083920001</t>
  </si>
  <si>
    <t>杨堂宽</t>
  </si>
  <si>
    <t>0930000790006</t>
  </si>
  <si>
    <t>杨晓威</t>
  </si>
  <si>
    <t>0930000790007</t>
  </si>
  <si>
    <t>陈阳阳</t>
  </si>
  <si>
    <t>093000043920028</t>
  </si>
  <si>
    <t>薄涛</t>
  </si>
  <si>
    <t>093000043920029</t>
  </si>
  <si>
    <t>李彦鹏</t>
  </si>
  <si>
    <t>093000044920023</t>
  </si>
  <si>
    <t>何书均</t>
  </si>
  <si>
    <t>093000043920030</t>
  </si>
  <si>
    <t>李彦红</t>
  </si>
  <si>
    <t>0930000790008</t>
  </si>
  <si>
    <t>李良栋</t>
  </si>
  <si>
    <t>093000040920057</t>
  </si>
  <si>
    <t>孙瑞轩</t>
  </si>
  <si>
    <t>0930000790009</t>
  </si>
  <si>
    <t>蒋海淼</t>
  </si>
  <si>
    <t>093000039001920008</t>
  </si>
  <si>
    <t>杨武洋</t>
  </si>
  <si>
    <t>093000039001920009</t>
  </si>
  <si>
    <t>李展</t>
  </si>
  <si>
    <t>093000039001920010</t>
  </si>
  <si>
    <t>陈朋飞</t>
  </si>
  <si>
    <t>093000083920003</t>
  </si>
  <si>
    <t>沈庆玲</t>
  </si>
  <si>
    <t>093000044920024</t>
  </si>
  <si>
    <t>王士红</t>
  </si>
  <si>
    <t>093000039001920011</t>
  </si>
  <si>
    <t>冯居国</t>
  </si>
  <si>
    <t>0930000790010</t>
  </si>
  <si>
    <t>王永明</t>
  </si>
  <si>
    <t>093000044920025</t>
  </si>
  <si>
    <t>苏贵州</t>
  </si>
  <si>
    <t>0930000810008</t>
  </si>
  <si>
    <t>冯振超</t>
  </si>
  <si>
    <t>0930000370001</t>
  </si>
  <si>
    <t xml:space="preserve"> 赵梦仙</t>
  </si>
  <si>
    <t>赵梦仙</t>
  </si>
  <si>
    <t>093000043920031</t>
  </si>
  <si>
    <t>田晓萍</t>
  </si>
  <si>
    <t>0930000790011</t>
  </si>
  <si>
    <t>陈文龙</t>
  </si>
  <si>
    <t>093000043920032</t>
  </si>
  <si>
    <t>李建明</t>
  </si>
  <si>
    <t>0930000790012</t>
  </si>
  <si>
    <t>任德振</t>
  </si>
  <si>
    <t>0930000810009</t>
  </si>
  <si>
    <t>陈志斌</t>
  </si>
  <si>
    <t>093000047920010</t>
  </si>
  <si>
    <t>093000040920058</t>
  </si>
  <si>
    <t>葛英霞</t>
  </si>
  <si>
    <t>0930000740005</t>
  </si>
  <si>
    <t>黄霞</t>
  </si>
  <si>
    <t>0930000620012</t>
  </si>
  <si>
    <t>李晓敏</t>
  </si>
  <si>
    <t>093000063920014</t>
  </si>
  <si>
    <t>王荣</t>
  </si>
  <si>
    <t>093000083920004</t>
  </si>
  <si>
    <t>丁文新</t>
  </si>
  <si>
    <t>0930000510001</t>
  </si>
  <si>
    <t>葛俊磊</t>
  </si>
  <si>
    <t>093000920510</t>
  </si>
  <si>
    <t>王太辉</t>
  </si>
  <si>
    <t>093000063920015</t>
  </si>
  <si>
    <t>王璐璐</t>
  </si>
  <si>
    <t>0930000790013</t>
  </si>
  <si>
    <t>许曼菲</t>
  </si>
  <si>
    <t>0930000790014</t>
  </si>
  <si>
    <t>张永仙</t>
  </si>
  <si>
    <t>093000920512</t>
  </si>
  <si>
    <t>李彬</t>
  </si>
  <si>
    <t>093000067920092</t>
  </si>
  <si>
    <t>姚剑</t>
  </si>
  <si>
    <t>093000043920033</t>
  </si>
  <si>
    <t>韩九宾</t>
  </si>
  <si>
    <t>093000039001920012</t>
  </si>
  <si>
    <t>马翀</t>
  </si>
  <si>
    <t>0930000510002</t>
  </si>
  <si>
    <t>张艳丽</t>
  </si>
  <si>
    <t>0930000820001</t>
  </si>
  <si>
    <t>高武</t>
  </si>
  <si>
    <t>093000047920011</t>
  </si>
  <si>
    <t>韩照印</t>
  </si>
  <si>
    <t>093000043920034</t>
  </si>
  <si>
    <t>王林各</t>
  </si>
  <si>
    <t>0930000790015</t>
  </si>
  <si>
    <t>严凯</t>
  </si>
  <si>
    <t>0930000000073</t>
  </si>
  <si>
    <t>杨莉</t>
  </si>
  <si>
    <t>093000044920027</t>
  </si>
  <si>
    <t>胡海洲</t>
  </si>
  <si>
    <t>093000039002000</t>
  </si>
  <si>
    <t>董幺松</t>
  </si>
  <si>
    <t>093000043920035</t>
  </si>
  <si>
    <t>訾金蕊</t>
  </si>
  <si>
    <t>093000047920013</t>
  </si>
  <si>
    <t>景台</t>
  </si>
  <si>
    <t>093000044920029</t>
  </si>
  <si>
    <t>沈刚</t>
  </si>
  <si>
    <t>093000044920030</t>
  </si>
  <si>
    <t>尹可敬</t>
  </si>
  <si>
    <t>093000043920036</t>
  </si>
  <si>
    <t>宋江玲</t>
  </si>
  <si>
    <t>0930000840000</t>
  </si>
  <si>
    <t>李琛琛</t>
  </si>
  <si>
    <t>0930000670001</t>
  </si>
  <si>
    <t>王宏锦</t>
  </si>
  <si>
    <t>093000920515</t>
  </si>
  <si>
    <t>吴湘军</t>
  </si>
  <si>
    <t>0930000670002</t>
  </si>
  <si>
    <t>="张晓燕_x0009_"</t>
  </si>
  <si>
    <t>张晓燕</t>
  </si>
  <si>
    <t>093000044920032</t>
  </si>
  <si>
    <t>代永坤</t>
  </si>
  <si>
    <t>093000040920059</t>
  </si>
  <si>
    <t>谷成彬</t>
  </si>
  <si>
    <t>093000083920005</t>
  </si>
  <si>
    <t>陈康琼</t>
  </si>
  <si>
    <t>093000067003</t>
  </si>
  <si>
    <t>张绍鹏</t>
  </si>
  <si>
    <t>093000044920033</t>
  </si>
  <si>
    <t>陈志远</t>
  </si>
  <si>
    <t>0930000670003</t>
  </si>
  <si>
    <t>程相超</t>
  </si>
  <si>
    <t>0930000670004</t>
  </si>
  <si>
    <t>王文彬</t>
  </si>
  <si>
    <t>093000047920014</t>
  </si>
  <si>
    <t>孙士朋</t>
  </si>
  <si>
    <t>0930000370002</t>
  </si>
  <si>
    <t>李向阳</t>
  </si>
  <si>
    <t>0930000400001</t>
  </si>
  <si>
    <t>张志兵</t>
  </si>
  <si>
    <t>093000047920016</t>
  </si>
  <si>
    <t>王玉梅</t>
  </si>
  <si>
    <t>093000047920015</t>
  </si>
  <si>
    <t>付国栓</t>
  </si>
  <si>
    <t>0930000670000</t>
  </si>
  <si>
    <t>0930000000074</t>
  </si>
  <si>
    <t>张广强</t>
  </si>
  <si>
    <t>0930000510003</t>
  </si>
  <si>
    <t>刘静宇</t>
  </si>
  <si>
    <t>093000059920022</t>
  </si>
  <si>
    <t>麻梁</t>
  </si>
  <si>
    <t>麻粱</t>
  </si>
  <si>
    <t>0930000000102</t>
  </si>
  <si>
    <t>田凯敏</t>
  </si>
  <si>
    <t>093000044920036</t>
  </si>
  <si>
    <t>易思波</t>
  </si>
  <si>
    <t>0930000790000</t>
  </si>
  <si>
    <t>陈朕</t>
  </si>
  <si>
    <t>093000044920038</t>
  </si>
  <si>
    <t>滕改玲</t>
  </si>
  <si>
    <t>0930000670005</t>
  </si>
  <si>
    <t>="李宁宁_x0009_"</t>
  </si>
  <si>
    <t>李宁宁</t>
  </si>
  <si>
    <t>0930000000103</t>
  </si>
  <si>
    <t>刘向满</t>
  </si>
  <si>
    <t>0930000620013</t>
  </si>
  <si>
    <t>王芳利</t>
  </si>
  <si>
    <t>0930000730007</t>
  </si>
  <si>
    <t>张海波</t>
  </si>
  <si>
    <t>0930000730008</t>
  </si>
  <si>
    <t>王蒋吉</t>
  </si>
  <si>
    <t>093000044920039</t>
  </si>
  <si>
    <t>符文楠</t>
  </si>
  <si>
    <t>0930000620014</t>
  </si>
  <si>
    <t>白英杰</t>
  </si>
  <si>
    <t>0930000370003</t>
  </si>
  <si>
    <t>李兵雅</t>
  </si>
  <si>
    <t>093000039001920013</t>
  </si>
  <si>
    <t>张培源</t>
  </si>
  <si>
    <t>093000043920037</t>
  </si>
  <si>
    <t>张改</t>
  </si>
  <si>
    <t>093000043920038</t>
  </si>
  <si>
    <t>吴占东</t>
  </si>
  <si>
    <t>0930000670006</t>
  </si>
  <si>
    <t>="李阿敏_x0009_"</t>
  </si>
  <si>
    <t>李阿敏</t>
  </si>
  <si>
    <t>093000040920060</t>
  </si>
  <si>
    <t>武建全</t>
  </si>
  <si>
    <t>093000039001920014</t>
  </si>
  <si>
    <t>王涛</t>
  </si>
  <si>
    <t>093000063920016</t>
  </si>
  <si>
    <t>吕萍</t>
  </si>
  <si>
    <t>093000920521</t>
  </si>
  <si>
    <t>马佳丽</t>
  </si>
  <si>
    <t>093000039001920015</t>
  </si>
  <si>
    <t>马达</t>
  </si>
  <si>
    <t>0930000000104</t>
  </si>
  <si>
    <t>袁高飞</t>
  </si>
  <si>
    <t>093000039001920016</t>
  </si>
  <si>
    <t>0930000440000</t>
  </si>
  <si>
    <t>朱婉莹</t>
  </si>
  <si>
    <t>0930000370004</t>
  </si>
  <si>
    <t>毕亚强</t>
  </si>
  <si>
    <t>0930000000105</t>
  </si>
  <si>
    <t>安桃桃</t>
  </si>
  <si>
    <t>093000047920017</t>
  </si>
  <si>
    <t>韩秀奇</t>
  </si>
  <si>
    <t>0930000000075</t>
  </si>
  <si>
    <t>赵世杰</t>
  </si>
  <si>
    <t>093000047920018</t>
  </si>
  <si>
    <t>张永生</t>
  </si>
  <si>
    <t>0930000630000</t>
  </si>
  <si>
    <t>陈雅欣</t>
  </si>
  <si>
    <t>093000046920020</t>
  </si>
  <si>
    <t>柯小女</t>
  </si>
  <si>
    <t>0930000670007</t>
  </si>
  <si>
    <t>宋松霖</t>
  </si>
  <si>
    <t>093000046920021</t>
  </si>
  <si>
    <t>张玉芬</t>
  </si>
  <si>
    <t>093000059920023</t>
  </si>
  <si>
    <t>袁帅</t>
  </si>
  <si>
    <t>0930000000106</t>
  </si>
  <si>
    <t>段攀超</t>
  </si>
  <si>
    <t>0930000670008</t>
  </si>
  <si>
    <t>吕世蕾</t>
  </si>
  <si>
    <t>0930000000107</t>
  </si>
  <si>
    <t>梁永富</t>
  </si>
  <si>
    <t>0930000670009</t>
  </si>
  <si>
    <t>朱晨飞</t>
  </si>
  <si>
    <t>0930000000108</t>
  </si>
  <si>
    <t>冯佩田</t>
  </si>
  <si>
    <t>093000043920039</t>
  </si>
  <si>
    <t>王聚兴</t>
  </si>
  <si>
    <t>0930000670010</t>
  </si>
  <si>
    <t>庞永琴</t>
  </si>
  <si>
    <t>0930000670012</t>
  </si>
  <si>
    <t>赵志辰</t>
  </si>
  <si>
    <t>093000083920006</t>
  </si>
  <si>
    <t>殷锦国</t>
  </si>
  <si>
    <t>0930000670013</t>
  </si>
  <si>
    <t>陈钊岐</t>
  </si>
  <si>
    <t>0930000688888</t>
  </si>
  <si>
    <t>陆庆妃</t>
  </si>
  <si>
    <t>0930000670014</t>
  </si>
  <si>
    <t>高胜艳</t>
  </si>
  <si>
    <t>0930000670015</t>
  </si>
  <si>
    <t>吕召召</t>
  </si>
  <si>
    <t>0930000670016</t>
  </si>
  <si>
    <t>张海兰</t>
  </si>
  <si>
    <t>093000059920024</t>
  </si>
  <si>
    <t>闫小红</t>
  </si>
  <si>
    <t>093000067920094</t>
  </si>
  <si>
    <t>张自昌</t>
  </si>
  <si>
    <t>0930000670017</t>
  </si>
  <si>
    <t>冯琦</t>
  </si>
  <si>
    <t>0930000670018</t>
  </si>
  <si>
    <t>陈亚光</t>
  </si>
  <si>
    <t>093000043920040</t>
  </si>
  <si>
    <t>穆春来</t>
  </si>
  <si>
    <t>093000043920041</t>
  </si>
  <si>
    <t>李江丽</t>
  </si>
  <si>
    <t>093000043920043</t>
  </si>
  <si>
    <t>张宗泽</t>
  </si>
  <si>
    <t>093000039001920017</t>
  </si>
  <si>
    <t>张瑞芳</t>
  </si>
  <si>
    <t>093000043920042</t>
  </si>
  <si>
    <t>倪永磊</t>
  </si>
  <si>
    <t>0930000670019</t>
  </si>
  <si>
    <t>庞跃新</t>
  </si>
  <si>
    <t>093000044920041</t>
  </si>
  <si>
    <t>袁鸣</t>
  </si>
  <si>
    <t>093000043920044</t>
  </si>
  <si>
    <t>王天西</t>
  </si>
  <si>
    <t>093000043920045</t>
  </si>
  <si>
    <t>冯明浩</t>
  </si>
  <si>
    <t>093000043920046</t>
  </si>
  <si>
    <t>高德敏</t>
  </si>
  <si>
    <t>0930000800000</t>
  </si>
  <si>
    <t>谢世莲</t>
  </si>
  <si>
    <t>0930000670020</t>
  </si>
  <si>
    <t>赵致毅</t>
  </si>
  <si>
    <t>0930000670021</t>
  </si>
  <si>
    <t>赵志霖</t>
  </si>
  <si>
    <t>0930000000109</t>
  </si>
  <si>
    <t>栾鑫可</t>
  </si>
  <si>
    <t>0930000440001</t>
  </si>
  <si>
    <t>李宗锋</t>
  </si>
  <si>
    <t>093000043920047</t>
  </si>
  <si>
    <t>高金玲</t>
  </si>
  <si>
    <t>093000067920097</t>
  </si>
  <si>
    <t>赵银生</t>
  </si>
  <si>
    <t>093000039001920018</t>
  </si>
  <si>
    <t>赵东</t>
  </si>
  <si>
    <t>0930000740006</t>
  </si>
  <si>
    <t>覃莹</t>
  </si>
  <si>
    <t>093000088920008</t>
  </si>
  <si>
    <t>王冬冬</t>
  </si>
  <si>
    <t>0930000670022</t>
  </si>
  <si>
    <t>邱生辉</t>
  </si>
  <si>
    <t>0930000630001</t>
  </si>
  <si>
    <t>李文典</t>
  </si>
  <si>
    <t>093000047920019</t>
  </si>
  <si>
    <t>李建彬</t>
  </si>
  <si>
    <t>093000044920042</t>
  </si>
  <si>
    <t>郭志华</t>
  </si>
  <si>
    <t>093000044920043</t>
  </si>
  <si>
    <t>张宏燕</t>
  </si>
  <si>
    <t>093000088920009</t>
  </si>
  <si>
    <t>周园</t>
  </si>
  <si>
    <t>093000039001920020</t>
  </si>
  <si>
    <t>许郭崇杰</t>
  </si>
  <si>
    <t>093000047920021</t>
  </si>
  <si>
    <t>常艳荣</t>
  </si>
  <si>
    <t>0930000000076</t>
  </si>
  <si>
    <t>李学龙</t>
  </si>
  <si>
    <t>093000043920048</t>
  </si>
  <si>
    <t>李艳恒</t>
  </si>
  <si>
    <t>093000039001920021</t>
  </si>
  <si>
    <t>王明甫</t>
  </si>
  <si>
    <t>093000090920001</t>
  </si>
  <si>
    <t>韩中磊</t>
  </si>
  <si>
    <t>093000047920022</t>
  </si>
  <si>
    <t>张丽丽</t>
  </si>
  <si>
    <t>093000059920025</t>
  </si>
  <si>
    <t>王家豪</t>
  </si>
  <si>
    <t>0930000000077</t>
  </si>
  <si>
    <t>卢珍珍</t>
  </si>
  <si>
    <t>0930000000078</t>
  </si>
  <si>
    <t>刘亚威</t>
  </si>
  <si>
    <t>093000043920049</t>
  </si>
  <si>
    <t>曾丽英</t>
  </si>
  <si>
    <t>093000039005920001</t>
  </si>
  <si>
    <t>张玉巧</t>
  </si>
  <si>
    <t>0930000000079</t>
  </si>
  <si>
    <t>熊乾伟</t>
  </si>
  <si>
    <t>0930000920000</t>
  </si>
  <si>
    <t>张孟贾</t>
  </si>
  <si>
    <t>0930000620015</t>
  </si>
  <si>
    <t>黄毅</t>
  </si>
  <si>
    <t>093000039005920002</t>
  </si>
  <si>
    <t>姚建堂</t>
  </si>
  <si>
    <t>0930000590000</t>
  </si>
  <si>
    <t>孙海波</t>
  </si>
  <si>
    <t>093000043920050</t>
  </si>
  <si>
    <t>赵志刚</t>
  </si>
  <si>
    <t>0930000390010000</t>
  </si>
  <si>
    <t>方彬</t>
  </si>
  <si>
    <t>093000039001000</t>
  </si>
  <si>
    <t>吴六玲</t>
  </si>
  <si>
    <t>093000039001920022</t>
  </si>
  <si>
    <t>晋生</t>
  </si>
  <si>
    <t>093000047920023</t>
  </si>
  <si>
    <t>景东林</t>
  </si>
  <si>
    <t>093000039005920003</t>
  </si>
  <si>
    <t>贾建训</t>
  </si>
  <si>
    <t>0930000790016</t>
  </si>
  <si>
    <t>张燕</t>
  </si>
  <si>
    <t>093000039001920023</t>
  </si>
  <si>
    <t>罗冰冰</t>
  </si>
  <si>
    <t>093000044920045</t>
  </si>
  <si>
    <t>陈平</t>
  </si>
  <si>
    <t>0930000620016</t>
  </si>
  <si>
    <t>黄敏</t>
  </si>
  <si>
    <t>0930000640000</t>
  </si>
  <si>
    <t>朱腾跃</t>
  </si>
  <si>
    <t>093000920532</t>
  </si>
  <si>
    <t>李硕</t>
  </si>
  <si>
    <t>0930000560000</t>
  </si>
  <si>
    <t>李兴伟</t>
  </si>
  <si>
    <t>0930000640007</t>
  </si>
  <si>
    <t>程保堂</t>
  </si>
  <si>
    <t>0930000670023</t>
  </si>
  <si>
    <t>许曌</t>
  </si>
  <si>
    <t>093000044920046</t>
  </si>
  <si>
    <t>廖永红</t>
  </si>
  <si>
    <t>093000044920047</t>
  </si>
  <si>
    <t>罗玉梅</t>
  </si>
  <si>
    <t>093000039001920024</t>
  </si>
  <si>
    <t>余金红</t>
  </si>
  <si>
    <t>093000039001920025</t>
  </si>
  <si>
    <t>徐梓豪</t>
  </si>
  <si>
    <t>093000043920051</t>
  </si>
  <si>
    <t>朱培阁</t>
  </si>
  <si>
    <t>093000039001920026</t>
  </si>
  <si>
    <t>胡小江</t>
  </si>
  <si>
    <t>0930000000080</t>
  </si>
  <si>
    <t>刘润尧</t>
  </si>
  <si>
    <t>0930000000081</t>
  </si>
  <si>
    <t>董坤</t>
  </si>
  <si>
    <t>0930000000082</t>
  </si>
  <si>
    <t>刘宴谷</t>
  </si>
  <si>
    <t>093000043920052</t>
  </si>
  <si>
    <t>魏渊</t>
  </si>
  <si>
    <t>093000049920047</t>
  </si>
  <si>
    <t>孙振邦</t>
  </si>
  <si>
    <t>0930000370000</t>
  </si>
  <si>
    <t>郑建霞</t>
  </si>
  <si>
    <t>093000039001920027</t>
  </si>
  <si>
    <t>钟菲菲</t>
  </si>
  <si>
    <t>0930000540000</t>
  </si>
  <si>
    <t>余宗洋</t>
  </si>
  <si>
    <t>093000039001920028</t>
  </si>
  <si>
    <t>刘涛</t>
  </si>
  <si>
    <t>093000039001920029</t>
  </si>
  <si>
    <t>刘洋</t>
  </si>
  <si>
    <t>0930000000083</t>
  </si>
  <si>
    <t>陈贺年</t>
  </si>
  <si>
    <t>093000044920049</t>
  </si>
  <si>
    <t>王付年</t>
  </si>
  <si>
    <t>0930000620017</t>
  </si>
  <si>
    <t>黄金丽</t>
  </si>
  <si>
    <t>093000043920053</t>
  </si>
  <si>
    <t>董明瑞</t>
  </si>
  <si>
    <t>093000039001920030</t>
  </si>
  <si>
    <t>张庶</t>
  </si>
  <si>
    <t>093000039001920032</t>
  </si>
  <si>
    <t>张瀚月</t>
  </si>
  <si>
    <t>093000039001920034</t>
  </si>
  <si>
    <t>李德华</t>
  </si>
  <si>
    <t>093000039001920033</t>
  </si>
  <si>
    <t>张中奇</t>
  </si>
  <si>
    <t>0930000620018</t>
  </si>
  <si>
    <t>苏天权</t>
  </si>
  <si>
    <t>0930000790017</t>
  </si>
  <si>
    <t>王沛</t>
  </si>
  <si>
    <t>093000040920065</t>
  </si>
  <si>
    <t>刘玉印</t>
  </si>
  <si>
    <t>093000043920054</t>
  </si>
  <si>
    <t>张自平</t>
  </si>
  <si>
    <t>093000039001920035</t>
  </si>
  <si>
    <t>刘奇</t>
  </si>
  <si>
    <t>093000043920055</t>
  </si>
  <si>
    <t>丁永会</t>
  </si>
  <si>
    <t>0930000620019</t>
  </si>
  <si>
    <t>邓启军</t>
  </si>
  <si>
    <t>0930000620020</t>
  </si>
  <si>
    <t>曾燕勋</t>
  </si>
  <si>
    <t>0930000620021</t>
  </si>
  <si>
    <t>廖光耸</t>
  </si>
  <si>
    <t>0930000390020000</t>
  </si>
  <si>
    <t>陈爱平</t>
  </si>
  <si>
    <t>093000059920027</t>
  </si>
  <si>
    <t>麻庆更</t>
  </si>
  <si>
    <t>0930000790018</t>
  </si>
  <si>
    <t>田鑫</t>
  </si>
  <si>
    <t>093000039001920036</t>
  </si>
  <si>
    <t>王宇</t>
  </si>
  <si>
    <t>093000039005920004</t>
  </si>
  <si>
    <t>曹万丽</t>
  </si>
  <si>
    <t>0930000640008</t>
  </si>
  <si>
    <t>李志民</t>
  </si>
  <si>
    <t>0930000000084</t>
  </si>
  <si>
    <t>白清伟</t>
  </si>
  <si>
    <t>093000043920056</t>
  </si>
  <si>
    <t>李光春</t>
  </si>
  <si>
    <t>093000043920057</t>
  </si>
  <si>
    <t>宋海兰</t>
  </si>
  <si>
    <t>093000920537</t>
  </si>
  <si>
    <t>申飞虎</t>
  </si>
  <si>
    <t>0930000000085</t>
  </si>
  <si>
    <t>卞政伟</t>
  </si>
  <si>
    <t>093000920539</t>
  </si>
  <si>
    <t>侯照旭</t>
  </si>
  <si>
    <t>093000044920051</t>
  </si>
  <si>
    <t>刘相芝</t>
  </si>
  <si>
    <t>0930000800002</t>
  </si>
  <si>
    <t>韦信广</t>
  </si>
  <si>
    <t>0930000000086</t>
  </si>
  <si>
    <t>李文排</t>
  </si>
  <si>
    <t>093000039001920037</t>
  </si>
  <si>
    <t>马楠</t>
  </si>
  <si>
    <t>093000039001920039</t>
  </si>
  <si>
    <t>邓璞原</t>
  </si>
  <si>
    <t>093000047920024</t>
  </si>
  <si>
    <t>常艳梅</t>
  </si>
  <si>
    <t>0930000890000</t>
  </si>
  <si>
    <t>崔验波</t>
  </si>
  <si>
    <t>093000059920028</t>
  </si>
  <si>
    <t>孙珊珊</t>
  </si>
  <si>
    <t>0930000430000</t>
  </si>
  <si>
    <t>王洋</t>
  </si>
  <si>
    <t>093000039001920041</t>
  </si>
  <si>
    <t>赵满</t>
  </si>
  <si>
    <t>093000039001920040</t>
  </si>
  <si>
    <t>王哲</t>
  </si>
  <si>
    <t>0930000790019</t>
  </si>
  <si>
    <t>范元峰</t>
  </si>
  <si>
    <t>093000039001920042</t>
  </si>
  <si>
    <t>李俊</t>
  </si>
  <si>
    <t>093000043920059</t>
  </si>
  <si>
    <t>朱瑞莉</t>
  </si>
  <si>
    <t>093000039001920043</t>
  </si>
  <si>
    <t>李卿豪</t>
  </si>
  <si>
    <t>093000039001920044</t>
  </si>
  <si>
    <t>贺敬淼</t>
  </si>
  <si>
    <t>093000047920025</t>
  </si>
  <si>
    <t>郑广州</t>
  </si>
  <si>
    <t>093000920543</t>
  </si>
  <si>
    <t>焦国庆</t>
  </si>
  <si>
    <t>093000920544</t>
  </si>
  <si>
    <t>卢琴</t>
  </si>
  <si>
    <t>093000043920060</t>
  </si>
  <si>
    <t>王春</t>
  </si>
  <si>
    <t>0930000790020</t>
  </si>
  <si>
    <t>王宗谱</t>
  </si>
  <si>
    <t>0930000790021</t>
  </si>
  <si>
    <t>王甲锋</t>
  </si>
  <si>
    <t>093000047920026</t>
  </si>
  <si>
    <t>马强</t>
  </si>
  <si>
    <t>093000920548</t>
  </si>
  <si>
    <t>张家香</t>
  </si>
  <si>
    <t>093000059920029</t>
  </si>
  <si>
    <t>闫小静</t>
  </si>
  <si>
    <t>0930000900000</t>
  </si>
  <si>
    <t>石昌富</t>
  </si>
  <si>
    <t>093000088920010</t>
  </si>
  <si>
    <t>李鑫</t>
  </si>
  <si>
    <t>0930000000087</t>
  </si>
  <si>
    <t>王勇</t>
  </si>
  <si>
    <t>0930000960000</t>
  </si>
  <si>
    <t>王海燕</t>
  </si>
  <si>
    <t>093000039001920045</t>
  </si>
  <si>
    <t>李清运</t>
  </si>
  <si>
    <t>093000044920052</t>
  </si>
  <si>
    <t>路文颂</t>
  </si>
  <si>
    <t>0930000620022</t>
  </si>
  <si>
    <t>093000920551</t>
  </si>
  <si>
    <t>罗绍银</t>
  </si>
  <si>
    <t>093000920550</t>
  </si>
  <si>
    <t>梁文芳</t>
  </si>
  <si>
    <t>093000043920061</t>
  </si>
  <si>
    <t>宋胜林</t>
  </si>
  <si>
    <t>093000039001920046</t>
  </si>
  <si>
    <t>尹林</t>
  </si>
  <si>
    <t>093000920552</t>
  </si>
  <si>
    <t>郭路洋</t>
  </si>
  <si>
    <t>093000039001920047</t>
  </si>
  <si>
    <t>杨坡</t>
  </si>
  <si>
    <t>093000039001920048</t>
  </si>
  <si>
    <t>董国辉</t>
  </si>
  <si>
    <t>093000043920062</t>
  </si>
  <si>
    <t>朱向飞</t>
  </si>
  <si>
    <t>0930000390000</t>
  </si>
  <si>
    <t>栗春洋</t>
  </si>
  <si>
    <t>0930000790022</t>
  </si>
  <si>
    <t>彭静丽</t>
  </si>
  <si>
    <t>0930000960001</t>
  </si>
  <si>
    <t xml:space="preserve"> 王海洋</t>
  </si>
  <si>
    <t>093000039001920050</t>
  </si>
  <si>
    <t>任梦玥</t>
  </si>
  <si>
    <t>0930000960002</t>
  </si>
  <si>
    <t>王海龙</t>
  </si>
  <si>
    <t>093000920553</t>
  </si>
  <si>
    <t>钟龙平</t>
  </si>
  <si>
    <t>093000043920063</t>
  </si>
  <si>
    <t>柳云英</t>
  </si>
  <si>
    <t>093000044920054</t>
  </si>
  <si>
    <t>谢健民</t>
  </si>
  <si>
    <t>093000920554</t>
  </si>
  <si>
    <t>罗仕斌</t>
  </si>
  <si>
    <t>093000043920064</t>
  </si>
  <si>
    <t>樊丽</t>
  </si>
  <si>
    <t>093000039001920052</t>
  </si>
  <si>
    <t>高鹏飞</t>
  </si>
  <si>
    <t>093000039001920053</t>
  </si>
  <si>
    <t>张茹</t>
  </si>
  <si>
    <t>093000039001920054</t>
  </si>
  <si>
    <t>王玉伟</t>
  </si>
  <si>
    <t>093000043920065</t>
  </si>
  <si>
    <t>冯清泉</t>
  </si>
  <si>
    <t>093000044920055</t>
  </si>
  <si>
    <t>郭保兰</t>
  </si>
  <si>
    <t>093000043920066</t>
  </si>
  <si>
    <t>马付生</t>
  </si>
  <si>
    <t>093000044920057</t>
  </si>
  <si>
    <t>胡振军</t>
  </si>
  <si>
    <t>093000044920056</t>
  </si>
  <si>
    <t>张改连</t>
  </si>
  <si>
    <t>093000920556</t>
  </si>
  <si>
    <t>李云良</t>
  </si>
  <si>
    <t>093000039001920055</t>
  </si>
  <si>
    <t>李东伟</t>
  </si>
  <si>
    <t>0930000960003</t>
  </si>
  <si>
    <t>赵翠娟</t>
  </si>
  <si>
    <t>0930000960004</t>
  </si>
  <si>
    <t>王进强</t>
  </si>
  <si>
    <t>0930000960005</t>
  </si>
  <si>
    <t>胡美珍</t>
  </si>
  <si>
    <t>093000047920027</t>
  </si>
  <si>
    <t>杨胜利</t>
  </si>
  <si>
    <t>0930000960006</t>
  </si>
  <si>
    <t>胡美林</t>
  </si>
  <si>
    <t>0930000960007</t>
  </si>
  <si>
    <t>李红瑞</t>
  </si>
  <si>
    <t>093000039001920056</t>
  </si>
  <si>
    <t>卢连国</t>
  </si>
  <si>
    <t>0930000960008</t>
  </si>
  <si>
    <t>聂世胜</t>
  </si>
  <si>
    <t>093000039001920057</t>
  </si>
  <si>
    <t>吴晓晗</t>
  </si>
  <si>
    <t>093000039001920059</t>
  </si>
  <si>
    <t>李欣</t>
  </si>
  <si>
    <t>093000039001920060</t>
  </si>
  <si>
    <t>柳茵</t>
  </si>
  <si>
    <t>093000047920028</t>
  </si>
  <si>
    <t>许志旺</t>
  </si>
  <si>
    <t>0930000390020001</t>
  </si>
  <si>
    <t>张世高</t>
  </si>
  <si>
    <t>093000047920029</t>
  </si>
  <si>
    <t>谢杨辉</t>
  </si>
  <si>
    <t>093000047920030</t>
  </si>
  <si>
    <t>白中立</t>
  </si>
  <si>
    <t>093000059920030</t>
  </si>
  <si>
    <t>钟旭东</t>
  </si>
  <si>
    <t>0930000920001</t>
  </si>
  <si>
    <t>揭勇</t>
  </si>
  <si>
    <t>093000043920067</t>
  </si>
  <si>
    <t>093000044920058</t>
  </si>
  <si>
    <t>胡克强</t>
  </si>
  <si>
    <t>093000044920059</t>
  </si>
  <si>
    <t>赵晓会</t>
  </si>
  <si>
    <t>093000044920060</t>
  </si>
  <si>
    <t>曲良景</t>
  </si>
  <si>
    <t>093000044920061</t>
  </si>
  <si>
    <t>靳中丽</t>
  </si>
  <si>
    <t>888888888888</t>
  </si>
  <si>
    <t>马先勇</t>
  </si>
  <si>
    <t>999999999999</t>
  </si>
  <si>
    <t>王行</t>
  </si>
  <si>
    <t>666666666666</t>
  </si>
  <si>
    <t>兰华</t>
  </si>
  <si>
    <t>0000000000001</t>
  </si>
  <si>
    <t>兰岚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</si>
</sst>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-#,##0_ ;_ * &quot;-&quot;_ ;_ @_ "/>
    <numFmt numFmtId="179" formatCode="_ * #,##0.00_ ;_ * -#,##0.00_ ;_ * &quot;-&quot;??_ ;_ @_ "/>
    <numFmt numFmtId="180" formatCode="0%"/>
  </numFmts>
  <fonts count="20" x14ac:knownFonts="20">
    <font>
      <sz val="11.0"/>
      <name val="宋体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1.0"/>
      <color rgb="FFFF0000"/>
      <name val="宋体"/>
      <charset val="134"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1.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1">
    <xf numFmtId="0" fontId="0" fillId="0" borderId="0" applyAlignment="1">
      <alignment vertical="center"/>
    </xf>
  </cellStyleXfs>
  <cellXfs count="5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0" applyAlignment="1" xfId="0">
      <alignment horizontal="center" vertical="center"/>
    </xf>
    <xf numFmtId="0" fontId="0" fillId="0" borderId="0" applyAlignment="1" xfId="0">
      <alignment vertical="center"/>
    </xf>
    <xf numFmtId="176" applyNumberFormat="1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1" applyFont="1" fillId="3" applyFill="1" borderId="1" applyBorder="1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0" fontId="0" fillId="4" applyFill="1" borderId="0" applyAlignment="1" xfId="0">
      <alignment vertical="center"/>
    </xf>
    <xf numFmtId="0" fontId="2" applyFont="1" fillId="5" applyFill="1" borderId="0" applyAlignment="1" xfId="0">
      <alignment vertical="center"/>
    </xf>
    <xf numFmtId="179" applyNumberFormat="1" fontId="0" fillId="0" borderId="0" applyAlignment="1" xfId="0">
      <alignment vertical="center"/>
    </xf>
    <xf numFmtId="0" fontId="3" applyFont="1" fillId="6" applyFill="1" borderId="0" applyAlignment="1" xfId="0">
      <alignment vertical="center"/>
    </xf>
    <xf numFmtId="0" fontId="4" applyFont="1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7" applyFill="1" borderId="2" applyBorder="1" applyAlignment="1" xfId="0">
      <alignment vertical="center"/>
    </xf>
    <xf numFmtId="0" fontId="3" applyFont="1" fillId="8" applyFill="1" borderId="0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3" applyBorder="1" applyAlignment="1" xfId="0">
      <alignment vertical="center"/>
    </xf>
    <xf numFmtId="0" fontId="11" applyFont="1" fillId="0" borderId="4" applyBorder="1" applyAlignment="1" xfId="0">
      <alignment vertical="center"/>
    </xf>
    <xf numFmtId="0" fontId="3" applyFont="1" fillId="9" applyFill="1" borderId="0" applyAlignment="1" xfId="0">
      <alignment vertical="center"/>
    </xf>
    <xf numFmtId="0" fontId="6" applyFont="1" fillId="0" borderId="5" applyBorder="1" applyAlignment="1" xfId="0">
      <alignment vertical="center"/>
    </xf>
    <xf numFmtId="0" fontId="3" applyFont="1" fillId="10" applyFill="1" borderId="0" applyAlignment="1" xfId="0">
      <alignment vertical="center"/>
    </xf>
    <xf numFmtId="0" fontId="12" applyFont="1" fillId="11" applyFill="1" borderId="6" applyBorder="1" applyAlignment="1" xfId="0">
      <alignment vertical="center"/>
    </xf>
    <xf numFmtId="0" fontId="13" applyFont="1" fillId="11" applyFill="1" borderId="7" applyBorder="1" applyAlignment="1" xfId="0">
      <alignment vertical="center"/>
    </xf>
    <xf numFmtId="0" fontId="14" applyFont="1" fillId="12" applyFill="1" borderId="8" applyBorder="1" applyAlignment="1" xfId="0">
      <alignment vertical="center"/>
    </xf>
    <xf numFmtId="0" fontId="0" fillId="13" applyFill="1" borderId="0" applyAlignment="1" xfId="0">
      <alignment vertical="center"/>
    </xf>
    <xf numFmtId="0" fontId="3" applyFont="1" fillId="14" applyFill="1" borderId="0" applyAlignment="1" xfId="0">
      <alignment vertical="center"/>
    </xf>
    <xf numFmtId="0" fontId="15" applyFont="1" fillId="0" borderId="9" applyBorder="1" applyAlignment="1" xfId="0">
      <alignment vertical="center"/>
    </xf>
    <xf numFmtId="0" fontId="16" applyFont="1" fillId="0" borderId="10" applyBorder="1" applyAlignment="1" xfId="0">
      <alignment vertical="center"/>
    </xf>
    <xf numFmtId="0" fontId="17" applyFont="1" fillId="15" applyFill="1" borderId="0" applyAlignment="1" xfId="0">
      <alignment vertical="center"/>
    </xf>
    <xf numFmtId="0" fontId="18" applyFont="1" fillId="16" applyFill="1" borderId="0" applyAlignment="1" xfId="0">
      <alignment vertical="center"/>
    </xf>
    <xf numFmtId="0" fontId="0" fillId="17" applyFill="1" borderId="0" applyAlignment="1" xfId="0">
      <alignment vertical="center"/>
    </xf>
    <xf numFmtId="0" fontId="3" applyFont="1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0" fillId="20" applyFill="1" borderId="0" applyAlignment="1" xfId="0">
      <alignment vertical="center"/>
    </xf>
    <xf numFmtId="0" fontId="0" fillId="21" applyFill="1" borderId="0" applyAlignment="1" xfId="0">
      <alignment vertical="center"/>
    </xf>
    <xf numFmtId="0" fontId="0" fillId="22" applyFill="1" borderId="0" applyAlignment="1" xfId="0">
      <alignment vertical="center"/>
    </xf>
    <xf numFmtId="0" fontId="3" applyFont="1" fillId="12" applyFill="1" borderId="0" applyAlignment="1" xfId="0">
      <alignment vertical="center"/>
    </xf>
    <xf numFmtId="0" fontId="3" applyFont="1" fillId="23" applyFill="1" borderId="0" applyAlignment="1" xfId="0">
      <alignment vertical="center"/>
    </xf>
    <xf numFmtId="0" fontId="0" fillId="24" applyFill="1" borderId="0" applyAlignment="1" xfId="0">
      <alignment vertical="center"/>
    </xf>
    <xf numFmtId="0" fontId="0" fillId="25" applyFill="1" borderId="0" applyAlignment="1" xfId="0">
      <alignment vertical="center"/>
    </xf>
    <xf numFmtId="0" fontId="3" applyFont="1" fillId="26" applyFill="1" borderId="0" applyAlignment="1" xfId="0">
      <alignment vertical="center"/>
    </xf>
    <xf numFmtId="0" fontId="0" fillId="27" applyFill="1" borderId="0" applyAlignment="1" xfId="0">
      <alignment vertical="center"/>
    </xf>
    <xf numFmtId="0" fontId="3" applyFont="1" fillId="28" applyFill="1" borderId="0" applyAlignment="1" xfId="0">
      <alignment vertical="center"/>
    </xf>
    <xf numFmtId="0" fontId="3" applyFont="1" fillId="29" applyFill="1" borderId="0" applyAlignment="1" xfId="0">
      <alignment vertical="center"/>
    </xf>
    <xf numFmtId="0" fontId="0" fillId="30" applyFill="1" borderId="0" applyAlignment="1" xfId="0">
      <alignment vertical="center"/>
    </xf>
    <xf numFmtId="0" fontId="3" applyFont="1" fillId="31" applyFill="1" borderId="0" applyAlignment="1" xfId="0">
      <alignment vertical="center"/>
    </xf>
    <xf numFmtId="0" fontId="0" fillId="0" borderId="0" applyAlignment="1" xfId="0">
      <alignment vertical="center"/>
    </xf>
    <xf numFmtId="0" fontId="1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1148"/>
  <sheetViews>
    <sheetView zoomScaleNormal="100" topLeftCell="A1" workbookViewId="0">
      <selection activeCell="B698" activeCellId="0" sqref="A1:E1147"/>
    </sheetView>
  </sheetViews>
  <sheetFormatPr defaultRowHeight="13.5" defaultColWidth="9.0" x14ac:dyDescent="0.15"/>
  <cols>
    <col min="1" max="1" width="17.0" customWidth="1" style="2"/>
    <col min="2" max="2" width="11.125" customWidth="1" style="2"/>
    <col min="3" max="5" width="15.875" customWidth="1" style="2"/>
    <col min="6" max="16384" width="9.0" style="2"/>
  </cols>
  <sheetData>
    <row r="1" spans="1: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 x14ac:dyDescent="0.15">
      <c r="A2" s="2" t="s">
        <f>"093000920003"</f>
        <v>5</v>
      </c>
      <c r="B2" s="2" t="s">
        <f>"孙佳佳"</f>
        <v>6</v>
      </c>
      <c r="C2" s="2">
        <v>0.0</v>
      </c>
      <c r="D2" s="2">
        <v>172.0</v>
      </c>
      <c r="E2" s="2">
        <v>-55.0</v>
      </c>
    </row>
    <row r="3" spans="1:5" customHeight="1" x14ac:dyDescent="0.15">
      <c r="A3" s="2" t="s">
        <f>"093000920005"</f>
        <v>7</v>
      </c>
      <c r="B3" s="2" t="s">
        <f>"王一冰"</f>
        <v>8</v>
      </c>
      <c r="C3" s="2">
        <v>0.0</v>
      </c>
      <c r="D3" s="2">
        <v>-1077.0</v>
      </c>
      <c r="E3" s="2">
        <v>-114.99</v>
      </c>
    </row>
    <row r="4" spans="1:5" customHeight="1" x14ac:dyDescent="0.15">
      <c r="A4" s="2" t="s">
        <f>"093000920008"</f>
        <v>9</v>
      </c>
      <c r="B4" s="2" t="s">
        <f>"张峻磐"</f>
        <v>10</v>
      </c>
      <c r="C4" s="2">
        <v>197.0</v>
      </c>
      <c r="D4" s="2">
        <v>-667.0</v>
      </c>
      <c r="E4" s="2">
        <v>-348.57</v>
      </c>
    </row>
    <row r="5" spans="1:5" customHeight="1" x14ac:dyDescent="0.15">
      <c r="A5" s="2" t="s">
        <f>"093000920013"</f>
        <v>11</v>
      </c>
      <c r="B5" s="2" t="s">
        <f>"任美宇"</f>
        <v>12</v>
      </c>
      <c r="C5" s="2">
        <v>0.0</v>
      </c>
      <c r="D5" s="2">
        <v>0.0</v>
      </c>
      <c r="E5" s="2">
        <v>0.0</v>
      </c>
    </row>
    <row r="6" spans="1:5" customHeight="1" x14ac:dyDescent="0.15">
      <c r="A6" s="2" t="s">
        <f>"093000920004"</f>
        <v>13</v>
      </c>
      <c r="B6" s="2" t="s">
        <f>"邹旭翠"</f>
        <v>14</v>
      </c>
      <c r="C6" s="2">
        <v>500.0</v>
      </c>
      <c r="D6" s="2">
        <v>-800.0</v>
      </c>
      <c r="E6" s="2">
        <v>-10.0</v>
      </c>
    </row>
    <row r="7" spans="1:5" customHeight="1" x14ac:dyDescent="0.15">
      <c r="A7" s="2" t="s">
        <f>"093000920015"</f>
        <v>15</v>
      </c>
      <c r="B7" s="2" t="s">
        <f>"李刚"</f>
        <v>16</v>
      </c>
      <c r="C7" s="2">
        <v>-13672.0</v>
      </c>
      <c r="D7" s="2">
        <v>-17419.0</v>
      </c>
      <c r="E7" s="2">
        <v>-18334.78</v>
      </c>
    </row>
    <row r="8" spans="1:5" customHeight="1" x14ac:dyDescent="0.15">
      <c r="A8" s="2" t="s">
        <f>"093000920019"</f>
        <v>17</v>
      </c>
      <c r="B8" s="2" t="s">
        <f>"钱丹"</f>
        <v>18</v>
      </c>
      <c r="C8" s="2">
        <v>-782.0</v>
      </c>
      <c r="D8" s="2">
        <v>-1680.0</v>
      </c>
      <c r="E8" s="2">
        <v>-849.95</v>
      </c>
    </row>
    <row r="9" spans="1:5" customHeight="1" x14ac:dyDescent="0.15">
      <c r="A9" s="2" t="s">
        <f>"093000920018"</f>
        <v>19</v>
      </c>
      <c r="B9" s="2" t="s">
        <f>"肖诗琴"</f>
        <v>20</v>
      </c>
      <c r="C9" s="2">
        <v>-492.0</v>
      </c>
      <c r="D9" s="2">
        <v>-105.0</v>
      </c>
      <c r="E9" s="2">
        <v>-58.54</v>
      </c>
    </row>
    <row r="10" spans="1:5" customHeight="1" x14ac:dyDescent="0.15">
      <c r="A10" s="2" t="s">
        <f>"093000920021"</f>
        <v>21</v>
      </c>
      <c r="B10" s="2" t="s">
        <f>"马琳"</f>
        <v>22</v>
      </c>
      <c r="C10" s="2">
        <v>0.0</v>
      </c>
      <c r="D10" s="2">
        <v>0.0</v>
      </c>
      <c r="E10" s="2">
        <v>0.0</v>
      </c>
    </row>
    <row r="11" spans="1:5" customHeight="1" x14ac:dyDescent="0.15">
      <c r="A11" s="2" t="s">
        <f>"093000920022"</f>
        <v>23</v>
      </c>
      <c r="B11" s="2" t="s">
        <f>"陈卓"</f>
        <v>24</v>
      </c>
      <c r="C11" s="2">
        <v>-1378.0</v>
      </c>
      <c r="D11" s="2">
        <v>413.0</v>
      </c>
      <c r="E11" s="2">
        <v>-660.32</v>
      </c>
    </row>
    <row r="12" spans="1:5" customHeight="1" x14ac:dyDescent="0.15">
      <c r="A12" s="2" t="s">
        <f>"093000920023"</f>
        <v>25</v>
      </c>
      <c r="B12" s="2" t="s">
        <f>"叶超亚"</f>
        <v>26</v>
      </c>
      <c r="C12" s="2">
        <v>0.0</v>
      </c>
      <c r="D12" s="2">
        <v>0.0</v>
      </c>
      <c r="E12" s="2">
        <v>0.0</v>
      </c>
    </row>
    <row r="13" spans="1:5" customHeight="1" x14ac:dyDescent="0.15">
      <c r="A13" s="2" t="s">
        <f>"093000920012"</f>
        <v>27</v>
      </c>
      <c r="B13" s="2" t="s">
        <f>"张凯"</f>
        <v>28</v>
      </c>
      <c r="C13" s="2">
        <v>0.0</v>
      </c>
      <c r="D13" s="2">
        <v>0.0</v>
      </c>
      <c r="E13" s="2">
        <v>0.0</v>
      </c>
    </row>
    <row r="14" spans="1:5" customHeight="1" x14ac:dyDescent="0.15">
      <c r="A14" s="2" t="s">
        <f>"093000920024"</f>
        <v>29</v>
      </c>
      <c r="B14" s="2" t="s">
        <f>"王静"</f>
        <v>30</v>
      </c>
      <c r="C14" s="2">
        <v>0.0</v>
      </c>
      <c r="D14" s="2">
        <v>0.0</v>
      </c>
      <c r="E14" s="2">
        <v>0.0</v>
      </c>
    </row>
    <row r="15" spans="1:5" customHeight="1" x14ac:dyDescent="0.15">
      <c r="A15" s="2" t="s">
        <f>"093000920025"</f>
        <v>31</v>
      </c>
      <c r="B15" s="2" t="s">
        <f>"张苗苗"</f>
        <v>32</v>
      </c>
      <c r="C15" s="2">
        <v>0.0</v>
      </c>
      <c r="D15" s="2">
        <v>0.0</v>
      </c>
      <c r="E15" s="2">
        <v>0.0</v>
      </c>
    </row>
    <row r="16" spans="1:5" customHeight="1" x14ac:dyDescent="0.15">
      <c r="A16" s="2" t="s">
        <f>"093000920026"</f>
        <v>33</v>
      </c>
      <c r="B16" s="2" t="s">
        <f>"单尽亮"</f>
        <v>34</v>
      </c>
      <c r="C16" s="2">
        <v>0.0</v>
      </c>
      <c r="D16" s="2">
        <v>0.0</v>
      </c>
      <c r="E16" s="2">
        <v>0.0</v>
      </c>
    </row>
    <row r="17" spans="1:5" customHeight="1" x14ac:dyDescent="0.15">
      <c r="A17" s="2" t="s">
        <f>"093000920027"</f>
        <v>35</v>
      </c>
      <c r="B17" s="2" t="s">
        <f>"章秀敏"</f>
        <v>36</v>
      </c>
      <c r="C17" s="2">
        <v>0.0</v>
      </c>
      <c r="D17" s="2">
        <v>0.0</v>
      </c>
      <c r="E17" s="2">
        <v>0.0</v>
      </c>
    </row>
    <row r="18" spans="1:5" customHeight="1" x14ac:dyDescent="0.15">
      <c r="A18" s="2" t="s">
        <f>"093000920028"</f>
        <v>37</v>
      </c>
      <c r="B18" s="2" t="s">
        <f>"李昊远"</f>
        <v>38</v>
      </c>
      <c r="C18" s="2">
        <v>0.0</v>
      </c>
      <c r="D18" s="2">
        <v>0.0</v>
      </c>
      <c r="E18" s="2">
        <v>0.0</v>
      </c>
    </row>
    <row r="19" spans="1:5" customHeight="1" x14ac:dyDescent="0.15">
      <c r="A19" s="2" t="s">
        <f>"093000920029"</f>
        <v>39</v>
      </c>
      <c r="B19" s="2" t="s">
        <f>"张亚雷"</f>
        <v>40</v>
      </c>
      <c r="C19" s="2">
        <v>0.0</v>
      </c>
      <c r="D19" s="2">
        <v>0.0</v>
      </c>
      <c r="E19" s="2">
        <v>0.0</v>
      </c>
    </row>
    <row r="20" spans="1:5" customHeight="1" x14ac:dyDescent="0.15">
      <c r="A20" s="2" t="s">
        <f>"093000920030"</f>
        <v>41</v>
      </c>
      <c r="B20" s="2" t="s">
        <f>"肖岗"</f>
        <v>42</v>
      </c>
      <c r="C20" s="2">
        <v>0.0</v>
      </c>
      <c r="D20" s="2">
        <v>0.0</v>
      </c>
      <c r="E20" s="2">
        <v>0.0</v>
      </c>
    </row>
    <row r="21" spans="1:5" customHeight="1" x14ac:dyDescent="0.15">
      <c r="A21" s="2" t="s">
        <f>"093000920032"</f>
        <v>43</v>
      </c>
      <c r="B21" s="2" t="s">
        <f>"冯桂敏"</f>
        <v>44</v>
      </c>
      <c r="C21" s="2">
        <v>-52.0</v>
      </c>
      <c r="D21" s="2">
        <v>-1640.0</v>
      </c>
      <c r="E21" s="2">
        <v>-492.34</v>
      </c>
    </row>
    <row r="22" spans="1:5" customHeight="1" x14ac:dyDescent="0.15">
      <c r="A22" s="2" t="s">
        <f>"093000920034"</f>
        <v>45</v>
      </c>
      <c r="B22" s="2" t="s">
        <f>"马群"</f>
        <v>46</v>
      </c>
      <c r="C22" s="2">
        <v>-131.0</v>
      </c>
      <c r="D22" s="2">
        <v>-1650.0</v>
      </c>
      <c r="E22" s="2">
        <v>-752.93</v>
      </c>
    </row>
    <row r="23" spans="1:5" customHeight="1" x14ac:dyDescent="0.15">
      <c r="A23" s="2" t="s">
        <f>"093000920036"</f>
        <v>47</v>
      </c>
      <c r="B23" s="2" t="s">
        <f>"肖玲玲"</f>
        <v>48</v>
      </c>
      <c r="C23" s="2">
        <v>-429.0</v>
      </c>
      <c r="D23" s="2">
        <v>-204.0</v>
      </c>
      <c r="E23" s="2">
        <v>-428.89</v>
      </c>
    </row>
    <row r="24" spans="1:5" customHeight="1" x14ac:dyDescent="0.15">
      <c r="A24" s="2" t="s">
        <f>"093000920035"</f>
        <v>49</v>
      </c>
      <c r="B24" s="2" t="s">
        <f>"高一兵"</f>
        <v>50</v>
      </c>
      <c r="C24" s="2">
        <v>-11.0</v>
      </c>
      <c r="D24" s="2">
        <v>-47.0</v>
      </c>
      <c r="E24" s="2">
        <v>-149.82</v>
      </c>
    </row>
    <row r="25" spans="1:5" customHeight="1" x14ac:dyDescent="0.15">
      <c r="A25" s="2" t="s">
        <f>"093000920038"</f>
        <v>51</v>
      </c>
      <c r="B25" s="2" t="s">
        <f>"谭海艳"</f>
        <v>52</v>
      </c>
      <c r="C25" s="2">
        <v>0.0</v>
      </c>
      <c r="D25" s="2">
        <v>0.0</v>
      </c>
      <c r="E25" s="2">
        <v>0.0</v>
      </c>
    </row>
    <row r="26" spans="1:5" customHeight="1" x14ac:dyDescent="0.15">
      <c r="A26" s="2" t="s">
        <f>"093000920039"</f>
        <v>53</v>
      </c>
      <c r="B26" s="2" t="s">
        <f>"孙晓枝"</f>
        <v>54</v>
      </c>
      <c r="C26" s="2">
        <v>0.0</v>
      </c>
      <c r="D26" s="2">
        <v>-760.0</v>
      </c>
      <c r="E26" s="2">
        <v>-664.7</v>
      </c>
    </row>
    <row r="27" spans="1:5" customHeight="1" x14ac:dyDescent="0.15">
      <c r="A27" s="2" t="s">
        <f>"093000920042"</f>
        <v>55</v>
      </c>
      <c r="B27" s="2" t="s">
        <f>"杨滔"</f>
        <v>56</v>
      </c>
      <c r="C27" s="2">
        <v>980.0</v>
      </c>
      <c r="D27" s="2">
        <v>127.0</v>
      </c>
      <c r="E27" s="2">
        <v>-215.73</v>
      </c>
    </row>
    <row r="28" spans="1:5" customHeight="1" x14ac:dyDescent="0.15">
      <c r="A28" s="2" t="s">
        <f>"093000038920001"</f>
        <v>57</v>
      </c>
      <c r="B28" s="2" t="s">
        <f>"郭婷婷"</f>
        <v>58</v>
      </c>
      <c r="C28" s="2">
        <v>0.0</v>
      </c>
      <c r="D28" s="2">
        <v>0.0</v>
      </c>
      <c r="E28" s="2">
        <v>0.0</v>
      </c>
    </row>
    <row r="29" spans="1:5" customHeight="1" x14ac:dyDescent="0.15">
      <c r="A29" s="2" t="s">
        <f>"093000920047"</f>
        <v>59</v>
      </c>
      <c r="B29" s="2" t="s">
        <f>"刘云飞"</f>
        <v>60</v>
      </c>
      <c r="C29" s="2">
        <v>0.0</v>
      </c>
      <c r="D29" s="2">
        <v>0.0</v>
      </c>
      <c r="E29" s="2">
        <v>0.0</v>
      </c>
    </row>
    <row r="30" spans="1:5" customHeight="1" x14ac:dyDescent="0.15">
      <c r="A30" s="2" t="s">
        <f>"093000920048"</f>
        <v>61</v>
      </c>
      <c r="B30" s="2" t="s">
        <f>"刘轲"</f>
        <v>62</v>
      </c>
      <c r="C30" s="2">
        <v>0.0</v>
      </c>
      <c r="D30" s="2">
        <v>-51.0</v>
      </c>
      <c r="E30" s="2">
        <v>-56.47</v>
      </c>
    </row>
    <row r="31" spans="1:5" customHeight="1" x14ac:dyDescent="0.15">
      <c r="A31" s="2" t="s">
        <f>"093000920051"</f>
        <v>63</v>
      </c>
      <c r="B31" s="2" t="s">
        <f>"王森林"</f>
        <v>64</v>
      </c>
      <c r="C31" s="2">
        <v>-565.0</v>
      </c>
      <c r="D31" s="2">
        <v>-854.0</v>
      </c>
      <c r="E31" s="2">
        <v>-1603.43</v>
      </c>
    </row>
    <row r="32" spans="1:5" customHeight="1" x14ac:dyDescent="0.15">
      <c r="A32" s="2" t="s">
        <f>"093000920052"</f>
        <v>65</v>
      </c>
      <c r="B32" s="2" t="s">
        <f>"王天一"</f>
        <v>66</v>
      </c>
      <c r="C32" s="2">
        <v>-1652.0</v>
      </c>
      <c r="D32" s="2">
        <v>1018.0</v>
      </c>
      <c r="E32" s="2">
        <v>-1847.58</v>
      </c>
    </row>
    <row r="33" spans="1:5" customHeight="1" x14ac:dyDescent="0.15">
      <c r="A33" s="2" t="s">
        <f>"093000920056"</f>
        <v>67</v>
      </c>
      <c r="B33" s="2" t="s">
        <f>"韩雷"</f>
        <v>68</v>
      </c>
      <c r="C33" s="2">
        <v>66.0</v>
      </c>
      <c r="D33" s="2">
        <v>-1579.0</v>
      </c>
      <c r="E33" s="2">
        <v>-1969.71</v>
      </c>
    </row>
    <row r="34" spans="1:5" customHeight="1" x14ac:dyDescent="0.15">
      <c r="A34" s="2" t="s">
        <f>"093000920057"</f>
        <v>69</v>
      </c>
      <c r="B34" s="2" t="s">
        <f>"刘垚"</f>
        <v>70</v>
      </c>
      <c r="C34" s="2">
        <v>0.0</v>
      </c>
      <c r="D34" s="2">
        <v>0.0</v>
      </c>
      <c r="E34" s="2">
        <v>0.0</v>
      </c>
    </row>
    <row r="35" spans="1:5" customHeight="1" x14ac:dyDescent="0.15">
      <c r="A35" s="2" t="s">
        <f>"093000920060"</f>
        <v>71</v>
      </c>
      <c r="B35" s="2" t="s">
        <f>"常相依"</f>
        <v>72</v>
      </c>
      <c r="C35" s="2">
        <v>-10.0</v>
      </c>
      <c r="D35" s="2">
        <v>-368.0</v>
      </c>
      <c r="E35" s="2">
        <v>-326.28</v>
      </c>
    </row>
    <row r="36" spans="1:5" customHeight="1" x14ac:dyDescent="0.15">
      <c r="A36" s="2" t="s">
        <f>"093000920061"</f>
        <v>73</v>
      </c>
      <c r="B36" s="2" t="s">
        <f>"黄靖雅"</f>
        <v>74</v>
      </c>
      <c r="C36" s="2">
        <v>0.0</v>
      </c>
      <c r="D36" s="2">
        <v>370.0</v>
      </c>
      <c r="E36" s="2">
        <v>-116.69</v>
      </c>
    </row>
    <row r="37" spans="1:5" customHeight="1" x14ac:dyDescent="0.15">
      <c r="A37" s="2" t="s">
        <f>"093000920064"</f>
        <v>75</v>
      </c>
      <c r="B37" s="2" t="s">
        <f>"邹萍"</f>
        <v>76</v>
      </c>
      <c r="C37" s="2">
        <v>-596.0</v>
      </c>
      <c r="D37" s="2">
        <v>-814.0</v>
      </c>
      <c r="E37" s="2">
        <v>-221.77</v>
      </c>
    </row>
    <row r="38" spans="1:5" customHeight="1" x14ac:dyDescent="0.15">
      <c r="A38" s="2" t="s">
        <f>"093000920065"</f>
        <v>77</v>
      </c>
      <c r="B38" s="2" t="s">
        <f>"訾玉新"</f>
        <v>78</v>
      </c>
      <c r="C38" s="2">
        <v>-698.0</v>
      </c>
      <c r="D38" s="2">
        <v>104.0</v>
      </c>
      <c r="E38" s="2">
        <v>-1379.7</v>
      </c>
    </row>
    <row r="39" spans="1:5" customHeight="1" x14ac:dyDescent="0.15">
      <c r="A39" s="2" t="s">
        <f>"093000042920001"</f>
        <v>79</v>
      </c>
      <c r="B39" s="2" t="s">
        <f>"孔洋"</f>
        <v>80</v>
      </c>
      <c r="C39" s="2">
        <v>0.0</v>
      </c>
      <c r="D39" s="2">
        <v>0.0</v>
      </c>
      <c r="E39" s="2">
        <v>0.0</v>
      </c>
    </row>
    <row r="40" spans="1:5" customHeight="1" x14ac:dyDescent="0.15">
      <c r="A40" s="2" t="s">
        <f>"093000920069"</f>
        <v>81</v>
      </c>
      <c r="B40" s="2" t="s">
        <f>"郭庆宽"</f>
        <v>82</v>
      </c>
      <c r="C40" s="2">
        <v>0.0</v>
      </c>
      <c r="D40" s="2">
        <v>0.0</v>
      </c>
      <c r="E40" s="2">
        <v>0.0</v>
      </c>
    </row>
    <row r="41" spans="1:5" customHeight="1" x14ac:dyDescent="0.15">
      <c r="A41" s="2" t="s">
        <f>"093000920070"</f>
        <v>83</v>
      </c>
      <c r="B41" s="2" t="s">
        <f>"常国中"</f>
        <v>84</v>
      </c>
      <c r="C41" s="2">
        <v>134.0</v>
      </c>
      <c r="D41" s="2">
        <v>597.0</v>
      </c>
      <c r="E41" s="2">
        <v>-106.05</v>
      </c>
    </row>
    <row r="42" spans="1:5" customHeight="1" x14ac:dyDescent="0.15">
      <c r="A42" s="2" t="s">
        <f>"093000920071"</f>
        <v>85</v>
      </c>
      <c r="B42" s="2" t="s">
        <f>"常啸"</f>
        <v>86</v>
      </c>
      <c r="C42" s="2">
        <v>-159.0</v>
      </c>
      <c r="D42" s="2">
        <v>-624.0</v>
      </c>
      <c r="E42" s="2">
        <v>-66.16</v>
      </c>
    </row>
    <row r="43" spans="1:5" customHeight="1" x14ac:dyDescent="0.15">
      <c r="A43" s="2" t="s">
        <f>"093000920072"</f>
        <v>87</v>
      </c>
      <c r="B43" s="2" t="s">
        <f>"张远飞"</f>
        <v>88</v>
      </c>
      <c r="C43" s="2">
        <v>-555.0</v>
      </c>
      <c r="D43" s="2">
        <v>-1744.0</v>
      </c>
      <c r="E43" s="2">
        <v>-1245.33</v>
      </c>
    </row>
    <row r="44" spans="1:5" customHeight="1" x14ac:dyDescent="0.15">
      <c r="A44" s="2" t="s">
        <f>"093000920073"</f>
        <v>89</v>
      </c>
      <c r="B44" s="2" t="s">
        <f>"王璇"</f>
        <v>90</v>
      </c>
      <c r="C44" s="2">
        <v>0.0</v>
      </c>
      <c r="D44" s="2">
        <v>0.0</v>
      </c>
      <c r="E44" s="2">
        <v>0.0</v>
      </c>
    </row>
    <row r="45" spans="1:5" customHeight="1" x14ac:dyDescent="0.15">
      <c r="A45" s="2" t="s">
        <f>"093000920074"</f>
        <v>91</v>
      </c>
      <c r="B45" s="2" t="s">
        <f>"王燕"</f>
        <v>92</v>
      </c>
      <c r="C45" s="2">
        <v>0.0</v>
      </c>
      <c r="D45" s="2">
        <v>0.0</v>
      </c>
      <c r="E45" s="2">
        <v>0.0</v>
      </c>
    </row>
    <row r="46" spans="1:5" customHeight="1" x14ac:dyDescent="0.15">
      <c r="A46" s="2" t="s">
        <f>"093000920077"</f>
        <v>93</v>
      </c>
      <c r="B46" s="2" t="s">
        <f>"王晨"</f>
        <v>94</v>
      </c>
      <c r="C46" s="2">
        <v>-1898.0</v>
      </c>
      <c r="D46" s="2">
        <v>1758.0</v>
      </c>
      <c r="E46" s="2">
        <v>-998.29</v>
      </c>
    </row>
    <row r="47" spans="1:5" customHeight="1" x14ac:dyDescent="0.15">
      <c r="A47" s="2" t="s">
        <f>"093000920078"</f>
        <v>95</v>
      </c>
      <c r="B47" s="2" t="s">
        <f>"杜柯彤"</f>
        <v>96</v>
      </c>
      <c r="C47" s="2">
        <v>-86.0</v>
      </c>
      <c r="D47" s="2">
        <v>-697.0</v>
      </c>
      <c r="E47" s="2">
        <v>-314.43</v>
      </c>
    </row>
    <row r="48" spans="1:5" customHeight="1" x14ac:dyDescent="0.15">
      <c r="A48" s="2" t="s">
        <f>"093000920080"</f>
        <v>97</v>
      </c>
      <c r="B48" s="2" t="s">
        <f>"王小川"</f>
        <v>98</v>
      </c>
      <c r="C48" s="2">
        <v>-1556.0</v>
      </c>
      <c r="D48" s="2">
        <v>-931.0</v>
      </c>
      <c r="E48" s="2">
        <v>-1079.06</v>
      </c>
    </row>
    <row r="49" spans="1:5" customHeight="1" x14ac:dyDescent="0.15">
      <c r="A49" s="2" t="s">
        <f>"093000920089"</f>
        <v>99</v>
      </c>
      <c r="B49" s="2" t="s">
        <f>"郑冰云"</f>
        <v>100</v>
      </c>
      <c r="C49" s="2">
        <v>0.0</v>
      </c>
      <c r="D49" s="2">
        <v>-1124.0</v>
      </c>
      <c r="E49" s="2">
        <v>-960.29</v>
      </c>
    </row>
    <row r="50" spans="1:5" customHeight="1" x14ac:dyDescent="0.15">
      <c r="A50" s="2" t="s">
        <f>"093000920090"</f>
        <v>101</v>
      </c>
      <c r="B50" s="2" t="s">
        <f>"尹凯杰"</f>
        <v>102</v>
      </c>
      <c r="C50" s="2">
        <v>0.0</v>
      </c>
      <c r="D50" s="2">
        <v>-618.0</v>
      </c>
      <c r="E50" s="2">
        <v>-174.24</v>
      </c>
    </row>
    <row r="51" spans="1:5" customHeight="1" x14ac:dyDescent="0.15">
      <c r="A51" s="2" t="s">
        <f>"093000920091"</f>
        <v>103</v>
      </c>
      <c r="B51" s="2" t="s">
        <f>"苗帅"</f>
        <v>104</v>
      </c>
      <c r="C51" s="2">
        <v>0.0</v>
      </c>
      <c r="D51" s="2">
        <v>0.0</v>
      </c>
      <c r="E51" s="2">
        <v>0.0</v>
      </c>
    </row>
    <row r="52" spans="1:5" customHeight="1" x14ac:dyDescent="0.15">
      <c r="A52" s="2" t="s">
        <f>"093000920094"</f>
        <v>105</v>
      </c>
      <c r="B52" s="2" t="s">
        <f>"王丽"</f>
        <v>106</v>
      </c>
      <c r="C52" s="2">
        <v>-33.0</v>
      </c>
      <c r="D52" s="2">
        <v>-922.0</v>
      </c>
      <c r="E52" s="2">
        <v>-406.63</v>
      </c>
    </row>
    <row r="53" spans="1:5" customHeight="1" x14ac:dyDescent="0.15">
      <c r="A53" s="2" t="s">
        <f>"093000920098"</f>
        <v>107</v>
      </c>
      <c r="B53" s="2" t="s">
        <f>"马晶"</f>
        <v>108</v>
      </c>
      <c r="C53" s="2">
        <v>0.0</v>
      </c>
      <c r="D53" s="2">
        <v>0.0</v>
      </c>
      <c r="E53" s="2">
        <v>0.0</v>
      </c>
    </row>
    <row r="54" spans="1:5" customHeight="1" x14ac:dyDescent="0.15">
      <c r="A54" s="2" t="s">
        <f>"093000920097"</f>
        <v>109</v>
      </c>
      <c r="B54" s="2" t="s">
        <f>"易明勋"</f>
        <v>110</v>
      </c>
      <c r="C54" s="2">
        <v>-446.0</v>
      </c>
      <c r="D54" s="2">
        <v>-317.0</v>
      </c>
      <c r="E54" s="2">
        <v>-406.54</v>
      </c>
    </row>
    <row r="55" spans="1:5" customHeight="1" x14ac:dyDescent="0.15">
      <c r="A55" s="2" t="s">
        <f>"093000920096"</f>
        <v>111</v>
      </c>
      <c r="B55" s="2" t="s">
        <f>"程伟"</f>
        <v>112</v>
      </c>
      <c r="C55" s="2">
        <v>-9923.0</v>
      </c>
      <c r="D55" s="2">
        <v>-879.0</v>
      </c>
      <c r="E55" s="2">
        <v>-6475.85</v>
      </c>
    </row>
    <row r="56" spans="1:5" customHeight="1" x14ac:dyDescent="0.15">
      <c r="A56" s="2" t="s">
        <f>"093000040920001"</f>
        <v>113</v>
      </c>
      <c r="B56" s="2" t="s">
        <f>"马余辉"</f>
        <v>114</v>
      </c>
      <c r="C56" s="2">
        <v>-184.0</v>
      </c>
      <c r="D56" s="2">
        <v>351.0</v>
      </c>
      <c r="E56" s="2">
        <v>-116.93</v>
      </c>
    </row>
    <row r="57" spans="1:5" customHeight="1" x14ac:dyDescent="0.15">
      <c r="A57" s="2" t="s">
        <f>"093000040920002"</f>
        <v>115</v>
      </c>
      <c r="B57" s="2" t="s">
        <f>"李志伟"</f>
        <v>116</v>
      </c>
      <c r="C57" s="2">
        <v>0.0</v>
      </c>
      <c r="D57" s="2">
        <v>60.0</v>
      </c>
      <c r="E57" s="2">
        <v>-82.25</v>
      </c>
    </row>
    <row r="58" spans="1:5" customHeight="1" x14ac:dyDescent="0.15">
      <c r="A58" s="2" t="s">
        <f>"093000920100"</f>
        <v>117</v>
      </c>
      <c r="B58" s="2" t="s">
        <f>"周正"</f>
        <v>118</v>
      </c>
      <c r="C58" s="2">
        <v>-527.0</v>
      </c>
      <c r="D58" s="2">
        <v>-559.0</v>
      </c>
      <c r="E58" s="2">
        <v>-241.43</v>
      </c>
    </row>
    <row r="59" spans="1:5" customHeight="1" x14ac:dyDescent="0.15">
      <c r="A59" s="2" t="s">
        <f>"093000920099"</f>
        <v>119</v>
      </c>
      <c r="B59" s="2" t="s">
        <f>"陈隽"</f>
        <v>120</v>
      </c>
      <c r="C59" s="2">
        <v>-722.0</v>
      </c>
      <c r="D59" s="2">
        <v>-152.0</v>
      </c>
      <c r="E59" s="2">
        <v>-464.88</v>
      </c>
    </row>
    <row r="60" spans="1:5" customHeight="1" x14ac:dyDescent="0.15">
      <c r="A60" s="2" t="s">
        <f>"093000920101"</f>
        <v>121</v>
      </c>
      <c r="B60" s="2" t="s">
        <f>"冯震"</f>
        <v>122</v>
      </c>
      <c r="C60" s="2">
        <v>-2985.0</v>
      </c>
      <c r="D60" s="2">
        <v>-2559.0</v>
      </c>
      <c r="E60" s="2">
        <v>-5671.6</v>
      </c>
    </row>
    <row r="61" spans="1:5" customHeight="1" x14ac:dyDescent="0.15">
      <c r="A61" s="2" t="s">
        <f>"093000920104"</f>
        <v>123</v>
      </c>
      <c r="B61" s="2" t="s">
        <f>"魏宏生"</f>
        <v>124</v>
      </c>
      <c r="C61" s="2">
        <v>-640.0</v>
      </c>
      <c r="D61" s="2">
        <v>-380.0</v>
      </c>
      <c r="E61" s="2">
        <v>-1158.82</v>
      </c>
    </row>
    <row r="62" spans="1:5" customHeight="1" x14ac:dyDescent="0.15">
      <c r="A62" s="2" t="s">
        <f>"093000920103"</f>
        <v>125</v>
      </c>
      <c r="B62" s="2" t="s">
        <f>"王磊"</f>
        <v>126</v>
      </c>
      <c r="C62" s="2">
        <v>0.0</v>
      </c>
      <c r="D62" s="2">
        <v>-667.0</v>
      </c>
      <c r="E62" s="2">
        <v>-259.4</v>
      </c>
    </row>
    <row r="63" spans="1:5" customHeight="1" x14ac:dyDescent="0.15">
      <c r="A63" s="2" t="s">
        <f>"093000040920005"</f>
        <v>127</v>
      </c>
      <c r="B63" s="2" t="s">
        <f>"罗小倩"</f>
        <v>128</v>
      </c>
      <c r="C63" s="2">
        <v>0.0</v>
      </c>
      <c r="D63" s="2">
        <v>0.0</v>
      </c>
      <c r="E63" s="2">
        <v>0.0</v>
      </c>
    </row>
    <row r="64" spans="1:5" customHeight="1" x14ac:dyDescent="0.15">
      <c r="A64" s="2" t="s">
        <f>"093000920106"</f>
        <v>129</v>
      </c>
      <c r="B64" s="2" t="s">
        <f>"王铎"</f>
        <v>130</v>
      </c>
      <c r="C64" s="2">
        <v>-1486.0</v>
      </c>
      <c r="D64" s="2">
        <v>-3377.0</v>
      </c>
      <c r="E64" s="2">
        <v>-916.27</v>
      </c>
    </row>
    <row r="65" spans="1:5" customHeight="1" x14ac:dyDescent="0.15">
      <c r="A65" s="2" t="s">
        <f>"093000040920003"</f>
        <v>131</v>
      </c>
      <c r="B65" s="2" t="s">
        <f>"郭国显"</f>
        <v>132</v>
      </c>
      <c r="C65" s="2">
        <v>0.0</v>
      </c>
      <c r="D65" s="2">
        <v>-1123.0</v>
      </c>
      <c r="E65" s="2">
        <v>-482.11</v>
      </c>
    </row>
    <row r="66" spans="1:5" customHeight="1" x14ac:dyDescent="0.15">
      <c r="A66" s="2" t="s">
        <f>"093000920111"</f>
        <v>133</v>
      </c>
      <c r="B66" s="2" t="s">
        <f>"张志华"</f>
        <v>134</v>
      </c>
      <c r="C66" s="2">
        <v>-563.0</v>
      </c>
      <c r="D66" s="2">
        <v>-445.0</v>
      </c>
      <c r="E66" s="2">
        <v>-57.45</v>
      </c>
    </row>
    <row r="67" spans="1:5" customHeight="1" x14ac:dyDescent="0.15">
      <c r="A67" s="2" t="s">
        <f>"093000920112"</f>
        <v>135</v>
      </c>
      <c r="B67" s="2" t="s">
        <f>"许西霞"</f>
        <v>136</v>
      </c>
      <c r="C67" s="2">
        <v>-393.0</v>
      </c>
      <c r="D67" s="2">
        <v>-477.0</v>
      </c>
      <c r="E67" s="2">
        <v>-171.02</v>
      </c>
    </row>
    <row r="68" spans="1:5" customHeight="1" x14ac:dyDescent="0.15">
      <c r="A68" s="2" t="s">
        <f>"093000920116"</f>
        <v>137</v>
      </c>
      <c r="B68" s="2" t="s">
        <f>"周静林"</f>
        <v>138</v>
      </c>
      <c r="C68" s="2">
        <v>-4550.0</v>
      </c>
      <c r="D68" s="2">
        <v>-703.0</v>
      </c>
      <c r="E68" s="2">
        <v>-2874.25</v>
      </c>
    </row>
    <row r="69" spans="1:5" customHeight="1" x14ac:dyDescent="0.15">
      <c r="A69" s="2" t="s">
        <f>"093000040920009"</f>
        <v>139</v>
      </c>
      <c r="B69" s="2" t="s">
        <f>"陈红"</f>
        <v>140</v>
      </c>
      <c r="C69" s="2">
        <v>0.0</v>
      </c>
      <c r="D69" s="2">
        <v>0.0</v>
      </c>
      <c r="E69" s="2">
        <v>0.0</v>
      </c>
    </row>
    <row r="70" spans="1:5" customHeight="1" x14ac:dyDescent="0.15">
      <c r="A70" s="2" t="s">
        <f>"093000920117"</f>
        <v>141</v>
      </c>
      <c r="B70" s="2" t="s">
        <f>"张延贺"</f>
        <v>142</v>
      </c>
      <c r="C70" s="2">
        <v>0.0</v>
      </c>
      <c r="D70" s="2">
        <v>-1282.0</v>
      </c>
      <c r="E70" s="2">
        <v>-875.04</v>
      </c>
    </row>
    <row r="71" spans="1:5" customHeight="1" x14ac:dyDescent="0.15">
      <c r="A71" s="2" t="s">
        <f>"093000920119"</f>
        <v>143</v>
      </c>
      <c r="B71" s="2" t="s">
        <f>"刘秋芬"</f>
        <v>144</v>
      </c>
      <c r="C71" s="2">
        <v>0.0</v>
      </c>
      <c r="D71" s="2">
        <v>0.0</v>
      </c>
      <c r="E71" s="2">
        <v>0.0</v>
      </c>
    </row>
    <row r="72" spans="1:5" customHeight="1" x14ac:dyDescent="0.15">
      <c r="A72" s="2" t="s">
        <f>"093000040920010"</f>
        <v>145</v>
      </c>
      <c r="B72" s="2" t="s">
        <f>"齐许兵"</f>
        <v>146</v>
      </c>
      <c r="C72" s="2">
        <v>0.0</v>
      </c>
      <c r="D72" s="2">
        <v>-585.0</v>
      </c>
      <c r="E72" s="2">
        <v>-174.27</v>
      </c>
    </row>
    <row r="73" spans="1:5" customHeight="1" x14ac:dyDescent="0.15">
      <c r="A73" s="2" t="s">
        <f>"093000920120"</f>
        <v>147</v>
      </c>
      <c r="B73" s="2" t="s">
        <f>"乔昆林"</f>
        <v>148</v>
      </c>
      <c r="C73" s="2">
        <v>-22.0</v>
      </c>
      <c r="D73" s="2">
        <v>-815.0</v>
      </c>
      <c r="E73" s="2">
        <v>-707.16</v>
      </c>
    </row>
    <row r="74" spans="1:5" customHeight="1" x14ac:dyDescent="0.15">
      <c r="A74" s="2" t="s">
        <f>"093000037920004"</f>
        <v>149</v>
      </c>
      <c r="B74" s="2" t="s">
        <f>"程杨"</f>
        <v>150</v>
      </c>
      <c r="C74" s="2">
        <v>-379.0</v>
      </c>
      <c r="D74" s="2">
        <v>-2216.0</v>
      </c>
      <c r="E74" s="2">
        <v>-4218.39</v>
      </c>
    </row>
    <row r="75" spans="1:5" customHeight="1" x14ac:dyDescent="0.15">
      <c r="A75" s="2" t="s">
        <f>"093000920125"</f>
        <v>151</v>
      </c>
      <c r="B75" s="2" t="s">
        <f>"田玲玲"</f>
        <v>152</v>
      </c>
      <c r="C75" s="2">
        <v>0.0</v>
      </c>
      <c r="D75" s="2">
        <v>-1253.0</v>
      </c>
      <c r="E75" s="2">
        <v>-329.68</v>
      </c>
    </row>
    <row r="76" spans="1:5" customHeight="1" x14ac:dyDescent="0.15">
      <c r="A76" s="2" t="s">
        <f>"093000920131"</f>
        <v>153</v>
      </c>
      <c r="B76" s="2" t="s">
        <f>"安伟"</f>
        <v>154</v>
      </c>
      <c r="C76" s="2">
        <v>0.0</v>
      </c>
      <c r="D76" s="2">
        <v>-135.0</v>
      </c>
      <c r="E76" s="2">
        <v>-58.12</v>
      </c>
    </row>
    <row r="77" spans="1:5" customHeight="1" x14ac:dyDescent="0.15">
      <c r="A77" s="2" t="s">
        <f>"093000920129"</f>
        <v>155</v>
      </c>
      <c r="B77" s="2" t="s">
        <f>"李东生"</f>
        <v>156</v>
      </c>
      <c r="C77" s="2">
        <v>-413.0</v>
      </c>
      <c r="D77" s="2">
        <v>-189.0</v>
      </c>
      <c r="E77" s="2">
        <v>-464.04</v>
      </c>
    </row>
    <row r="78" spans="1:5" customHeight="1" x14ac:dyDescent="0.15">
      <c r="A78" s="2" t="s">
        <f>"093000920135"</f>
        <v>157</v>
      </c>
      <c r="B78" s="2" t="s">
        <f>"程峰"</f>
        <v>158</v>
      </c>
      <c r="C78" s="2">
        <v>-444.0</v>
      </c>
      <c r="D78" s="2">
        <v>-430.0</v>
      </c>
      <c r="E78" s="2">
        <v>-58.21</v>
      </c>
    </row>
    <row r="79" spans="1:5" customHeight="1" x14ac:dyDescent="0.15">
      <c r="A79" s="2" t="s">
        <f>"093000920132"</f>
        <v>159</v>
      </c>
      <c r="B79" s="2" t="s">
        <f>"麻永超"</f>
        <v>160</v>
      </c>
      <c r="C79" s="2">
        <v>0.0</v>
      </c>
      <c r="D79" s="2">
        <v>0.0</v>
      </c>
      <c r="E79" s="2">
        <v>0.0</v>
      </c>
    </row>
    <row r="80" spans="1:5" customHeight="1" x14ac:dyDescent="0.15">
      <c r="A80" s="2" t="s">
        <f>"093000920136"</f>
        <v>161</v>
      </c>
      <c r="B80" s="2" t="s">
        <f>"郑本伍"</f>
        <v>162</v>
      </c>
      <c r="C80" s="2">
        <v>0.0</v>
      </c>
      <c r="D80" s="2">
        <v>0.0</v>
      </c>
      <c r="E80" s="2">
        <v>0.0</v>
      </c>
    </row>
    <row r="81" spans="1:5" customHeight="1" x14ac:dyDescent="0.15">
      <c r="A81" s="2" t="s">
        <f>"093000920138"</f>
        <v>163</v>
      </c>
      <c r="B81" s="2" t="s">
        <f>"张瑞猛"</f>
        <v>164</v>
      </c>
      <c r="C81" s="2">
        <v>-1268.0</v>
      </c>
      <c r="D81" s="2">
        <v>-567.0</v>
      </c>
      <c r="E81" s="2">
        <v>-1098.7</v>
      </c>
    </row>
    <row r="82" spans="1:5" customHeight="1" x14ac:dyDescent="0.15">
      <c r="A82" s="2" t="s">
        <f>"093000920137"</f>
        <v>165</v>
      </c>
      <c r="B82" s="2" t="s">
        <f>"刘明"</f>
        <v>166</v>
      </c>
      <c r="C82" s="2">
        <v>-977.0</v>
      </c>
      <c r="D82" s="2">
        <v>-6698.0</v>
      </c>
      <c r="E82" s="2">
        <v>-14069.51</v>
      </c>
    </row>
    <row r="83" spans="1:5" customHeight="1" x14ac:dyDescent="0.15">
      <c r="A83" s="2" t="s">
        <f>"093000920139"</f>
        <v>167</v>
      </c>
      <c r="B83" s="2" t="s">
        <f>"张剑功"</f>
        <v>168</v>
      </c>
      <c r="C83" s="2">
        <v>0.0</v>
      </c>
      <c r="D83" s="2">
        <v>-12.0</v>
      </c>
      <c r="E83" s="2">
        <v>-10.98</v>
      </c>
    </row>
    <row r="84" spans="1:5" customHeight="1" x14ac:dyDescent="0.15">
      <c r="A84" s="2" t="s">
        <f>"093000920121"</f>
        <v>169</v>
      </c>
      <c r="B84" s="2" t="s">
        <f>"全建宇"</f>
        <v>170</v>
      </c>
      <c r="C84" s="2">
        <v>-526.0</v>
      </c>
      <c r="D84" s="2">
        <v>-110.0</v>
      </c>
      <c r="E84" s="2">
        <v>-217.53</v>
      </c>
    </row>
    <row r="85" spans="1:5" customHeight="1" x14ac:dyDescent="0.15">
      <c r="A85" s="2" t="s">
        <f>"093000920143"</f>
        <v>171</v>
      </c>
      <c r="B85" s="2" t="s">
        <f>"张海龙"</f>
        <v>172</v>
      </c>
      <c r="C85" s="2">
        <v>0.0</v>
      </c>
      <c r="D85" s="2">
        <v>460.0</v>
      </c>
      <c r="E85" s="2">
        <v>-163.11</v>
      </c>
    </row>
    <row r="86" spans="1:5" customHeight="1" x14ac:dyDescent="0.15">
      <c r="A86" s="2" t="s">
        <f>"093000920145"</f>
        <v>173</v>
      </c>
      <c r="B86" s="2" t="s">
        <f>"代文琦"</f>
        <v>174</v>
      </c>
      <c r="C86" s="2">
        <v>0.0</v>
      </c>
      <c r="D86" s="2">
        <v>0.0</v>
      </c>
      <c r="E86" s="2">
        <v>0.0</v>
      </c>
    </row>
    <row r="87" spans="1:5" customHeight="1" x14ac:dyDescent="0.15">
      <c r="A87" s="2" t="s">
        <f>"093000920146"</f>
        <v>175</v>
      </c>
      <c r="B87" s="2" t="s">
        <f>"冯中塬"</f>
        <v>176</v>
      </c>
      <c r="C87" s="2">
        <v>0.0</v>
      </c>
      <c r="D87" s="2">
        <v>-860.0</v>
      </c>
      <c r="E87" s="2">
        <v>-83.53</v>
      </c>
    </row>
    <row r="88" spans="1:5" customHeight="1" x14ac:dyDescent="0.15">
      <c r="A88" s="2" t="s">
        <f>"093000920147"</f>
        <v>177</v>
      </c>
      <c r="B88" s="2" t="s">
        <f>"曾欣"</f>
        <v>178</v>
      </c>
      <c r="C88" s="2">
        <v>-368.0</v>
      </c>
      <c r="D88" s="2">
        <v>-661.0</v>
      </c>
      <c r="E88" s="2">
        <v>-1511.54</v>
      </c>
    </row>
    <row r="89" spans="1:5" customHeight="1" x14ac:dyDescent="0.15">
      <c r="A89" s="2" t="s">
        <f>"093000040920012"</f>
        <v>179</v>
      </c>
      <c r="B89" s="2" t="s">
        <f>"赫聚岭"</f>
        <v>180</v>
      </c>
      <c r="C89" s="2">
        <v>0.0</v>
      </c>
      <c r="D89" s="2">
        <v>0.0</v>
      </c>
      <c r="E89" s="2">
        <v>0.0</v>
      </c>
    </row>
    <row r="90" spans="1:5" customHeight="1" x14ac:dyDescent="0.15">
      <c r="A90" s="2" t="s">
        <f>"093000920149"</f>
        <v>181</v>
      </c>
      <c r="B90" s="2" t="s">
        <f>"乔蒙蒙"</f>
        <v>182</v>
      </c>
      <c r="C90" s="2">
        <v>0.0</v>
      </c>
      <c r="D90" s="2">
        <v>-860.0</v>
      </c>
      <c r="E90" s="2">
        <v>-83.53</v>
      </c>
    </row>
    <row r="91" spans="1:5" customHeight="1" x14ac:dyDescent="0.15">
      <c r="A91" s="2" t="s">
        <f>"093000041920003"</f>
        <v>183</v>
      </c>
      <c r="B91" s="2" t="s">
        <f>"吕家权"</f>
        <v>184</v>
      </c>
      <c r="C91" s="2">
        <v>0.0</v>
      </c>
      <c r="D91" s="2">
        <v>-1088.0</v>
      </c>
      <c r="E91" s="2">
        <v>-115.12</v>
      </c>
    </row>
    <row r="92" spans="1:5" customHeight="1" x14ac:dyDescent="0.15">
      <c r="A92" s="2" t="s">
        <f>"093000041920005"</f>
        <v>185</v>
      </c>
      <c r="B92" s="2" t="s">
        <f>"吴璧君"</f>
        <v>186</v>
      </c>
      <c r="C92" s="2">
        <v>0.0</v>
      </c>
      <c r="D92" s="2">
        <v>0.0</v>
      </c>
      <c r="E92" s="2">
        <v>0.0</v>
      </c>
    </row>
    <row r="93" spans="1:5" customHeight="1" x14ac:dyDescent="0.15">
      <c r="A93" s="2" t="s">
        <f>"093000920154"</f>
        <v>187</v>
      </c>
      <c r="B93" s="2" t="s">
        <f>"石宇"</f>
        <v>188</v>
      </c>
      <c r="C93" s="2">
        <v>0.0</v>
      </c>
      <c r="D93" s="2">
        <v>180.0</v>
      </c>
      <c r="E93" s="2">
        <v>-82.51</v>
      </c>
    </row>
    <row r="94" spans="1:5" customHeight="1" x14ac:dyDescent="0.15">
      <c r="A94" s="2" t="s">
        <f>"093000920156"</f>
        <v>189</v>
      </c>
      <c r="B94" s="2" t="s">
        <f>"杨世军"</f>
        <v>190</v>
      </c>
      <c r="C94" s="2">
        <v>0.0</v>
      </c>
      <c r="D94" s="2">
        <v>300.0</v>
      </c>
      <c r="E94" s="2">
        <v>-85.56</v>
      </c>
    </row>
    <row r="95" spans="1:5" customHeight="1" x14ac:dyDescent="0.15">
      <c r="A95" s="2" t="s">
        <f>"093000920155"</f>
        <v>191</v>
      </c>
      <c r="B95" s="2" t="s">
        <f>"冯霞"</f>
        <v>192</v>
      </c>
      <c r="C95" s="2">
        <v>0.0</v>
      </c>
      <c r="D95" s="2">
        <v>-900.0</v>
      </c>
      <c r="E95" s="2">
        <v>-81.84</v>
      </c>
    </row>
    <row r="96" spans="1:5" customHeight="1" x14ac:dyDescent="0.15">
      <c r="A96" s="2" t="s">
        <f>"093000920158"</f>
        <v>193</v>
      </c>
      <c r="B96" s="2" t="s">
        <f>"王德功"</f>
        <v>194</v>
      </c>
      <c r="C96" s="2">
        <v>0.0</v>
      </c>
      <c r="D96" s="2">
        <v>0.0</v>
      </c>
      <c r="E96" s="2">
        <v>0.0</v>
      </c>
    </row>
    <row r="97" spans="1:5" customHeight="1" x14ac:dyDescent="0.15">
      <c r="A97" s="2" t="s">
        <f>"093000920160"</f>
        <v>195</v>
      </c>
      <c r="B97" s="2" t="s">
        <f>"庄中奇"</f>
        <v>196</v>
      </c>
      <c r="C97" s="2">
        <v>-269.0</v>
      </c>
      <c r="D97" s="2">
        <v>-2143.0</v>
      </c>
      <c r="E97" s="2">
        <v>-2107.1</v>
      </c>
    </row>
    <row r="98" spans="1:5" customHeight="1" x14ac:dyDescent="0.15">
      <c r="A98" s="2" t="s">
        <f>"093000037920005"</f>
        <v>197</v>
      </c>
      <c r="B98" s="2" t="s">
        <f>"方俊凯"</f>
        <v>198</v>
      </c>
      <c r="C98" s="2">
        <v>-691.0</v>
      </c>
      <c r="D98" s="2">
        <v>-784.0</v>
      </c>
      <c r="E98" s="2">
        <v>-727.31</v>
      </c>
    </row>
    <row r="99" spans="1:5" customHeight="1" x14ac:dyDescent="0.15">
      <c r="A99" s="2" t="s">
        <f>"093000920163"</f>
        <v>199</v>
      </c>
      <c r="B99" s="2" t="s">
        <f>"任鹏"</f>
        <v>200</v>
      </c>
      <c r="C99" s="2">
        <v>0.0</v>
      </c>
      <c r="D99" s="2">
        <v>-572.0</v>
      </c>
      <c r="E99" s="2">
        <v>-464.04</v>
      </c>
    </row>
    <row r="100" spans="1:5" customHeight="1" x14ac:dyDescent="0.15">
      <c r="A100" s="2" t="s">
        <f>"093000040920016"</f>
        <v>201</v>
      </c>
      <c r="B100" s="2" t="s">
        <f>"朱伟超"</f>
        <v>202</v>
      </c>
      <c r="C100" s="2">
        <v>0.0</v>
      </c>
      <c r="D100" s="2">
        <v>-840.0</v>
      </c>
      <c r="E100" s="2">
        <v>-82.43</v>
      </c>
    </row>
    <row r="101" spans="1:5" customHeight="1" x14ac:dyDescent="0.15">
      <c r="A101" s="2" t="s">
        <f>"093000037920006"</f>
        <v>203</v>
      </c>
      <c r="B101" s="2" t="s">
        <f>"王向前"</f>
        <v>204</v>
      </c>
      <c r="C101" s="2">
        <v>-797.0</v>
      </c>
      <c r="D101" s="2">
        <v>1043.0</v>
      </c>
      <c r="E101" s="2">
        <v>-537.8</v>
      </c>
    </row>
    <row r="102" spans="1:5" customHeight="1" x14ac:dyDescent="0.15">
      <c r="A102" s="2" t="s">
        <f>"093000920164"</f>
        <v>205</v>
      </c>
      <c r="B102" s="2" t="s">
        <f>"刘双燕"</f>
        <v>206</v>
      </c>
      <c r="C102" s="2">
        <v>-2501.0</v>
      </c>
      <c r="D102" s="2">
        <v>5498.0</v>
      </c>
      <c r="E102" s="2">
        <v>-1631.67</v>
      </c>
    </row>
    <row r="103" spans="1:5" customHeight="1" x14ac:dyDescent="0.15">
      <c r="A103" s="2" t="s">
        <f>"093000920167"</f>
        <v>207</v>
      </c>
      <c r="B103" s="2" t="s">
        <f>"常斌乐"</f>
        <v>208</v>
      </c>
      <c r="C103" s="2">
        <v>0.0</v>
      </c>
      <c r="D103" s="2">
        <v>0.0</v>
      </c>
      <c r="E103" s="2">
        <v>0.0</v>
      </c>
    </row>
    <row r="104" spans="1:5" customHeight="1" x14ac:dyDescent="0.15">
      <c r="A104" s="2" t="s">
        <f>"093000920170"</f>
        <v>209</v>
      </c>
      <c r="B104" s="2" t="s">
        <f>"柳玉兰"</f>
        <v>210</v>
      </c>
      <c r="C104" s="2">
        <v>0.0</v>
      </c>
      <c r="D104" s="2">
        <v>-1163.0</v>
      </c>
      <c r="E104" s="2">
        <v>-1528.64</v>
      </c>
    </row>
    <row r="105" spans="1:5" customHeight="1" x14ac:dyDescent="0.15">
      <c r="A105" s="2" t="s">
        <f>"093000920171"</f>
        <v>211</v>
      </c>
      <c r="B105" s="2" t="s">
        <f>"毛松玉"</f>
        <v>212</v>
      </c>
      <c r="C105" s="2">
        <v>-1518.0</v>
      </c>
      <c r="D105" s="2">
        <v>-2979.0</v>
      </c>
      <c r="E105" s="2">
        <v>-1049.54</v>
      </c>
    </row>
    <row r="106" spans="1:5" customHeight="1" x14ac:dyDescent="0.15">
      <c r="A106" s="2" t="s">
        <f>"093000920172"</f>
        <v>213</v>
      </c>
      <c r="B106" s="2" t="s">
        <f>"付大帝"</f>
        <v>214</v>
      </c>
      <c r="C106" s="2">
        <v>-303.0</v>
      </c>
      <c r="D106" s="2">
        <v>-819.0</v>
      </c>
      <c r="E106" s="2">
        <v>-2114.81</v>
      </c>
    </row>
    <row r="107" spans="1:5" customHeight="1" x14ac:dyDescent="0.15">
      <c r="A107" s="2" t="s">
        <f>"093000920173"</f>
        <v>215</v>
      </c>
      <c r="B107" s="2" t="s">
        <f>"王浩东"</f>
        <v>216</v>
      </c>
      <c r="C107" s="2">
        <v>0.0</v>
      </c>
      <c r="D107" s="2">
        <v>1460.0</v>
      </c>
      <c r="E107" s="2">
        <v>-495.77</v>
      </c>
    </row>
    <row r="108" spans="1:5" customHeight="1" x14ac:dyDescent="0.15">
      <c r="A108" s="2" t="s">
        <f>"093000920174"</f>
        <v>217</v>
      </c>
      <c r="B108" s="2" t="s">
        <f>"段东阳"</f>
        <v>218</v>
      </c>
      <c r="C108" s="2">
        <v>0.0</v>
      </c>
      <c r="D108" s="2">
        <v>-400.0</v>
      </c>
      <c r="E108" s="2">
        <v>-164.74</v>
      </c>
    </row>
    <row r="109" spans="1:5" customHeight="1" x14ac:dyDescent="0.15">
      <c r="A109" s="2" t="s">
        <f>"093000920175"</f>
        <v>219</v>
      </c>
      <c r="B109" s="2" t="s">
        <f>"王瑞范"</f>
        <v>220</v>
      </c>
      <c r="C109" s="2">
        <v>-685.0</v>
      </c>
      <c r="D109" s="2">
        <v>184.0</v>
      </c>
      <c r="E109" s="2">
        <v>-1389.06</v>
      </c>
    </row>
    <row r="110" spans="1:5" customHeight="1" x14ac:dyDescent="0.15">
      <c r="A110" s="2" t="s">
        <f>"093000037920007"</f>
        <v>221</v>
      </c>
      <c r="B110" s="2" t="s">
        <f>"程圳"</f>
        <v>222</v>
      </c>
      <c r="C110" s="2">
        <v>-29.0</v>
      </c>
      <c r="D110" s="2">
        <v>-31.0</v>
      </c>
      <c r="E110" s="2">
        <v>-5.45</v>
      </c>
    </row>
    <row r="111" spans="1:5" customHeight="1" x14ac:dyDescent="0.15">
      <c r="A111" s="2" t="s">
        <f>"093000920176"</f>
        <v>223</v>
      </c>
      <c r="B111" s="2" t="s">
        <f>"唐义花"</f>
        <v>224</v>
      </c>
      <c r="C111" s="2">
        <v>-269.0</v>
      </c>
      <c r="D111" s="2">
        <v>-21.0</v>
      </c>
      <c r="E111" s="2">
        <v>-61.24</v>
      </c>
    </row>
    <row r="112" spans="1:5" customHeight="1" x14ac:dyDescent="0.15">
      <c r="A112" s="2" t="s">
        <f>"093000037920008"</f>
        <v>225</v>
      </c>
      <c r="B112" s="2" t="s">
        <f>"程爱萍"</f>
        <v>226</v>
      </c>
      <c r="C112" s="2">
        <v>-58.0</v>
      </c>
      <c r="D112" s="2">
        <v>26.0</v>
      </c>
      <c r="E112" s="2">
        <v>-5.48</v>
      </c>
    </row>
    <row r="113" spans="1:5" customHeight="1" x14ac:dyDescent="0.15">
      <c r="A113" s="2" t="s">
        <f>"093000037920009"</f>
        <v>227</v>
      </c>
      <c r="B113" s="2" t="s">
        <f>"程爱华"</f>
        <v>228</v>
      </c>
      <c r="C113" s="2">
        <v>-27.0</v>
      </c>
      <c r="D113" s="2">
        <v>-96.0</v>
      </c>
      <c r="E113" s="2">
        <v>-25.11</v>
      </c>
    </row>
    <row r="114" spans="1:5" customHeight="1" x14ac:dyDescent="0.15">
      <c r="A114" s="2" t="s">
        <f>"093000920178"</f>
        <v>229</v>
      </c>
      <c r="B114" s="2" t="s">
        <f>"简景雷"</f>
        <v>230</v>
      </c>
      <c r="C114" s="2">
        <v>-737.0</v>
      </c>
      <c r="D114" s="2">
        <v>-8523.0</v>
      </c>
      <c r="E114" s="2">
        <v>-3654.76</v>
      </c>
    </row>
    <row r="115" spans="1:5" customHeight="1" x14ac:dyDescent="0.15">
      <c r="A115" s="2" t="s">
        <f>"093000920186"</f>
        <v>231</v>
      </c>
      <c r="B115" s="2" t="s">
        <f>"苏东奇"</f>
        <v>232</v>
      </c>
      <c r="C115" s="2">
        <v>-158.0</v>
      </c>
      <c r="D115" s="2">
        <v>341.0</v>
      </c>
      <c r="E115" s="2">
        <v>-1223.25</v>
      </c>
    </row>
    <row r="116" spans="1:5" customHeight="1" x14ac:dyDescent="0.15">
      <c r="A116" s="2" t="s">
        <f>"093000037920012"</f>
        <v>233</v>
      </c>
      <c r="B116" s="2" t="s">
        <f>"方明亮"</f>
        <v>234</v>
      </c>
      <c r="C116" s="2">
        <v>0.0</v>
      </c>
      <c r="D116" s="2">
        <v>18.0</v>
      </c>
      <c r="E116" s="2">
        <v>-5.4</v>
      </c>
    </row>
    <row r="117" spans="1:5" customHeight="1" x14ac:dyDescent="0.15">
      <c r="A117" s="2" t="s">
        <f>"093000920184"</f>
        <v>235</v>
      </c>
      <c r="B117" s="2" t="s">
        <f>"奚大力"</f>
        <v>236</v>
      </c>
      <c r="C117" s="2">
        <v>0.0</v>
      </c>
      <c r="D117" s="2">
        <v>0.0</v>
      </c>
      <c r="E117" s="2">
        <v>0.0</v>
      </c>
    </row>
    <row r="118" spans="1:5" customHeight="1" x14ac:dyDescent="0.15">
      <c r="A118" s="2" t="s">
        <f>"093000037920011"</f>
        <v>237</v>
      </c>
      <c r="B118" s="2" t="s">
        <f>"李洁"</f>
        <v>238</v>
      </c>
      <c r="C118" s="2">
        <v>0.0</v>
      </c>
      <c r="D118" s="2">
        <v>19.0</v>
      </c>
      <c r="E118" s="2">
        <v>-5.4</v>
      </c>
    </row>
    <row r="119" spans="1:5" customHeight="1" x14ac:dyDescent="0.15">
      <c r="A119" s="2" t="s">
        <f>"093000037920010"</f>
        <v>239</v>
      </c>
      <c r="B119" s="2" t="s">
        <f>"时战群"</f>
        <v>240</v>
      </c>
      <c r="C119" s="2">
        <v>0.0</v>
      </c>
      <c r="D119" s="2">
        <v>18.0</v>
      </c>
      <c r="E119" s="2">
        <v>-5.43</v>
      </c>
    </row>
    <row r="120" spans="1:5" customHeight="1" x14ac:dyDescent="0.15">
      <c r="A120" s="2" t="s">
        <f>"093000920181"</f>
        <v>241</v>
      </c>
      <c r="B120" s="2" t="s">
        <f>"郁林楠"</f>
        <v>242</v>
      </c>
      <c r="C120" s="2">
        <v>-404.0</v>
      </c>
      <c r="D120" s="2">
        <v>-233.0</v>
      </c>
      <c r="E120" s="2">
        <v>-714.58</v>
      </c>
    </row>
    <row r="121" spans="1:5" customHeight="1" x14ac:dyDescent="0.15">
      <c r="A121" s="2" t="s">
        <f>"093000920182"</f>
        <v>243</v>
      </c>
      <c r="B121" s="2" t="s">
        <f>"刘春华"</f>
        <v>244</v>
      </c>
      <c r="C121" s="2">
        <v>0.0</v>
      </c>
      <c r="D121" s="2">
        <v>-1890.0</v>
      </c>
      <c r="E121" s="2">
        <v>-468.88</v>
      </c>
    </row>
    <row r="122" spans="1:5" customHeight="1" x14ac:dyDescent="0.15">
      <c r="A122" s="2" t="s">
        <f>"093000040920018"</f>
        <v>245</v>
      </c>
      <c r="B122" s="2" t="s">
        <f>"杨建红"</f>
        <v>246</v>
      </c>
      <c r="C122" s="2">
        <v>0.0</v>
      </c>
      <c r="D122" s="2">
        <v>0.0</v>
      </c>
      <c r="E122" s="2">
        <v>0.0</v>
      </c>
    </row>
    <row r="123" spans="1:5" customHeight="1" x14ac:dyDescent="0.15">
      <c r="A123" s="2" t="s">
        <f>"093000920191"</f>
        <v>247</v>
      </c>
      <c r="B123" s="2" t="s">
        <f>"雷书青"</f>
        <v>248</v>
      </c>
      <c r="C123" s="2">
        <v>-553.0</v>
      </c>
      <c r="D123" s="2">
        <v>-194.0</v>
      </c>
      <c r="E123" s="2">
        <v>-624.7</v>
      </c>
    </row>
    <row r="124" spans="1:5" customHeight="1" x14ac:dyDescent="0.15">
      <c r="A124" s="2" t="s">
        <f>"093000920192"</f>
        <v>249</v>
      </c>
      <c r="B124" s="2" t="s">
        <f>"周兴豪"</f>
        <v>250</v>
      </c>
      <c r="C124" s="2">
        <v>0.0</v>
      </c>
      <c r="D124" s="2">
        <v>-277.0</v>
      </c>
      <c r="E124" s="2">
        <v>-69.71</v>
      </c>
    </row>
    <row r="125" spans="1:5" customHeight="1" x14ac:dyDescent="0.15">
      <c r="A125" s="2" t="s">
        <f>"093000920193"</f>
        <v>251</v>
      </c>
      <c r="B125" s="2" t="s">
        <f>"张颖"</f>
        <v>252</v>
      </c>
      <c r="C125" s="2">
        <v>-46.0</v>
      </c>
      <c r="D125" s="2">
        <v>112.0</v>
      </c>
      <c r="E125" s="2">
        <v>-20.73</v>
      </c>
    </row>
    <row r="126" spans="1:5" customHeight="1" x14ac:dyDescent="0.15">
      <c r="A126" s="2" t="s">
        <f>"093000920194"</f>
        <v>253</v>
      </c>
      <c r="B126" s="2" t="s">
        <f>"韩红乾"</f>
        <v>254</v>
      </c>
      <c r="C126" s="2">
        <v>0.0</v>
      </c>
      <c r="D126" s="2">
        <v>0.0</v>
      </c>
      <c r="E126" s="2">
        <v>0.0</v>
      </c>
    </row>
    <row r="127" spans="1:5" customHeight="1" x14ac:dyDescent="0.15">
      <c r="A127" s="2" t="s">
        <f>"093000037920013"</f>
        <v>255</v>
      </c>
      <c r="B127" s="2" t="s">
        <f>"方玉伟"</f>
        <v>256</v>
      </c>
      <c r="C127" s="2">
        <v>-336.0</v>
      </c>
      <c r="D127" s="2">
        <v>-925.0</v>
      </c>
      <c r="E127" s="2">
        <v>-1096.04</v>
      </c>
    </row>
    <row r="128" spans="1:5" customHeight="1" x14ac:dyDescent="0.15">
      <c r="A128" s="2" t="s">
        <f>"093000920196"</f>
        <v>257</v>
      </c>
      <c r="B128" s="2" t="s">
        <f>"马仲秋"</f>
        <v>258</v>
      </c>
      <c r="C128" s="2">
        <v>-252.0</v>
      </c>
      <c r="D128" s="2">
        <v>-1590.0</v>
      </c>
      <c r="E128" s="2">
        <v>-293.55</v>
      </c>
    </row>
    <row r="129" spans="1:5" customHeight="1" x14ac:dyDescent="0.15">
      <c r="A129" s="2" t="s">
        <f>"093000920197"</f>
        <v>259</v>
      </c>
      <c r="B129" s="2" t="s">
        <f>"胡钦"</f>
        <v>260</v>
      </c>
      <c r="C129" s="2">
        <v>0.0</v>
      </c>
      <c r="D129" s="2">
        <v>0.0</v>
      </c>
      <c r="E129" s="2">
        <v>0.0</v>
      </c>
    </row>
    <row r="130" spans="1:5" customHeight="1" x14ac:dyDescent="0.15">
      <c r="A130" s="2" t="s">
        <f>"093000037920014"</f>
        <v>261</v>
      </c>
      <c r="B130" s="2" t="s">
        <f>"程俊丽"</f>
        <v>262</v>
      </c>
      <c r="C130" s="2">
        <v>0.0</v>
      </c>
      <c r="D130" s="2">
        <v>9.0</v>
      </c>
      <c r="E130" s="2">
        <v>-5.41</v>
      </c>
    </row>
    <row r="131" spans="1:5" customHeight="1" x14ac:dyDescent="0.15">
      <c r="A131" s="2" t="s">
        <f>"093000040920019"</f>
        <v>263</v>
      </c>
      <c r="B131" s="2" t="s">
        <f>"崔亚阁"</f>
        <v>264</v>
      </c>
      <c r="C131" s="2">
        <v>0.0</v>
      </c>
      <c r="D131" s="2">
        <v>-158.0</v>
      </c>
      <c r="E131" s="2">
        <v>-57.92</v>
      </c>
    </row>
    <row r="132" spans="1:5" customHeight="1" x14ac:dyDescent="0.15">
      <c r="A132" s="2" t="s">
        <f>"093000920202"</f>
        <v>265</v>
      </c>
      <c r="B132" s="2" t="s">
        <f>"王一冰"</f>
        <v>8</v>
      </c>
      <c r="C132" s="2">
        <v>0.0</v>
      </c>
      <c r="D132" s="2">
        <v>0.0</v>
      </c>
      <c r="E132" s="2">
        <v>0.0</v>
      </c>
    </row>
    <row r="133" spans="1:5" customHeight="1" x14ac:dyDescent="0.15">
      <c r="A133" s="2" t="s">
        <f>"093000920203"</f>
        <v>266</v>
      </c>
      <c r="B133" s="2" t="s">
        <f>"李庆华"</f>
        <v>267</v>
      </c>
      <c r="C133" s="2">
        <v>0.0</v>
      </c>
      <c r="D133" s="2">
        <v>-604.0</v>
      </c>
      <c r="E133" s="2">
        <v>-114.22</v>
      </c>
    </row>
    <row r="134" spans="1:5" customHeight="1" x14ac:dyDescent="0.15">
      <c r="A134" s="2" t="s">
        <f>"093000920204"</f>
        <v>268</v>
      </c>
      <c r="B134" s="2" t="s">
        <f>"刘玉明"</f>
        <v>269</v>
      </c>
      <c r="C134" s="2">
        <v>0.0</v>
      </c>
      <c r="D134" s="2">
        <v>0.0</v>
      </c>
      <c r="E134" s="2">
        <v>0.0</v>
      </c>
    </row>
    <row r="135" spans="1:5" customHeight="1" x14ac:dyDescent="0.15">
      <c r="A135" s="2" t="s">
        <f>"093000920206"</f>
        <v>270</v>
      </c>
      <c r="B135" s="2" t="s">
        <f>"史西娜"</f>
        <v>271</v>
      </c>
      <c r="C135" s="2">
        <v>0.0</v>
      </c>
      <c r="D135" s="2">
        <v>0.0</v>
      </c>
      <c r="E135" s="2">
        <v>0.0</v>
      </c>
    </row>
    <row r="136" spans="1:5" customHeight="1" x14ac:dyDescent="0.15">
      <c r="A136" s="2" t="s">
        <f>"093000920207"</f>
        <v>272</v>
      </c>
      <c r="B136" s="2" t="s">
        <f>"王黎明"</f>
        <v>273</v>
      </c>
      <c r="C136" s="2">
        <v>0.0</v>
      </c>
      <c r="D136" s="2">
        <v>-1463.0</v>
      </c>
      <c r="E136" s="2">
        <v>-231.71</v>
      </c>
    </row>
    <row r="137" spans="1:5" customHeight="1" x14ac:dyDescent="0.15">
      <c r="A137" s="2" t="s">
        <f>"093000920208"</f>
        <v>274</v>
      </c>
      <c r="B137" s="2" t="s">
        <f>"周清坡"</f>
        <v>275</v>
      </c>
      <c r="C137" s="2">
        <v>-780.0</v>
      </c>
      <c r="D137" s="2">
        <v>400.0</v>
      </c>
      <c r="E137" s="2">
        <v>-749.43</v>
      </c>
    </row>
    <row r="138" spans="1:5" customHeight="1" x14ac:dyDescent="0.15">
      <c r="A138" s="2" t="s">
        <f>"093000920209"</f>
        <v>276</v>
      </c>
      <c r="B138" s="2" t="s">
        <f>"雷书红"</f>
        <v>277</v>
      </c>
      <c r="C138" s="2">
        <v>-1545.0</v>
      </c>
      <c r="D138" s="2">
        <v>-2353.0</v>
      </c>
      <c r="E138" s="2">
        <v>-2225.47</v>
      </c>
    </row>
    <row r="139" spans="1:5" customHeight="1" x14ac:dyDescent="0.15">
      <c r="A139" s="2" t="s">
        <f>"093000037920015"</f>
        <v>278</v>
      </c>
      <c r="B139" s="2" t="s">
        <f>"张二涛"</f>
        <v>279</v>
      </c>
      <c r="C139" s="2">
        <v>24.0</v>
      </c>
      <c r="D139" s="2">
        <v>-74.0</v>
      </c>
      <c r="E139" s="2">
        <v>-10.89</v>
      </c>
    </row>
    <row r="140" spans="1:5" customHeight="1" x14ac:dyDescent="0.15">
      <c r="A140" s="2" t="s">
        <f>"093000920211"</f>
        <v>280</v>
      </c>
      <c r="B140" s="2" t="s">
        <f>"宋德全"</f>
        <v>281</v>
      </c>
      <c r="C140" s="2">
        <v>0.0</v>
      </c>
      <c r="D140" s="2">
        <v>3114.0</v>
      </c>
      <c r="E140" s="2">
        <v>-816.48</v>
      </c>
    </row>
    <row r="141" spans="1:5" customHeight="1" x14ac:dyDescent="0.15">
      <c r="A141" s="2" t="s">
        <f>"093000920212"</f>
        <v>282</v>
      </c>
      <c r="B141" s="2" t="s">
        <f>"程传旭"</f>
        <v>283</v>
      </c>
      <c r="C141" s="2">
        <v>-58.0</v>
      </c>
      <c r="D141" s="2">
        <v>-525.0</v>
      </c>
      <c r="E141" s="2">
        <v>-171.93</v>
      </c>
    </row>
    <row r="142" spans="1:5" customHeight="1" x14ac:dyDescent="0.15">
      <c r="A142" s="2" t="s">
        <f>"093000920213"</f>
        <v>284</v>
      </c>
      <c r="B142" s="2" t="s">
        <f>"黄学涛"</f>
        <v>285</v>
      </c>
      <c r="C142" s="2">
        <v>-1213.0</v>
      </c>
      <c r="D142" s="2">
        <v>-58.0</v>
      </c>
      <c r="E142" s="2">
        <v>-175.07</v>
      </c>
    </row>
    <row r="143" spans="1:5" customHeight="1" x14ac:dyDescent="0.15">
      <c r="A143" s="2" t="s">
        <f>"093000920216"</f>
        <v>286</v>
      </c>
      <c r="B143" s="2" t="s">
        <f>"周婉莹"</f>
        <v>287</v>
      </c>
      <c r="C143" s="2">
        <v>0.0</v>
      </c>
      <c r="D143" s="2">
        <v>-415.0</v>
      </c>
      <c r="E143" s="2">
        <v>-1944.45</v>
      </c>
    </row>
    <row r="144" spans="1:5" customHeight="1" x14ac:dyDescent="0.15">
      <c r="A144" s="2" t="s">
        <f>"093000920217"</f>
        <v>288</v>
      </c>
      <c r="B144" s="2" t="s">
        <f>"陆燕芹"</f>
        <v>289</v>
      </c>
      <c r="C144" s="2">
        <v>0.0</v>
      </c>
      <c r="D144" s="2">
        <v>0.0</v>
      </c>
      <c r="E144" s="2">
        <v>0.0</v>
      </c>
    </row>
    <row r="145" spans="1:5" customHeight="1" x14ac:dyDescent="0.15">
      <c r="A145" s="2" t="s">
        <f>"093000920219"</f>
        <v>290</v>
      </c>
      <c r="B145" s="2" t="s">
        <f>"刘静"</f>
        <v>291</v>
      </c>
      <c r="C145" s="2">
        <v>-1151.0</v>
      </c>
      <c r="D145" s="2">
        <v>-1022.0</v>
      </c>
      <c r="E145" s="2">
        <v>-547.31</v>
      </c>
    </row>
    <row r="146" spans="1:5" customHeight="1" x14ac:dyDescent="0.15">
      <c r="A146" s="2" t="s">
        <f>"093000920220"</f>
        <v>292</v>
      </c>
      <c r="B146" s="2" t="s">
        <f>"李丁"</f>
        <v>293</v>
      </c>
      <c r="C146" s="2">
        <v>155.0</v>
      </c>
      <c r="D146" s="2">
        <v>-2170.0</v>
      </c>
      <c r="E146" s="2">
        <v>-677.89</v>
      </c>
    </row>
    <row r="147" spans="1:5" customHeight="1" x14ac:dyDescent="0.15">
      <c r="A147" s="2" t="s">
        <f>"093000920221"</f>
        <v>294</v>
      </c>
      <c r="B147" s="2" t="s">
        <f>"古恬"</f>
        <v>295</v>
      </c>
      <c r="C147" s="2">
        <v>627.0</v>
      </c>
      <c r="D147" s="2">
        <v>-1118.0</v>
      </c>
      <c r="E147" s="2">
        <v>-626.18</v>
      </c>
    </row>
    <row r="148" spans="1:5" customHeight="1" x14ac:dyDescent="0.15">
      <c r="A148" s="2" t="s">
        <f>"093000049920001"</f>
        <v>296</v>
      </c>
      <c r="B148" s="2" t="s">
        <f>"苗壮壮"</f>
        <v>297</v>
      </c>
      <c r="C148" s="2">
        <v>0.0</v>
      </c>
      <c r="D148" s="2">
        <v>-900.0</v>
      </c>
      <c r="E148" s="2">
        <v>-82.12</v>
      </c>
    </row>
    <row r="149" spans="1:5" customHeight="1" x14ac:dyDescent="0.15">
      <c r="A149" s="2" t="s">
        <f>"093000920223"</f>
        <v>298</v>
      </c>
      <c r="B149" s="2" t="s">
        <f>"张涛"</f>
        <v>299</v>
      </c>
      <c r="C149" s="2">
        <v>840.0</v>
      </c>
      <c r="D149" s="2">
        <v>1880.0</v>
      </c>
      <c r="E149" s="2">
        <v>-317.57</v>
      </c>
    </row>
    <row r="150" spans="1:5" customHeight="1" x14ac:dyDescent="0.15">
      <c r="A150" s="2" t="s">
        <f>"093000920224"</f>
        <v>300</v>
      </c>
      <c r="B150" s="2" t="s">
        <f>"魏星垒"</f>
        <v>301</v>
      </c>
      <c r="C150" s="2">
        <v>0.0</v>
      </c>
      <c r="D150" s="2">
        <v>0.0</v>
      </c>
      <c r="E150" s="2">
        <v>0.0</v>
      </c>
    </row>
    <row r="151" spans="1:5" customHeight="1" x14ac:dyDescent="0.15">
      <c r="A151" s="2" t="s">
        <f>"093000920225"</f>
        <v>302</v>
      </c>
      <c r="B151" s="2" t="s">
        <f>"雷书俊"</f>
        <v>303</v>
      </c>
      <c r="C151" s="2">
        <v>-927.0</v>
      </c>
      <c r="D151" s="2">
        <v>-2284.0</v>
      </c>
      <c r="E151" s="2">
        <v>-1116.56</v>
      </c>
    </row>
    <row r="152" spans="1:5" customHeight="1" x14ac:dyDescent="0.15">
      <c r="A152" s="2" t="s">
        <f>"093000920226"</f>
        <v>304</v>
      </c>
      <c r="B152" s="2" t="s">
        <f>"刘源"</f>
        <v>305</v>
      </c>
      <c r="C152" s="2">
        <v>0.0</v>
      </c>
      <c r="D152" s="2">
        <v>-63.0</v>
      </c>
      <c r="E152" s="2">
        <v>-310.8</v>
      </c>
    </row>
    <row r="153" spans="1:5" customHeight="1" x14ac:dyDescent="0.15">
      <c r="A153" s="2" t="s">
        <f>"093000041920009"</f>
        <v>306</v>
      </c>
      <c r="B153" s="2" t="s">
        <f>"王宏章"</f>
        <v>307</v>
      </c>
      <c r="C153" s="2">
        <v>0.0</v>
      </c>
      <c r="D153" s="2">
        <v>920.0</v>
      </c>
      <c r="E153" s="2">
        <v>-115.07</v>
      </c>
    </row>
    <row r="154" spans="1:5" customHeight="1" x14ac:dyDescent="0.15">
      <c r="A154" s="2" t="s">
        <f>"093000920227"</f>
        <v>308</v>
      </c>
      <c r="B154" s="2" t="s">
        <f>"李梦"</f>
        <v>309</v>
      </c>
      <c r="C154" s="2">
        <v>0.0</v>
      </c>
      <c r="D154" s="2">
        <v>0.0</v>
      </c>
      <c r="E154" s="2">
        <v>0.0</v>
      </c>
    </row>
    <row r="155" spans="1:5" customHeight="1" x14ac:dyDescent="0.15">
      <c r="A155" s="2" t="s">
        <f>"093000037920017"</f>
        <v>310</v>
      </c>
      <c r="B155" s="2" t="s">
        <f>"杨美勤"</f>
        <v>311</v>
      </c>
      <c r="C155" s="2">
        <v>0.0</v>
      </c>
      <c r="D155" s="2">
        <v>-12.0</v>
      </c>
      <c r="E155" s="2">
        <v>-5.43</v>
      </c>
    </row>
    <row r="156" spans="1:5" customHeight="1" x14ac:dyDescent="0.15">
      <c r="A156" s="2" t="s">
        <f>"093000051920001"</f>
        <v>312</v>
      </c>
      <c r="B156" s="2" t="s">
        <f>"艾亚楠"</f>
        <v>313</v>
      </c>
      <c r="C156" s="2">
        <v>0.0</v>
      </c>
      <c r="D156" s="2">
        <v>0.0</v>
      </c>
      <c r="E156" s="2">
        <v>0.0</v>
      </c>
    </row>
    <row r="157" spans="1:5" customHeight="1" x14ac:dyDescent="0.15">
      <c r="A157" s="2" t="s">
        <f>"093000920233"</f>
        <v>314</v>
      </c>
      <c r="B157" s="2" t="s">
        <f>"程建国"</f>
        <v>315</v>
      </c>
      <c r="C157" s="2">
        <v>0.0</v>
      </c>
      <c r="D157" s="2">
        <v>740.0</v>
      </c>
      <c r="E157" s="2">
        <v>-81.97</v>
      </c>
    </row>
    <row r="158" spans="1:5" customHeight="1" x14ac:dyDescent="0.15">
      <c r="A158" s="2" t="s">
        <f>"093000920232"</f>
        <v>316</v>
      </c>
      <c r="B158" s="2" t="s">
        <f>"邓聪聪"</f>
        <v>317</v>
      </c>
      <c r="C158" s="2">
        <v>0.0</v>
      </c>
      <c r="D158" s="2">
        <v>330.0</v>
      </c>
      <c r="E158" s="2">
        <v>-114.48</v>
      </c>
    </row>
    <row r="159" spans="1:5" customHeight="1" x14ac:dyDescent="0.15">
      <c r="A159" s="2" t="s">
        <f>"093000920234"</f>
        <v>318</v>
      </c>
      <c r="B159" s="2" t="s">
        <f>"贾建军"</f>
        <v>319</v>
      </c>
      <c r="C159" s="2">
        <v>-1544.0</v>
      </c>
      <c r="D159" s="2">
        <v>-6743.0</v>
      </c>
      <c r="E159" s="2">
        <v>-2393.53</v>
      </c>
    </row>
    <row r="160" spans="1:5" customHeight="1" x14ac:dyDescent="0.15">
      <c r="A160" s="2" t="s">
        <f>"093000920235"</f>
        <v>320</v>
      </c>
      <c r="B160" s="2" t="s">
        <f>"杨桂花"</f>
        <v>321</v>
      </c>
      <c r="C160" s="2">
        <v>0.0</v>
      </c>
      <c r="D160" s="2">
        <v>320.0</v>
      </c>
      <c r="E160" s="2">
        <v>-81.54</v>
      </c>
    </row>
    <row r="161" spans="1:5" customHeight="1" x14ac:dyDescent="0.15">
      <c r="A161" s="2" t="s">
        <f>"093000920238"</f>
        <v>322</v>
      </c>
      <c r="B161" s="2" t="s">
        <f>"陈尹娟"</f>
        <v>323</v>
      </c>
      <c r="C161" s="2">
        <v>-368.0</v>
      </c>
      <c r="D161" s="2">
        <v>-197.0</v>
      </c>
      <c r="E161" s="2">
        <v>-777.35</v>
      </c>
    </row>
    <row r="162" spans="1:5" customHeight="1" x14ac:dyDescent="0.15">
      <c r="A162" s="2" t="s">
        <f>"093000041920010"</f>
        <v>324</v>
      </c>
      <c r="B162" s="2" t="s">
        <f>"周俊男"</f>
        <v>325</v>
      </c>
      <c r="C162" s="2">
        <v>-210.0</v>
      </c>
      <c r="D162" s="2">
        <v>1186.0</v>
      </c>
      <c r="E162" s="2">
        <v>-116.84</v>
      </c>
    </row>
    <row r="163" spans="1:5" customHeight="1" x14ac:dyDescent="0.15">
      <c r="A163" s="2" t="s">
        <f>"093000920240"</f>
        <v>326</v>
      </c>
      <c r="B163" s="2" t="s">
        <f>"李贝贝"</f>
        <v>327</v>
      </c>
      <c r="C163" s="2">
        <v>0.0</v>
      </c>
      <c r="D163" s="2">
        <v>0.0</v>
      </c>
      <c r="E163" s="2">
        <v>0.0</v>
      </c>
    </row>
    <row r="164" spans="1:5" customHeight="1" x14ac:dyDescent="0.15">
      <c r="A164" s="2" t="s">
        <f>"093000920241"</f>
        <v>328</v>
      </c>
      <c r="B164" s="2" t="s">
        <f>"刘俊"</f>
        <v>329</v>
      </c>
      <c r="C164" s="2">
        <v>0.0</v>
      </c>
      <c r="D164" s="2">
        <v>0.0</v>
      </c>
      <c r="E164" s="2">
        <v>0.0</v>
      </c>
    </row>
    <row r="165" spans="1:5" customHeight="1" x14ac:dyDescent="0.15">
      <c r="A165" s="2" t="s">
        <f>"093000049920003"</f>
        <v>330</v>
      </c>
      <c r="B165" s="2" t="s">
        <f>"李明"</f>
        <v>331</v>
      </c>
      <c r="C165" s="2">
        <v>0.0</v>
      </c>
      <c r="D165" s="2">
        <v>-880.0</v>
      </c>
      <c r="E165" s="2">
        <v>-82.24</v>
      </c>
    </row>
    <row r="166" spans="1:5" customHeight="1" x14ac:dyDescent="0.15">
      <c r="A166" s="2" t="s">
        <f>"093000920244"</f>
        <v>332</v>
      </c>
      <c r="B166" s="2" t="s">
        <f>"何亚锦"</f>
        <v>333</v>
      </c>
      <c r="C166" s="2">
        <v>-240.0</v>
      </c>
      <c r="D166" s="2">
        <v>-3120.0</v>
      </c>
      <c r="E166" s="2">
        <v>-867.79</v>
      </c>
    </row>
    <row r="167" spans="1:5" customHeight="1" x14ac:dyDescent="0.15">
      <c r="A167" s="2" t="s">
        <f>"093000920245"</f>
        <v>334</v>
      </c>
      <c r="B167" s="2" t="s">
        <f>"王二勇"</f>
        <v>335</v>
      </c>
      <c r="C167" s="2">
        <v>0.0</v>
      </c>
      <c r="D167" s="2">
        <v>-1022.0</v>
      </c>
      <c r="E167" s="2">
        <v>-58.52</v>
      </c>
    </row>
    <row r="168" spans="1:5" customHeight="1" x14ac:dyDescent="0.15">
      <c r="A168" s="2" t="s">
        <f>"093000041920011"</f>
        <v>336</v>
      </c>
      <c r="B168" s="2" t="s">
        <f>"贾繁"</f>
        <v>337</v>
      </c>
      <c r="C168" s="2">
        <v>144.0</v>
      </c>
      <c r="D168" s="2">
        <v>-1224.0</v>
      </c>
      <c r="E168" s="2">
        <v>-116.81</v>
      </c>
    </row>
    <row r="169" spans="1:5" customHeight="1" x14ac:dyDescent="0.15">
      <c r="A169" s="2" t="s">
        <f>"093000920246"</f>
        <v>338</v>
      </c>
      <c r="B169" s="2" t="s">
        <f>"徐沛"</f>
        <v>339</v>
      </c>
      <c r="C169" s="2">
        <v>-2954.0</v>
      </c>
      <c r="D169" s="2">
        <v>1384.0</v>
      </c>
      <c r="E169" s="2">
        <v>-1076.31</v>
      </c>
    </row>
    <row r="170" spans="1:5" customHeight="1" x14ac:dyDescent="0.15">
      <c r="A170" s="2" t="s">
        <f>"093000920247"</f>
        <v>340</v>
      </c>
      <c r="B170" s="2" t="s">
        <f>"张兴第"</f>
        <v>341</v>
      </c>
      <c r="C170" s="2">
        <v>-1204.0</v>
      </c>
      <c r="D170" s="2">
        <v>495.0</v>
      </c>
      <c r="E170" s="2">
        <v>-949.94</v>
      </c>
    </row>
    <row r="171" spans="1:5" customHeight="1" x14ac:dyDescent="0.15">
      <c r="A171" s="2" t="s">
        <f>"093000920250"</f>
        <v>342</v>
      </c>
      <c r="B171" s="2" t="s">
        <f>"钱猛"</f>
        <v>343</v>
      </c>
      <c r="C171" s="2">
        <v>0.0</v>
      </c>
      <c r="D171" s="2">
        <v>40.0</v>
      </c>
      <c r="E171" s="2">
        <v>-166.13</v>
      </c>
    </row>
    <row r="172" spans="1:5" customHeight="1" x14ac:dyDescent="0.15">
      <c r="A172" s="2" t="s">
        <f>"093000920252"</f>
        <v>344</v>
      </c>
      <c r="B172" s="2" t="s">
        <f>"杨祥义"</f>
        <v>345</v>
      </c>
      <c r="C172" s="2">
        <v>0.0</v>
      </c>
      <c r="D172" s="2">
        <v>0.0</v>
      </c>
      <c r="E172" s="2">
        <v>0.0</v>
      </c>
    </row>
    <row r="173" spans="1:5" customHeight="1" x14ac:dyDescent="0.15">
      <c r="A173" s="2" t="s">
        <f>"093000049920004"</f>
        <v>346</v>
      </c>
      <c r="B173" s="2" t="s">
        <f>"万龙"</f>
        <v>347</v>
      </c>
      <c r="C173" s="2">
        <v>10.0</v>
      </c>
      <c r="D173" s="2">
        <v>-2062.0</v>
      </c>
      <c r="E173" s="2">
        <v>-687.19</v>
      </c>
    </row>
    <row r="174" spans="1:5" customHeight="1" x14ac:dyDescent="0.15">
      <c r="A174" s="2" t="s">
        <f>"093000920251"</f>
        <v>348</v>
      </c>
      <c r="B174" s="2" t="s">
        <f>"户小方"</f>
        <v>349</v>
      </c>
      <c r="C174" s="2">
        <v>-324.0</v>
      </c>
      <c r="D174" s="2">
        <v>562.0</v>
      </c>
      <c r="E174" s="2">
        <v>-961.77</v>
      </c>
    </row>
    <row r="175" spans="1:5" customHeight="1" x14ac:dyDescent="0.15">
      <c r="A175" s="2" t="s">
        <f>"093000049920005"</f>
        <v>350</v>
      </c>
      <c r="B175" s="2" t="s">
        <f>"刘银"</f>
        <v>351</v>
      </c>
      <c r="C175" s="2">
        <v>0.0</v>
      </c>
      <c r="D175" s="2">
        <v>-860.0</v>
      </c>
      <c r="E175" s="2">
        <v>-82.32</v>
      </c>
    </row>
    <row r="176" spans="1:5" customHeight="1" x14ac:dyDescent="0.15">
      <c r="A176" s="2" t="s">
        <f>"093000920253"</f>
        <v>352</v>
      </c>
      <c r="B176" s="2" t="s">
        <f>"王大林"</f>
        <v>353</v>
      </c>
      <c r="C176" s="2">
        <v>-292.0</v>
      </c>
      <c r="D176" s="2">
        <v>-822.0</v>
      </c>
      <c r="E176" s="2">
        <v>-611.19</v>
      </c>
    </row>
    <row r="177" spans="1:5" customHeight="1" x14ac:dyDescent="0.15">
      <c r="A177" s="2" t="s">
        <f>"093000920254"</f>
        <v>354</v>
      </c>
      <c r="B177" s="2" t="s">
        <f>"刘蕾"</f>
        <v>355</v>
      </c>
      <c r="C177" s="2">
        <v>0.0</v>
      </c>
      <c r="D177" s="2">
        <v>0.0</v>
      </c>
      <c r="E177" s="2">
        <v>0.0</v>
      </c>
    </row>
    <row r="178" spans="1:5" customHeight="1" x14ac:dyDescent="0.15">
      <c r="A178" s="2" t="s">
        <f>"093000049920006"</f>
        <v>356</v>
      </c>
      <c r="B178" s="2" t="s">
        <f>"张帅"</f>
        <v>357</v>
      </c>
      <c r="C178" s="2">
        <v>-580.0</v>
      </c>
      <c r="D178" s="2">
        <v>451.0</v>
      </c>
      <c r="E178" s="2">
        <v>-1048.59</v>
      </c>
    </row>
    <row r="179" spans="1:5" customHeight="1" x14ac:dyDescent="0.15">
      <c r="A179" s="2" t="s">
        <f>"093000920255"</f>
        <v>358</v>
      </c>
      <c r="B179" s="2" t="s">
        <f>"王航"</f>
        <v>359</v>
      </c>
      <c r="C179" s="2">
        <v>-192.0</v>
      </c>
      <c r="D179" s="2">
        <v>-465.0</v>
      </c>
      <c r="E179" s="2">
        <v>-634.58</v>
      </c>
    </row>
    <row r="180" spans="1:5" customHeight="1" x14ac:dyDescent="0.15">
      <c r="A180" s="2" t="s">
        <f>"093000040920020"</f>
        <v>360</v>
      </c>
      <c r="B180" s="2" t="s">
        <f>"高宇飞"</f>
        <v>361</v>
      </c>
      <c r="C180" s="2">
        <v>0.0</v>
      </c>
      <c r="D180" s="2">
        <v>0.0</v>
      </c>
      <c r="E180" s="2">
        <v>0.0</v>
      </c>
    </row>
    <row r="181" spans="1:5" customHeight="1" x14ac:dyDescent="0.15">
      <c r="A181" s="2" t="s">
        <f>"093000920256"</f>
        <v>362</v>
      </c>
      <c r="B181" s="2" t="s">
        <f>"冯强"</f>
        <v>363</v>
      </c>
      <c r="C181" s="2">
        <v>0.0</v>
      </c>
      <c r="D181" s="2">
        <v>-599.0</v>
      </c>
      <c r="E181" s="2">
        <v>-290.95</v>
      </c>
    </row>
    <row r="182" spans="1:5" customHeight="1" x14ac:dyDescent="0.15">
      <c r="A182" s="2" t="s">
        <f>"093000920258"</f>
        <v>364</v>
      </c>
      <c r="B182" s="2" t="s">
        <f>"周玉平"</f>
        <v>365</v>
      </c>
      <c r="C182" s="2">
        <v>0.0</v>
      </c>
      <c r="D182" s="2">
        <v>-860.0</v>
      </c>
      <c r="E182" s="2">
        <v>-83.92</v>
      </c>
    </row>
    <row r="183" spans="1:5" customHeight="1" x14ac:dyDescent="0.15">
      <c r="A183" s="2" t="s">
        <f>"093000041920012"</f>
        <v>366</v>
      </c>
      <c r="B183" s="2" t="s">
        <f>"张志宇"</f>
        <v>367</v>
      </c>
      <c r="C183" s="2">
        <v>0.0</v>
      </c>
      <c r="D183" s="2">
        <v>984.0</v>
      </c>
      <c r="E183" s="2">
        <v>-115.65</v>
      </c>
    </row>
    <row r="184" spans="1:5" customHeight="1" x14ac:dyDescent="0.15">
      <c r="A184" s="2" t="s">
        <f>"093000920262"</f>
        <v>368</v>
      </c>
      <c r="B184" s="2" t="s">
        <f>"黄吉云"</f>
        <v>369</v>
      </c>
      <c r="C184" s="2">
        <v>-180.0</v>
      </c>
      <c r="D184" s="2">
        <v>-2480.0</v>
      </c>
      <c r="E184" s="2">
        <v>-1227.38</v>
      </c>
    </row>
    <row r="185" spans="1:5" customHeight="1" x14ac:dyDescent="0.15">
      <c r="A185" s="2" t="s">
        <f>"093000920260"</f>
        <v>370</v>
      </c>
      <c r="B185" s="2" t="s">
        <f>"王天秀"</f>
        <v>371</v>
      </c>
      <c r="C185" s="2">
        <v>-400.0</v>
      </c>
      <c r="D185" s="2">
        <v>-1480.0</v>
      </c>
      <c r="E185" s="2">
        <v>-1477.35</v>
      </c>
    </row>
    <row r="186" spans="1:5" customHeight="1" x14ac:dyDescent="0.15">
      <c r="A186" s="2" t="s">
        <f>"093000920259"</f>
        <v>372</v>
      </c>
      <c r="B186" s="2" t="s">
        <f>"胡秀丽"</f>
        <v>373</v>
      </c>
      <c r="C186" s="2">
        <v>-92.0</v>
      </c>
      <c r="D186" s="2">
        <v>-1242.0</v>
      </c>
      <c r="E186" s="2">
        <v>-243.21</v>
      </c>
    </row>
    <row r="187" spans="1:5" customHeight="1" x14ac:dyDescent="0.15">
      <c r="A187" s="2" t="s">
        <f>"093000037920018"</f>
        <v>374</v>
      </c>
      <c r="B187" s="2" t="s">
        <f>"杨可欣"</f>
        <v>375</v>
      </c>
      <c r="C187" s="2">
        <v>-183.0</v>
      </c>
      <c r="D187" s="2">
        <v>-867.0</v>
      </c>
      <c r="E187" s="2">
        <v>-257.53</v>
      </c>
    </row>
    <row r="188" spans="1:5" customHeight="1" x14ac:dyDescent="0.15">
      <c r="A188" s="2" t="s">
        <f>"093000037920019"</f>
        <v>376</v>
      </c>
      <c r="B188" s="2" t="s">
        <f>"李建永"</f>
        <v>377</v>
      </c>
      <c r="C188" s="2">
        <v>-869.0</v>
      </c>
      <c r="D188" s="2">
        <v>-3322.0</v>
      </c>
      <c r="E188" s="2">
        <v>-3048.21</v>
      </c>
    </row>
    <row r="189" spans="1:5" customHeight="1" x14ac:dyDescent="0.15">
      <c r="A189" s="2" t="s">
        <f>"093000037920020"</f>
        <v>378</v>
      </c>
      <c r="B189" s="2" t="s">
        <f>"伍萍"</f>
        <v>379</v>
      </c>
      <c r="C189" s="2">
        <v>-163.0</v>
      </c>
      <c r="D189" s="2">
        <v>-1113.0</v>
      </c>
      <c r="E189" s="2">
        <v>-3692.3</v>
      </c>
    </row>
    <row r="190" spans="1:5" customHeight="1" x14ac:dyDescent="0.15">
      <c r="A190" s="2" t="s">
        <f>"093000920263"</f>
        <v>380</v>
      </c>
      <c r="B190" s="2" t="s">
        <f>"叶涛"</f>
        <v>381</v>
      </c>
      <c r="C190" s="2">
        <v>0.0</v>
      </c>
      <c r="D190" s="2">
        <v>0.0</v>
      </c>
      <c r="E190" s="2">
        <v>0.0</v>
      </c>
    </row>
    <row r="191" spans="1:5" customHeight="1" x14ac:dyDescent="0.15">
      <c r="A191" s="2" t="s">
        <f>"093000920264"</f>
        <v>382</v>
      </c>
      <c r="B191" s="2" t="s">
        <f>"牛彬"</f>
        <v>383</v>
      </c>
      <c r="C191" s="2">
        <v>-102.0</v>
      </c>
      <c r="D191" s="2">
        <v>-2190.0</v>
      </c>
      <c r="E191" s="2">
        <v>-1422.65</v>
      </c>
    </row>
    <row r="192" spans="1:5" customHeight="1" x14ac:dyDescent="0.15">
      <c r="A192" s="2" t="s">
        <f>"093000049920008"</f>
        <v>384</v>
      </c>
      <c r="B192" s="2" t="s">
        <f>"张夏梦"</f>
        <v>385</v>
      </c>
      <c r="C192" s="2">
        <v>0.0</v>
      </c>
      <c r="D192" s="2">
        <v>-700.0</v>
      </c>
      <c r="E192" s="2">
        <v>-171.12</v>
      </c>
    </row>
    <row r="193" spans="1:5" customHeight="1" x14ac:dyDescent="0.15">
      <c r="A193" s="2" t="s">
        <f>"093000920266"</f>
        <v>386</v>
      </c>
      <c r="B193" s="2" t="s">
        <f>"朱玉卫"</f>
        <v>387</v>
      </c>
      <c r="C193" s="2">
        <v>-840.0</v>
      </c>
      <c r="D193" s="2">
        <v>-200.0</v>
      </c>
      <c r="E193" s="2">
        <v>-84.29</v>
      </c>
    </row>
    <row r="194" spans="1:5" customHeight="1" x14ac:dyDescent="0.15">
      <c r="A194" s="2" t="s">
        <f>"093000920265"</f>
        <v>388</v>
      </c>
      <c r="B194" s="2" t="s">
        <f>"刘娜"</f>
        <v>389</v>
      </c>
      <c r="C194" s="2">
        <v>-515.0</v>
      </c>
      <c r="D194" s="2">
        <v>-1203.0</v>
      </c>
      <c r="E194" s="2">
        <v>-535.48</v>
      </c>
    </row>
    <row r="195" spans="1:5" customHeight="1" x14ac:dyDescent="0.15">
      <c r="A195" s="2" t="s">
        <f>"093000037920021"</f>
        <v>390</v>
      </c>
      <c r="B195" s="2" t="s">
        <f>"王贝贝"</f>
        <v>391</v>
      </c>
      <c r="C195" s="2">
        <v>0.0</v>
      </c>
      <c r="D195" s="2">
        <v>0.0</v>
      </c>
      <c r="E195" s="2">
        <v>0.0</v>
      </c>
    </row>
    <row r="196" spans="1:5" customHeight="1" x14ac:dyDescent="0.15">
      <c r="A196" s="2" t="s">
        <f>"093000920268"</f>
        <v>392</v>
      </c>
      <c r="B196" s="2" t="s">
        <f>"张柱"</f>
        <v>393</v>
      </c>
      <c r="C196" s="2">
        <v>0.0</v>
      </c>
      <c r="D196" s="2">
        <v>0.0</v>
      </c>
      <c r="E196" s="2">
        <v>0.0</v>
      </c>
    </row>
    <row r="197" spans="1:5" customHeight="1" x14ac:dyDescent="0.15">
      <c r="A197" s="2" t="s">
        <f>"093000920270"</f>
        <v>394</v>
      </c>
      <c r="B197" s="2" t="s">
        <f>"付中原"</f>
        <v>395</v>
      </c>
      <c r="C197" s="2">
        <v>-1758.0</v>
      </c>
      <c r="D197" s="2">
        <v>-10811.0</v>
      </c>
      <c r="E197" s="2">
        <v>-2102.17</v>
      </c>
    </row>
    <row r="198" spans="1:5" customHeight="1" x14ac:dyDescent="0.15">
      <c r="A198" s="2" t="s">
        <f>"0930000001"</f>
        <v>396</v>
      </c>
      <c r="B198" s="2" t="s">
        <f>"岳林林"</f>
        <v>397</v>
      </c>
      <c r="C198" s="2">
        <v>0.0</v>
      </c>
      <c r="D198" s="2">
        <v>0.0</v>
      </c>
      <c r="E198" s="2">
        <v>0.0</v>
      </c>
    </row>
    <row r="199" spans="1:5" customHeight="1" x14ac:dyDescent="0.15">
      <c r="A199" s="2" t="s">
        <f>"0930000000100"</f>
        <v>398</v>
      </c>
      <c r="B199" s="2" t="s">
        <f>"张恩"</f>
        <v>399</v>
      </c>
      <c r="C199" s="2">
        <v>0.0</v>
      </c>
      <c r="D199" s="2">
        <v>0.0</v>
      </c>
      <c r="E199" s="2">
        <v>0.0</v>
      </c>
    </row>
    <row r="200" spans="1:5" customHeight="1" x14ac:dyDescent="0.15">
      <c r="A200" s="2" t="s">
        <f>"093000920274"</f>
        <v>400</v>
      </c>
      <c r="B200" s="2" t="s">
        <f>"郜坡"</f>
        <v>401</v>
      </c>
      <c r="C200" s="2">
        <v>-487.0</v>
      </c>
      <c r="D200" s="2">
        <v>-1147.0</v>
      </c>
      <c r="E200" s="2">
        <v>-386.86</v>
      </c>
    </row>
    <row r="201" spans="1:5" customHeight="1" x14ac:dyDescent="0.15">
      <c r="A201" s="2" t="s">
        <f>"093000920275"</f>
        <v>402</v>
      </c>
      <c r="B201" s="2" t="s">
        <f>"毛培梅"</f>
        <v>403</v>
      </c>
      <c r="C201" s="2">
        <v>0.0</v>
      </c>
      <c r="D201" s="2">
        <v>-740.0</v>
      </c>
      <c r="E201" s="2">
        <v>-172.27</v>
      </c>
    </row>
    <row r="202" spans="1:5" customHeight="1" x14ac:dyDescent="0.15">
      <c r="A202" s="2" t="s">
        <f>"0930000413400"</f>
        <v>404</v>
      </c>
      <c r="B202" s="2" t="s">
        <f>"陈娟"</f>
        <v>405</v>
      </c>
      <c r="C202" s="2">
        <v>0.0</v>
      </c>
      <c r="D202" s="2">
        <v>0.0</v>
      </c>
      <c r="E202" s="2">
        <v>0.0</v>
      </c>
    </row>
    <row r="203" spans="1:5" customHeight="1" x14ac:dyDescent="0.15">
      <c r="A203" s="2" t="s">
        <f>"093000920276"</f>
        <v>406</v>
      </c>
      <c r="B203" s="2" t="s">
        <f>"王芳"</f>
        <v>407</v>
      </c>
      <c r="C203" s="2">
        <v>0.0</v>
      </c>
      <c r="D203" s="2">
        <v>0.0</v>
      </c>
      <c r="E203" s="2">
        <v>0.0</v>
      </c>
    </row>
    <row r="204" spans="1:5" customHeight="1" x14ac:dyDescent="0.15">
      <c r="A204" s="2" t="s">
        <f>"0930000400900"</f>
        <v>408</v>
      </c>
      <c r="B204" s="2" t="s">
        <f>"郭洁连"</f>
        <v>409</v>
      </c>
      <c r="C204" s="2">
        <v>220.0</v>
      </c>
      <c r="D204" s="2">
        <v>580.0</v>
      </c>
      <c r="E204" s="2">
        <v>-117.96</v>
      </c>
    </row>
    <row r="205" spans="1:5" customHeight="1" x14ac:dyDescent="0.15">
      <c r="A205" s="2" t="s">
        <f>"0930000000200"</f>
        <v>410</v>
      </c>
      <c r="B205" s="2" t="s">
        <f>"李帅伟"</f>
        <v>411</v>
      </c>
      <c r="C205" s="2">
        <v>-1064.0</v>
      </c>
      <c r="D205" s="2">
        <v>101.0</v>
      </c>
      <c r="E205" s="2">
        <v>-55.01</v>
      </c>
    </row>
    <row r="206" spans="1:5" customHeight="1" x14ac:dyDescent="0.15">
      <c r="A206" s="2" t="s">
        <f>"093000041920013"</f>
        <v>412</v>
      </c>
      <c r="B206" s="2" t="s">
        <f>"汤慧"</f>
        <v>413</v>
      </c>
      <c r="C206" s="2">
        <v>0.0</v>
      </c>
      <c r="D206" s="2">
        <v>0.0</v>
      </c>
      <c r="E206" s="2">
        <v>0.0</v>
      </c>
    </row>
    <row r="207" spans="1:5" customHeight="1" x14ac:dyDescent="0.15">
      <c r="A207" s="2" t="s">
        <f>"093000920288"</f>
        <v>414</v>
      </c>
      <c r="B207" s="2" t="s">
        <f>"刘辉"</f>
        <v>415</v>
      </c>
      <c r="C207" s="2">
        <v>0.0</v>
      </c>
      <c r="D207" s="2">
        <v>157.0</v>
      </c>
      <c r="E207" s="2">
        <v>-53.48</v>
      </c>
    </row>
    <row r="208" spans="1:5" customHeight="1" x14ac:dyDescent="0.15">
      <c r="A208" s="2" t="s">
        <f>"093000920287"</f>
        <v>416</v>
      </c>
      <c r="B208" s="2" t="s">
        <f>"乔峰"</f>
        <v>417</v>
      </c>
      <c r="C208" s="2">
        <v>0.0</v>
      </c>
      <c r="D208" s="2">
        <v>384.0</v>
      </c>
      <c r="E208" s="2">
        <v>-54.94</v>
      </c>
    </row>
    <row r="209" spans="1:5" customHeight="1" x14ac:dyDescent="0.15">
      <c r="A209" s="2" t="s">
        <f>"093000920286"</f>
        <v>418</v>
      </c>
      <c r="B209" s="2" t="s">
        <f>"孙月阳"</f>
        <v>419</v>
      </c>
      <c r="C209" s="2">
        <v>0.0</v>
      </c>
      <c r="D209" s="2">
        <v>0.0</v>
      </c>
      <c r="E209" s="2">
        <v>0.0</v>
      </c>
    </row>
    <row r="210" spans="1:5" customHeight="1" x14ac:dyDescent="0.15">
      <c r="A210" s="2" t="s">
        <f>"093000920284"</f>
        <v>420</v>
      </c>
      <c r="B210" s="2" t="s">
        <f>"郭清义"</f>
        <v>421</v>
      </c>
      <c r="C210" s="2">
        <v>0.0</v>
      </c>
      <c r="D210" s="2">
        <v>-572.0</v>
      </c>
      <c r="E210" s="2">
        <v>-119.97</v>
      </c>
    </row>
    <row r="211" spans="1:5" customHeight="1" x14ac:dyDescent="0.15">
      <c r="A211" s="2" t="s">
        <f>"093000920282"</f>
        <v>422</v>
      </c>
      <c r="B211" s="2" t="s">
        <f>"户方方"</f>
        <v>423</v>
      </c>
      <c r="C211" s="2">
        <v>-1088.0</v>
      </c>
      <c r="D211" s="2">
        <v>-460.0</v>
      </c>
      <c r="E211" s="2">
        <v>-682.26</v>
      </c>
    </row>
    <row r="212" spans="1:5" customHeight="1" x14ac:dyDescent="0.15">
      <c r="A212" s="2" t="s">
        <f>"093000920281"</f>
        <v>424</v>
      </c>
      <c r="B212" s="2" t="s">
        <f>"全丽"</f>
        <v>425</v>
      </c>
      <c r="C212" s="2">
        <v>0.0</v>
      </c>
      <c r="D212" s="2">
        <v>0.0</v>
      </c>
      <c r="E212" s="2">
        <v>0.0</v>
      </c>
    </row>
    <row r="213" spans="1:5" customHeight="1" x14ac:dyDescent="0.15">
      <c r="A213" s="2" t="s">
        <f>"093000920280"</f>
        <v>426</v>
      </c>
      <c r="B213" s="2" t="s">
        <f>"张全德"</f>
        <v>427</v>
      </c>
      <c r="C213" s="2">
        <v>-1906.0</v>
      </c>
      <c r="D213" s="2">
        <v>439.0</v>
      </c>
      <c r="E213" s="2">
        <v>-2616.45</v>
      </c>
    </row>
    <row r="214" spans="1:5" customHeight="1" x14ac:dyDescent="0.15">
      <c r="A214" s="2" t="s">
        <f>"093000920278"</f>
        <v>428</v>
      </c>
      <c r="B214" s="2" t="s">
        <f>"岳林林"</f>
        <v>397</v>
      </c>
      <c r="C214" s="2">
        <v>-1852.0</v>
      </c>
      <c r="D214" s="2">
        <v>219.0</v>
      </c>
      <c r="E214" s="2">
        <v>-455.39</v>
      </c>
    </row>
    <row r="215" spans="1:5" customHeight="1" x14ac:dyDescent="0.15">
      <c r="A215" s="2" t="s">
        <f>"093000920294"</f>
        <v>429</v>
      </c>
      <c r="B215" s="2" t="s">
        <f>"蒋祖盛"</f>
        <v>430</v>
      </c>
      <c r="C215" s="2">
        <v>0.0</v>
      </c>
      <c r="D215" s="2">
        <v>0.0</v>
      </c>
      <c r="E215" s="2">
        <v>0.0</v>
      </c>
    </row>
    <row r="216" spans="1:5" customHeight="1" x14ac:dyDescent="0.15">
      <c r="A216" s="2" t="s">
        <f>"093000920297"</f>
        <v>431</v>
      </c>
      <c r="B216" s="2" t="s">
        <f>"侯冰"</f>
        <v>432</v>
      </c>
      <c r="C216" s="2">
        <v>0.0</v>
      </c>
      <c r="D216" s="2">
        <v>-732.0</v>
      </c>
      <c r="E216" s="2">
        <v>-172.02</v>
      </c>
    </row>
    <row r="217" spans="1:5" customHeight="1" x14ac:dyDescent="0.15">
      <c r="A217" s="2" t="s">
        <f>"093000920299"</f>
        <v>433</v>
      </c>
      <c r="B217" s="2" t="s">
        <f>"王磊"</f>
        <v>126</v>
      </c>
      <c r="C217" s="2">
        <v>-3393.0</v>
      </c>
      <c r="D217" s="2">
        <v>1506.0</v>
      </c>
      <c r="E217" s="2">
        <v>-2506.83</v>
      </c>
    </row>
    <row r="218" spans="1:5" customHeight="1" x14ac:dyDescent="0.15">
      <c r="A218" s="2" t="s">
        <f>"093000920298"</f>
        <v>434</v>
      </c>
      <c r="B218" s="2" t="s">
        <f>"王斌"</f>
        <v>435</v>
      </c>
      <c r="C218" s="2">
        <v>-24.0</v>
      </c>
      <c r="D218" s="2">
        <v>-669.0</v>
      </c>
      <c r="E218" s="2">
        <v>-1094.2</v>
      </c>
    </row>
    <row r="219" spans="1:5" customHeight="1" x14ac:dyDescent="0.15">
      <c r="A219" s="2" t="s">
        <f>"093000920302"</f>
        <v>436</v>
      </c>
      <c r="B219" s="2" t="s">
        <f>"王群锋"</f>
        <v>437</v>
      </c>
      <c r="C219" s="2">
        <v>0.0</v>
      </c>
      <c r="D219" s="2">
        <v>240.0</v>
      </c>
      <c r="E219" s="2">
        <v>-67.76</v>
      </c>
    </row>
    <row r="220" spans="1:5" customHeight="1" x14ac:dyDescent="0.15">
      <c r="A220" s="2" t="s">
        <f>"093000920303"</f>
        <v>438</v>
      </c>
      <c r="B220" s="2" t="s">
        <f>"欧阳勇平"</f>
        <v>439</v>
      </c>
      <c r="C220" s="2">
        <v>896.0</v>
      </c>
      <c r="D220" s="2">
        <v>-2059.0</v>
      </c>
      <c r="E220" s="2">
        <v>-2411.0</v>
      </c>
    </row>
    <row r="221" spans="1:5" customHeight="1" x14ac:dyDescent="0.15">
      <c r="A221" s="2" t="s">
        <f>"093000037920022"</f>
        <v>440</v>
      </c>
      <c r="B221" s="2" t="s">
        <f>"孙海平"</f>
        <v>441</v>
      </c>
      <c r="C221" s="2">
        <v>0.0</v>
      </c>
      <c r="D221" s="2">
        <v>-6.0</v>
      </c>
      <c r="E221" s="2">
        <v>-5.86</v>
      </c>
    </row>
    <row r="222" spans="1:5" customHeight="1" x14ac:dyDescent="0.15">
      <c r="A222" s="2" t="s">
        <f>"093000920304"</f>
        <v>442</v>
      </c>
      <c r="B222" s="2" t="s">
        <f>"王玉丹"</f>
        <v>443</v>
      </c>
      <c r="C222" s="2">
        <v>0.0</v>
      </c>
      <c r="D222" s="2">
        <v>482.0</v>
      </c>
      <c r="E222" s="2">
        <v>-516.1</v>
      </c>
    </row>
    <row r="223" spans="1:5" customHeight="1" x14ac:dyDescent="0.15">
      <c r="A223" s="2" t="s">
        <f>"093000920305"</f>
        <v>444</v>
      </c>
      <c r="B223" s="2" t="s">
        <f>"赵亚茹"</f>
        <v>445</v>
      </c>
      <c r="C223" s="2">
        <v>0.0</v>
      </c>
      <c r="D223" s="2">
        <v>552.0</v>
      </c>
      <c r="E223" s="2">
        <v>-609.22</v>
      </c>
    </row>
    <row r="224" spans="1:5" customHeight="1" x14ac:dyDescent="0.15">
      <c r="A224" s="2" t="s">
        <f>"093000920306"</f>
        <v>446</v>
      </c>
      <c r="B224" s="2" t="s">
        <f>"全合平"</f>
        <v>447</v>
      </c>
      <c r="C224" s="2">
        <v>-1388.0</v>
      </c>
      <c r="D224" s="2">
        <v>2765.0</v>
      </c>
      <c r="E224" s="2">
        <v>-1183.84</v>
      </c>
    </row>
    <row r="225" spans="1:5" customHeight="1" x14ac:dyDescent="0.15">
      <c r="A225" s="2" t="s">
        <f>"093000051920002"</f>
        <v>448</v>
      </c>
      <c r="B225" s="2" t="s">
        <f>"张腾飞"</f>
        <v>449</v>
      </c>
      <c r="C225" s="2">
        <v>0.0</v>
      </c>
      <c r="D225" s="2">
        <v>0.0</v>
      </c>
      <c r="E225" s="2">
        <v>0.0</v>
      </c>
    </row>
    <row r="226" spans="1:5" customHeight="1" x14ac:dyDescent="0.15">
      <c r="A226" s="2" t="s">
        <f>"093000920307"</f>
        <v>450</v>
      </c>
      <c r="B226" s="2" t="s">
        <f>"陈丽芹"</f>
        <v>451</v>
      </c>
      <c r="C226" s="2">
        <v>-20718.0</v>
      </c>
      <c r="D226" s="2">
        <v>1976.0</v>
      </c>
      <c r="E226" s="2">
        <v>-6288.18</v>
      </c>
    </row>
    <row r="227" spans="1:5" customHeight="1" x14ac:dyDescent="0.15">
      <c r="A227" s="2" t="s">
        <f>"093000920308"</f>
        <v>452</v>
      </c>
      <c r="B227" s="2" t="s">
        <f>"陈振慧"</f>
        <v>453</v>
      </c>
      <c r="C227" s="2">
        <v>0.0</v>
      </c>
      <c r="D227" s="2">
        <v>0.0</v>
      </c>
      <c r="E227" s="2">
        <v>0.0</v>
      </c>
    </row>
    <row r="228" spans="1:5" customHeight="1" x14ac:dyDescent="0.15">
      <c r="A228" s="2" t="s">
        <f>"093000000000"</f>
        <v>454</v>
      </c>
      <c r="B228" s="2" t="s">
        <f>"雪东东"</f>
        <v>455</v>
      </c>
      <c r="C228" s="2">
        <v>0.0</v>
      </c>
      <c r="D228" s="2">
        <v>-639.0</v>
      </c>
      <c r="E228" s="2">
        <v>-57.32</v>
      </c>
    </row>
    <row r="229" spans="1:5" customHeight="1" x14ac:dyDescent="0.15">
      <c r="A229" s="2" t="s">
        <f>"093000037920023"</f>
        <v>456</v>
      </c>
      <c r="B229" s="2" t="s">
        <f>"于方方"</f>
        <v>457</v>
      </c>
      <c r="C229" s="2">
        <v>-16.0</v>
      </c>
      <c r="D229" s="2">
        <v>84.0</v>
      </c>
      <c r="E229" s="2">
        <v>-5.93</v>
      </c>
    </row>
    <row r="230" spans="1:5" customHeight="1" x14ac:dyDescent="0.15">
      <c r="A230" s="2" t="s">
        <f>"093000059920001"</f>
        <v>458</v>
      </c>
      <c r="B230" s="2" t="s">
        <f>"杨鹏"</f>
        <v>459</v>
      </c>
      <c r="C230" s="2">
        <v>-1259.0</v>
      </c>
      <c r="D230" s="2">
        <v>-173.0</v>
      </c>
      <c r="E230" s="2">
        <v>-740.5</v>
      </c>
    </row>
    <row r="231" spans="1:5" customHeight="1" x14ac:dyDescent="0.15">
      <c r="A231" s="2" t="s">
        <f>"093000920313"</f>
        <v>460</v>
      </c>
      <c r="B231" s="2" t="s">
        <f>"杨慧"</f>
        <v>461</v>
      </c>
      <c r="C231" s="2">
        <v>0.0</v>
      </c>
      <c r="D231" s="2">
        <v>-523.0</v>
      </c>
      <c r="E231" s="2">
        <v>-140.33</v>
      </c>
    </row>
    <row r="232" spans="1:5" customHeight="1" x14ac:dyDescent="0.15">
      <c r="A232" s="2" t="s">
        <f>"093000049920010"</f>
        <v>462</v>
      </c>
      <c r="B232" s="2" t="s">
        <f>"潘士林"</f>
        <v>463</v>
      </c>
      <c r="C232" s="2">
        <v>0.0</v>
      </c>
      <c r="D232" s="2">
        <v>-860.0</v>
      </c>
      <c r="E232" s="2">
        <v>-82.32</v>
      </c>
    </row>
    <row r="233" spans="1:5" customHeight="1" x14ac:dyDescent="0.15">
      <c r="A233" s="2" t="s">
        <f>"093000049920011"</f>
        <v>464</v>
      </c>
      <c r="B233" s="2" t="s">
        <f>"夏有志"</f>
        <v>465</v>
      </c>
      <c r="C233" s="2">
        <v>0.0</v>
      </c>
      <c r="D233" s="2">
        <v>-663.0</v>
      </c>
      <c r="E233" s="2">
        <v>-401.79</v>
      </c>
    </row>
    <row r="234" spans="1:5" customHeight="1" x14ac:dyDescent="0.15">
      <c r="A234" s="2" t="s">
        <f>"093000920314"</f>
        <v>466</v>
      </c>
      <c r="B234" s="2" t="s">
        <f>"赵玉玲"</f>
        <v>467</v>
      </c>
      <c r="C234" s="2">
        <v>0.0</v>
      </c>
      <c r="D234" s="2">
        <v>-586.0</v>
      </c>
      <c r="E234" s="2">
        <v>-157.82</v>
      </c>
    </row>
    <row r="235" spans="1:5" customHeight="1" x14ac:dyDescent="0.15">
      <c r="A235" s="2" t="s">
        <f>"093000049920012"</f>
        <v>468</v>
      </c>
      <c r="B235" s="2" t="s">
        <f>"程世俊"</f>
        <v>469</v>
      </c>
      <c r="C235" s="2">
        <v>0.0</v>
      </c>
      <c r="D235" s="2">
        <v>400.0</v>
      </c>
      <c r="E235" s="2">
        <v>-81.72</v>
      </c>
    </row>
    <row r="236" spans="1:5" customHeight="1" x14ac:dyDescent="0.15">
      <c r="A236" s="2" t="s">
        <f>"093000049920013"</f>
        <v>470</v>
      </c>
      <c r="B236" s="2" t="s">
        <f>"蔡培育"</f>
        <v>471</v>
      </c>
      <c r="C236" s="2">
        <v>0.0</v>
      </c>
      <c r="D236" s="2">
        <v>-900.0</v>
      </c>
      <c r="E236" s="2">
        <v>-81.96</v>
      </c>
    </row>
    <row r="237" spans="1:5" customHeight="1" x14ac:dyDescent="0.15">
      <c r="A237" s="2" t="s">
        <f>"093000049920014"</f>
        <v>472</v>
      </c>
      <c r="B237" s="2" t="s">
        <f>"刘欢"</f>
        <v>473</v>
      </c>
      <c r="C237" s="2">
        <v>0.0</v>
      </c>
      <c r="D237" s="2">
        <v>520.0</v>
      </c>
      <c r="E237" s="2">
        <v>-82.11</v>
      </c>
    </row>
    <row r="238" spans="1:5" customHeight="1" x14ac:dyDescent="0.15">
      <c r="A238" s="2" t="s">
        <f>"0930000000001"</f>
        <v>474</v>
      </c>
      <c r="B238" s="2" t="s">
        <f>"吴钊铭"</f>
        <v>475</v>
      </c>
      <c r="C238" s="2">
        <v>0.0</v>
      </c>
      <c r="D238" s="2">
        <v>-1100.0</v>
      </c>
      <c r="E238" s="2">
        <v>-80.08</v>
      </c>
    </row>
    <row r="239" spans="1:5" customHeight="1" x14ac:dyDescent="0.15">
      <c r="A239" s="2" t="s">
        <f>"093000041920016"</f>
        <v>476</v>
      </c>
      <c r="B239" s="2" t="s">
        <f>"彭新玉"</f>
        <v>477</v>
      </c>
      <c r="C239" s="2">
        <v>0.0</v>
      </c>
      <c r="D239" s="2">
        <v>-1088.0</v>
      </c>
      <c r="E239" s="2">
        <v>-115.64</v>
      </c>
    </row>
    <row r="240" spans="1:5" customHeight="1" x14ac:dyDescent="0.15">
      <c r="A240" s="2" t="s">
        <f>"093000920316"</f>
        <v>478</v>
      </c>
      <c r="B240" s="2" t="s">
        <f>"董雪"</f>
        <v>479</v>
      </c>
      <c r="C240" s="2">
        <v>42.0</v>
      </c>
      <c r="D240" s="2">
        <v>-1377.0</v>
      </c>
      <c r="E240" s="2">
        <v>-1087.11</v>
      </c>
    </row>
    <row r="241" spans="1:5" customHeight="1" x14ac:dyDescent="0.15">
      <c r="A241" s="2" t="s">
        <f>"093000046920002"</f>
        <v>480</v>
      </c>
      <c r="B241" s="2" t="s">
        <f>"张雄"</f>
        <v>481</v>
      </c>
      <c r="C241" s="2">
        <v>0.0</v>
      </c>
      <c r="D241" s="2">
        <v>0.0</v>
      </c>
      <c r="E241" s="2">
        <v>0.0</v>
      </c>
    </row>
    <row r="242" spans="1:5" customHeight="1" x14ac:dyDescent="0.15">
      <c r="A242" s="2" t="s">
        <f>"093000048920001"</f>
        <v>482</v>
      </c>
      <c r="B242" s="2" t="s">
        <f>"贺耀"</f>
        <v>483</v>
      </c>
      <c r="C242" s="2">
        <v>0.0</v>
      </c>
      <c r="D242" s="2">
        <v>0.0</v>
      </c>
      <c r="E242" s="2">
        <v>0.0</v>
      </c>
    </row>
    <row r="243" spans="1:5" customHeight="1" x14ac:dyDescent="0.15">
      <c r="A243" s="2" t="s">
        <f>"093000040920024"</f>
        <v>484</v>
      </c>
      <c r="B243" s="2" t="s">
        <f>"王盼娜"</f>
        <v>485</v>
      </c>
      <c r="C243" s="2">
        <v>0.0</v>
      </c>
      <c r="D243" s="2">
        <v>-973.0</v>
      </c>
      <c r="E243" s="2">
        <v>-175.91</v>
      </c>
    </row>
    <row r="244" spans="1:5" customHeight="1" x14ac:dyDescent="0.15">
      <c r="A244" s="2" t="s">
        <f>"093000049920015"</f>
        <v>486</v>
      </c>
      <c r="B244" s="2" t="s">
        <f>"耿恒鑫"</f>
        <v>487</v>
      </c>
      <c r="C244" s="2">
        <v>0.0</v>
      </c>
      <c r="D244" s="2">
        <v>-920.0</v>
      </c>
      <c r="E244" s="2">
        <v>-81.06</v>
      </c>
    </row>
    <row r="245" spans="1:5" customHeight="1" x14ac:dyDescent="0.15">
      <c r="A245" s="2" t="s">
        <f>"093000920319"</f>
        <v>488</v>
      </c>
      <c r="B245" s="2" t="s">
        <f>"崔栋栋"</f>
        <v>489</v>
      </c>
      <c r="C245" s="2">
        <v>0.0</v>
      </c>
      <c r="D245" s="2">
        <v>9.0</v>
      </c>
      <c r="E245" s="2">
        <v>-7.03</v>
      </c>
    </row>
    <row r="246" spans="1:5" customHeight="1" x14ac:dyDescent="0.15">
      <c r="A246" s="2" t="s">
        <f>"0930000000002"</f>
        <v>490</v>
      </c>
      <c r="B246" s="2" t="s">
        <f>"邓连顺"</f>
        <v>491</v>
      </c>
      <c r="C246" s="2">
        <v>0.0</v>
      </c>
      <c r="D246" s="2">
        <v>0.0</v>
      </c>
      <c r="E246" s="2">
        <v>0.0</v>
      </c>
    </row>
    <row r="247" spans="1:5" customHeight="1" x14ac:dyDescent="0.15">
      <c r="A247" s="2" t="s">
        <f>"093000920321"</f>
        <v>492</v>
      </c>
      <c r="B247" s="2" t="s">
        <f>"牛阳"</f>
        <v>493</v>
      </c>
      <c r="C247" s="2">
        <v>-134.0</v>
      </c>
      <c r="D247" s="2">
        <v>206.0</v>
      </c>
      <c r="E247" s="2">
        <v>-677.65</v>
      </c>
    </row>
    <row r="248" spans="1:5" customHeight="1" x14ac:dyDescent="0.15">
      <c r="A248" s="2" t="s">
        <f>"0930000000003"</f>
        <v>494</v>
      </c>
      <c r="B248" s="2" t="s">
        <f>"李松芳"</f>
        <v>495</v>
      </c>
      <c r="C248" s="2">
        <v>0.0</v>
      </c>
      <c r="D248" s="2">
        <v>0.0</v>
      </c>
      <c r="E248" s="2">
        <v>0.0</v>
      </c>
    </row>
    <row r="249" spans="1:5" customHeight="1" x14ac:dyDescent="0.15">
      <c r="A249" s="2" t="s">
        <f>"0930000000004"</f>
        <v>496</v>
      </c>
      <c r="B249" s="2" t="s">
        <f>"郭洪材"</f>
        <v>497</v>
      </c>
      <c r="C249" s="2">
        <v>-24.0</v>
      </c>
      <c r="D249" s="2">
        <v>-1116.0</v>
      </c>
      <c r="E249" s="2">
        <v>-96.01</v>
      </c>
    </row>
    <row r="250" spans="1:5" customHeight="1" x14ac:dyDescent="0.15">
      <c r="A250" s="2" t="s">
        <f>"0930000000005"</f>
        <v>498</v>
      </c>
      <c r="B250" s="2" t="s">
        <f>"赵培龙"</f>
        <v>499</v>
      </c>
      <c r="C250" s="2">
        <v>0.0</v>
      </c>
      <c r="D250" s="2">
        <v>0.0</v>
      </c>
      <c r="E250" s="2">
        <v>0.0</v>
      </c>
    </row>
    <row r="251" spans="1:5" customHeight="1" x14ac:dyDescent="0.15">
      <c r="A251" s="2" t="s">
        <f>"0930000000006"</f>
        <v>500</v>
      </c>
      <c r="B251" s="2" t="s">
        <f>"魏立国"</f>
        <v>501</v>
      </c>
      <c r="C251" s="2">
        <v>0.0</v>
      </c>
      <c r="D251" s="2">
        <v>0.0</v>
      </c>
      <c r="E251" s="2">
        <v>0.0</v>
      </c>
    </row>
    <row r="252" spans="1:5" customHeight="1" x14ac:dyDescent="0.15">
      <c r="A252" s="2" t="s">
        <f>"093000059920002"</f>
        <v>502</v>
      </c>
      <c r="B252" s="2" t="s">
        <f>"冯彬"</f>
        <v>503</v>
      </c>
      <c r="C252" s="2">
        <v>0.0</v>
      </c>
      <c r="D252" s="2">
        <v>0.0</v>
      </c>
      <c r="E252" s="2">
        <v>0.0</v>
      </c>
    </row>
    <row r="253" spans="1:5" customHeight="1" x14ac:dyDescent="0.15">
      <c r="A253" s="2" t="s">
        <f>"093000920322"</f>
        <v>504</v>
      </c>
      <c r="B253" s="2" t="s">
        <f>"朱祥中"</f>
        <v>505</v>
      </c>
      <c r="C253" s="2">
        <v>0.0</v>
      </c>
      <c r="D253" s="2">
        <v>-739.0</v>
      </c>
      <c r="E253" s="2">
        <v>-167.71</v>
      </c>
    </row>
    <row r="254" spans="1:5" customHeight="1" x14ac:dyDescent="0.15">
      <c r="A254" s="2" t="s">
        <f>"093000920323"</f>
        <v>506</v>
      </c>
      <c r="B254" s="2" t="s">
        <f>"董方芳"</f>
        <v>507</v>
      </c>
      <c r="C254" s="2">
        <v>30.0</v>
      </c>
      <c r="D254" s="2">
        <v>-1298.0</v>
      </c>
      <c r="E254" s="2">
        <v>-848.27</v>
      </c>
    </row>
    <row r="255" spans="1:5" customHeight="1" x14ac:dyDescent="0.15">
      <c r="A255" s="2" t="s">
        <f>"093000920324"</f>
        <v>508</v>
      </c>
      <c r="B255" s="2" t="s">
        <f>"袁媛"</f>
        <v>509</v>
      </c>
      <c r="C255" s="2">
        <v>0.0</v>
      </c>
      <c r="D255" s="2">
        <v>-1367.0</v>
      </c>
      <c r="E255" s="2">
        <v>-283.99</v>
      </c>
    </row>
    <row r="256" spans="1:5" customHeight="1" x14ac:dyDescent="0.15">
      <c r="A256" s="2" t="s">
        <f>"093000041920017"</f>
        <v>510</v>
      </c>
      <c r="B256" s="2" t="s">
        <f>"曾孝正"</f>
        <v>511</v>
      </c>
      <c r="C256" s="2">
        <v>0.0</v>
      </c>
      <c r="D256" s="2">
        <v>0.0</v>
      </c>
      <c r="E256" s="2">
        <v>0.0</v>
      </c>
    </row>
    <row r="257" spans="1:5" customHeight="1" x14ac:dyDescent="0.15">
      <c r="A257" s="2" t="s">
        <f>"093000056920002"</f>
        <v>512</v>
      </c>
      <c r="B257" s="2" t="s">
        <f>"王淑娟"</f>
        <v>513</v>
      </c>
      <c r="C257" s="2">
        <v>-5952.0</v>
      </c>
      <c r="D257" s="2">
        <v>3914.0</v>
      </c>
      <c r="E257" s="2">
        <v>-2325.84</v>
      </c>
    </row>
    <row r="258" spans="1:5" customHeight="1" x14ac:dyDescent="0.15">
      <c r="A258" s="2" t="s">
        <f>"093000049920016"</f>
        <v>514</v>
      </c>
      <c r="B258" s="2" t="s">
        <f>"刘新果"</f>
        <v>515</v>
      </c>
      <c r="C258" s="2">
        <v>0.0</v>
      </c>
      <c r="D258" s="2">
        <v>480.0</v>
      </c>
      <c r="E258" s="2">
        <v>-82.05</v>
      </c>
    </row>
    <row r="259" spans="1:5" customHeight="1" x14ac:dyDescent="0.15">
      <c r="A259" s="2" t="s">
        <f>"093000920326"</f>
        <v>516</v>
      </c>
      <c r="B259" s="2" t="s">
        <f>"杜珂"</f>
        <v>517</v>
      </c>
      <c r="C259" s="2">
        <v>-1453.0</v>
      </c>
      <c r="D259" s="2">
        <v>5478.0</v>
      </c>
      <c r="E259" s="2">
        <v>-1937.46</v>
      </c>
    </row>
    <row r="260" spans="1:5" customHeight="1" x14ac:dyDescent="0.15">
      <c r="A260" s="2" t="s">
        <f>"093000920327"</f>
        <v>518</v>
      </c>
      <c r="B260" s="2" t="s">
        <f>"王丹玉"</f>
        <v>519</v>
      </c>
      <c r="C260" s="2">
        <v>0.0</v>
      </c>
      <c r="D260" s="2">
        <v>0.0</v>
      </c>
      <c r="E260" s="2">
        <v>0.0</v>
      </c>
    </row>
    <row r="261" spans="1:5" customHeight="1" x14ac:dyDescent="0.15">
      <c r="A261" s="2" t="s">
        <f>"0930000000007"</f>
        <v>520</v>
      </c>
      <c r="B261" s="2" t="s">
        <f>"黄建华"</f>
        <v>521</v>
      </c>
      <c r="C261" s="2">
        <v>0.0</v>
      </c>
      <c r="D261" s="2">
        <v>0.0</v>
      </c>
      <c r="E261" s="2">
        <v>0.0</v>
      </c>
    </row>
    <row r="262" spans="1:5" customHeight="1" x14ac:dyDescent="0.15">
      <c r="A262" s="2" t="s">
        <f>"0930000000008"</f>
        <v>522</v>
      </c>
      <c r="B262" s="2" t="s">
        <f>"邓菊花"</f>
        <v>523</v>
      </c>
      <c r="C262" s="2">
        <v>0.0</v>
      </c>
      <c r="D262" s="2">
        <v>0.0</v>
      </c>
      <c r="E262" s="2">
        <v>0.0</v>
      </c>
    </row>
    <row r="263" spans="1:5" customHeight="1" x14ac:dyDescent="0.15">
      <c r="A263" s="2" t="s">
        <f>"0930000000009"</f>
        <v>524</v>
      </c>
      <c r="B263" s="2" t="s">
        <f>"王桂霞"</f>
        <v>525</v>
      </c>
      <c r="C263" s="2">
        <v>0.0</v>
      </c>
      <c r="D263" s="2">
        <v>-970.0</v>
      </c>
      <c r="E263" s="2">
        <v>-117.61</v>
      </c>
    </row>
    <row r="264" spans="1:5" customHeight="1" x14ac:dyDescent="0.15">
      <c r="A264" s="2" t="s">
        <f>"093000049920020"</f>
        <v>526</v>
      </c>
      <c r="B264" s="2" t="s">
        <f>"禹业玲"</f>
        <v>527</v>
      </c>
      <c r="C264" s="2">
        <v>0.0</v>
      </c>
      <c r="D264" s="2">
        <v>-860.0</v>
      </c>
      <c r="E264" s="2">
        <v>-83.95</v>
      </c>
    </row>
    <row r="265" spans="1:5" customHeight="1" x14ac:dyDescent="0.15">
      <c r="A265" s="2" t="s">
        <f>"093000043920002"</f>
        <v>528</v>
      </c>
      <c r="B265" s="2" t="s">
        <f>"宋选杰"</f>
        <v>529</v>
      </c>
      <c r="C265" s="2">
        <v>0.0</v>
      </c>
      <c r="D265" s="2">
        <v>-1107.0</v>
      </c>
      <c r="E265" s="2">
        <v>-743.93</v>
      </c>
    </row>
    <row r="266" spans="1:5" customHeight="1" x14ac:dyDescent="0.15">
      <c r="A266" s="2" t="s">
        <f>"093000043920003"</f>
        <v>530</v>
      </c>
      <c r="B266" s="2" t="s">
        <f>"叶晶晶"</f>
        <v>531</v>
      </c>
      <c r="C266" s="2">
        <v>-399.0</v>
      </c>
      <c r="D266" s="2">
        <v>-579.0</v>
      </c>
      <c r="E266" s="2">
        <v>-396.33</v>
      </c>
    </row>
    <row r="267" spans="1:5" customHeight="1" x14ac:dyDescent="0.15">
      <c r="A267" s="2" t="s">
        <f>"093000040920028"</f>
        <v>532</v>
      </c>
      <c r="B267" s="2" t="s">
        <f>"林柏全"</f>
        <v>533</v>
      </c>
      <c r="C267" s="2">
        <v>0.0</v>
      </c>
      <c r="D267" s="2">
        <v>-1098.0</v>
      </c>
      <c r="E267" s="2">
        <v>-104.77</v>
      </c>
    </row>
    <row r="268" spans="1:5" customHeight="1" x14ac:dyDescent="0.15">
      <c r="A268" s="2" t="s">
        <f>"093000064920002"</f>
        <v>534</v>
      </c>
      <c r="B268" s="2" t="s">
        <f>"赵玉阳"</f>
        <v>535</v>
      </c>
      <c r="C268" s="2">
        <v>-4.0</v>
      </c>
      <c r="D268" s="2">
        <v>-1741.0</v>
      </c>
      <c r="E268" s="2">
        <v>-645.09</v>
      </c>
    </row>
    <row r="269" spans="1:5" customHeight="1" x14ac:dyDescent="0.15">
      <c r="A269" s="2" t="s">
        <f>"0930000000010"</f>
        <v>536</v>
      </c>
      <c r="B269" s="2" t="s">
        <f>"靳成俊"</f>
        <v>537</v>
      </c>
      <c r="C269" s="2">
        <v>0.0</v>
      </c>
      <c r="D269" s="2">
        <v>0.0</v>
      </c>
      <c r="E269" s="2">
        <v>0.0</v>
      </c>
    </row>
    <row r="270" spans="1:5" customHeight="1" x14ac:dyDescent="0.15">
      <c r="A270" s="2" t="s">
        <f>"0930000000011"</f>
        <v>538</v>
      </c>
      <c r="B270" s="2" t="s">
        <f>"李玉奇"</f>
        <v>539</v>
      </c>
      <c r="C270" s="2">
        <v>0.0</v>
      </c>
      <c r="D270" s="2">
        <v>0.0</v>
      </c>
      <c r="E270" s="2">
        <v>0.0</v>
      </c>
    </row>
    <row r="271" spans="1:5" customHeight="1" x14ac:dyDescent="0.15">
      <c r="A271" s="2" t="s">
        <f>"093000064920003"</f>
        <v>540</v>
      </c>
      <c r="B271" s="2" t="s">
        <f>"李金平"</f>
        <v>541</v>
      </c>
      <c r="C271" s="2">
        <v>-1698.0</v>
      </c>
      <c r="D271" s="2">
        <v>477.0</v>
      </c>
      <c r="E271" s="2">
        <v>-1263.06</v>
      </c>
    </row>
    <row r="272" spans="1:5" customHeight="1" x14ac:dyDescent="0.15">
      <c r="A272" s="2" t="s">
        <f>"0930000000012"</f>
        <v>542</v>
      </c>
      <c r="B272" s="2" t="s">
        <f>"陆敏德"</f>
        <v>543</v>
      </c>
      <c r="C272" s="2">
        <v>0.0</v>
      </c>
      <c r="D272" s="2">
        <v>-920.0</v>
      </c>
      <c r="E272" s="2">
        <v>-70.46</v>
      </c>
    </row>
    <row r="273" spans="1:5" customHeight="1" x14ac:dyDescent="0.15">
      <c r="A273" s="2" t="s">
        <f>"093000064920004"</f>
        <v>544</v>
      </c>
      <c r="B273" s="2" t="s">
        <f>"张国云"</f>
        <v>545</v>
      </c>
      <c r="C273" s="2">
        <v>-492.0</v>
      </c>
      <c r="D273" s="2">
        <v>-1126.0</v>
      </c>
      <c r="E273" s="2">
        <v>-232.41</v>
      </c>
    </row>
    <row r="274" spans="1:5" customHeight="1" x14ac:dyDescent="0.15">
      <c r="A274" s="2" t="s">
        <f>"093000920333"</f>
        <v>546</v>
      </c>
      <c r="B274" s="2" t="s">
        <f>"安卫华"</f>
        <v>547</v>
      </c>
      <c r="C274" s="2">
        <v>0.0</v>
      </c>
      <c r="D274" s="2">
        <v>0.0</v>
      </c>
      <c r="E274" s="2">
        <v>0.0</v>
      </c>
    </row>
    <row r="275" spans="1:5" customHeight="1" x14ac:dyDescent="0.15">
      <c r="A275" s="2" t="s">
        <f>"093000920334"</f>
        <v>548</v>
      </c>
      <c r="B275" s="2" t="s">
        <f>"张营"</f>
        <v>549</v>
      </c>
      <c r="C275" s="2">
        <v>-121.0</v>
      </c>
      <c r="D275" s="2">
        <v>-1182.0</v>
      </c>
      <c r="E275" s="2">
        <v>-577.07</v>
      </c>
    </row>
    <row r="276" spans="1:5" customHeight="1" x14ac:dyDescent="0.15">
      <c r="A276" s="2" t="s">
        <f>"0930000000013"</f>
        <v>550</v>
      </c>
      <c r="B276" s="2" t="s">
        <f>"黄彩云"</f>
        <v>551</v>
      </c>
      <c r="C276" s="2">
        <v>0.0</v>
      </c>
      <c r="D276" s="2">
        <v>0.0</v>
      </c>
      <c r="E276" s="2">
        <v>0.0</v>
      </c>
    </row>
    <row r="277" spans="1:5" customHeight="1" x14ac:dyDescent="0.15">
      <c r="A277" s="2" t="s">
        <f>"093000064920005"</f>
        <v>552</v>
      </c>
      <c r="B277" s="2" t="s">
        <f>"魏贝贝"</f>
        <v>553</v>
      </c>
      <c r="C277" s="2">
        <v>592.0</v>
      </c>
      <c r="D277" s="2">
        <v>-2596.0</v>
      </c>
      <c r="E277" s="2">
        <v>-213.99</v>
      </c>
    </row>
    <row r="278" spans="1:5" customHeight="1" x14ac:dyDescent="0.15">
      <c r="A278" s="2" t="s">
        <f>"0930000000014"</f>
        <v>554</v>
      </c>
      <c r="B278" s="2" t="s">
        <f>"申团"</f>
        <v>555</v>
      </c>
      <c r="C278" s="2">
        <v>0.0</v>
      </c>
      <c r="D278" s="2">
        <v>0.0</v>
      </c>
      <c r="E278" s="2">
        <v>0.0</v>
      </c>
    </row>
    <row r="279" spans="1:5" customHeight="1" x14ac:dyDescent="0.15">
      <c r="A279" s="2" t="s">
        <f>"093000064920006"</f>
        <v>556</v>
      </c>
      <c r="B279" s="2" t="s">
        <f>"李俊玲"</f>
        <v>557</v>
      </c>
      <c r="C279" s="2">
        <v>-540.0</v>
      </c>
      <c r="D279" s="2">
        <v>-249.0</v>
      </c>
      <c r="E279" s="2">
        <v>-851.82</v>
      </c>
    </row>
    <row r="280" spans="1:5" customHeight="1" x14ac:dyDescent="0.15">
      <c r="A280" s="2" t="s">
        <f>"093000920335"</f>
        <v>558</v>
      </c>
      <c r="B280" s="2" t="s">
        <f>"苏安峰"</f>
        <v>559</v>
      </c>
      <c r="C280" s="2">
        <v>-1040.0</v>
      </c>
      <c r="D280" s="2">
        <v>-5815.0</v>
      </c>
      <c r="E280" s="2">
        <v>-4257.04</v>
      </c>
    </row>
    <row r="281" spans="1:5" customHeight="1" x14ac:dyDescent="0.15">
      <c r="A281" s="2" t="s">
        <f>"093000064920007"</f>
        <v>560</v>
      </c>
      <c r="B281" s="2" t="s">
        <f>"朱西措"</f>
        <v>561</v>
      </c>
      <c r="C281" s="2">
        <v>-138.0</v>
      </c>
      <c r="D281" s="2">
        <v>-1344.0</v>
      </c>
      <c r="E281" s="2">
        <v>-672.19</v>
      </c>
    </row>
    <row r="282" spans="1:5" customHeight="1" x14ac:dyDescent="0.15">
      <c r="A282" s="2" t="s">
        <f>"093000037920024"</f>
        <v>562</v>
      </c>
      <c r="B282" s="2" t="s">
        <f>"张永立"</f>
        <v>563</v>
      </c>
      <c r="C282" s="2">
        <v>-79.0</v>
      </c>
      <c r="D282" s="2">
        <v>138.0</v>
      </c>
      <c r="E282" s="2">
        <v>-48.37</v>
      </c>
    </row>
    <row r="283" spans="1:5" customHeight="1" x14ac:dyDescent="0.15">
      <c r="A283" s="2" t="s">
        <f>"093000920336"</f>
        <v>564</v>
      </c>
      <c r="B283" s="2" t="s">
        <f>"孔庚"</f>
        <v>565</v>
      </c>
      <c r="C283" s="2">
        <v>-800.0</v>
      </c>
      <c r="D283" s="2">
        <v>-300.0</v>
      </c>
      <c r="E283" s="2">
        <v>-100.0</v>
      </c>
    </row>
    <row r="284" spans="1:5" customHeight="1" x14ac:dyDescent="0.15">
      <c r="A284" s="2" t="s">
        <f>"0930000513900"</f>
        <v>566</v>
      </c>
      <c r="B284" s="2" t="s">
        <f>"李学周 "</f>
        <v>567</v>
      </c>
      <c r="C284" s="2">
        <v>0.0</v>
      </c>
      <c r="D284" s="2">
        <v>0.0</v>
      </c>
      <c r="E284" s="2">
        <v>0.0</v>
      </c>
    </row>
    <row r="285" spans="1:5" customHeight="1" x14ac:dyDescent="0.15">
      <c r="A285" s="2" t="s">
        <f>"093000037920025"</f>
        <v>568</v>
      </c>
      <c r="B285" s="2" t="s">
        <f>"张秋生"</f>
        <v>569</v>
      </c>
      <c r="C285" s="2">
        <v>0.0</v>
      </c>
      <c r="D285" s="2">
        <v>0.0</v>
      </c>
      <c r="E285" s="2">
        <v>0.0</v>
      </c>
    </row>
    <row r="286" spans="1:5" customHeight="1" x14ac:dyDescent="0.15">
      <c r="A286" s="2" t="s">
        <f>"093000059920003"</f>
        <v>570</v>
      </c>
      <c r="B286" s="2" t="s">
        <f>"吴明明"</f>
        <v>571</v>
      </c>
      <c r="C286" s="2">
        <v>118.0</v>
      </c>
      <c r="D286" s="2">
        <v>-192.0</v>
      </c>
      <c r="E286" s="2">
        <v>-816.58</v>
      </c>
    </row>
    <row r="287" spans="1:5" customHeight="1" x14ac:dyDescent="0.15">
      <c r="A287" s="2" t="s">
        <f>"093000040920031"</f>
        <v>572</v>
      </c>
      <c r="B287" s="2" t="s">
        <f>"李静静"</f>
        <v>573</v>
      </c>
      <c r="C287" s="2">
        <v>0.0</v>
      </c>
      <c r="D287" s="2">
        <v>-901.0</v>
      </c>
      <c r="E287" s="2">
        <v>-164.76</v>
      </c>
    </row>
    <row r="288" spans="1:5" customHeight="1" x14ac:dyDescent="0.15">
      <c r="A288" s="2" t="s">
        <f>"0930000513901"</f>
        <v>574</v>
      </c>
      <c r="B288" s="2" t="s">
        <f>"司艳光"</f>
        <v>575</v>
      </c>
      <c r="C288" s="2">
        <v>0.0</v>
      </c>
      <c r="D288" s="2">
        <v>0.0</v>
      </c>
      <c r="E288" s="2">
        <v>0.0</v>
      </c>
    </row>
    <row r="289" spans="1:5" customHeight="1" x14ac:dyDescent="0.15">
      <c r="A289" s="2" t="s">
        <f>"0930000000015"</f>
        <v>576</v>
      </c>
      <c r="B289" s="2" t="s">
        <f>"姚海洋"</f>
        <v>577</v>
      </c>
      <c r="C289" s="2">
        <v>-170.0</v>
      </c>
      <c r="D289" s="2">
        <v>-231.0</v>
      </c>
      <c r="E289" s="2">
        <v>-428.49</v>
      </c>
    </row>
    <row r="290" spans="1:5" customHeight="1" x14ac:dyDescent="0.15">
      <c r="A290" s="2" t="s">
        <f>"093000920337"</f>
        <v>578</v>
      </c>
      <c r="B290" s="2" t="s">
        <f>"尹增超"</f>
        <v>579</v>
      </c>
      <c r="C290" s="2">
        <v>0.0</v>
      </c>
      <c r="D290" s="2">
        <v>-1053.0</v>
      </c>
      <c r="E290" s="2">
        <v>-58.46</v>
      </c>
    </row>
    <row r="291" spans="1:5" customHeight="1" x14ac:dyDescent="0.15">
      <c r="A291" s="2" t="s">
        <f>"0930000000016"</f>
        <v>580</v>
      </c>
      <c r="B291" s="2" t="s">
        <f>"张智鹏"</f>
        <v>581</v>
      </c>
      <c r="C291" s="2">
        <v>0.0</v>
      </c>
      <c r="D291" s="2">
        <v>-887.0</v>
      </c>
      <c r="E291" s="2">
        <v>-126.91</v>
      </c>
    </row>
    <row r="292" spans="1:5" customHeight="1" x14ac:dyDescent="0.15">
      <c r="A292" s="2" t="s">
        <f>"093000920339"</f>
        <v>582</v>
      </c>
      <c r="B292" s="2" t="s">
        <f>"周进"</f>
        <v>583</v>
      </c>
      <c r="C292" s="2">
        <v>0.0</v>
      </c>
      <c r="D292" s="2">
        <v>0.0</v>
      </c>
      <c r="E292" s="2">
        <v>0.0</v>
      </c>
    </row>
    <row r="293" spans="1:5" customHeight="1" x14ac:dyDescent="0.15">
      <c r="A293" s="2" t="s">
        <f>"093000049920021"</f>
        <v>584</v>
      </c>
      <c r="B293" s="2" t="s">
        <f>"周凡博"</f>
        <v>585</v>
      </c>
      <c r="C293" s="2">
        <v>0.0</v>
      </c>
      <c r="D293" s="2">
        <v>-416.0</v>
      </c>
      <c r="E293" s="2">
        <v>-140.0</v>
      </c>
    </row>
    <row r="294" spans="1:5" customHeight="1" x14ac:dyDescent="0.15">
      <c r="A294" s="2" t="s">
        <f>"093000920342"</f>
        <v>586</v>
      </c>
      <c r="B294" s="2" t="s">
        <f>"郭娜"</f>
        <v>587</v>
      </c>
      <c r="C294" s="2">
        <v>-296.0</v>
      </c>
      <c r="D294" s="2">
        <v>-1060.0</v>
      </c>
      <c r="E294" s="2">
        <v>-394.66</v>
      </c>
    </row>
    <row r="295" spans="1:5" customHeight="1" x14ac:dyDescent="0.15">
      <c r="A295" s="2" t="s">
        <f>"0930000000017"</f>
        <v>588</v>
      </c>
      <c r="B295" s="2" t="s">
        <f>"覃敏佳"</f>
        <v>589</v>
      </c>
      <c r="C295" s="2">
        <v>0.0</v>
      </c>
      <c r="D295" s="2">
        <v>0.0</v>
      </c>
      <c r="E295" s="2">
        <v>0.0</v>
      </c>
    </row>
    <row r="296" spans="1:5" customHeight="1" x14ac:dyDescent="0.15">
      <c r="A296" s="2" t="s">
        <f>"0930000000018"</f>
        <v>590</v>
      </c>
      <c r="B296" s="2" t="s">
        <f>"许欢世"</f>
        <v>591</v>
      </c>
      <c r="C296" s="2">
        <v>0.0</v>
      </c>
      <c r="D296" s="2">
        <v>-910.0</v>
      </c>
      <c r="E296" s="2">
        <v>-147.87</v>
      </c>
    </row>
    <row r="297" spans="1:5" customHeight="1" x14ac:dyDescent="0.15">
      <c r="A297" s="2" t="s">
        <f>"093000037920026"</f>
        <v>592</v>
      </c>
      <c r="B297" s="2" t="s">
        <f>"杨德霞"</f>
        <v>593</v>
      </c>
      <c r="C297" s="2">
        <v>0.0</v>
      </c>
      <c r="D297" s="2">
        <v>-3.0</v>
      </c>
      <c r="E297" s="2">
        <v>-5.86</v>
      </c>
    </row>
    <row r="298" spans="1:5" customHeight="1" x14ac:dyDescent="0.15">
      <c r="A298" s="2" t="s">
        <f>"0930000000019"</f>
        <v>594</v>
      </c>
      <c r="B298" s="2" t="s">
        <f>"刘少敏"</f>
        <v>595</v>
      </c>
      <c r="C298" s="2">
        <v>-400.0</v>
      </c>
      <c r="D298" s="2">
        <v>-700.0</v>
      </c>
      <c r="E298" s="2">
        <v>-77.26</v>
      </c>
    </row>
    <row r="299" spans="1:5" customHeight="1" x14ac:dyDescent="0.15">
      <c r="A299" s="2" t="s">
        <f>"093000064920009"</f>
        <v>596</v>
      </c>
      <c r="B299" s="2" t="s">
        <f>"岳玉青"</f>
        <v>597</v>
      </c>
      <c r="C299" s="2">
        <v>896.0</v>
      </c>
      <c r="D299" s="2">
        <v>187.0</v>
      </c>
      <c r="E299" s="2">
        <v>-462.52</v>
      </c>
    </row>
    <row r="300" spans="1:5" customHeight="1" x14ac:dyDescent="0.15">
      <c r="A300" s="2" t="s">
        <f>"093000920349"</f>
        <v>598</v>
      </c>
      <c r="B300" s="2" t="s">
        <f>"张晓会"</f>
        <v>599</v>
      </c>
      <c r="C300" s="2">
        <v>-536.0</v>
      </c>
      <c r="D300" s="2">
        <v>-568.0</v>
      </c>
      <c r="E300" s="2">
        <v>-372.71</v>
      </c>
    </row>
    <row r="301" spans="1:5" customHeight="1" x14ac:dyDescent="0.15">
      <c r="A301" s="2" t="s">
        <f>"093000037920027"</f>
        <v>600</v>
      </c>
      <c r="B301" s="2" t="s">
        <f>"王宁昌"</f>
        <v>601</v>
      </c>
      <c r="C301" s="2">
        <v>-373.0</v>
      </c>
      <c r="D301" s="2">
        <v>193.0</v>
      </c>
      <c r="E301" s="2">
        <v>-298.52</v>
      </c>
    </row>
    <row r="302" spans="1:5" customHeight="1" x14ac:dyDescent="0.15">
      <c r="A302" s="2" t="s">
        <f>"093000043920004"</f>
        <v>602</v>
      </c>
      <c r="B302" s="2" t="s">
        <f>"张啸冲"</f>
        <v>603</v>
      </c>
      <c r="C302" s="2">
        <v>0.0</v>
      </c>
      <c r="D302" s="2">
        <v>-554.0</v>
      </c>
      <c r="E302" s="2">
        <v>-619.57</v>
      </c>
    </row>
    <row r="303" spans="1:5" customHeight="1" x14ac:dyDescent="0.15">
      <c r="A303" s="2" t="s">
        <f>"093000920350"</f>
        <v>604</v>
      </c>
      <c r="B303" s="2" t="s">
        <f>"杨方"</f>
        <v>605</v>
      </c>
      <c r="C303" s="2">
        <v>0.0</v>
      </c>
      <c r="D303" s="2">
        <v>0.0</v>
      </c>
      <c r="E303" s="2">
        <v>0.0</v>
      </c>
    </row>
    <row r="304" spans="1:5" customHeight="1" x14ac:dyDescent="0.15">
      <c r="A304" s="2" t="s">
        <f>"093000920352"</f>
        <v>606</v>
      </c>
      <c r="B304" s="2" t="s">
        <f>"张玉国"</f>
        <v>607</v>
      </c>
      <c r="C304" s="2">
        <v>-3152.0</v>
      </c>
      <c r="D304" s="2">
        <v>2434.0</v>
      </c>
      <c r="E304" s="2">
        <v>-3319.93</v>
      </c>
    </row>
    <row r="305" spans="1:5" customHeight="1" x14ac:dyDescent="0.15">
      <c r="A305" s="2" t="s">
        <f>"093000920351"</f>
        <v>608</v>
      </c>
      <c r="B305" s="2" t="s">
        <f>"张彦丽"</f>
        <v>609</v>
      </c>
      <c r="C305" s="2">
        <v>-150.0</v>
      </c>
      <c r="D305" s="2">
        <v>-2978.0</v>
      </c>
      <c r="E305" s="2">
        <v>-1004.1</v>
      </c>
    </row>
    <row r="306" spans="1:5" customHeight="1" x14ac:dyDescent="0.15">
      <c r="A306" s="2" t="s">
        <f>"093000920353"</f>
        <v>610</v>
      </c>
      <c r="B306" s="2" t="s">
        <f>"黄金成"</f>
        <v>611</v>
      </c>
      <c r="C306" s="2">
        <v>0.0</v>
      </c>
      <c r="D306" s="2">
        <v>0.0</v>
      </c>
      <c r="E306" s="2">
        <v>0.0</v>
      </c>
    </row>
    <row r="307" spans="1:5" customHeight="1" x14ac:dyDescent="0.15">
      <c r="A307" s="2" t="s">
        <f>"093000040920033"</f>
        <v>612</v>
      </c>
      <c r="B307" s="2" t="s">
        <f>"刘翠昌"</f>
        <v>613</v>
      </c>
      <c r="C307" s="2">
        <v>-83.0</v>
      </c>
      <c r="D307" s="2">
        <v>1432.0</v>
      </c>
      <c r="E307" s="2">
        <v>-1230.58</v>
      </c>
    </row>
    <row r="308" spans="1:5" customHeight="1" x14ac:dyDescent="0.15">
      <c r="A308" s="2" t="s">
        <f>"093000049920025"</f>
        <v>614</v>
      </c>
      <c r="B308" s="2" t="s">
        <f>"马秀梅"</f>
        <v>615</v>
      </c>
      <c r="C308" s="2">
        <v>0.0</v>
      </c>
      <c r="D308" s="2">
        <v>760.0</v>
      </c>
      <c r="E308" s="2">
        <v>-81.41</v>
      </c>
    </row>
    <row r="309" spans="1:5" customHeight="1" x14ac:dyDescent="0.15">
      <c r="A309" s="2" t="s">
        <f>"093000037920029"</f>
        <v>616</v>
      </c>
      <c r="B309" s="2" t="s">
        <f>"李传涛"</f>
        <v>617</v>
      </c>
      <c r="C309" s="2">
        <v>0.0</v>
      </c>
      <c r="D309" s="2">
        <v>-5.0</v>
      </c>
      <c r="E309" s="2">
        <v>-6.01</v>
      </c>
    </row>
    <row r="310" spans="1:5" customHeight="1" x14ac:dyDescent="0.15">
      <c r="A310" s="2" t="s">
        <f>"093000037920028"</f>
        <v>618</v>
      </c>
      <c r="B310" s="2" t="s">
        <f>"杨文明"</f>
        <v>619</v>
      </c>
      <c r="C310" s="2">
        <v>0.0</v>
      </c>
      <c r="D310" s="2">
        <v>0.0</v>
      </c>
      <c r="E310" s="2">
        <v>0.0</v>
      </c>
    </row>
    <row r="311" spans="1:5" customHeight="1" x14ac:dyDescent="0.15">
      <c r="A311" s="2" t="s">
        <f>"093000049920026"</f>
        <v>620</v>
      </c>
      <c r="B311" s="2" t="s">
        <f>"杨玉焕"</f>
        <v>621</v>
      </c>
      <c r="C311" s="2">
        <v>0.0</v>
      </c>
      <c r="D311" s="2">
        <v>0.0</v>
      </c>
      <c r="E311" s="2">
        <v>0.0</v>
      </c>
    </row>
    <row r="312" spans="1:5" customHeight="1" x14ac:dyDescent="0.15">
      <c r="A312" s="2" t="s">
        <f>"093000049920027"</f>
        <v>622</v>
      </c>
      <c r="B312" s="2" t="s">
        <f>"麻闯"</f>
        <v>623</v>
      </c>
      <c r="C312" s="2">
        <v>0.0</v>
      </c>
      <c r="D312" s="2">
        <v>-712.0</v>
      </c>
      <c r="E312" s="2">
        <v>-108.32</v>
      </c>
    </row>
    <row r="313" spans="1:5" customHeight="1" x14ac:dyDescent="0.15">
      <c r="A313" s="2" t="s">
        <f>"093000920354"</f>
        <v>624</v>
      </c>
      <c r="B313" s="2" t="s">
        <f>"薛海"</f>
        <v>625</v>
      </c>
      <c r="C313" s="2">
        <v>0.0</v>
      </c>
      <c r="D313" s="2">
        <v>0.0</v>
      </c>
      <c r="E313" s="2">
        <v>0.0</v>
      </c>
    </row>
    <row r="314" spans="1:5" customHeight="1" x14ac:dyDescent="0.15">
      <c r="A314" s="2" t="s">
        <f>"093000051920003"</f>
        <v>626</v>
      </c>
      <c r="B314" s="2" t="s">
        <f>"王欣"</f>
        <v>627</v>
      </c>
      <c r="C314" s="2">
        <v>0.0</v>
      </c>
      <c r="D314" s="2">
        <v>55.0</v>
      </c>
      <c r="E314" s="2">
        <v>-55.63</v>
      </c>
    </row>
    <row r="315" spans="1:5" customHeight="1" x14ac:dyDescent="0.15">
      <c r="A315" s="2" t="s">
        <f>"093000048920003"</f>
        <v>628</v>
      </c>
      <c r="B315" s="2" t="s">
        <f>"秦艳丽"</f>
        <v>629</v>
      </c>
      <c r="C315" s="2">
        <v>-2752.0</v>
      </c>
      <c r="D315" s="2">
        <v>17.0</v>
      </c>
      <c r="E315" s="2">
        <v>-691.5</v>
      </c>
    </row>
    <row r="316" spans="1:5" customHeight="1" x14ac:dyDescent="0.15">
      <c r="A316" s="2" t="s">
        <f>"093000920359"</f>
        <v>630</v>
      </c>
      <c r="B316" s="2" t="s">
        <f>"王丽红"</f>
        <v>631</v>
      </c>
      <c r="C316" s="2">
        <v>0.0</v>
      </c>
      <c r="D316" s="2">
        <v>-693.0</v>
      </c>
      <c r="E316" s="2">
        <v>-778.06</v>
      </c>
    </row>
    <row r="317" spans="1:5" customHeight="1" x14ac:dyDescent="0.15">
      <c r="A317" s="2" t="s">
        <f>"093000920358"</f>
        <v>632</v>
      </c>
      <c r="B317" s="2" t="s">
        <f>"郭兴炎"</f>
        <v>633</v>
      </c>
      <c r="C317" s="2">
        <v>0.0</v>
      </c>
      <c r="D317" s="2">
        <v>-1097.0</v>
      </c>
      <c r="E317" s="2">
        <v>-88.26</v>
      </c>
    </row>
    <row r="318" spans="1:5" customHeight="1" x14ac:dyDescent="0.15">
      <c r="A318" s="2" t="s">
        <f>"093000920360"</f>
        <v>634</v>
      </c>
      <c r="B318" s="2" t="s">
        <f>"王宏江"</f>
        <v>635</v>
      </c>
      <c r="C318" s="2">
        <v>0.0</v>
      </c>
      <c r="D318" s="2">
        <v>0.0</v>
      </c>
      <c r="E318" s="2">
        <v>0.0</v>
      </c>
    </row>
    <row r="319" spans="1:5" customHeight="1" x14ac:dyDescent="0.15">
      <c r="A319" s="2" t="s">
        <f>"093000920362"</f>
        <v>636</v>
      </c>
      <c r="B319" s="2" t="s">
        <f>"谢建功"</f>
        <v>637</v>
      </c>
      <c r="C319" s="2">
        <v>-1578.0</v>
      </c>
      <c r="D319" s="2">
        <v>690.0</v>
      </c>
      <c r="E319" s="2">
        <v>-745.58</v>
      </c>
    </row>
    <row r="320" spans="1:5" customHeight="1" x14ac:dyDescent="0.15">
      <c r="A320" s="2" t="s">
        <f>"093000920361"</f>
        <v>638</v>
      </c>
      <c r="B320" s="2" t="s">
        <f>"郑龙"</f>
        <v>639</v>
      </c>
      <c r="C320" s="2">
        <v>-1338.0</v>
      </c>
      <c r="D320" s="2">
        <v>-1011.0</v>
      </c>
      <c r="E320" s="2">
        <v>-459.91</v>
      </c>
    </row>
    <row r="321" spans="1:5" customHeight="1" x14ac:dyDescent="0.15">
      <c r="A321" s="2" t="s">
        <f>"093000062920003"</f>
        <v>640</v>
      </c>
      <c r="B321" s="2" t="s">
        <f>"余世恒"</f>
        <v>641</v>
      </c>
      <c r="C321" s="2">
        <v>14.0</v>
      </c>
      <c r="D321" s="2">
        <v>-634.0</v>
      </c>
      <c r="E321" s="2">
        <v>-323.81</v>
      </c>
    </row>
    <row r="322" spans="1:5" customHeight="1" x14ac:dyDescent="0.15">
      <c r="A322" s="2" t="s">
        <f>"093000920366"</f>
        <v>642</v>
      </c>
      <c r="B322" s="2" t="s">
        <f>"姚荣新"</f>
        <v>643</v>
      </c>
      <c r="C322" s="2">
        <v>-14555.0</v>
      </c>
      <c r="D322" s="2">
        <v>-28964.0</v>
      </c>
      <c r="E322" s="2">
        <v>-2662.65</v>
      </c>
    </row>
    <row r="323" spans="1:5" customHeight="1" x14ac:dyDescent="0.15">
      <c r="A323" s="2" t="s">
        <f>"093000067920003"</f>
        <v>644</v>
      </c>
      <c r="B323" s="2" t="s">
        <f>"韩超超"</f>
        <v>645</v>
      </c>
      <c r="C323" s="2">
        <v>0.0</v>
      </c>
      <c r="D323" s="2">
        <v>-960.0</v>
      </c>
      <c r="E323" s="2">
        <v>-442.37</v>
      </c>
    </row>
    <row r="324" spans="1:5" customHeight="1" x14ac:dyDescent="0.15">
      <c r="A324" s="2" t="s">
        <f>"093000920371"</f>
        <v>646</v>
      </c>
      <c r="B324" s="2" t="s">
        <f>"张向恒"</f>
        <v>647</v>
      </c>
      <c r="C324" s="2">
        <v>0.0</v>
      </c>
      <c r="D324" s="2">
        <v>-112.0</v>
      </c>
      <c r="E324" s="2">
        <v>-999.17</v>
      </c>
    </row>
    <row r="325" spans="1:5" customHeight="1" x14ac:dyDescent="0.15">
      <c r="A325" s="2" t="s">
        <f>"093000067920004"</f>
        <v>648</v>
      </c>
      <c r="B325" s="2" t="s">
        <f>"刘天松"</f>
        <v>649</v>
      </c>
      <c r="C325" s="2">
        <v>0.0</v>
      </c>
      <c r="D325" s="2">
        <v>-671.0</v>
      </c>
      <c r="E325" s="2">
        <v>-663.85</v>
      </c>
    </row>
    <row r="326" spans="1:5" customHeight="1" x14ac:dyDescent="0.15">
      <c r="A326" s="2" t="s">
        <f>"093000059920004"</f>
        <v>650</v>
      </c>
      <c r="B326" s="2" t="s">
        <f>"陈东"</f>
        <v>651</v>
      </c>
      <c r="C326" s="2">
        <v>-572.0</v>
      </c>
      <c r="D326" s="2">
        <v>-1651.0</v>
      </c>
      <c r="E326" s="2">
        <v>-813.74</v>
      </c>
    </row>
    <row r="327" spans="1:5" customHeight="1" x14ac:dyDescent="0.15">
      <c r="A327" s="2" t="s">
        <f>"093000041920018"</f>
        <v>652</v>
      </c>
      <c r="B327" s="2" t="s">
        <f>"马已成"</f>
        <v>653</v>
      </c>
      <c r="C327" s="2">
        <v>0.0</v>
      </c>
      <c r="D327" s="2">
        <v>1038.0</v>
      </c>
      <c r="E327" s="2">
        <v>-111.43</v>
      </c>
    </row>
    <row r="328" spans="1:5" customHeight="1" x14ac:dyDescent="0.15">
      <c r="A328" s="2" t="s">
        <f>"093000037920030"</f>
        <v>654</v>
      </c>
      <c r="B328" s="2" t="s">
        <f>"杨义成"</f>
        <v>655</v>
      </c>
      <c r="C328" s="2">
        <v>28.0</v>
      </c>
      <c r="D328" s="2">
        <v>-495.0</v>
      </c>
      <c r="E328" s="2">
        <v>-261.52</v>
      </c>
    </row>
    <row r="329" spans="1:5" customHeight="1" x14ac:dyDescent="0.15">
      <c r="A329" s="2" t="s">
        <f>"093000049920029"</f>
        <v>656</v>
      </c>
      <c r="B329" s="2" t="s">
        <f>"张艳芬"</f>
        <v>657</v>
      </c>
      <c r="C329" s="2">
        <v>0.0</v>
      </c>
      <c r="D329" s="2">
        <v>400.0</v>
      </c>
      <c r="E329" s="2">
        <v>-82.56</v>
      </c>
    </row>
    <row r="330" spans="1:5" customHeight="1" x14ac:dyDescent="0.15">
      <c r="A330" s="2" t="s">
        <f>"093000049920030"</f>
        <v>658</v>
      </c>
      <c r="B330" s="2" t="s">
        <f>"刘爱英"</f>
        <v>659</v>
      </c>
      <c r="C330" s="2">
        <v>0.0</v>
      </c>
      <c r="D330" s="2">
        <v>400.0</v>
      </c>
      <c r="E330" s="2">
        <v>-82.98</v>
      </c>
    </row>
    <row r="331" spans="1:5" customHeight="1" x14ac:dyDescent="0.15">
      <c r="A331" s="2" t="s">
        <f>"093000059920005"</f>
        <v>660</v>
      </c>
      <c r="B331" s="2" t="s">
        <f>"全静波"</f>
        <v>661</v>
      </c>
      <c r="C331" s="2">
        <v>0.0</v>
      </c>
      <c r="D331" s="2">
        <v>-903.0</v>
      </c>
      <c r="E331" s="2">
        <v>-232.35</v>
      </c>
    </row>
    <row r="332" spans="1:5" customHeight="1" x14ac:dyDescent="0.15">
      <c r="A332" s="2" t="s">
        <f>"0930000483000"</f>
        <v>662</v>
      </c>
      <c r="B332" s="2" t="s">
        <f>"刘建基"</f>
        <v>663</v>
      </c>
      <c r="C332" s="2">
        <v>0.0</v>
      </c>
      <c r="D332" s="2">
        <v>0.0</v>
      </c>
      <c r="E332" s="2">
        <v>0.0</v>
      </c>
    </row>
    <row r="333" spans="1:5" customHeight="1" x14ac:dyDescent="0.15">
      <c r="A333" s="2" t="s">
        <f>"093000040920034"</f>
        <v>664</v>
      </c>
      <c r="B333" s="2" t="s">
        <f>"赖胜基"</f>
        <v>665</v>
      </c>
      <c r="C333" s="2">
        <v>0.0</v>
      </c>
      <c r="D333" s="2">
        <v>0.0</v>
      </c>
      <c r="E333" s="2">
        <v>0.0</v>
      </c>
    </row>
    <row r="334" spans="1:5" customHeight="1" x14ac:dyDescent="0.15">
      <c r="A334" s="2" t="s">
        <f>"093000068920001"</f>
        <v>666</v>
      </c>
      <c r="B334" s="2" t="s">
        <f>"吴国斌"</f>
        <v>667</v>
      </c>
      <c r="C334" s="2">
        <v>0.0</v>
      </c>
      <c r="D334" s="2">
        <v>-1324.0</v>
      </c>
      <c r="E334" s="2">
        <v>-386.93</v>
      </c>
    </row>
    <row r="335" spans="1:5" customHeight="1" x14ac:dyDescent="0.15">
      <c r="A335" s="2" t="s">
        <f>"093000051920004"</f>
        <v>668</v>
      </c>
      <c r="B335" s="2" t="s">
        <f>"王新"</f>
        <v>669</v>
      </c>
      <c r="C335" s="2">
        <v>0.0</v>
      </c>
      <c r="D335" s="2">
        <v>-909.0</v>
      </c>
      <c r="E335" s="2">
        <v>-276.85</v>
      </c>
    </row>
    <row r="336" spans="1:5" customHeight="1" x14ac:dyDescent="0.15">
      <c r="A336" s="2" t="s">
        <f>"093000067920007"</f>
        <v>670</v>
      </c>
      <c r="B336" s="2" t="s">
        <f>"张彦奎"</f>
        <v>671</v>
      </c>
      <c r="C336" s="2">
        <v>0.0</v>
      </c>
      <c r="D336" s="2">
        <v>-10.0</v>
      </c>
      <c r="E336" s="2">
        <v>-6.91</v>
      </c>
    </row>
    <row r="337" spans="1:5" customHeight="1" x14ac:dyDescent="0.15">
      <c r="A337" s="2" t="s">
        <f>"093000067920006"</f>
        <v>672</v>
      </c>
      <c r="B337" s="2" t="s">
        <f>"庞永帅"</f>
        <v>673</v>
      </c>
      <c r="C337" s="2">
        <v>0.0</v>
      </c>
      <c r="D337" s="2">
        <v>-79.0</v>
      </c>
      <c r="E337" s="2">
        <v>-55.55</v>
      </c>
    </row>
    <row r="338" spans="1:5" customHeight="1" x14ac:dyDescent="0.15">
      <c r="A338" s="2" t="s">
        <f>"093000067920005"</f>
        <v>674</v>
      </c>
      <c r="B338" s="2" t="s">
        <f>"张倡寅"</f>
        <v>675</v>
      </c>
      <c r="C338" s="2">
        <v>0.0</v>
      </c>
      <c r="D338" s="2">
        <v>-13.0</v>
      </c>
      <c r="E338" s="2">
        <v>-6.97</v>
      </c>
    </row>
    <row r="339" spans="1:5" customHeight="1" x14ac:dyDescent="0.15">
      <c r="A339" s="2" t="s">
        <f>"093000055920001"</f>
        <v>676</v>
      </c>
      <c r="B339" s="2" t="s">
        <f>"樊园园"</f>
        <v>677</v>
      </c>
      <c r="C339" s="2">
        <v>-2777.0</v>
      </c>
      <c r="D339" s="2">
        <v>-1801.0</v>
      </c>
      <c r="E339" s="2">
        <v>-436.18</v>
      </c>
    </row>
    <row r="340" spans="1:5" customHeight="1" x14ac:dyDescent="0.15">
      <c r="A340" s="2" t="s">
        <f>"093000067920011"</f>
        <v>678</v>
      </c>
      <c r="B340" s="2" t="s">
        <f>"翟珊珊"</f>
        <v>679</v>
      </c>
      <c r="C340" s="2">
        <v>0.0</v>
      </c>
      <c r="D340" s="2">
        <v>-40.0</v>
      </c>
      <c r="E340" s="2">
        <v>-20.25</v>
      </c>
    </row>
    <row r="341" spans="1:5" customHeight="1" x14ac:dyDescent="0.15">
      <c r="A341" s="2" t="s">
        <f>"093000067920013"</f>
        <v>680</v>
      </c>
      <c r="B341" s="2" t="s">
        <f>"吴艳艳"</f>
        <v>681</v>
      </c>
      <c r="C341" s="2">
        <v>0.0</v>
      </c>
      <c r="D341" s="2">
        <v>-7.0</v>
      </c>
      <c r="E341" s="2">
        <v>-6.77</v>
      </c>
    </row>
    <row r="342" spans="1:5" customHeight="1" x14ac:dyDescent="0.15">
      <c r="A342" s="2" t="s">
        <f>"093000067920015"</f>
        <v>682</v>
      </c>
      <c r="B342" s="2" t="s">
        <f>"宋浩"</f>
        <v>683</v>
      </c>
      <c r="C342" s="2">
        <v>0.0</v>
      </c>
      <c r="D342" s="2">
        <v>1.0</v>
      </c>
      <c r="E342" s="2">
        <v>-6.92</v>
      </c>
    </row>
    <row r="343" spans="1:5" customHeight="1" x14ac:dyDescent="0.15">
      <c r="A343" s="2" t="s">
        <f>"093000040001920001"</f>
        <v>684</v>
      </c>
      <c r="B343" s="2" t="s">
        <f>"赵丽珍"</f>
        <v>685</v>
      </c>
      <c r="C343" s="2">
        <v>0.0</v>
      </c>
      <c r="D343" s="2">
        <v>-1100.0</v>
      </c>
      <c r="E343" s="2">
        <v>-104.79</v>
      </c>
    </row>
    <row r="344" spans="1:5" customHeight="1" x14ac:dyDescent="0.15">
      <c r="A344" s="2" t="s">
        <f>"093000040001920002"</f>
        <v>686</v>
      </c>
      <c r="B344" s="2" t="s">
        <f>"莫汝林"</f>
        <v>687</v>
      </c>
      <c r="C344" s="2">
        <v>0.0</v>
      </c>
      <c r="D344" s="2">
        <v>-1100.0</v>
      </c>
      <c r="E344" s="2">
        <v>-104.73</v>
      </c>
    </row>
    <row r="345" spans="1:5" customHeight="1" x14ac:dyDescent="0.15">
      <c r="A345" s="2" t="s">
        <f>"093000040920035"</f>
        <v>688</v>
      </c>
      <c r="B345" s="2" t="s">
        <f>"李永刚"</f>
        <v>689</v>
      </c>
      <c r="C345" s="2">
        <v>0.0</v>
      </c>
      <c r="D345" s="2">
        <v>0.0</v>
      </c>
      <c r="E345" s="2">
        <v>0.0</v>
      </c>
    </row>
    <row r="346" spans="1:5" customHeight="1" x14ac:dyDescent="0.15">
      <c r="A346" s="2" t="s">
        <f>"093000067920016"</f>
        <v>690</v>
      </c>
      <c r="B346" s="2" t="s">
        <f>"王浩毅"</f>
        <v>691</v>
      </c>
      <c r="C346" s="2">
        <v>0.0</v>
      </c>
      <c r="D346" s="2">
        <v>-5.0</v>
      </c>
      <c r="E346" s="2">
        <v>-6.92</v>
      </c>
    </row>
    <row r="347" spans="1:5" customHeight="1" x14ac:dyDescent="0.15">
      <c r="A347" s="2" t="s">
        <f>"093000037920031"</f>
        <v>692</v>
      </c>
      <c r="B347" s="2" t="s">
        <f>"董江峰"</f>
        <v>693</v>
      </c>
      <c r="C347" s="2">
        <v>0.0</v>
      </c>
      <c r="D347" s="2">
        <v>0.0</v>
      </c>
      <c r="E347" s="2">
        <v>0.0</v>
      </c>
    </row>
    <row r="348" spans="1:5" customHeight="1" x14ac:dyDescent="0.15">
      <c r="A348" s="2" t="s">
        <f>"0930000400010001"</f>
        <v>694</v>
      </c>
      <c r="B348" s="2" t="s">
        <f>"赵春林"</f>
        <v>695</v>
      </c>
      <c r="C348" s="2">
        <v>699.0</v>
      </c>
      <c r="D348" s="2">
        <v>307.0</v>
      </c>
      <c r="E348" s="2">
        <v>-547.55</v>
      </c>
    </row>
    <row r="349" spans="1:5" customHeight="1" x14ac:dyDescent="0.15">
      <c r="A349" s="2" t="s">
        <f>"093000920377"</f>
        <v>696</v>
      </c>
      <c r="B349" s="2" t="s">
        <f>"宋元斌"</f>
        <v>697</v>
      </c>
      <c r="C349" s="2">
        <v>0.0</v>
      </c>
      <c r="D349" s="2">
        <v>4.0</v>
      </c>
      <c r="E349" s="2">
        <v>-6.94</v>
      </c>
    </row>
    <row r="350" spans="1:5" customHeight="1" x14ac:dyDescent="0.15">
      <c r="A350" s="2" t="s">
        <f>"0930000000021"</f>
        <v>698</v>
      </c>
      <c r="B350" s="2" t="s">
        <f>"赵信文"</f>
        <v>699</v>
      </c>
      <c r="C350" s="2">
        <v>0.0</v>
      </c>
      <c r="D350" s="2">
        <v>0.0</v>
      </c>
      <c r="E350" s="2">
        <v>0.0</v>
      </c>
    </row>
    <row r="351" spans="1:5" customHeight="1" x14ac:dyDescent="0.15">
      <c r="A351" s="2" t="s">
        <f>"093000037920032"</f>
        <v>700</v>
      </c>
      <c r="B351" s="2" t="s">
        <f>"吴运枝"</f>
        <v>701</v>
      </c>
      <c r="C351" s="2">
        <v>-11.0</v>
      </c>
      <c r="D351" s="2">
        <v>30.0</v>
      </c>
      <c r="E351" s="2">
        <v>-104.53</v>
      </c>
    </row>
    <row r="352" spans="1:5" customHeight="1" x14ac:dyDescent="0.15">
      <c r="A352" s="2" t="s">
        <f>"093000037920033"</f>
        <v>702</v>
      </c>
      <c r="B352" s="2" t="s">
        <f>"周倩倩"</f>
        <v>703</v>
      </c>
      <c r="C352" s="2">
        <v>0.0</v>
      </c>
      <c r="D352" s="2">
        <v>-17.0</v>
      </c>
      <c r="E352" s="2">
        <v>-34.05</v>
      </c>
    </row>
    <row r="353" spans="1:5" customHeight="1" x14ac:dyDescent="0.15">
      <c r="A353" s="2" t="s">
        <f>"0930000483001"</f>
        <v>704</v>
      </c>
      <c r="B353" s="2" t="s">
        <f>"高书荣"</f>
        <v>705</v>
      </c>
      <c r="C353" s="2">
        <v>0.0</v>
      </c>
      <c r="D353" s="2">
        <v>0.0</v>
      </c>
      <c r="E353" s="2">
        <v>0.0</v>
      </c>
    </row>
    <row r="354" spans="1:5" customHeight="1" x14ac:dyDescent="0.15">
      <c r="A354" s="2" t="s">
        <f>"093000040001920009"</f>
        <v>706</v>
      </c>
      <c r="B354" s="2" t="s">
        <f>"彭敏荣"</f>
        <v>707</v>
      </c>
      <c r="C354" s="2">
        <v>0.0</v>
      </c>
      <c r="D354" s="2">
        <v>-1098.0</v>
      </c>
      <c r="E354" s="2">
        <v>-104.69</v>
      </c>
    </row>
    <row r="355" spans="1:5" customHeight="1" x14ac:dyDescent="0.15">
      <c r="A355" s="2" t="s">
        <f>"093000037920034"</f>
        <v>708</v>
      </c>
      <c r="B355" s="2" t="s">
        <f>"张永涛"</f>
        <v>709</v>
      </c>
      <c r="C355" s="2">
        <v>-367.0</v>
      </c>
      <c r="D355" s="2">
        <v>-313.0</v>
      </c>
      <c r="E355" s="2">
        <v>-375.38</v>
      </c>
    </row>
    <row r="356" spans="1:5" customHeight="1" x14ac:dyDescent="0.15">
      <c r="A356" s="2" t="s">
        <f>"093000040001920010"</f>
        <v>710</v>
      </c>
      <c r="B356" s="2" t="s">
        <f>"赵超强"</f>
        <v>711</v>
      </c>
      <c r="C356" s="2">
        <v>0.0</v>
      </c>
      <c r="D356" s="2">
        <v>0.0</v>
      </c>
      <c r="E356" s="2">
        <v>0.0</v>
      </c>
    </row>
    <row r="357" spans="1:5" customHeight="1" x14ac:dyDescent="0.15">
      <c r="A357" s="2" t="s">
        <f>"093000040001920011"</f>
        <v>712</v>
      </c>
      <c r="B357" s="2" t="s">
        <f>"柳静媚"</f>
        <v>713</v>
      </c>
      <c r="C357" s="2">
        <v>0.0</v>
      </c>
      <c r="D357" s="2">
        <v>0.0</v>
      </c>
      <c r="E357" s="2">
        <v>0.0</v>
      </c>
    </row>
    <row r="358" spans="1:5" customHeight="1" x14ac:dyDescent="0.15">
      <c r="A358" s="2" t="s">
        <f>"093000040001920012"</f>
        <v>714</v>
      </c>
      <c r="B358" s="2" t="s">
        <f>"刘宁"</f>
        <v>715</v>
      </c>
      <c r="C358" s="2">
        <v>0.0</v>
      </c>
      <c r="D358" s="2">
        <v>0.0</v>
      </c>
      <c r="E358" s="2">
        <v>0.0</v>
      </c>
    </row>
    <row r="359" spans="1:5" customHeight="1" x14ac:dyDescent="0.15">
      <c r="A359" s="2" t="s">
        <f>"093000040001920014"</f>
        <v>716</v>
      </c>
      <c r="B359" s="2" t="s">
        <f>"覃月松"</f>
        <v>717</v>
      </c>
      <c r="C359" s="2">
        <v>-254.0</v>
      </c>
      <c r="D359" s="2">
        <v>3010.0</v>
      </c>
      <c r="E359" s="2">
        <v>-293.88</v>
      </c>
    </row>
    <row r="360" spans="1:5" customHeight="1" x14ac:dyDescent="0.15">
      <c r="A360" s="2" t="s">
        <f>"093000040001920021"</f>
        <v>718</v>
      </c>
      <c r="B360" s="2" t="s">
        <f>"赵晓清"</f>
        <v>719</v>
      </c>
      <c r="C360" s="2">
        <v>160.0</v>
      </c>
      <c r="D360" s="2">
        <v>-809.0</v>
      </c>
      <c r="E360" s="2">
        <v>-532.32</v>
      </c>
    </row>
    <row r="361" spans="1:5" customHeight="1" x14ac:dyDescent="0.15">
      <c r="A361" s="2" t="s">
        <f>"093000040001920022"</f>
        <v>720</v>
      </c>
      <c r="B361" s="2" t="s">
        <f>"柳胜斌"</f>
        <v>721</v>
      </c>
      <c r="C361" s="2">
        <v>0.0</v>
      </c>
      <c r="D361" s="2">
        <v>-1098.0</v>
      </c>
      <c r="E361" s="2">
        <v>-104.77</v>
      </c>
    </row>
    <row r="362" spans="1:5" customHeight="1" x14ac:dyDescent="0.15">
      <c r="A362" s="2" t="s">
        <f>"093000040001920024"</f>
        <v>722</v>
      </c>
      <c r="B362" s="2" t="s">
        <f>"刘海金"</f>
        <v>723</v>
      </c>
      <c r="C362" s="2">
        <v>0.0</v>
      </c>
      <c r="D362" s="2">
        <v>0.0</v>
      </c>
      <c r="E362" s="2">
        <v>0.0</v>
      </c>
    </row>
    <row r="363" spans="1:5" customHeight="1" x14ac:dyDescent="0.15">
      <c r="A363" s="2" t="s">
        <f>"093000040001920024"</f>
        <v>722</v>
      </c>
      <c r="B363" s="2" t="s">
        <f>"柳海金"</f>
        <v>724</v>
      </c>
      <c r="C363" s="2">
        <v>-651.0</v>
      </c>
      <c r="D363" s="2">
        <v>-292.0</v>
      </c>
      <c r="E363" s="2">
        <v>-295.91</v>
      </c>
    </row>
    <row r="364" spans="1:5" customHeight="1" x14ac:dyDescent="0.15">
      <c r="A364" s="2" t="s">
        <f>"093000040001920025"</f>
        <v>725</v>
      </c>
      <c r="B364" s="2" t="s">
        <f>"梁用超"</f>
        <v>726</v>
      </c>
      <c r="C364" s="2">
        <v>0.0</v>
      </c>
      <c r="D364" s="2">
        <v>0.0</v>
      </c>
      <c r="E364" s="2">
        <v>0.0</v>
      </c>
    </row>
    <row r="365" spans="1:5" customHeight="1" x14ac:dyDescent="0.15">
      <c r="A365" s="2" t="s">
        <f>"093000040001920026"</f>
        <v>727</v>
      </c>
      <c r="B365" s="2" t="s">
        <f>"林葵华"</f>
        <v>728</v>
      </c>
      <c r="C365" s="2">
        <v>-632.0</v>
      </c>
      <c r="D365" s="2">
        <v>-274.0</v>
      </c>
      <c r="E365" s="2">
        <v>-217.71</v>
      </c>
    </row>
    <row r="366" spans="1:5" customHeight="1" x14ac:dyDescent="0.15">
      <c r="A366" s="2" t="s">
        <f>"093000040001920031"</f>
        <v>729</v>
      </c>
      <c r="B366" s="2" t="s">
        <f>"陈官源"</f>
        <v>730</v>
      </c>
      <c r="C366" s="2">
        <v>0.0</v>
      </c>
      <c r="D366" s="2">
        <v>0.0</v>
      </c>
      <c r="E366" s="2">
        <v>0.0</v>
      </c>
    </row>
    <row r="367" spans="1:5" customHeight="1" x14ac:dyDescent="0.15">
      <c r="A367" s="2" t="s">
        <f>"093000040001920030"</f>
        <v>731</v>
      </c>
      <c r="B367" s="2" t="s">
        <f>"陈绪董"</f>
        <v>732</v>
      </c>
      <c r="C367" s="2">
        <v>0.0</v>
      </c>
      <c r="D367" s="2">
        <v>0.0</v>
      </c>
      <c r="E367" s="2">
        <v>0.0</v>
      </c>
    </row>
    <row r="368" spans="1:5" customHeight="1" x14ac:dyDescent="0.15">
      <c r="A368" s="2" t="s">
        <f>"093000040001920028"</f>
        <v>733</v>
      </c>
      <c r="B368" s="2" t="s">
        <f>"覃成彪"</f>
        <v>734</v>
      </c>
      <c r="C368" s="2">
        <v>0.0</v>
      </c>
      <c r="D368" s="2">
        <v>0.0</v>
      </c>
      <c r="E368" s="2">
        <v>0.0</v>
      </c>
    </row>
    <row r="369" spans="1:5" customHeight="1" x14ac:dyDescent="0.15">
      <c r="A369" s="2" t="s">
        <f>"093000040001920027"</f>
        <v>735</v>
      </c>
      <c r="B369" s="2" t="s">
        <f>"李耀坚"</f>
        <v>736</v>
      </c>
      <c r="C369" s="2">
        <v>0.0</v>
      </c>
      <c r="D369" s="2">
        <v>-1098.0</v>
      </c>
      <c r="E369" s="2">
        <v>-104.81</v>
      </c>
    </row>
    <row r="370" spans="1:5" customHeight="1" x14ac:dyDescent="0.15">
      <c r="A370" s="2" t="s">
        <f>"093000070920001"</f>
        <v>737</v>
      </c>
      <c r="B370" s="2" t="s">
        <f>"李银弟"</f>
        <v>738</v>
      </c>
      <c r="C370" s="2">
        <v>0.0</v>
      </c>
      <c r="D370" s="2">
        <v>-528.0</v>
      </c>
      <c r="E370" s="2">
        <v>-177.94</v>
      </c>
    </row>
    <row r="371" spans="1:5" customHeight="1" x14ac:dyDescent="0.15">
      <c r="A371" s="2" t="s">
        <f>"093000059920006"</f>
        <v>739</v>
      </c>
      <c r="B371" s="2" t="s">
        <f>"李涛"</f>
        <v>740</v>
      </c>
      <c r="C371" s="2">
        <v>-132.0</v>
      </c>
      <c r="D371" s="2">
        <v>-1659.0</v>
      </c>
      <c r="E371" s="2">
        <v>-720.7</v>
      </c>
    </row>
    <row r="372" spans="1:5" customHeight="1" x14ac:dyDescent="0.15">
      <c r="A372" s="2" t="s">
        <f>"0930000620000"</f>
        <v>741</v>
      </c>
      <c r="B372" s="2" t="s">
        <f>"黄榕"</f>
        <v>742</v>
      </c>
      <c r="C372" s="2">
        <v>-285.0</v>
      </c>
      <c r="D372" s="2">
        <v>138.0</v>
      </c>
      <c r="E372" s="2">
        <v>-373.47</v>
      </c>
    </row>
    <row r="373" spans="1:5" customHeight="1" x14ac:dyDescent="0.15">
      <c r="A373" s="2" t="s">
        <f>"093000040001920033"</f>
        <v>743</v>
      </c>
      <c r="B373" s="2" t="s">
        <f>"杨钦朝"</f>
        <v>744</v>
      </c>
      <c r="C373" s="2">
        <v>-292.0</v>
      </c>
      <c r="D373" s="2">
        <v>-1135.0</v>
      </c>
      <c r="E373" s="2">
        <v>-549.66</v>
      </c>
    </row>
    <row r="374" spans="1:5" customHeight="1" x14ac:dyDescent="0.15">
      <c r="A374" s="2" t="s">
        <f>"093000040920036"</f>
        <v>745</v>
      </c>
      <c r="B374" s="2" t="s">
        <f>"李军刚"</f>
        <v>746</v>
      </c>
      <c r="C374" s="2">
        <v>0.0</v>
      </c>
      <c r="D374" s="2">
        <v>0.0</v>
      </c>
      <c r="E374" s="2">
        <v>0.0</v>
      </c>
    </row>
    <row r="375" spans="1:5" customHeight="1" x14ac:dyDescent="0.15">
      <c r="A375" s="2" t="s">
        <f>"093000071920001"</f>
        <v>747</v>
      </c>
      <c r="B375" s="2" t="s">
        <f>"苏小慧"</f>
        <v>748</v>
      </c>
      <c r="C375" s="2">
        <v>-157.0</v>
      </c>
      <c r="D375" s="2">
        <v>-3575.0</v>
      </c>
      <c r="E375" s="2">
        <v>-1351.61</v>
      </c>
    </row>
    <row r="376" spans="1:5" customHeight="1" x14ac:dyDescent="0.15">
      <c r="A376" s="2" t="s">
        <f>"093000059920007"</f>
        <v>749</v>
      </c>
      <c r="B376" s="2" t="s">
        <f>"全光辉"</f>
        <v>750</v>
      </c>
      <c r="C376" s="2">
        <v>0.0</v>
      </c>
      <c r="D376" s="2">
        <v>-812.0</v>
      </c>
      <c r="E376" s="2">
        <v>-528.19</v>
      </c>
    </row>
    <row r="377" spans="1:5" customHeight="1" x14ac:dyDescent="0.15">
      <c r="A377" s="2" t="s">
        <f>"0930000620001"</f>
        <v>751</v>
      </c>
      <c r="B377" s="2" t="s">
        <f>"陈家琪"</f>
        <v>752</v>
      </c>
      <c r="C377" s="2">
        <v>0.0</v>
      </c>
      <c r="D377" s="2">
        <v>872.0</v>
      </c>
      <c r="E377" s="2">
        <v>-55.23</v>
      </c>
    </row>
    <row r="378" spans="1:5" customHeight="1" x14ac:dyDescent="0.15">
      <c r="A378" s="2" t="s">
        <f>"093000048920006"</f>
        <v>753</v>
      </c>
      <c r="B378" s="2" t="s">
        <f>"杨霞"</f>
        <v>754</v>
      </c>
      <c r="C378" s="2">
        <v>-9.0</v>
      </c>
      <c r="D378" s="2">
        <v>-1154.0</v>
      </c>
      <c r="E378" s="2">
        <v>-651.66</v>
      </c>
    </row>
    <row r="379" spans="1:5" customHeight="1" x14ac:dyDescent="0.15">
      <c r="A379" s="2" t="s">
        <f>"0930000000022"</f>
        <v>755</v>
      </c>
      <c r="B379" s="2" t="s">
        <f>"张宁"</f>
        <v>756</v>
      </c>
      <c r="C379" s="2">
        <v>-429.0</v>
      </c>
      <c r="D379" s="2">
        <v>-667.0</v>
      </c>
      <c r="E379" s="2">
        <v>-368.96</v>
      </c>
    </row>
    <row r="380" spans="1:5" customHeight="1" x14ac:dyDescent="0.15">
      <c r="A380" s="2" t="s">
        <f>"093000040001920034"</f>
        <v>757</v>
      </c>
      <c r="B380" s="2" t="s">
        <f>"姚学清"</f>
        <v>758</v>
      </c>
      <c r="C380" s="2">
        <v>0.0</v>
      </c>
      <c r="D380" s="2">
        <v>2010.0</v>
      </c>
      <c r="E380" s="2">
        <v>-887.55</v>
      </c>
    </row>
    <row r="381" spans="1:5" customHeight="1" x14ac:dyDescent="0.15">
      <c r="A381" s="2" t="s">
        <f>"0930000000023"</f>
        <v>759</v>
      </c>
      <c r="B381" s="2" t="s">
        <f>"黄肇强"</f>
        <v>760</v>
      </c>
      <c r="C381" s="2">
        <v>0.0</v>
      </c>
      <c r="D381" s="2">
        <v>0.0</v>
      </c>
      <c r="E381" s="2">
        <v>0.0</v>
      </c>
    </row>
    <row r="382" spans="1:5" customHeight="1" x14ac:dyDescent="0.15">
      <c r="A382" s="2" t="s">
        <f>"093000920384"</f>
        <v>761</v>
      </c>
      <c r="B382" s="2" t="s">
        <f>"刘凡"</f>
        <v>762</v>
      </c>
      <c r="C382" s="2">
        <v>0.0</v>
      </c>
      <c r="D382" s="2">
        <v>0.0</v>
      </c>
      <c r="E382" s="2">
        <v>0.0</v>
      </c>
    </row>
    <row r="383" spans="1:5" customHeight="1" x14ac:dyDescent="0.15">
      <c r="A383" s="2" t="s">
        <f>"093000046920005"</f>
        <v>763</v>
      </c>
      <c r="B383" s="2" t="s">
        <f>"姚海焘"</f>
        <v>764</v>
      </c>
      <c r="C383" s="2">
        <v>0.0</v>
      </c>
      <c r="D383" s="2">
        <v>0.0</v>
      </c>
      <c r="E383" s="2">
        <v>0.0</v>
      </c>
    </row>
    <row r="384" spans="1:5" customHeight="1" x14ac:dyDescent="0.15">
      <c r="A384" s="2" t="s">
        <f>"093000040001920035"</f>
        <v>765</v>
      </c>
      <c r="B384" s="2" t="s">
        <f>"黄耀湘"</f>
        <v>766</v>
      </c>
      <c r="C384" s="2">
        <v>0.0</v>
      </c>
      <c r="D384" s="2">
        <v>-1265.0</v>
      </c>
      <c r="E384" s="2">
        <v>-238.98</v>
      </c>
    </row>
    <row r="385" spans="1:5" customHeight="1" x14ac:dyDescent="0.15">
      <c r="A385" s="2" t="s">
        <f>"093000920387"</f>
        <v>767</v>
      </c>
      <c r="B385" s="2" t="s">
        <f>"任龙飞"</f>
        <v>768</v>
      </c>
      <c r="C385" s="2">
        <v>0.0</v>
      </c>
      <c r="D385" s="2">
        <v>109.0</v>
      </c>
      <c r="E385" s="2">
        <v>-57.66</v>
      </c>
    </row>
    <row r="386" spans="1:5" customHeight="1" x14ac:dyDescent="0.15">
      <c r="A386" s="2" t="s">
        <f>"093000040001920036"</f>
        <v>769</v>
      </c>
      <c r="B386" s="2" t="s">
        <f>" 林桦通"</f>
        <v>770</v>
      </c>
      <c r="C386" s="2">
        <v>26.0</v>
      </c>
      <c r="D386" s="2">
        <v>3282.0</v>
      </c>
      <c r="E386" s="2">
        <v>-293.92</v>
      </c>
    </row>
    <row r="387" spans="1:5" customHeight="1" x14ac:dyDescent="0.15">
      <c r="A387" s="2" t="s">
        <f>"093000920389"</f>
        <v>771</v>
      </c>
      <c r="B387" s="2" t="s">
        <f>"冯书华"</f>
        <v>772</v>
      </c>
      <c r="C387" s="2">
        <v>0.0</v>
      </c>
      <c r="D387" s="2">
        <v>17.0</v>
      </c>
      <c r="E387" s="2">
        <v>-263.21</v>
      </c>
    </row>
    <row r="388" spans="1:5" customHeight="1" x14ac:dyDescent="0.15">
      <c r="A388" s="2" t="s">
        <f>"093000048920007"</f>
        <v>773</v>
      </c>
      <c r="B388" s="2" t="s">
        <f>"岳文滔"</f>
        <v>774</v>
      </c>
      <c r="C388" s="2">
        <v>-3263.0</v>
      </c>
      <c r="D388" s="2">
        <v>-2200.0</v>
      </c>
      <c r="E388" s="2">
        <v>-2633.57</v>
      </c>
    </row>
    <row r="389" spans="1:5" customHeight="1" x14ac:dyDescent="0.15">
      <c r="A389" s="2" t="s">
        <f>"093000040001920038"</f>
        <v>775</v>
      </c>
      <c r="B389" s="2" t="s">
        <f>"马伟峰"</f>
        <v>776</v>
      </c>
      <c r="C389" s="2">
        <v>0.0</v>
      </c>
      <c r="D389" s="2">
        <v>0.0</v>
      </c>
      <c r="E389" s="2">
        <v>0.0</v>
      </c>
    </row>
    <row r="390" spans="1:5" customHeight="1" x14ac:dyDescent="0.15">
      <c r="A390" s="2" t="s">
        <f>"093000040001920037"</f>
        <v>777</v>
      </c>
      <c r="B390" s="2" t="s">
        <f>"姚海林"</f>
        <v>778</v>
      </c>
      <c r="C390" s="2">
        <v>0.0</v>
      </c>
      <c r="D390" s="2">
        <v>0.0</v>
      </c>
      <c r="E390" s="2">
        <v>0.0</v>
      </c>
    </row>
    <row r="391" spans="1:5" customHeight="1" x14ac:dyDescent="0.15">
      <c r="A391" s="2" t="s">
        <f>"093000037920035"</f>
        <v>779</v>
      </c>
      <c r="B391" s="2" t="s">
        <f>"周小委"</f>
        <v>780</v>
      </c>
      <c r="C391" s="2">
        <v>0.0</v>
      </c>
      <c r="D391" s="2">
        <v>0.0</v>
      </c>
      <c r="E391" s="2">
        <v>0.0</v>
      </c>
    </row>
    <row r="392" spans="1:5" customHeight="1" x14ac:dyDescent="0.15">
      <c r="A392" s="2" t="s">
        <f>"093000040001920039"</f>
        <v>781</v>
      </c>
      <c r="B392" s="2" t="s">
        <f>"覃业毅"</f>
        <v>782</v>
      </c>
      <c r="C392" s="2">
        <v>-254.0</v>
      </c>
      <c r="D392" s="2">
        <v>2932.0</v>
      </c>
      <c r="E392" s="2">
        <v>-325.99</v>
      </c>
    </row>
    <row r="393" spans="1:5" customHeight="1" x14ac:dyDescent="0.15">
      <c r="A393" s="2" t="s">
        <f>"093000040001920040"</f>
        <v>783</v>
      </c>
      <c r="B393" s="2" t="s">
        <f>"覃业叙"</f>
        <v>784</v>
      </c>
      <c r="C393" s="2">
        <v>0.0</v>
      </c>
      <c r="D393" s="2">
        <v>-1098.0</v>
      </c>
      <c r="E393" s="2">
        <v>-99.73</v>
      </c>
    </row>
    <row r="394" spans="1:5" customHeight="1" x14ac:dyDescent="0.15">
      <c r="A394" s="2" t="s">
        <f>"0930000000024"</f>
        <v>785</v>
      </c>
      <c r="B394" s="2" t="s">
        <v>786</v>
      </c>
      <c r="C394" s="2">
        <v>0.0</v>
      </c>
      <c r="D394" s="2">
        <v>0.0</v>
      </c>
      <c r="E394" s="2">
        <v>0.0</v>
      </c>
    </row>
    <row r="395" spans="1:5" customHeight="1" x14ac:dyDescent="0.15">
      <c r="A395" s="2" t="s">
        <f>"09300000000025"</f>
        <v>787</v>
      </c>
      <c r="B395" s="2" t="s">
        <f>"徐高梁"</f>
        <v>788</v>
      </c>
      <c r="C395" s="2">
        <v>0.0</v>
      </c>
      <c r="D395" s="2">
        <v>9.0</v>
      </c>
      <c r="E395" s="2">
        <v>-6.86</v>
      </c>
    </row>
    <row r="396" spans="1:5" customHeight="1" x14ac:dyDescent="0.15">
      <c r="A396" s="2" t="s">
        <f>"093000040001920041"</f>
        <v>789</v>
      </c>
      <c r="B396" s="2" t="s">
        <f>"杨坤丽"</f>
        <v>790</v>
      </c>
      <c r="C396" s="2">
        <v>0.0</v>
      </c>
      <c r="D396" s="2">
        <v>-1112.0</v>
      </c>
      <c r="E396" s="2">
        <v>-102.6</v>
      </c>
    </row>
    <row r="397" spans="1:5" customHeight="1" x14ac:dyDescent="0.15">
      <c r="A397" s="2" t="s">
        <f>"093000037920036"</f>
        <v>791</v>
      </c>
      <c r="B397" s="2" t="s">
        <f>"刘学科"</f>
        <v>792</v>
      </c>
      <c r="C397" s="2">
        <v>-397.0</v>
      </c>
      <c r="D397" s="2">
        <v>113.0</v>
      </c>
      <c r="E397" s="2">
        <v>-449.97</v>
      </c>
    </row>
    <row r="398" spans="1:5" customHeight="1" x14ac:dyDescent="0.15">
      <c r="A398" s="2" t="s">
        <f>"0930000620002"</f>
        <v>793</v>
      </c>
      <c r="B398" s="2" t="s">
        <f>"李心简"</f>
        <v>794</v>
      </c>
      <c r="C398" s="2">
        <v>310.0</v>
      </c>
      <c r="D398" s="2">
        <v>-3110.0</v>
      </c>
      <c r="E398" s="2">
        <v>-1942.42</v>
      </c>
    </row>
    <row r="399" spans="1:5" customHeight="1" x14ac:dyDescent="0.15">
      <c r="A399" s="2" t="s">
        <f>"093000037920037"</f>
        <v>795</v>
      </c>
      <c r="B399" s="2" t="s">
        <f>"杨文龙"</f>
        <v>796</v>
      </c>
      <c r="C399" s="2">
        <v>45.0</v>
      </c>
      <c r="D399" s="2">
        <v>-2105.0</v>
      </c>
      <c r="E399" s="2">
        <v>-2378.52</v>
      </c>
    </row>
    <row r="400" spans="1:5" customHeight="1" x14ac:dyDescent="0.15">
      <c r="A400" s="2" t="s">
        <f>"093000062920006"</f>
        <v>797</v>
      </c>
      <c r="B400" s="2" t="s">
        <f>"何世玉"</f>
        <v>798</v>
      </c>
      <c r="C400" s="2">
        <v>-173.0</v>
      </c>
      <c r="D400" s="2">
        <v>-639.0</v>
      </c>
      <c r="E400" s="2">
        <v>-204.81</v>
      </c>
    </row>
    <row r="401" spans="1:5" customHeight="1" x14ac:dyDescent="0.15">
      <c r="A401" s="2" t="s">
        <f>"093000040001920042"</f>
        <v>799</v>
      </c>
      <c r="B401" s="2" t="s">
        <f>"黄上宾"</f>
        <v>800</v>
      </c>
      <c r="C401" s="2">
        <v>0.0</v>
      </c>
      <c r="D401" s="2">
        <v>-1100.0</v>
      </c>
      <c r="E401" s="2">
        <v>-108.59</v>
      </c>
    </row>
    <row r="402" spans="1:5" customHeight="1" x14ac:dyDescent="0.15">
      <c r="A402" s="2" t="s">
        <f>"0930000000025"</f>
        <v>801</v>
      </c>
      <c r="B402" s="2" t="s">
        <f>"刘彦萍"</f>
        <v>802</v>
      </c>
      <c r="C402" s="2">
        <v>0.0</v>
      </c>
      <c r="D402" s="2">
        <v>0.0</v>
      </c>
      <c r="E402" s="2">
        <v>0.0</v>
      </c>
    </row>
    <row r="403" spans="1:5" customHeight="1" x14ac:dyDescent="0.15">
      <c r="A403" s="2" t="s">
        <f>"093000040001920044"</f>
        <v>803</v>
      </c>
      <c r="B403" s="2" t="s">
        <f>"李崇源"</f>
        <v>804</v>
      </c>
      <c r="C403" s="2">
        <v>-134.0</v>
      </c>
      <c r="D403" s="2">
        <v>2470.0</v>
      </c>
      <c r="E403" s="2">
        <v>-326.09</v>
      </c>
    </row>
    <row r="404" spans="1:5" customHeight="1" x14ac:dyDescent="0.15">
      <c r="A404" s="2" t="s">
        <f>"093000040001920045"</f>
        <v>805</v>
      </c>
      <c r="B404" s="2" t="s">
        <f>"吴昌伟"</f>
        <v>806</v>
      </c>
      <c r="C404" s="2">
        <v>0.0</v>
      </c>
      <c r="D404" s="2">
        <v>0.0</v>
      </c>
      <c r="E404" s="2">
        <v>0.0</v>
      </c>
    </row>
    <row r="405" spans="1:5" customHeight="1" x14ac:dyDescent="0.15">
      <c r="A405" s="2" t="s">
        <f>"093000067920019"</f>
        <v>807</v>
      </c>
      <c r="B405" s="2" t="s">
        <f>"马付林"</f>
        <v>808</v>
      </c>
      <c r="C405" s="2">
        <v>0.0</v>
      </c>
      <c r="D405" s="2">
        <v>-566.0</v>
      </c>
      <c r="E405" s="2">
        <v>-117.72</v>
      </c>
    </row>
    <row r="406" spans="1:5" customHeight="1" x14ac:dyDescent="0.15">
      <c r="A406" s="2" t="s">
        <f>"093000040001920046"</f>
        <v>809</v>
      </c>
      <c r="B406" s="2" t="s">
        <f>"陈琴芬"</f>
        <v>810</v>
      </c>
      <c r="C406" s="2">
        <v>0.0</v>
      </c>
      <c r="D406" s="2">
        <v>0.0</v>
      </c>
      <c r="E406" s="2">
        <v>0.0</v>
      </c>
    </row>
    <row r="407" spans="1:5" customHeight="1" x14ac:dyDescent="0.15">
      <c r="A407" s="2" t="s">
        <f>"093000040001920051"</f>
        <v>811</v>
      </c>
      <c r="B407" s="2" t="s">
        <f>"林旭南"</f>
        <v>812</v>
      </c>
      <c r="C407" s="2">
        <v>-990.0</v>
      </c>
      <c r="D407" s="2">
        <v>-90.0</v>
      </c>
      <c r="E407" s="2">
        <v>-99.33</v>
      </c>
    </row>
    <row r="408" spans="1:5" customHeight="1" x14ac:dyDescent="0.15">
      <c r="A408" s="2" t="s">
        <f>"093000040001920050"</f>
        <v>813</v>
      </c>
      <c r="B408" s="2" t="s">
        <f>"莫宗钧"</f>
        <v>814</v>
      </c>
      <c r="C408" s="2">
        <v>53.0</v>
      </c>
      <c r="D408" s="2">
        <v>2526.0</v>
      </c>
      <c r="E408" s="2">
        <v>-327.64</v>
      </c>
    </row>
    <row r="409" spans="1:5" customHeight="1" x14ac:dyDescent="0.15">
      <c r="A409" s="2" t="s">
        <f>"093000040001920049"</f>
        <v>815</v>
      </c>
      <c r="B409" s="2" t="s">
        <f>"莫日胜"</f>
        <v>816</v>
      </c>
      <c r="C409" s="2">
        <v>-896.0</v>
      </c>
      <c r="D409" s="2">
        <v>-68.0</v>
      </c>
      <c r="E409" s="2">
        <v>-99.26</v>
      </c>
    </row>
    <row r="410" spans="1:5" customHeight="1" x14ac:dyDescent="0.15">
      <c r="A410" s="2" t="s">
        <f>"093000040001920048"</f>
        <v>817</v>
      </c>
      <c r="B410" s="2" t="s">
        <f>"莫伟强"</f>
        <v>818</v>
      </c>
      <c r="C410" s="2">
        <v>-950.0</v>
      </c>
      <c r="D410" s="2">
        <v>-110.0</v>
      </c>
      <c r="E410" s="2">
        <v>-99.27</v>
      </c>
    </row>
    <row r="411" spans="1:5" customHeight="1" x14ac:dyDescent="0.15">
      <c r="A411" s="2" t="s">
        <f>"093000040001920047"</f>
        <v>819</v>
      </c>
      <c r="B411" s="2" t="s">
        <f>"郭兆恒"</f>
        <v>820</v>
      </c>
      <c r="C411" s="2">
        <v>185.0</v>
      </c>
      <c r="D411" s="2">
        <v>-10.0</v>
      </c>
      <c r="E411" s="2">
        <v>-514.57</v>
      </c>
    </row>
    <row r="412" spans="1:5" customHeight="1" x14ac:dyDescent="0.15">
      <c r="A412" s="2" t="s">
        <f>"093000040001920052"</f>
        <v>821</v>
      </c>
      <c r="B412" s="2" t="s">
        <f>"莫训武"</f>
        <v>822</v>
      </c>
      <c r="C412" s="2">
        <v>-94.0</v>
      </c>
      <c r="D412" s="2">
        <v>2578.0</v>
      </c>
      <c r="E412" s="2">
        <v>-327.5</v>
      </c>
    </row>
    <row r="413" spans="1:5" customHeight="1" x14ac:dyDescent="0.15">
      <c r="A413" s="2" t="s">
        <f>"093000040001920054"</f>
        <v>823</v>
      </c>
      <c r="B413" s="2" t="s">
        <f>"王达初"</f>
        <v>824</v>
      </c>
      <c r="C413" s="2">
        <v>0.0</v>
      </c>
      <c r="D413" s="2">
        <v>0.0</v>
      </c>
      <c r="E413" s="2">
        <v>0.0</v>
      </c>
    </row>
    <row r="414" spans="1:5" customHeight="1" x14ac:dyDescent="0.15">
      <c r="A414" s="2" t="s">
        <f>"093000040001920053"</f>
        <v>825</v>
      </c>
      <c r="B414" s="2" t="s">
        <f>"莫德森"</f>
        <v>826</v>
      </c>
      <c r="C414" s="2">
        <v>-962.0</v>
      </c>
      <c r="D414" s="2">
        <v>-90.0</v>
      </c>
      <c r="E414" s="2">
        <v>-99.3</v>
      </c>
    </row>
    <row r="415" spans="1:5" customHeight="1" x14ac:dyDescent="0.15">
      <c r="A415" s="2" t="s">
        <f>"093000070920002"</f>
        <v>827</v>
      </c>
      <c r="B415" s="2" t="s">
        <f>"黄莹"</f>
        <v>828</v>
      </c>
      <c r="C415" s="2">
        <v>0.0</v>
      </c>
      <c r="D415" s="2">
        <v>0.0</v>
      </c>
      <c r="E415" s="2">
        <v>0.0</v>
      </c>
    </row>
    <row r="416" spans="1:5" customHeight="1" x14ac:dyDescent="0.15">
      <c r="A416" s="2" t="s">
        <f>"093000040001920055"</f>
        <v>829</v>
      </c>
      <c r="B416" s="2" t="s">
        <f>"易子洢"</f>
        <v>830</v>
      </c>
      <c r="C416" s="2">
        <v>1060.0</v>
      </c>
      <c r="D416" s="2">
        <v>-2090.0</v>
      </c>
      <c r="E416" s="2">
        <v>-286.85</v>
      </c>
    </row>
    <row r="417" spans="1:5" customHeight="1" x14ac:dyDescent="0.15">
      <c r="A417" s="2" t="s">
        <f>"093000043920005"</f>
        <v>831</v>
      </c>
      <c r="B417" s="2" t="s">
        <f>"訾玉中"</f>
        <v>832</v>
      </c>
      <c r="C417" s="2">
        <v>0.0</v>
      </c>
      <c r="D417" s="2">
        <v>-917.0</v>
      </c>
      <c r="E417" s="2">
        <v>-338.57</v>
      </c>
    </row>
    <row r="418" spans="1:5" customHeight="1" x14ac:dyDescent="0.15">
      <c r="A418" s="2" t="s">
        <f>"093000067920020"</f>
        <v>833</v>
      </c>
      <c r="B418" s="2" t="s">
        <f>"廖世兵"</f>
        <v>834</v>
      </c>
      <c r="C418" s="2">
        <v>103.0</v>
      </c>
      <c r="D418" s="2">
        <v>-561.0</v>
      </c>
      <c r="E418" s="2">
        <v>-1456.11</v>
      </c>
    </row>
    <row r="419" spans="1:5" customHeight="1" x14ac:dyDescent="0.15">
      <c r="A419" s="2" t="s">
        <f>"093000067920021"</f>
        <v>835</v>
      </c>
      <c r="B419" s="2" t="s">
        <f>"陈梦云"</f>
        <v>836</v>
      </c>
      <c r="C419" s="2">
        <v>0.0</v>
      </c>
      <c r="D419" s="2">
        <v>-683.0</v>
      </c>
      <c r="E419" s="2">
        <v>-511.45</v>
      </c>
    </row>
    <row r="420" spans="1:5" customHeight="1" x14ac:dyDescent="0.15">
      <c r="A420" s="2" t="s">
        <f>"093000920396"</f>
        <v>837</v>
      </c>
      <c r="B420" s="2" t="s">
        <f>"欧阳盼平"</f>
        <v>838</v>
      </c>
      <c r="C420" s="2">
        <v>-901.0</v>
      </c>
      <c r="D420" s="2">
        <v>324.0</v>
      </c>
      <c r="E420" s="2">
        <v>-353.48</v>
      </c>
    </row>
    <row r="421" spans="1:5" customHeight="1" x14ac:dyDescent="0.15">
      <c r="A421" s="2" t="s">
        <f>"093000040001920056"</f>
        <v>839</v>
      </c>
      <c r="B421" s="2" t="s">
        <f>"何伦英"</f>
        <v>840</v>
      </c>
      <c r="C421" s="2">
        <v>0.0</v>
      </c>
      <c r="D421" s="2">
        <v>-946.0</v>
      </c>
      <c r="E421" s="2">
        <v>-99.42</v>
      </c>
    </row>
    <row r="422" spans="1:5" customHeight="1" x14ac:dyDescent="0.15">
      <c r="A422" s="2" t="s">
        <f>"093000070920003"</f>
        <v>841</v>
      </c>
      <c r="B422" s="2" t="s">
        <f>"陈洁"</f>
        <v>842</v>
      </c>
      <c r="C422" s="2">
        <v>0.0</v>
      </c>
      <c r="D422" s="2">
        <v>-566.0</v>
      </c>
      <c r="E422" s="2">
        <v>-342.81</v>
      </c>
    </row>
    <row r="423" spans="1:5" customHeight="1" x14ac:dyDescent="0.15">
      <c r="A423" s="2" t="s">
        <f>"093000040001920057"</f>
        <v>843</v>
      </c>
      <c r="B423" s="2" t="s">
        <f>"莫胜森"</f>
        <v>844</v>
      </c>
      <c r="C423" s="2">
        <v>0.0</v>
      </c>
      <c r="D423" s="2">
        <v>0.0</v>
      </c>
      <c r="E423" s="2">
        <v>0.0</v>
      </c>
    </row>
    <row r="424" spans="1:5" customHeight="1" x14ac:dyDescent="0.15">
      <c r="A424" s="2" t="s">
        <f>"093000070920004"</f>
        <v>845</v>
      </c>
      <c r="B424" s="2" t="s">
        <f>"郭大洋"</f>
        <v>846</v>
      </c>
      <c r="C424" s="2">
        <v>0.0</v>
      </c>
      <c r="D424" s="2">
        <v>-886.0</v>
      </c>
      <c r="E424" s="2">
        <v>-199.53</v>
      </c>
    </row>
    <row r="425" spans="1:5" customHeight="1" x14ac:dyDescent="0.15">
      <c r="A425" s="2" t="s">
        <f>"093000920394"</f>
        <v>847</v>
      </c>
      <c r="B425" s="2" t="s">
        <f>"马鑫隆"</f>
        <v>848</v>
      </c>
      <c r="C425" s="2">
        <v>0.0</v>
      </c>
      <c r="D425" s="2">
        <v>0.0</v>
      </c>
      <c r="E425" s="2">
        <v>0.0</v>
      </c>
    </row>
    <row r="426" spans="1:5" customHeight="1" x14ac:dyDescent="0.15">
      <c r="A426" s="2" t="s">
        <f>"093000067920025"</f>
        <v>849</v>
      </c>
      <c r="B426" s="2" t="s">
        <f>"陈仁良"</f>
        <v>850</v>
      </c>
      <c r="C426" s="2">
        <v>0.0</v>
      </c>
      <c r="D426" s="2">
        <v>-60.0</v>
      </c>
      <c r="E426" s="2">
        <v>-495.39</v>
      </c>
    </row>
    <row r="427" spans="1:5" customHeight="1" x14ac:dyDescent="0.15">
      <c r="A427" s="2" t="s">
        <f>"093000920399"</f>
        <v>851</v>
      </c>
      <c r="B427" s="2" t="s">
        <f>"张旭"</f>
        <v>852</v>
      </c>
      <c r="C427" s="2">
        <v>-65.0</v>
      </c>
      <c r="D427" s="2">
        <v>-1436.0</v>
      </c>
      <c r="E427" s="2">
        <v>-372.36</v>
      </c>
    </row>
    <row r="428" spans="1:5" customHeight="1" x14ac:dyDescent="0.15">
      <c r="A428" s="2" t="s">
        <f>"093000063920003"</f>
        <v>853</v>
      </c>
      <c r="B428" s="2" t="s">
        <f>"郭彬"</f>
        <v>854</v>
      </c>
      <c r="C428" s="2">
        <v>0.0</v>
      </c>
      <c r="D428" s="2">
        <v>0.0</v>
      </c>
      <c r="E428" s="2">
        <v>0.0</v>
      </c>
    </row>
    <row r="429" spans="1:5" customHeight="1" x14ac:dyDescent="0.15">
      <c r="A429" s="2" t="s">
        <f>"093000063920004"</f>
        <v>855</v>
      </c>
      <c r="B429" s="2" t="s">
        <f>"郭建强"</f>
        <v>856</v>
      </c>
      <c r="C429" s="2">
        <v>0.0</v>
      </c>
      <c r="D429" s="2">
        <v>0.0</v>
      </c>
      <c r="E429" s="2">
        <v>0.0</v>
      </c>
    </row>
    <row r="430" spans="1:5" customHeight="1" x14ac:dyDescent="0.15">
      <c r="A430" s="2" t="s">
        <f>"093000067920027"</f>
        <v>857</v>
      </c>
      <c r="B430" s="2" t="s">
        <f>"程英"</f>
        <v>858</v>
      </c>
      <c r="C430" s="2">
        <v>0.0</v>
      </c>
      <c r="D430" s="2">
        <v>-6.0</v>
      </c>
      <c r="E430" s="2">
        <v>-6.98</v>
      </c>
    </row>
    <row r="431" spans="1:5" customHeight="1" x14ac:dyDescent="0.15">
      <c r="A431" s="2" t="s">
        <f>"093000049920033"</f>
        <v>859</v>
      </c>
      <c r="B431" s="2" t="s">
        <f>"杨卫东"</f>
        <v>860</v>
      </c>
      <c r="C431" s="2">
        <v>0.0</v>
      </c>
      <c r="D431" s="2">
        <v>-940.0</v>
      </c>
      <c r="E431" s="2">
        <v>-555.11</v>
      </c>
    </row>
    <row r="432" spans="1:5" customHeight="1" x14ac:dyDescent="0.15">
      <c r="A432" s="2" t="s">
        <f>"093000040001920059"</f>
        <v>861</v>
      </c>
      <c r="B432" s="2" t="s">
        <f>"胡朝伟"</f>
        <v>862</v>
      </c>
      <c r="C432" s="2">
        <v>0.0</v>
      </c>
      <c r="D432" s="2">
        <v>920.0</v>
      </c>
      <c r="E432" s="2">
        <v>-81.31</v>
      </c>
    </row>
    <row r="433" spans="1:5" customHeight="1" x14ac:dyDescent="0.15">
      <c r="A433" s="2" t="s">
        <f>"093000041920019"</f>
        <v>863</v>
      </c>
      <c r="B433" s="2" t="s">
        <f>"路晨"</f>
        <v>864</v>
      </c>
      <c r="C433" s="2">
        <v>0.0</v>
      </c>
      <c r="D433" s="2">
        <v>-1088.0</v>
      </c>
      <c r="E433" s="2">
        <v>-109.02</v>
      </c>
    </row>
    <row r="434" spans="1:5" customHeight="1" x14ac:dyDescent="0.15">
      <c r="A434" s="2" t="s">
        <f>"093000041920020"</f>
        <v>865</v>
      </c>
      <c r="B434" s="2" t="s">
        <f>"龙涛"</f>
        <v>866</v>
      </c>
      <c r="C434" s="2">
        <v>0.0</v>
      </c>
      <c r="D434" s="2">
        <v>998.0</v>
      </c>
      <c r="E434" s="2">
        <v>-109.02</v>
      </c>
    </row>
    <row r="435" spans="1:5" customHeight="1" x14ac:dyDescent="0.15">
      <c r="A435" s="2" t="s">
        <f>"093000059920008"</f>
        <v>867</v>
      </c>
      <c r="B435" s="2" t="s">
        <f>"马自瑞"</f>
        <v>868</v>
      </c>
      <c r="C435" s="2">
        <v>-13143.0</v>
      </c>
      <c r="D435" s="2">
        <v>-4129.0</v>
      </c>
      <c r="E435" s="2">
        <v>-13611.18</v>
      </c>
    </row>
    <row r="436" spans="1:5" customHeight="1" x14ac:dyDescent="0.15">
      <c r="A436" s="2" t="s">
        <f>"093000063920005"</f>
        <v>869</v>
      </c>
      <c r="B436" s="2" t="s">
        <f>"潘浩毅"</f>
        <v>870</v>
      </c>
      <c r="C436" s="2">
        <v>-300.0</v>
      </c>
      <c r="D436" s="2">
        <v>-600.0</v>
      </c>
      <c r="E436" s="2">
        <v>-78.9</v>
      </c>
    </row>
    <row r="437" spans="1:5" customHeight="1" x14ac:dyDescent="0.15">
      <c r="A437" s="2" t="s">
        <f>"093000040001920061"</f>
        <v>871</v>
      </c>
      <c r="B437" s="2" t="s">
        <f>"韦炳艺"</f>
        <v>872</v>
      </c>
      <c r="C437" s="2">
        <v>0.0</v>
      </c>
      <c r="D437" s="2">
        <v>0.0</v>
      </c>
      <c r="E437" s="2">
        <v>0.0</v>
      </c>
    </row>
    <row r="438" spans="1:5" customHeight="1" x14ac:dyDescent="0.15">
      <c r="A438" s="2" t="s">
        <f>"093000048920008"</f>
        <v>873</v>
      </c>
      <c r="B438" s="2" t="s">
        <f>"贾小平"</f>
        <v>874</v>
      </c>
      <c r="C438" s="2">
        <v>-2050.0</v>
      </c>
      <c r="D438" s="2">
        <v>-1436.0</v>
      </c>
      <c r="E438" s="2">
        <v>-1247.23</v>
      </c>
    </row>
    <row r="439" spans="1:5" customHeight="1" x14ac:dyDescent="0.15">
      <c r="A439" s="2" t="s">
        <f>"093000049920034"</f>
        <v>875</v>
      </c>
      <c r="B439" s="2" t="s">
        <f>"毛爽"</f>
        <v>876</v>
      </c>
      <c r="C439" s="2">
        <v>0.0</v>
      </c>
      <c r="D439" s="2">
        <v>-880.0</v>
      </c>
      <c r="E439" s="2">
        <v>-81.6</v>
      </c>
    </row>
    <row r="440" spans="1:5" customHeight="1" x14ac:dyDescent="0.15">
      <c r="A440" s="2" t="s">
        <f>"093000040001920062"</f>
        <v>877</v>
      </c>
      <c r="B440" s="2" t="s">
        <f>"杨雪"</f>
        <v>878</v>
      </c>
      <c r="C440" s="2">
        <v>0.0</v>
      </c>
      <c r="D440" s="2">
        <v>0.0</v>
      </c>
      <c r="E440" s="2">
        <v>0.0</v>
      </c>
    </row>
    <row r="441" spans="1:5" customHeight="1" x14ac:dyDescent="0.15">
      <c r="A441" s="2" t="s">
        <f>"093000048920010"</f>
        <v>879</v>
      </c>
      <c r="B441" s="2" t="s">
        <f>"秦艳凡"</f>
        <v>880</v>
      </c>
      <c r="C441" s="2">
        <v>-880.0</v>
      </c>
      <c r="D441" s="2">
        <v>-374.0</v>
      </c>
      <c r="E441" s="2">
        <v>-178.73</v>
      </c>
    </row>
    <row r="442" spans="1:5" customHeight="1" x14ac:dyDescent="0.15">
      <c r="A442" s="2" t="s">
        <f>"093000047920001"</f>
        <v>881</v>
      </c>
      <c r="B442" s="2" t="s">
        <f>"付国景"</f>
        <v>882</v>
      </c>
      <c r="C442" s="2">
        <v>0.0</v>
      </c>
      <c r="D442" s="2">
        <v>500.0</v>
      </c>
      <c r="E442" s="2">
        <v>-107.77</v>
      </c>
    </row>
    <row r="443" spans="1:5" customHeight="1" x14ac:dyDescent="0.15">
      <c r="A443" s="2" t="s">
        <f>"093000047920002"</f>
        <v>883</v>
      </c>
      <c r="B443" s="2" t="s">
        <f>"和成栓"</f>
        <v>884</v>
      </c>
      <c r="C443" s="2">
        <v>0.0</v>
      </c>
      <c r="D443" s="2">
        <v>0.0</v>
      </c>
      <c r="E443" s="2">
        <v>0.0</v>
      </c>
    </row>
    <row r="444" spans="1:5" customHeight="1" x14ac:dyDescent="0.15">
      <c r="A444" s="2" t="s">
        <f>"093000059920009"</f>
        <v>885</v>
      </c>
      <c r="B444" s="2" t="s">
        <f>"申康佳"</f>
        <v>886</v>
      </c>
      <c r="C444" s="2">
        <v>0.0</v>
      </c>
      <c r="D444" s="2">
        <v>0.0</v>
      </c>
      <c r="E444" s="2">
        <v>0.0</v>
      </c>
    </row>
    <row r="445" spans="1:5" customHeight="1" x14ac:dyDescent="0.15">
      <c r="A445" s="2" t="s">
        <f>"093000040001920064"</f>
        <v>887</v>
      </c>
      <c r="B445" s="2" t="s">
        <f>"郭金玲"</f>
        <v>888</v>
      </c>
      <c r="C445" s="2">
        <v>0.0</v>
      </c>
      <c r="D445" s="2">
        <v>1658.0</v>
      </c>
      <c r="E445" s="2">
        <v>-362.87</v>
      </c>
    </row>
    <row r="446" spans="1:5" customHeight="1" x14ac:dyDescent="0.15">
      <c r="A446" s="2" t="s">
        <f>"093000040001920065"</f>
        <v>889</v>
      </c>
      <c r="B446" s="2" t="s">
        <f>"梁照练"</f>
        <v>890</v>
      </c>
      <c r="C446" s="2">
        <v>0.0</v>
      </c>
      <c r="D446" s="2">
        <v>0.0</v>
      </c>
      <c r="E446" s="2">
        <v>0.0</v>
      </c>
    </row>
    <row r="447" spans="1:5" customHeight="1" x14ac:dyDescent="0.15">
      <c r="A447" s="2" t="s">
        <f>"093000037920038"</f>
        <v>891</v>
      </c>
      <c r="B447" s="2" t="s">
        <f>"马灵灵"</f>
        <v>892</v>
      </c>
      <c r="C447" s="2">
        <v>-300.0</v>
      </c>
      <c r="D447" s="2">
        <v>-893.0</v>
      </c>
      <c r="E447" s="2">
        <v>-871.08</v>
      </c>
    </row>
    <row r="448" spans="1:5" customHeight="1" x14ac:dyDescent="0.15">
      <c r="A448" s="2" t="s">
        <f>"0930000000020"</f>
        <v>893</v>
      </c>
      <c r="B448" s="2" t="s">
        <f>"郭还还"</f>
        <v>894</v>
      </c>
      <c r="C448" s="2">
        <v>0.0</v>
      </c>
      <c r="D448" s="2">
        <v>0.0</v>
      </c>
      <c r="E448" s="2">
        <v>0.0</v>
      </c>
    </row>
    <row r="449" spans="1:5" customHeight="1" x14ac:dyDescent="0.15">
      <c r="A449" s="2" t="s">
        <f>"0930000000026"</f>
        <v>895</v>
      </c>
      <c r="B449" s="2" t="s">
        <f>"黄星"</f>
        <v>896</v>
      </c>
      <c r="C449" s="2">
        <v>-228.0</v>
      </c>
      <c r="D449" s="2">
        <v>-3179.0</v>
      </c>
      <c r="E449" s="2">
        <v>-1512.18</v>
      </c>
    </row>
    <row r="450" spans="1:5" customHeight="1" x14ac:dyDescent="0.15">
      <c r="A450" s="2" t="s">
        <f>"0930000000027"</f>
        <v>897</v>
      </c>
      <c r="B450" s="2" t="s">
        <f>"郭宗良"</f>
        <v>898</v>
      </c>
      <c r="C450" s="2">
        <v>0.0</v>
      </c>
      <c r="D450" s="2">
        <v>0.0</v>
      </c>
      <c r="E450" s="2">
        <v>0.0</v>
      </c>
    </row>
    <row r="451" spans="1:5" customHeight="1" x14ac:dyDescent="0.15">
      <c r="A451" s="2" t="s">
        <f>"093000047920003"</f>
        <v>899</v>
      </c>
      <c r="B451" s="2" t="s">
        <f>"宋克铎"</f>
        <v>900</v>
      </c>
      <c r="C451" s="2">
        <v>0.0</v>
      </c>
      <c r="D451" s="2">
        <v>0.0</v>
      </c>
      <c r="E451" s="2">
        <v>0.0</v>
      </c>
    </row>
    <row r="452" spans="1:5" customHeight="1" x14ac:dyDescent="0.15">
      <c r="A452" s="2" t="s">
        <f>"093000920402"</f>
        <v>901</v>
      </c>
      <c r="B452" s="2" t="s">
        <f>"宋冲冲"</f>
        <v>902</v>
      </c>
      <c r="C452" s="2">
        <v>0.0</v>
      </c>
      <c r="D452" s="2">
        <v>0.0</v>
      </c>
      <c r="E452" s="2">
        <v>0.0</v>
      </c>
    </row>
    <row r="453" spans="1:5" customHeight="1" x14ac:dyDescent="0.15">
      <c r="A453" s="2" t="s">
        <f>"093000049920035"</f>
        <v>903</v>
      </c>
      <c r="B453" s="2" t="s">
        <f>"魏元章"</f>
        <v>904</v>
      </c>
      <c r="C453" s="2">
        <v>0.0</v>
      </c>
      <c r="D453" s="2">
        <v>-562.0</v>
      </c>
      <c r="E453" s="2">
        <v>-187.88</v>
      </c>
    </row>
    <row r="454" spans="1:5" customHeight="1" x14ac:dyDescent="0.15">
      <c r="A454" s="2" t="s">
        <f>"093000063920006"</f>
        <v>905</v>
      </c>
      <c r="B454" s="2" t="s">
        <f>"应帅"</f>
        <v>906</v>
      </c>
      <c r="C454" s="2">
        <v>0.0</v>
      </c>
      <c r="D454" s="2">
        <v>-1020.0</v>
      </c>
      <c r="E454" s="2">
        <v>-79.22</v>
      </c>
    </row>
    <row r="455" spans="1:5" customHeight="1" x14ac:dyDescent="0.15">
      <c r="A455" s="2" t="s">
        <f>"093000040920037"</f>
        <v>907</v>
      </c>
      <c r="B455" s="2" t="s">
        <f>"邓江艳"</f>
        <v>908</v>
      </c>
      <c r="C455" s="2">
        <v>-486.0</v>
      </c>
      <c r="D455" s="2">
        <v>-618.0</v>
      </c>
      <c r="E455" s="2">
        <v>-806.46</v>
      </c>
    </row>
    <row r="456" spans="1:5" customHeight="1" x14ac:dyDescent="0.15">
      <c r="A456" s="2" t="s">
        <f>"093000068920005"</f>
        <v>909</v>
      </c>
      <c r="B456" s="2" t="s">
        <f>"何珏"</f>
        <v>910</v>
      </c>
      <c r="C456" s="2">
        <v>0.0</v>
      </c>
      <c r="D456" s="2">
        <v>0.0</v>
      </c>
      <c r="E456" s="2">
        <v>0.0</v>
      </c>
    </row>
    <row r="457" spans="1:5" customHeight="1" x14ac:dyDescent="0.15">
      <c r="A457" s="2" t="s">
        <f>"093000059920010"</f>
        <v>911</v>
      </c>
      <c r="B457" s="2" t="s">
        <f>"蒋海涛"</f>
        <v>912</v>
      </c>
      <c r="C457" s="2">
        <v>0.0</v>
      </c>
      <c r="D457" s="2">
        <v>0.0</v>
      </c>
      <c r="E457" s="2">
        <v>0.0</v>
      </c>
    </row>
    <row r="458" spans="1:5" customHeight="1" x14ac:dyDescent="0.15">
      <c r="A458" s="2" t="s">
        <f>"0930000000028"</f>
        <v>913</v>
      </c>
      <c r="B458" s="2" t="s">
        <f>"吴桂霞"</f>
        <v>914</v>
      </c>
      <c r="C458" s="2">
        <v>195.0</v>
      </c>
      <c r="D458" s="2">
        <v>-1709.0</v>
      </c>
      <c r="E458" s="2">
        <v>-579.99</v>
      </c>
    </row>
    <row r="459" spans="1:5" customHeight="1" x14ac:dyDescent="0.15">
      <c r="A459" s="2" t="s">
        <f>"093000049920036"</f>
        <v>915</v>
      </c>
      <c r="B459" s="2" t="s">
        <f>"张静"</f>
        <v>916</v>
      </c>
      <c r="C459" s="2">
        <v>0.0</v>
      </c>
      <c r="D459" s="2">
        <v>-920.0</v>
      </c>
      <c r="E459" s="2">
        <v>-77.54</v>
      </c>
    </row>
    <row r="460" spans="1:5" customHeight="1" x14ac:dyDescent="0.15">
      <c r="A460" s="2" t="s">
        <f>"093000037920039"</f>
        <v>917</v>
      </c>
      <c r="B460" s="2" t="s">
        <f>"杨帅"</f>
        <v>918</v>
      </c>
      <c r="C460" s="2">
        <v>0.0</v>
      </c>
      <c r="D460" s="2">
        <v>0.0</v>
      </c>
      <c r="E460" s="2">
        <v>0.0</v>
      </c>
    </row>
    <row r="461" spans="1:5" customHeight="1" x14ac:dyDescent="0.15">
      <c r="A461" s="2" t="s">
        <f>"093000040001920067"</f>
        <v>919</v>
      </c>
      <c r="B461" s="2" t="s">
        <f>"卢艺"</f>
        <v>920</v>
      </c>
      <c r="C461" s="2">
        <v>0.0</v>
      </c>
      <c r="D461" s="2">
        <v>-1280.0</v>
      </c>
      <c r="E461" s="2">
        <v>-159.04</v>
      </c>
    </row>
    <row r="462" spans="1:5" customHeight="1" x14ac:dyDescent="0.15">
      <c r="A462" s="2" t="s">
        <f>"093000040920039"</f>
        <v>921</v>
      </c>
      <c r="B462" s="2" t="s">
        <f>"郭晓辉"</f>
        <v>922</v>
      </c>
      <c r="C462" s="2">
        <v>0.0</v>
      </c>
      <c r="D462" s="2">
        <v>104.0</v>
      </c>
      <c r="E462" s="2">
        <v>-110.81</v>
      </c>
    </row>
    <row r="463" spans="1:5" customHeight="1" x14ac:dyDescent="0.15">
      <c r="A463" s="2" t="s">
        <f>"093000040920038"</f>
        <v>923</v>
      </c>
      <c r="B463" s="2" t="s">
        <f>"张继存"</f>
        <v>924</v>
      </c>
      <c r="C463" s="2">
        <v>0.0</v>
      </c>
      <c r="D463" s="2">
        <v>0.0</v>
      </c>
      <c r="E463" s="2">
        <v>0.0</v>
      </c>
    </row>
    <row r="464" spans="1:5" customHeight="1" x14ac:dyDescent="0.15">
      <c r="A464" s="2" t="s">
        <f>"093000041920021"</f>
        <v>925</v>
      </c>
      <c r="B464" s="2" t="s">
        <f>"邬振"</f>
        <v>926</v>
      </c>
      <c r="C464" s="2">
        <v>0.0</v>
      </c>
      <c r="D464" s="2">
        <v>-1138.0</v>
      </c>
      <c r="E464" s="2">
        <v>-111.42</v>
      </c>
    </row>
    <row r="465" spans="1:5" customHeight="1" x14ac:dyDescent="0.15">
      <c r="A465" s="2" t="s">
        <f>"093000037920040"</f>
        <v>927</v>
      </c>
      <c r="B465" s="2" t="s">
        <f>"冯锦辉"</f>
        <v>928</v>
      </c>
      <c r="C465" s="2">
        <v>-158.0</v>
      </c>
      <c r="D465" s="2">
        <v>1319.0</v>
      </c>
      <c r="E465" s="2">
        <v>-1121.75</v>
      </c>
    </row>
    <row r="466" spans="1:5" customHeight="1" x14ac:dyDescent="0.15">
      <c r="A466" s="2" t="s">
        <f>"093000067920033"</f>
        <v>929</v>
      </c>
      <c r="B466" s="2" t="s">
        <f>"刘九平"</f>
        <v>930</v>
      </c>
      <c r="C466" s="2">
        <v>0.0</v>
      </c>
      <c r="D466" s="2">
        <v>0.0</v>
      </c>
      <c r="E466" s="2">
        <v>0.0</v>
      </c>
    </row>
    <row r="467" spans="1:5" customHeight="1" x14ac:dyDescent="0.15">
      <c r="A467" s="2" t="s">
        <f>"0930000000029"</f>
        <v>931</v>
      </c>
      <c r="B467" s="2" t="s">
        <f>"代世文"</f>
        <v>932</v>
      </c>
      <c r="C467" s="2">
        <v>0.0</v>
      </c>
      <c r="D467" s="2">
        <v>0.0</v>
      </c>
      <c r="E467" s="2">
        <v>0.0</v>
      </c>
    </row>
    <row r="468" spans="1:5" customHeight="1" x14ac:dyDescent="0.15">
      <c r="A468" s="2" t="s">
        <f>"093000037920041"</f>
        <v>933</v>
      </c>
      <c r="B468" s="2" t="s">
        <f>"韩玉坤"</f>
        <v>934</v>
      </c>
      <c r="C468" s="2">
        <v>0.0</v>
      </c>
      <c r="D468" s="2">
        <v>-172.0</v>
      </c>
      <c r="E468" s="2">
        <v>-48.75</v>
      </c>
    </row>
    <row r="469" spans="1:5" customHeight="1" x14ac:dyDescent="0.15">
      <c r="A469" s="2" t="s">
        <f>"093000040001920068"</f>
        <v>935</v>
      </c>
      <c r="B469" s="2" t="s">
        <f>"邱明铭"</f>
        <v>936</v>
      </c>
      <c r="C469" s="2">
        <v>0.0</v>
      </c>
      <c r="D469" s="2">
        <v>-1134.0</v>
      </c>
      <c r="E469" s="2">
        <v>-119.66</v>
      </c>
    </row>
    <row r="470" spans="1:5" customHeight="1" x14ac:dyDescent="0.15">
      <c r="A470" s="2" t="s">
        <f>"093000046920006"</f>
        <v>937</v>
      </c>
      <c r="B470" s="2" t="s">
        <f>"杨文辉"</f>
        <v>938</v>
      </c>
      <c r="C470" s="2">
        <v>-60.0</v>
      </c>
      <c r="D470" s="2">
        <v>-3907.0</v>
      </c>
      <c r="E470" s="2">
        <v>-4082.07</v>
      </c>
    </row>
    <row r="471" spans="1:5" customHeight="1" x14ac:dyDescent="0.15">
      <c r="A471" s="2" t="s">
        <f>"093000040920040"</f>
        <v>939</v>
      </c>
      <c r="B471" s="2" t="s">
        <f>"毛延涛"</f>
        <v>940</v>
      </c>
      <c r="C471" s="2">
        <v>0.0</v>
      </c>
      <c r="D471" s="2">
        <v>0.0</v>
      </c>
      <c r="E471" s="2">
        <v>0.0</v>
      </c>
    </row>
    <row r="472" spans="1:5" customHeight="1" x14ac:dyDescent="0.15">
      <c r="A472" s="2" t="s">
        <f>"0930000000030"</f>
        <v>941</v>
      </c>
      <c r="B472" s="2" t="s">
        <f>"丘文发"</f>
        <v>942</v>
      </c>
      <c r="C472" s="2">
        <v>0.0</v>
      </c>
      <c r="D472" s="2">
        <v>-980.0</v>
      </c>
      <c r="E472" s="2">
        <v>-78.58</v>
      </c>
    </row>
    <row r="473" spans="1:5" customHeight="1" x14ac:dyDescent="0.15">
      <c r="A473" s="2" t="s">
        <f>"0930000740000"</f>
        <v>943</v>
      </c>
      <c r="B473" s="2" t="s">
        <f>"林锦荣"</f>
        <v>944</v>
      </c>
      <c r="C473" s="2">
        <v>0.0</v>
      </c>
      <c r="D473" s="2">
        <v>588.0</v>
      </c>
      <c r="E473" s="2">
        <v>-320.64</v>
      </c>
    </row>
    <row r="474" spans="1:5" customHeight="1" x14ac:dyDescent="0.15">
      <c r="A474" s="2" t="s">
        <f>"0930000000031"</f>
        <v>945</v>
      </c>
      <c r="B474" s="2" t="s">
        <f>"任亚迪"</f>
        <v>946</v>
      </c>
      <c r="C474" s="2">
        <v>0.0</v>
      </c>
      <c r="D474" s="2">
        <v>-83.0</v>
      </c>
      <c r="E474" s="2">
        <v>-14.08</v>
      </c>
    </row>
    <row r="475" spans="1:5" customHeight="1" x14ac:dyDescent="0.15">
      <c r="A475" s="2" t="s">
        <f>"093000067920035"</f>
        <v>947</v>
      </c>
      <c r="B475" s="2" t="s">
        <f>"周浩"</f>
        <v>948</v>
      </c>
      <c r="C475" s="2">
        <v>0.0</v>
      </c>
      <c r="D475" s="2">
        <v>0.0</v>
      </c>
      <c r="E475" s="2">
        <v>0.0</v>
      </c>
    </row>
    <row r="476" spans="1:5" customHeight="1" x14ac:dyDescent="0.15">
      <c r="A476" s="2" t="s">
        <f>"0930000000032"</f>
        <v>949</v>
      </c>
      <c r="B476" s="2" t="s">
        <f>"王立"</f>
        <v>950</v>
      </c>
      <c r="C476" s="2">
        <v>49.0</v>
      </c>
      <c r="D476" s="2">
        <v>634.0</v>
      </c>
      <c r="E476" s="2">
        <v>-487.24</v>
      </c>
    </row>
    <row r="477" spans="1:5" customHeight="1" x14ac:dyDescent="0.15">
      <c r="A477" s="2" t="s">
        <f>"0930000000033"</f>
        <v>951</v>
      </c>
      <c r="B477" s="2" t="s">
        <f>"魏乾卫"</f>
        <v>952</v>
      </c>
      <c r="C477" s="2">
        <v>0.0</v>
      </c>
      <c r="D477" s="2">
        <v>-18.0</v>
      </c>
      <c r="E477" s="2">
        <v>-7.06</v>
      </c>
    </row>
    <row r="478" spans="1:5" customHeight="1" x14ac:dyDescent="0.15">
      <c r="A478" s="2" t="s">
        <f>"093000920410"</f>
        <v>953</v>
      </c>
      <c r="B478" s="2" t="s">
        <f>"朱树果"</f>
        <v>954</v>
      </c>
      <c r="C478" s="2">
        <v>-309.0</v>
      </c>
      <c r="D478" s="2">
        <v>-1105.0</v>
      </c>
      <c r="E478" s="2">
        <v>-275.87</v>
      </c>
    </row>
    <row r="479" spans="1:5" customHeight="1" x14ac:dyDescent="0.15">
      <c r="A479" s="2" t="s">
        <f>"093000040001920070"</f>
        <v>955</v>
      </c>
      <c r="B479" s="2" t="s">
        <f>"宁淑梅"</f>
        <v>956</v>
      </c>
      <c r="C479" s="2">
        <v>0.0</v>
      </c>
      <c r="D479" s="2">
        <v>0.0</v>
      </c>
      <c r="E479" s="2">
        <v>0.0</v>
      </c>
    </row>
    <row r="480" spans="1:5" customHeight="1" x14ac:dyDescent="0.15">
      <c r="A480" s="2" t="s">
        <f>"093000068920007"</f>
        <v>957</v>
      </c>
      <c r="B480" s="2" t="s">
        <f>"蔡桁"</f>
        <v>958</v>
      </c>
      <c r="C480" s="2">
        <v>0.0</v>
      </c>
      <c r="D480" s="2">
        <v>-954.0</v>
      </c>
      <c r="E480" s="2">
        <v>-110.86</v>
      </c>
    </row>
    <row r="481" spans="1:5" customHeight="1" x14ac:dyDescent="0.15">
      <c r="A481" s="2" t="s">
        <f>"093000046920007"</f>
        <v>959</v>
      </c>
      <c r="B481" s="2" t="s">
        <f>"李树先"</f>
        <v>960</v>
      </c>
      <c r="C481" s="2">
        <v>-650.0</v>
      </c>
      <c r="D481" s="2">
        <v>-543.0</v>
      </c>
      <c r="E481" s="2">
        <v>-899.44</v>
      </c>
    </row>
    <row r="482" spans="1:5" customHeight="1" x14ac:dyDescent="0.15">
      <c r="A482" s="2" t="s">
        <f>"093000067920037"</f>
        <v>961</v>
      </c>
      <c r="B482" s="2" t="s">
        <f>"王华涛"</f>
        <v>962</v>
      </c>
      <c r="C482" s="2">
        <v>0.0</v>
      </c>
      <c r="D482" s="2">
        <v>-8.0</v>
      </c>
      <c r="E482" s="2">
        <v>-7.05</v>
      </c>
    </row>
    <row r="483" spans="1:5" customHeight="1" x14ac:dyDescent="0.15">
      <c r="A483" s="2" t="s">
        <f>"093000040001920069"</f>
        <v>963</v>
      </c>
      <c r="B483" s="2" t="s">
        <f>"邱丽妮"</f>
        <v>964</v>
      </c>
      <c r="C483" s="2">
        <v>2443.0</v>
      </c>
      <c r="D483" s="2">
        <v>-612.0</v>
      </c>
      <c r="E483" s="2">
        <v>-173.27</v>
      </c>
    </row>
    <row r="484" spans="1:5" customHeight="1" x14ac:dyDescent="0.15">
      <c r="A484" s="2" t="s">
        <f>"093000064920014"</f>
        <v>965</v>
      </c>
      <c r="B484" s="2" t="s">
        <f>"庞金龙"</f>
        <v>966</v>
      </c>
      <c r="C484" s="2">
        <v>-246.0</v>
      </c>
      <c r="D484" s="2">
        <v>-207.0</v>
      </c>
      <c r="E484" s="2">
        <v>-1388.59</v>
      </c>
    </row>
    <row r="485" spans="1:5" customHeight="1" x14ac:dyDescent="0.15">
      <c r="A485" s="2" t="s">
        <f>"0930000000034"</f>
        <v>967</v>
      </c>
      <c r="B485" s="2" t="s">
        <f>"陈赞汝"</f>
        <v>968</v>
      </c>
      <c r="C485" s="2">
        <v>0.0</v>
      </c>
      <c r="D485" s="2">
        <v>1000.0</v>
      </c>
      <c r="E485" s="2">
        <v>-79.1</v>
      </c>
    </row>
    <row r="486" spans="1:5" customHeight="1" x14ac:dyDescent="0.15">
      <c r="A486" s="2" t="s">
        <f>"0930000000035"</f>
        <v>969</v>
      </c>
      <c r="B486" s="2" t="s">
        <f>"郭君蒙"</f>
        <v>970</v>
      </c>
      <c r="C486" s="2">
        <v>0.0</v>
      </c>
      <c r="D486" s="2">
        <v>0.0</v>
      </c>
      <c r="E486" s="2">
        <v>0.0</v>
      </c>
    </row>
    <row r="487" spans="1:5" customHeight="1" x14ac:dyDescent="0.15">
      <c r="A487" s="2" t="s">
        <f>"093000064920016"</f>
        <v>971</v>
      </c>
      <c r="B487" s="2" t="s">
        <f>"潘志远"</f>
        <v>972</v>
      </c>
      <c r="C487" s="2">
        <v>-215.0</v>
      </c>
      <c r="D487" s="2">
        <v>1088.0</v>
      </c>
      <c r="E487" s="2">
        <v>-510.2</v>
      </c>
    </row>
    <row r="488" spans="1:5" customHeight="1" x14ac:dyDescent="0.15">
      <c r="A488" s="2" t="s">
        <f>"093000064920017"</f>
        <v>973</v>
      </c>
      <c r="B488" s="2" t="s">
        <f>"闫振强"</f>
        <v>974</v>
      </c>
      <c r="C488" s="2">
        <v>-1648.0</v>
      </c>
      <c r="D488" s="2">
        <v>-1711.0</v>
      </c>
      <c r="E488" s="2">
        <v>-1010.0</v>
      </c>
    </row>
    <row r="489" spans="1:5" customHeight="1" x14ac:dyDescent="0.15">
      <c r="A489" s="2" t="s">
        <f>"093000067920039"</f>
        <v>975</v>
      </c>
      <c r="B489" s="2" t="s">
        <f>" 刘俊"</f>
        <v>976</v>
      </c>
      <c r="C489" s="2">
        <v>0.0</v>
      </c>
      <c r="D489" s="2">
        <v>0.0</v>
      </c>
      <c r="E489" s="2">
        <v>0.0</v>
      </c>
    </row>
    <row r="490" spans="1:5" customHeight="1" x14ac:dyDescent="0.15">
      <c r="A490" s="2" t="s">
        <f>"093000067920039"</f>
        <v>975</v>
      </c>
      <c r="B490" s="2" t="s">
        <f>"刘俊"</f>
        <v>329</v>
      </c>
      <c r="C490" s="2">
        <v>0.0</v>
      </c>
      <c r="D490" s="2">
        <v>0.0</v>
      </c>
      <c r="E490" s="2">
        <v>0.0</v>
      </c>
    </row>
    <row r="491" spans="1:5" customHeight="1" x14ac:dyDescent="0.15">
      <c r="A491" s="2" t="s">
        <f>"093000059920011"</f>
        <v>977</v>
      </c>
      <c r="B491" s="2" t="s">
        <f>"张洁"</f>
        <v>978</v>
      </c>
      <c r="C491" s="2">
        <v>-420.0</v>
      </c>
      <c r="D491" s="2">
        <v>-529.0</v>
      </c>
      <c r="E491" s="2">
        <v>-2120.02</v>
      </c>
    </row>
    <row r="492" spans="1:5" customHeight="1" x14ac:dyDescent="0.15">
      <c r="A492" s="2" t="s">
        <f>"093000071920002"</f>
        <v>979</v>
      </c>
      <c r="B492" s="2" t="s">
        <f>"郑长江"</f>
        <v>980</v>
      </c>
      <c r="C492" s="2">
        <v>0.0</v>
      </c>
      <c r="D492" s="2">
        <v>0.0</v>
      </c>
      <c r="E492" s="2">
        <v>0.0</v>
      </c>
    </row>
    <row r="493" spans="1:5" customHeight="1" x14ac:dyDescent="0.15">
      <c r="A493" s="2" t="s">
        <f>"093000040920041"</f>
        <v>981</v>
      </c>
      <c r="B493" s="2" t="s">
        <f>"张延军"</f>
        <v>982</v>
      </c>
      <c r="C493" s="2">
        <v>0.0</v>
      </c>
      <c r="D493" s="2">
        <v>0.0</v>
      </c>
      <c r="E493" s="2">
        <v>0.0</v>
      </c>
    </row>
    <row r="494" spans="1:5" customHeight="1" x14ac:dyDescent="0.15">
      <c r="A494" s="2" t="s">
        <f>"093000040920042"</f>
        <v>983</v>
      </c>
      <c r="B494" s="2" t="s">
        <f>"肖洒"</f>
        <v>984</v>
      </c>
      <c r="C494" s="2">
        <v>-411.0</v>
      </c>
      <c r="D494" s="2">
        <v>-854.0</v>
      </c>
      <c r="E494" s="2">
        <v>-113.77</v>
      </c>
    </row>
    <row r="495" spans="1:5" customHeight="1" x14ac:dyDescent="0.15">
      <c r="A495" s="2" t="s">
        <f>"093000920413"</f>
        <v>985</v>
      </c>
      <c r="B495" s="2" t="s">
        <f>"胡娟"</f>
        <v>986</v>
      </c>
      <c r="C495" s="2">
        <v>0.0</v>
      </c>
      <c r="D495" s="2">
        <v>0.0</v>
      </c>
      <c r="E495" s="2">
        <v>0.0</v>
      </c>
    </row>
    <row r="496" spans="1:5" customHeight="1" x14ac:dyDescent="0.15">
      <c r="A496" s="2" t="s">
        <f>"0930000740002"</f>
        <v>987</v>
      </c>
      <c r="B496" s="2" t="s">
        <v>988</v>
      </c>
      <c r="C496" s="2">
        <v>-829.0</v>
      </c>
      <c r="D496" s="2">
        <v>-244.0</v>
      </c>
      <c r="E496" s="2">
        <v>-88.19</v>
      </c>
    </row>
    <row r="497" spans="1:5" customHeight="1" x14ac:dyDescent="0.15">
      <c r="A497" s="2" t="s">
        <f>"0930000740002"</f>
        <v>987</v>
      </c>
      <c r="B497" s="2" t="s">
        <f>"彭志恒 "</f>
        <v>989</v>
      </c>
      <c r="C497" s="2">
        <v>0.0</v>
      </c>
      <c r="D497" s="2">
        <v>-288.0</v>
      </c>
      <c r="E497" s="2">
        <v>-47.75</v>
      </c>
    </row>
    <row r="498" spans="1:5" customHeight="1" x14ac:dyDescent="0.15">
      <c r="A498" s="2" t="s">
        <f>"0930000740003"</f>
        <v>990</v>
      </c>
      <c r="B498" s="2" t="s">
        <f>"孟家才"</f>
        <v>991</v>
      </c>
      <c r="C498" s="2">
        <v>0.0</v>
      </c>
      <c r="D498" s="2">
        <v>0.0</v>
      </c>
      <c r="E498" s="2">
        <v>0.0</v>
      </c>
    </row>
    <row r="499" spans="1:5" customHeight="1" x14ac:dyDescent="0.15">
      <c r="A499" s="2" t="s">
        <f>"093000920415"</f>
        <v>992</v>
      </c>
      <c r="B499" s="2" t="s">
        <f>"任颖俊"</f>
        <v>993</v>
      </c>
      <c r="C499" s="2">
        <v>0.0</v>
      </c>
      <c r="D499" s="2">
        <v>0.0</v>
      </c>
      <c r="E499" s="2">
        <v>0.0</v>
      </c>
    </row>
    <row r="500" spans="1:5" customHeight="1" x14ac:dyDescent="0.15">
      <c r="A500" s="2" t="s">
        <f>"093000920414"</f>
        <v>994</v>
      </c>
      <c r="B500" s="2" t="s">
        <f>"张恒"</f>
        <v>995</v>
      </c>
      <c r="C500" s="2">
        <v>0.0</v>
      </c>
      <c r="D500" s="2">
        <v>354.0</v>
      </c>
      <c r="E500" s="2">
        <v>-112.32</v>
      </c>
    </row>
    <row r="501" spans="1:5" customHeight="1" x14ac:dyDescent="0.15">
      <c r="A501" s="2" t="s">
        <f>"093000041920022"</f>
        <v>996</v>
      </c>
      <c r="B501" s="2" t="s">
        <f>"谭观峰"</f>
        <v>997</v>
      </c>
      <c r="C501" s="2">
        <v>0.0</v>
      </c>
      <c r="D501" s="2">
        <v>-1088.0</v>
      </c>
      <c r="E501" s="2">
        <v>-109.4</v>
      </c>
    </row>
    <row r="502" spans="1:5" customHeight="1" x14ac:dyDescent="0.15">
      <c r="A502" s="2" t="s">
        <f>"093000044920002"</f>
        <v>998</v>
      </c>
      <c r="B502" s="2" t="s">
        <f>"吕淅淅"</f>
        <v>999</v>
      </c>
      <c r="C502" s="2">
        <v>0.0</v>
      </c>
      <c r="D502" s="2">
        <v>0.0</v>
      </c>
      <c r="E502" s="2">
        <v>0.0</v>
      </c>
    </row>
    <row r="503" spans="1:5" customHeight="1" x14ac:dyDescent="0.15">
      <c r="A503" s="2" t="s">
        <f>"093000920419"</f>
        <v>1000</v>
      </c>
      <c r="B503" s="2" t="s">
        <f>"郑翔宇"</f>
        <v>1001</v>
      </c>
      <c r="C503" s="2">
        <v>0.0</v>
      </c>
      <c r="D503" s="2">
        <v>-3.0</v>
      </c>
      <c r="E503" s="2">
        <v>-6.96</v>
      </c>
    </row>
    <row r="504" spans="1:5" customHeight="1" x14ac:dyDescent="0.15">
      <c r="A504" s="2" t="s">
        <f>"093000064920020"</f>
        <v>1002</v>
      </c>
      <c r="B504" s="2" t="s">
        <f>"李华敏"</f>
        <v>1003</v>
      </c>
      <c r="C504" s="2">
        <v>0.0</v>
      </c>
      <c r="D504" s="2">
        <v>-1096.0</v>
      </c>
      <c r="E504" s="2">
        <v>-217.19</v>
      </c>
    </row>
    <row r="505" spans="1:5" customHeight="1" x14ac:dyDescent="0.15">
      <c r="A505" s="2" t="s">
        <f>"093000066920003"</f>
        <v>1004</v>
      </c>
      <c r="B505" s="2" t="s">
        <f>"杨寒超"</f>
        <v>1005</v>
      </c>
      <c r="C505" s="2">
        <v>0.0</v>
      </c>
      <c r="D505" s="2">
        <v>0.0</v>
      </c>
      <c r="E505" s="2">
        <v>0.0</v>
      </c>
    </row>
    <row r="506" spans="1:5" customHeight="1" x14ac:dyDescent="0.15">
      <c r="A506" s="2" t="s">
        <f>"093000920420"</f>
        <v>1006</v>
      </c>
      <c r="B506" s="2" t="s">
        <f>"樊首品"</f>
        <v>1007</v>
      </c>
      <c r="C506" s="2">
        <v>-11939.0</v>
      </c>
      <c r="D506" s="2">
        <v>5341.0</v>
      </c>
      <c r="E506" s="2">
        <v>-2809.71</v>
      </c>
    </row>
    <row r="507" spans="1:5" customHeight="1" x14ac:dyDescent="0.15">
      <c r="A507" s="2" t="s">
        <f>"0930000740001"</f>
        <v>1008</v>
      </c>
      <c r="B507" s="2" t="s">
        <f>"杨昌优"</f>
        <v>1009</v>
      </c>
      <c r="C507" s="2">
        <v>0.0</v>
      </c>
      <c r="D507" s="2">
        <v>0.0</v>
      </c>
      <c r="E507" s="2">
        <v>0.0</v>
      </c>
    </row>
    <row r="508" spans="1:5" customHeight="1" x14ac:dyDescent="0.15">
      <c r="A508" s="2" t="s">
        <f>"093000920423"</f>
        <v>1010</v>
      </c>
      <c r="B508" s="2" t="s">
        <f>"罗玮"</f>
        <v>1011</v>
      </c>
      <c r="C508" s="2">
        <v>0.0</v>
      </c>
      <c r="D508" s="2">
        <v>0.0</v>
      </c>
      <c r="E508" s="2">
        <v>0.0</v>
      </c>
    </row>
    <row r="509" spans="1:5" customHeight="1" x14ac:dyDescent="0.15">
      <c r="A509" s="2" t="s">
        <f>"093000059920012"</f>
        <v>1012</v>
      </c>
      <c r="B509" s="2" t="s">
        <f>"李军伟"</f>
        <v>1013</v>
      </c>
      <c r="C509" s="2">
        <v>-896.0</v>
      </c>
      <c r="D509" s="2">
        <v>-5724.0</v>
      </c>
      <c r="E509" s="2">
        <v>-3278.86</v>
      </c>
    </row>
    <row r="510" spans="1:5" customHeight="1" x14ac:dyDescent="0.15">
      <c r="A510" s="2" t="s">
        <f>"093000046920008"</f>
        <v>1014</v>
      </c>
      <c r="B510" s="2" t="s">
        <f>"李玉勤"</f>
        <v>1015</v>
      </c>
      <c r="C510" s="2">
        <v>0.0</v>
      </c>
      <c r="D510" s="2">
        <v>-753.0</v>
      </c>
      <c r="E510" s="2">
        <v>-234.77</v>
      </c>
    </row>
    <row r="511" spans="1:5" customHeight="1" x14ac:dyDescent="0.15">
      <c r="A511" s="2" t="s">
        <f>"093000066920008"</f>
        <v>1016</v>
      </c>
      <c r="B511" s="2" t="s">
        <f>"杨帅"</f>
        <v>918</v>
      </c>
      <c r="C511" s="2">
        <v>0.0</v>
      </c>
      <c r="D511" s="2">
        <v>0.0</v>
      </c>
      <c r="E511" s="2">
        <v>0.0</v>
      </c>
    </row>
    <row r="512" spans="1:5" customHeight="1" x14ac:dyDescent="0.15">
      <c r="A512" s="2" t="s">
        <f>"093000063920010"</f>
        <v>1017</v>
      </c>
      <c r="B512" s="2" t="s">
        <f>"  罗小娟"</f>
        <v>1018</v>
      </c>
      <c r="C512" s="2">
        <v>0.0</v>
      </c>
      <c r="D512" s="2">
        <v>0.0</v>
      </c>
      <c r="E512" s="2">
        <v>0.0</v>
      </c>
    </row>
    <row r="513" spans="1:5" customHeight="1" x14ac:dyDescent="0.15">
      <c r="A513" s="2" t="s">
        <f>"093000063920010"</f>
        <v>1017</v>
      </c>
      <c r="B513" s="2" t="s">
        <f>"罗小娟"</f>
        <v>1019</v>
      </c>
      <c r="C513" s="2">
        <v>0.0</v>
      </c>
      <c r="D513" s="2">
        <v>0.0</v>
      </c>
      <c r="E513" s="2">
        <v>0.0</v>
      </c>
    </row>
    <row r="514" spans="1:5" customHeight="1" x14ac:dyDescent="0.15">
      <c r="A514" s="2" t="s">
        <f>"093000051920006"</f>
        <v>1020</v>
      </c>
      <c r="B514" s="2" t="s">
        <f>"郑志辉"</f>
        <v>1021</v>
      </c>
      <c r="C514" s="2">
        <v>0.0</v>
      </c>
      <c r="D514" s="2">
        <v>-649.0</v>
      </c>
      <c r="E514" s="2">
        <v>-396.52</v>
      </c>
    </row>
    <row r="515" spans="1:5" customHeight="1" x14ac:dyDescent="0.15">
      <c r="A515" s="2" t="s">
        <f>"093000040001002"</f>
        <v>1022</v>
      </c>
      <c r="B515" s="2" t="s">
        <f>"肖健"</f>
        <v>1023</v>
      </c>
      <c r="C515" s="2">
        <v>0.0</v>
      </c>
      <c r="D515" s="2">
        <v>3049.0</v>
      </c>
      <c r="E515" s="2">
        <v>-576.71</v>
      </c>
    </row>
    <row r="516" spans="1:5" customHeight="1" x14ac:dyDescent="0.15">
      <c r="A516" s="2" t="s">
        <f>"093000040001920071"</f>
        <v>1024</v>
      </c>
      <c r="B516" s="2" t="s">
        <f>"吕桂贞"</f>
        <v>1025</v>
      </c>
      <c r="C516" s="2">
        <v>0.0</v>
      </c>
      <c r="D516" s="2">
        <v>1000.0</v>
      </c>
      <c r="E516" s="2">
        <v>-79.0</v>
      </c>
    </row>
    <row r="517" spans="1:5" customHeight="1" x14ac:dyDescent="0.15">
      <c r="A517" s="2" t="s">
        <f>"093000040001920073"</f>
        <v>1026</v>
      </c>
      <c r="B517" s="2" t="s">
        <f>"梁兴勇"</f>
        <v>1027</v>
      </c>
      <c r="C517" s="2">
        <v>-500.0</v>
      </c>
      <c r="D517" s="2">
        <v>-540.0</v>
      </c>
      <c r="E517" s="2">
        <v>-77.95</v>
      </c>
    </row>
    <row r="518" spans="1:5" customHeight="1" x14ac:dyDescent="0.15">
      <c r="A518" s="2" t="s">
        <f>"093000040001920072"</f>
        <v>1028</v>
      </c>
      <c r="B518" s="2" t="s">
        <f>"林圣容"</f>
        <v>1029</v>
      </c>
      <c r="C518" s="2">
        <v>0.0</v>
      </c>
      <c r="D518" s="2">
        <v>0.0</v>
      </c>
      <c r="E518" s="2">
        <v>0.0</v>
      </c>
    </row>
    <row r="519" spans="1:5" customHeight="1" x14ac:dyDescent="0.15">
      <c r="A519" s="2" t="s">
        <f>"093000040001920074"</f>
        <v>1030</v>
      </c>
      <c r="B519" s="2" t="s">
        <f>"余霞"</f>
        <v>1031</v>
      </c>
      <c r="C519" s="2">
        <v>0.0</v>
      </c>
      <c r="D519" s="2">
        <v>0.0</v>
      </c>
      <c r="E519" s="2">
        <v>0.0</v>
      </c>
    </row>
    <row r="520" spans="1:5" customHeight="1" x14ac:dyDescent="0.15">
      <c r="A520" s="2" t="s">
        <f>"093000059920013"</f>
        <v>1032</v>
      </c>
      <c r="B520" s="2" t="s">
        <f>"李军良"</f>
        <v>1033</v>
      </c>
      <c r="C520" s="2">
        <v>-2952.0</v>
      </c>
      <c r="D520" s="2">
        <v>1686.0</v>
      </c>
      <c r="E520" s="2">
        <v>-3320.51</v>
      </c>
    </row>
    <row r="521" spans="1:5" customHeight="1" x14ac:dyDescent="0.15">
      <c r="A521" s="2" t="s">
        <f>"093000068920008"</f>
        <v>1034</v>
      </c>
      <c r="B521" s="2" t="s">
        <f>"黄彩金"</f>
        <v>1035</v>
      </c>
      <c r="C521" s="2">
        <v>0.0</v>
      </c>
      <c r="D521" s="2">
        <v>-16.0</v>
      </c>
      <c r="E521" s="2">
        <v>-6.69</v>
      </c>
    </row>
    <row r="522" spans="1:5" customHeight="1" x14ac:dyDescent="0.15">
      <c r="A522" s="2" t="s">
        <f>"093000049920037"</f>
        <v>1036</v>
      </c>
      <c r="B522" s="2" t="s">
        <f>"李佩"</f>
        <v>1037</v>
      </c>
      <c r="C522" s="2">
        <v>0.0</v>
      </c>
      <c r="D522" s="2">
        <v>70.0</v>
      </c>
      <c r="E522" s="2">
        <v>-110.87</v>
      </c>
    </row>
    <row r="523" spans="1:5" customHeight="1" x14ac:dyDescent="0.15">
      <c r="A523" s="2" t="s">
        <f>"093000040920043"</f>
        <v>1038</v>
      </c>
      <c r="B523" s="2" t="s">
        <f>"杨兆金"</f>
        <v>1039</v>
      </c>
      <c r="C523" s="2">
        <v>0.0</v>
      </c>
      <c r="D523" s="2">
        <v>0.0</v>
      </c>
      <c r="E523" s="2">
        <v>0.0</v>
      </c>
    </row>
    <row r="524" spans="1:5" customHeight="1" x14ac:dyDescent="0.15">
      <c r="A524" s="2" t="s">
        <f>"093000047920004"</f>
        <v>1040</v>
      </c>
      <c r="B524" s="2" t="s">
        <f>"付保玺"</f>
        <v>1041</v>
      </c>
      <c r="C524" s="2">
        <v>-659.0</v>
      </c>
      <c r="D524" s="2">
        <v>217.0</v>
      </c>
      <c r="E524" s="2">
        <v>-943.97</v>
      </c>
    </row>
    <row r="525" spans="1:5" customHeight="1" x14ac:dyDescent="0.15">
      <c r="A525" s="2" t="s">
        <f>"093000064920021"</f>
        <v>1042</v>
      </c>
      <c r="B525" s="2" t="s">
        <f>"吴长建"</f>
        <v>1043</v>
      </c>
      <c r="C525" s="2">
        <v>0.0</v>
      </c>
      <c r="D525" s="2">
        <v>1455.0</v>
      </c>
      <c r="E525" s="2">
        <v>-111.09</v>
      </c>
    </row>
    <row r="526" spans="1:5" customHeight="1" x14ac:dyDescent="0.15">
      <c r="A526" s="2" t="s">
        <f>"093000044920004"</f>
        <v>1044</v>
      </c>
      <c r="B526" s="2" t="s">
        <f>"贾西闯"</f>
        <v>1045</v>
      </c>
      <c r="C526" s="2">
        <v>0.0</v>
      </c>
      <c r="D526" s="2">
        <v>180.0</v>
      </c>
      <c r="E526" s="2">
        <v>-89.08</v>
      </c>
    </row>
    <row r="527" spans="1:5" customHeight="1" x14ac:dyDescent="0.15">
      <c r="A527" s="2" t="s">
        <f>"093000047920005"</f>
        <v>1046</v>
      </c>
      <c r="B527" s="2" t="s">
        <f>"邢文勤"</f>
        <v>1047</v>
      </c>
      <c r="C527" s="2">
        <v>-2911.0</v>
      </c>
      <c r="D527" s="2">
        <v>564.0</v>
      </c>
      <c r="E527" s="2">
        <v>-2079.06</v>
      </c>
    </row>
    <row r="528" spans="1:5" customHeight="1" x14ac:dyDescent="0.15">
      <c r="A528" s="2" t="s">
        <f>"093000040001920075"</f>
        <v>1048</v>
      </c>
      <c r="B528" s="2" t="s">
        <f>"林满章"</f>
        <v>1049</v>
      </c>
      <c r="C528" s="2">
        <v>320.0</v>
      </c>
      <c r="D528" s="2">
        <v>1560.0</v>
      </c>
      <c r="E528" s="2">
        <v>-219.51</v>
      </c>
    </row>
    <row r="529" spans="1:5" customHeight="1" x14ac:dyDescent="0.15">
      <c r="A529" s="2" t="s">
        <f>"093000037920042"</f>
        <v>1050</v>
      </c>
      <c r="B529" s="2" t="s">
        <f>"张清明"</f>
        <v>1051</v>
      </c>
      <c r="C529" s="2">
        <v>0.0</v>
      </c>
      <c r="D529" s="2">
        <v>-1018.0</v>
      </c>
      <c r="E529" s="2">
        <v>-1127.41</v>
      </c>
    </row>
    <row r="530" spans="1:5" customHeight="1" x14ac:dyDescent="0.15">
      <c r="A530" s="2" t="s">
        <f>"093000046920009"</f>
        <v>1052</v>
      </c>
      <c r="B530" s="2" t="s">
        <f>"侯林强"</f>
        <v>1053</v>
      </c>
      <c r="C530" s="2">
        <v>0.0</v>
      </c>
      <c r="D530" s="2">
        <v>0.0</v>
      </c>
      <c r="E530" s="2">
        <v>0.0</v>
      </c>
    </row>
    <row r="531" spans="1:5" customHeight="1" x14ac:dyDescent="0.15">
      <c r="A531" s="2" t="s">
        <f>"093000920430"</f>
        <v>1054</v>
      </c>
      <c r="B531" s="2" t="s">
        <f>"方思玉"</f>
        <v>1055</v>
      </c>
      <c r="C531" s="2">
        <v>0.0</v>
      </c>
      <c r="D531" s="2">
        <v>114.0</v>
      </c>
      <c r="E531" s="2">
        <v>-56.12</v>
      </c>
    </row>
    <row r="532" spans="1:5" customHeight="1" x14ac:dyDescent="0.15">
      <c r="A532" s="2" t="s">
        <f>"093000064920022"</f>
        <v>1056</v>
      </c>
      <c r="B532" s="2" t="s">
        <f>"王攀玄"</f>
        <v>1057</v>
      </c>
      <c r="C532" s="2">
        <v>-733.0</v>
      </c>
      <c r="D532" s="2">
        <v>-533.0</v>
      </c>
      <c r="E532" s="2">
        <v>-403.8</v>
      </c>
    </row>
    <row r="533" spans="1:5" customHeight="1" x14ac:dyDescent="0.15">
      <c r="A533" s="2" t="s">
        <f>"0930000740004"</f>
        <v>1058</v>
      </c>
      <c r="B533" s="2" t="s">
        <f>"覃永扬"</f>
        <v>1059</v>
      </c>
      <c r="C533" s="2">
        <v>0.0</v>
      </c>
      <c r="D533" s="2">
        <v>974.0</v>
      </c>
      <c r="E533" s="2">
        <v>-108.88</v>
      </c>
    </row>
    <row r="534" spans="1:5" customHeight="1" x14ac:dyDescent="0.15">
      <c r="A534" s="2" t="s">
        <f>"0930000000036"</f>
        <v>1060</v>
      </c>
      <c r="B534" s="2" t="s">
        <f>"祝洋洋"</f>
        <v>1061</v>
      </c>
      <c r="C534" s="2">
        <v>0.0</v>
      </c>
      <c r="D534" s="2">
        <v>0.0</v>
      </c>
      <c r="E534" s="2">
        <v>0.0</v>
      </c>
    </row>
    <row r="535" spans="1:5" customHeight="1" x14ac:dyDescent="0.15">
      <c r="A535" s="2" t="s">
        <f>"093000070920006"</f>
        <v>1062</v>
      </c>
      <c r="B535" s="2" t="s">
        <f>"魏新杰"</f>
        <v>1063</v>
      </c>
      <c r="C535" s="2">
        <v>-588.0</v>
      </c>
      <c r="D535" s="2">
        <v>-292.0</v>
      </c>
      <c r="E535" s="2">
        <v>-221.78</v>
      </c>
    </row>
    <row r="536" spans="1:5" customHeight="1" x14ac:dyDescent="0.15">
      <c r="A536" s="2" t="s">
        <f>"093000064920024"</f>
        <v>1064</v>
      </c>
      <c r="B536" s="2" t="s">
        <f>"杨帅"</f>
        <v>918</v>
      </c>
      <c r="C536" s="2">
        <v>-48.0</v>
      </c>
      <c r="D536" s="2">
        <v>1178.0</v>
      </c>
      <c r="E536" s="2">
        <v>-111.73</v>
      </c>
    </row>
    <row r="537" spans="1:5" customHeight="1" x14ac:dyDescent="0.15">
      <c r="A537" s="2" t="s">
        <f>"093000070920007"</f>
        <v>1065</v>
      </c>
      <c r="B537" s="2" t="s">
        <f>"张爔木"</f>
        <v>1066</v>
      </c>
      <c r="C537" s="2">
        <v>7.0</v>
      </c>
      <c r="D537" s="2">
        <v>228.0</v>
      </c>
      <c r="E537" s="2">
        <v>-716.23</v>
      </c>
    </row>
    <row r="538" spans="1:5" customHeight="1" x14ac:dyDescent="0.15">
      <c r="A538" s="2" t="s">
        <f>"093000040001920077"</f>
        <v>1067</v>
      </c>
      <c r="B538" s="2" t="s">
        <f>"周定均"</f>
        <v>1068</v>
      </c>
      <c r="C538" s="2">
        <v>0.0</v>
      </c>
      <c r="D538" s="2">
        <v>0.0</v>
      </c>
      <c r="E538" s="2">
        <v>0.0</v>
      </c>
    </row>
    <row r="539" spans="1:5" customHeight="1" x14ac:dyDescent="0.15">
      <c r="A539" s="2" t="s">
        <f>"093000920433"</f>
        <v>1069</v>
      </c>
      <c r="B539" s="2" t="s">
        <f>"李海龙"</f>
        <v>1070</v>
      </c>
      <c r="C539" s="2">
        <v>-1360.0</v>
      </c>
      <c r="D539" s="2">
        <v>-4320.0</v>
      </c>
      <c r="E539" s="2">
        <v>-1559.25</v>
      </c>
    </row>
    <row r="540" spans="1:5" customHeight="1" x14ac:dyDescent="0.15">
      <c r="A540" s="2" t="s">
        <f>"093000046920010"</f>
        <v>1071</v>
      </c>
      <c r="B540" s="2" t="s">
        <f>"姚海萍"</f>
        <v>1072</v>
      </c>
      <c r="C540" s="2">
        <v>0.0</v>
      </c>
      <c r="D540" s="2">
        <v>757.0</v>
      </c>
      <c r="E540" s="2">
        <v>-248.83</v>
      </c>
    </row>
    <row r="541" spans="1:5" customHeight="1" x14ac:dyDescent="0.15">
      <c r="A541" s="2" t="s">
        <f>"093000043920009"</f>
        <v>1073</v>
      </c>
      <c r="B541" s="2" t="s">
        <f>"杨慧"</f>
        <v>461</v>
      </c>
      <c r="C541" s="2">
        <v>18.0</v>
      </c>
      <c r="D541" s="2">
        <v>-783.0</v>
      </c>
      <c r="E541" s="2">
        <v>-1813.09</v>
      </c>
    </row>
    <row r="542" spans="1:5" customHeight="1" x14ac:dyDescent="0.15">
      <c r="A542" s="2" t="s">
        <f>"093000064920025"</f>
        <v>1074</v>
      </c>
      <c r="B542" s="2" t="s">
        <f>"候会乾"</f>
        <v>1075</v>
      </c>
      <c r="C542" s="2">
        <v>-795.0</v>
      </c>
      <c r="D542" s="2">
        <v>-1365.0</v>
      </c>
      <c r="E542" s="2">
        <v>-165.11</v>
      </c>
    </row>
    <row r="543" spans="1:5" customHeight="1" x14ac:dyDescent="0.15">
      <c r="A543" s="2" t="s">
        <f>"093000920431"</f>
        <v>1076</v>
      </c>
      <c r="B543" s="2" t="s">
        <f>"马红飞"</f>
        <v>1077</v>
      </c>
      <c r="C543" s="2">
        <v>-1068.0</v>
      </c>
      <c r="D543" s="2">
        <v>-444.0</v>
      </c>
      <c r="E543" s="2">
        <v>-304.66</v>
      </c>
    </row>
    <row r="544" spans="1:5" customHeight="1" x14ac:dyDescent="0.15">
      <c r="A544" s="2" t="s">
        <f>"093000067920051"</f>
        <v>1078</v>
      </c>
      <c r="B544" s="2" t="s">
        <f>"宋敏"</f>
        <v>1079</v>
      </c>
      <c r="C544" s="2">
        <v>0.0</v>
      </c>
      <c r="D544" s="2">
        <v>0.0</v>
      </c>
      <c r="E544" s="2">
        <v>0.0</v>
      </c>
    </row>
    <row r="545" spans="1:5" customHeight="1" x14ac:dyDescent="0.15">
      <c r="A545" s="2" t="s">
        <f>"093000040001920078"</f>
        <v>1080</v>
      </c>
      <c r="B545" s="2" t="s">
        <f>"何达庆"</f>
        <v>1081</v>
      </c>
      <c r="C545" s="2">
        <v>0.0</v>
      </c>
      <c r="D545" s="2">
        <v>-1080.0</v>
      </c>
      <c r="E545" s="2">
        <v>-98.37</v>
      </c>
    </row>
    <row r="546" spans="1:5" customHeight="1" x14ac:dyDescent="0.15">
      <c r="A546" s="2" t="s">
        <f>"093000046920011"</f>
        <v>1082</v>
      </c>
      <c r="B546" s="2" t="s">
        <f>"王攀瑞"</f>
        <v>1083</v>
      </c>
      <c r="C546" s="2">
        <v>0.0</v>
      </c>
      <c r="D546" s="2">
        <v>0.0</v>
      </c>
      <c r="E546" s="2">
        <v>0.0</v>
      </c>
    </row>
    <row r="547" spans="1:5" customHeight="1" x14ac:dyDescent="0.15">
      <c r="A547" s="2" t="s">
        <f>"093000040001920079"</f>
        <v>1084</v>
      </c>
      <c r="B547" s="2" t="s">
        <f>"蔡深壮"</f>
        <v>1085</v>
      </c>
      <c r="C547" s="2">
        <v>0.0</v>
      </c>
      <c r="D547" s="2">
        <v>-1020.0</v>
      </c>
      <c r="E547" s="2">
        <v>-98.73</v>
      </c>
    </row>
    <row r="548" spans="1:5" customHeight="1" x14ac:dyDescent="0.15">
      <c r="A548" s="2" t="s">
        <f>"0930000000038"</f>
        <v>1086</v>
      </c>
      <c r="B548" s="2" t="s">
        <f>"覃举扬"</f>
        <v>1087</v>
      </c>
      <c r="C548" s="2">
        <v>0.0</v>
      </c>
      <c r="D548" s="2">
        <v>688.0</v>
      </c>
      <c r="E548" s="2">
        <v>-101.1</v>
      </c>
    </row>
    <row r="549" spans="1:5" customHeight="1" x14ac:dyDescent="0.15">
      <c r="A549" s="2" t="s">
        <f>"0930000000039"</f>
        <v>1088</v>
      </c>
      <c r="B549" s="2" t="s">
        <f>"黄迪"</f>
        <v>1089</v>
      </c>
      <c r="C549" s="2">
        <v>0.0</v>
      </c>
      <c r="D549" s="2">
        <v>960.0</v>
      </c>
      <c r="E549" s="2">
        <v>-108.86</v>
      </c>
    </row>
    <row r="550" spans="1:5" customHeight="1" x14ac:dyDescent="0.15">
      <c r="A550" s="2" t="s">
        <f>"093000047920006"</f>
        <v>1090</v>
      </c>
      <c r="B550" s="2" t="s">
        <f>"郭子路"</f>
        <v>1091</v>
      </c>
      <c r="C550" s="2">
        <v>0.0</v>
      </c>
      <c r="D550" s="2">
        <v>761.0</v>
      </c>
      <c r="E550" s="2">
        <v>-411.44</v>
      </c>
    </row>
    <row r="551" spans="1:5" customHeight="1" x14ac:dyDescent="0.15">
      <c r="A551" s="2" t="s">
        <f>"0930000680000"</f>
        <v>1092</v>
      </c>
      <c r="B551" s="2" t="s">
        <f>"卢滨滨"</f>
        <v>1093</v>
      </c>
      <c r="C551" s="2">
        <v>-1635.0</v>
      </c>
      <c r="D551" s="2">
        <v>478.0</v>
      </c>
      <c r="E551" s="2">
        <v>-545.76</v>
      </c>
    </row>
    <row r="552" spans="1:5" customHeight="1" x14ac:dyDescent="0.15">
      <c r="A552" s="2" t="s">
        <f>"0930000680001"</f>
        <v>1094</v>
      </c>
      <c r="B552" s="2" t="s">
        <f>"杨冬旭"</f>
        <v>1095</v>
      </c>
      <c r="C552" s="2">
        <v>-221.0</v>
      </c>
      <c r="D552" s="2">
        <v>-346.0</v>
      </c>
      <c r="E552" s="2">
        <v>-155.51</v>
      </c>
    </row>
    <row r="553" spans="1:5" customHeight="1" x14ac:dyDescent="0.15">
      <c r="A553" s="2" t="s">
        <f>"093000064920026"</f>
        <v>1096</v>
      </c>
      <c r="B553" s="2" t="s">
        <f>"闫金柱"</f>
        <v>1097</v>
      </c>
      <c r="C553" s="2">
        <v>-163.0</v>
      </c>
      <c r="D553" s="2">
        <v>-5827.0</v>
      </c>
      <c r="E553" s="2">
        <v>-2083.66</v>
      </c>
    </row>
    <row r="554" spans="1:5" customHeight="1" x14ac:dyDescent="0.15">
      <c r="A554" s="2" t="s">
        <f>"093000040001920080"</f>
        <v>1098</v>
      </c>
      <c r="B554" s="2" t="s">
        <f>"邱振勇"</f>
        <v>1099</v>
      </c>
      <c r="C554" s="2">
        <v>0.0</v>
      </c>
      <c r="D554" s="2">
        <v>0.0</v>
      </c>
      <c r="E554" s="2">
        <v>0.0</v>
      </c>
    </row>
    <row r="555" spans="1:5" customHeight="1" x14ac:dyDescent="0.15">
      <c r="A555" s="2" t="s">
        <f>"093000043920010"</f>
        <v>1100</v>
      </c>
      <c r="B555" s="2" t="s">
        <f>"王连秀"</f>
        <v>1101</v>
      </c>
      <c r="C555" s="2">
        <v>-853.0</v>
      </c>
      <c r="D555" s="2">
        <v>-104.0</v>
      </c>
      <c r="E555" s="2">
        <v>-929.8</v>
      </c>
    </row>
    <row r="556" spans="1:5" customHeight="1" x14ac:dyDescent="0.15">
      <c r="A556" s="2" t="s">
        <f>"093000043920011"</f>
        <v>1102</v>
      </c>
      <c r="B556" s="2" t="s">
        <f>"柳霞"</f>
        <v>1103</v>
      </c>
      <c r="C556" s="2">
        <v>-344.0</v>
      </c>
      <c r="D556" s="2">
        <v>-404.0</v>
      </c>
      <c r="E556" s="2">
        <v>-1039.23</v>
      </c>
    </row>
    <row r="557" spans="1:5" customHeight="1" x14ac:dyDescent="0.15">
      <c r="A557" s="2" t="s">
        <f>"093000040001920081"</f>
        <v>1104</v>
      </c>
      <c r="B557" s="2" t="s">
        <f>"刘奎英"</f>
        <v>1105</v>
      </c>
      <c r="C557" s="2">
        <v>94.0</v>
      </c>
      <c r="D557" s="2">
        <v>186.0</v>
      </c>
      <c r="E557" s="2">
        <v>-489.46</v>
      </c>
    </row>
    <row r="558" spans="1:5" customHeight="1" x14ac:dyDescent="0.15">
      <c r="A558" s="2" t="s">
        <f>"093000068920011"</f>
        <v>1106</v>
      </c>
      <c r="B558" s="2" t="s">
        <f>"周富"</f>
        <v>1107</v>
      </c>
      <c r="C558" s="2">
        <v>0.0</v>
      </c>
      <c r="D558" s="2">
        <v>0.0</v>
      </c>
      <c r="E558" s="2">
        <v>0.0</v>
      </c>
    </row>
    <row r="559" spans="1:5" customHeight="1" x14ac:dyDescent="0.15">
      <c r="A559" s="2" t="s">
        <f>"093000068920009"</f>
        <v>1108</v>
      </c>
      <c r="B559" s="2" t="s">
        <f>"李奇峰"</f>
        <v>1109</v>
      </c>
      <c r="C559" s="2">
        <v>0.0</v>
      </c>
      <c r="D559" s="2">
        <v>316.0</v>
      </c>
      <c r="E559" s="2">
        <v>-458.7</v>
      </c>
    </row>
    <row r="560" spans="1:5" customHeight="1" x14ac:dyDescent="0.15">
      <c r="A560" s="2" t="s">
        <f>"093000068920013"</f>
        <v>1110</v>
      </c>
      <c r="B560" s="2" t="s">
        <f>"陈燕"</f>
        <v>1111</v>
      </c>
      <c r="C560" s="2">
        <v>0.0</v>
      </c>
      <c r="D560" s="2">
        <v>9.0</v>
      </c>
      <c r="E560" s="2">
        <v>-6.7</v>
      </c>
    </row>
    <row r="561" spans="1:5" customHeight="1" x14ac:dyDescent="0.15">
      <c r="A561" s="2" t="s">
        <f>"093000068920012"</f>
        <v>1112</v>
      </c>
      <c r="B561" s="2" t="s">
        <f>"唐碧莎"</f>
        <v>1113</v>
      </c>
      <c r="C561" s="2">
        <v>0.0</v>
      </c>
      <c r="D561" s="2">
        <v>1.0</v>
      </c>
      <c r="E561" s="2">
        <v>-6.68</v>
      </c>
    </row>
    <row r="562" spans="1:5" customHeight="1" x14ac:dyDescent="0.15">
      <c r="A562" s="2" t="s">
        <f>"093000068920010"</f>
        <v>1114</v>
      </c>
      <c r="B562" s="2" t="s">
        <f>"莫院兰"</f>
        <v>1115</v>
      </c>
      <c r="C562" s="2">
        <v>12.0</v>
      </c>
      <c r="D562" s="2">
        <v>14.0</v>
      </c>
      <c r="E562" s="2">
        <v>-26.87</v>
      </c>
    </row>
    <row r="563" spans="1:5" customHeight="1" x14ac:dyDescent="0.15">
      <c r="A563" s="2" t="s">
        <f>"093000046920012"</f>
        <v>1116</v>
      </c>
      <c r="B563" s="2" t="s">
        <f>"冉少雅"</f>
        <v>1117</v>
      </c>
      <c r="C563" s="2">
        <v>-203.0</v>
      </c>
      <c r="D563" s="2">
        <v>-993.0</v>
      </c>
      <c r="E563" s="2">
        <v>-684.17</v>
      </c>
    </row>
    <row r="564" spans="1:5" customHeight="1" x14ac:dyDescent="0.15">
      <c r="A564" s="2" t="s">
        <f>"093000040920044"</f>
        <v>1118</v>
      </c>
      <c r="B564" s="2" t="s">
        <f>"张翠娜"</f>
        <v>1119</v>
      </c>
      <c r="C564" s="2">
        <v>-27.0</v>
      </c>
      <c r="D564" s="2">
        <v>-256.0</v>
      </c>
      <c r="E564" s="2">
        <v>-1107.31</v>
      </c>
    </row>
    <row r="565" spans="1:5" customHeight="1" x14ac:dyDescent="0.15">
      <c r="A565" s="2" t="s">
        <f>"093000041920023"</f>
        <v>1120</v>
      </c>
      <c r="B565" s="2" t="s">
        <f>"王昭"</f>
        <v>1121</v>
      </c>
      <c r="C565" s="2">
        <v>0.0</v>
      </c>
      <c r="D565" s="2">
        <v>976.0</v>
      </c>
      <c r="E565" s="2">
        <v>-109.42</v>
      </c>
    </row>
    <row r="566" spans="1:5" customHeight="1" x14ac:dyDescent="0.15">
      <c r="A566" s="2" t="s">
        <f>"093000064920029"</f>
        <v>1122</v>
      </c>
      <c r="B566" s="2" t="s">
        <f>"陈遇三"</f>
        <v>1123</v>
      </c>
      <c r="C566" s="2">
        <v>-936.0</v>
      </c>
      <c r="D566" s="2">
        <v>-410.0</v>
      </c>
      <c r="E566" s="2">
        <v>-379.16</v>
      </c>
    </row>
    <row r="567" spans="1:5" customHeight="1" x14ac:dyDescent="0.15">
      <c r="A567" s="2" t="s">
        <f>"093000064920030"</f>
        <v>1124</v>
      </c>
      <c r="B567" s="2" t="s">
        <f>"郑绍爱"</f>
        <v>1125</v>
      </c>
      <c r="C567" s="2">
        <v>0.0</v>
      </c>
      <c r="D567" s="2">
        <v>1292.0</v>
      </c>
      <c r="E567" s="2">
        <v>-221.51</v>
      </c>
    </row>
    <row r="568" spans="1:5" customHeight="1" x14ac:dyDescent="0.15">
      <c r="A568" s="2" t="s">
        <f>"093000037920043"</f>
        <v>1126</v>
      </c>
      <c r="B568" s="2" t="s">
        <f>"叶海燕"</f>
        <v>1127</v>
      </c>
      <c r="C568" s="2">
        <v>35.0</v>
      </c>
      <c r="D568" s="2">
        <v>3541.0</v>
      </c>
      <c r="E568" s="2">
        <v>-3049.54</v>
      </c>
    </row>
    <row r="569" spans="1:5" customHeight="1" x14ac:dyDescent="0.15">
      <c r="A569" s="2" t="s">
        <f>"093000051920007"</f>
        <v>1128</v>
      </c>
      <c r="B569" s="2" t="s">
        <f>"郑志霞"</f>
        <v>1129</v>
      </c>
      <c r="C569" s="2">
        <v>0.0</v>
      </c>
      <c r="D569" s="2">
        <v>0.0</v>
      </c>
      <c r="E569" s="2">
        <v>0.0</v>
      </c>
    </row>
    <row r="570" spans="1:5" customHeight="1" x14ac:dyDescent="0.15">
      <c r="A570" s="2" t="s">
        <f>"0930000000040"</f>
        <v>1130</v>
      </c>
      <c r="B570" s="2" t="s">
        <f>"朱子建"</f>
        <v>1131</v>
      </c>
      <c r="C570" s="2">
        <v>-700.0</v>
      </c>
      <c r="D570" s="2">
        <v>4530.0</v>
      </c>
      <c r="E570" s="2">
        <v>-925.23</v>
      </c>
    </row>
    <row r="571" spans="1:5" customHeight="1" x14ac:dyDescent="0.15">
      <c r="A571" s="2" t="s">
        <f>"0930000000041"</f>
        <v>1132</v>
      </c>
      <c r="B571" s="2" t="s">
        <f>"付宏英"</f>
        <v>1133</v>
      </c>
      <c r="C571" s="2">
        <v>0.0</v>
      </c>
      <c r="D571" s="2">
        <v>0.0</v>
      </c>
      <c r="E571" s="2">
        <v>0.0</v>
      </c>
    </row>
    <row r="572" spans="1:5" customHeight="1" x14ac:dyDescent="0.15">
      <c r="A572" s="2" t="s">
        <f>"093000046920013"</f>
        <v>1134</v>
      </c>
      <c r="B572" s="2" t="s">
        <f>"申征"</f>
        <v>1135</v>
      </c>
      <c r="C572" s="2">
        <v>-2795.0</v>
      </c>
      <c r="D572" s="2">
        <v>-879.0</v>
      </c>
      <c r="E572" s="2">
        <v>-1857.98</v>
      </c>
    </row>
    <row r="573" spans="1:5" customHeight="1" x14ac:dyDescent="0.15">
      <c r="A573" s="2" t="s">
        <f>"093000046920014"</f>
        <v>1136</v>
      </c>
      <c r="B573" s="2" t="s">
        <f>"白中宇"</f>
        <v>1137</v>
      </c>
      <c r="C573" s="2">
        <v>-301.0</v>
      </c>
      <c r="D573" s="2">
        <v>-19539.0</v>
      </c>
      <c r="E573" s="2">
        <v>-15070.9</v>
      </c>
    </row>
    <row r="574" spans="1:5" customHeight="1" x14ac:dyDescent="0.15">
      <c r="A574" s="2" t="s">
        <f>"093000046920015"</f>
        <v>1138</v>
      </c>
      <c r="B574" s="2" t="s">
        <f>"王少锋"</f>
        <v>1139</v>
      </c>
      <c r="C574" s="2">
        <v>0.0</v>
      </c>
      <c r="D574" s="2">
        <v>0.0</v>
      </c>
      <c r="E574" s="2">
        <v>0.0</v>
      </c>
    </row>
    <row r="575" spans="1:5" customHeight="1" x14ac:dyDescent="0.15">
      <c r="A575" s="2" t="s">
        <f>"093000044920006"</f>
        <v>1140</v>
      </c>
      <c r="B575" s="2" t="s">
        <f>"金志业"</f>
        <v>1141</v>
      </c>
      <c r="C575" s="2">
        <v>0.0</v>
      </c>
      <c r="D575" s="2">
        <v>59.0</v>
      </c>
      <c r="E575" s="2">
        <v>-46.7</v>
      </c>
    </row>
    <row r="576" spans="1:5" customHeight="1" x14ac:dyDescent="0.15">
      <c r="A576" s="2" t="s">
        <f>"0930000730001"</f>
        <v>1142</v>
      </c>
      <c r="B576" s="2" t="s">
        <f>"张杰"</f>
        <v>1143</v>
      </c>
      <c r="C576" s="2">
        <v>0.0</v>
      </c>
      <c r="D576" s="2">
        <v>962.0</v>
      </c>
      <c r="E576" s="2">
        <v>-108.7</v>
      </c>
    </row>
    <row r="577" spans="1:5" customHeight="1" x14ac:dyDescent="0.15">
      <c r="A577" s="2" t="s">
        <f>"0930000620005"</f>
        <v>1144</v>
      </c>
      <c r="B577" s="2" t="s">
        <f>"陈志艺"</f>
        <v>1145</v>
      </c>
      <c r="C577" s="2">
        <v>0.0</v>
      </c>
      <c r="D577" s="2">
        <v>516.0</v>
      </c>
      <c r="E577" s="2">
        <v>-53.19</v>
      </c>
    </row>
    <row r="578" spans="1:5" customHeight="1" x14ac:dyDescent="0.15">
      <c r="A578" s="2" t="s">
        <f>"093000070920008"</f>
        <v>1146</v>
      </c>
      <c r="B578" s="2" t="s">
        <f>"许德朝"</f>
        <v>1147</v>
      </c>
      <c r="C578" s="2">
        <v>0.0</v>
      </c>
      <c r="D578" s="2">
        <v>203.0</v>
      </c>
      <c r="E578" s="2">
        <v>-339.09</v>
      </c>
    </row>
    <row r="579" spans="1:5" customHeight="1" x14ac:dyDescent="0.15">
      <c r="A579" s="2" t="s">
        <f>"093000920441"</f>
        <v>1148</v>
      </c>
      <c r="B579" s="2" t="s">
        <f>"林杏州"</f>
        <v>1149</v>
      </c>
      <c r="C579" s="2">
        <v>0.0</v>
      </c>
      <c r="D579" s="2">
        <v>0.0</v>
      </c>
      <c r="E579" s="2">
        <v>0.0</v>
      </c>
    </row>
    <row r="580" spans="1:5" customHeight="1" x14ac:dyDescent="0.15">
      <c r="A580" s="2" t="s">
        <f>"093000040920045"</f>
        <v>1150</v>
      </c>
      <c r="B580" s="2" t="s">
        <f>"郝运波"</f>
        <v>1151</v>
      </c>
      <c r="C580" s="2">
        <v>0.0</v>
      </c>
      <c r="D580" s="2">
        <v>0.0</v>
      </c>
      <c r="E580" s="2">
        <v>0.0</v>
      </c>
    </row>
    <row r="581" spans="1:5" customHeight="1" x14ac:dyDescent="0.15">
      <c r="A581" s="2" t="s">
        <f>"093000043920012"</f>
        <v>1152</v>
      </c>
      <c r="B581" s="2" t="s">
        <f>"訾玉蛟"</f>
        <v>1153</v>
      </c>
      <c r="C581" s="2">
        <v>0.0</v>
      </c>
      <c r="D581" s="2">
        <v>-854.0</v>
      </c>
      <c r="E581" s="2">
        <v>-220.7</v>
      </c>
    </row>
    <row r="582" spans="1:5" customHeight="1" x14ac:dyDescent="0.15">
      <c r="A582" s="2" t="s">
        <f>"0930000620006"</f>
        <v>1154</v>
      </c>
      <c r="B582" s="2" t="s">
        <f>"刘岳锋"</f>
        <v>1155</v>
      </c>
      <c r="C582" s="2">
        <v>-762.0</v>
      </c>
      <c r="D582" s="2">
        <v>-338.0</v>
      </c>
      <c r="E582" s="2">
        <v>-445.81</v>
      </c>
    </row>
    <row r="583" spans="1:5" customHeight="1" x14ac:dyDescent="0.15">
      <c r="A583" s="2" t="s">
        <f>"0930000000042"</f>
        <v>1156</v>
      </c>
      <c r="B583" s="2" t="s">
        <f>"肖良兵"</f>
        <v>1157</v>
      </c>
      <c r="C583" s="2">
        <v>0.0</v>
      </c>
      <c r="D583" s="2">
        <v>347.0</v>
      </c>
      <c r="E583" s="2">
        <v>-347.55</v>
      </c>
    </row>
    <row r="584" spans="1:5" customHeight="1" x14ac:dyDescent="0.15">
      <c r="A584" s="2" t="s">
        <f>"0930000000043"</f>
        <v>1158</v>
      </c>
      <c r="B584" s="2" t="s">
        <f>"张可良"</f>
        <v>1159</v>
      </c>
      <c r="C584" s="2">
        <v>-30.0</v>
      </c>
      <c r="D584" s="2">
        <v>-875.0</v>
      </c>
      <c r="E584" s="2">
        <v>-733.75</v>
      </c>
    </row>
    <row r="585" spans="1:5" customHeight="1" x14ac:dyDescent="0.15">
      <c r="A585" s="2" t="s">
        <f>"093000055920002"</f>
        <v>1160</v>
      </c>
      <c r="B585" s="2" t="s">
        <f>"王远"</f>
        <v>1161</v>
      </c>
      <c r="C585" s="2">
        <v>0.0</v>
      </c>
      <c r="D585" s="2">
        <v>0.0</v>
      </c>
      <c r="E585" s="2">
        <v>0.0</v>
      </c>
    </row>
    <row r="586" spans="1:5" customHeight="1" x14ac:dyDescent="0.15">
      <c r="A586" s="2" t="s">
        <f>"093000068920018"</f>
        <v>1162</v>
      </c>
      <c r="B586" s="2" t="s">
        <f>"邓婷丹"</f>
        <v>1163</v>
      </c>
      <c r="C586" s="2">
        <v>0.0</v>
      </c>
      <c r="D586" s="2">
        <v>18.0</v>
      </c>
      <c r="E586" s="2">
        <v>-13.42</v>
      </c>
    </row>
    <row r="587" spans="1:5" customHeight="1" x14ac:dyDescent="0.15">
      <c r="A587" s="2" t="s">
        <f>"093000046920016"</f>
        <v>1164</v>
      </c>
      <c r="B587" s="2" t="s">
        <f>"全建茹"</f>
        <v>1165</v>
      </c>
      <c r="C587" s="2">
        <v>0.0</v>
      </c>
      <c r="D587" s="2">
        <v>0.0</v>
      </c>
      <c r="E587" s="2">
        <v>0.0</v>
      </c>
    </row>
    <row r="588" spans="1:5" customHeight="1" x14ac:dyDescent="0.15">
      <c r="A588" s="2" t="s">
        <f>"093000920443"</f>
        <v>1166</v>
      </c>
      <c r="B588" s="2" t="s">
        <f>"程倩倩"</f>
        <v>1167</v>
      </c>
      <c r="C588" s="2">
        <v>0.0</v>
      </c>
      <c r="D588" s="2">
        <v>-1233.0</v>
      </c>
      <c r="E588" s="2">
        <v>-515.71</v>
      </c>
    </row>
    <row r="589" spans="1:5" customHeight="1" x14ac:dyDescent="0.15">
      <c r="A589" s="2" t="s">
        <f>"093000044920007"</f>
        <v>1168</v>
      </c>
      <c r="B589" s="2" t="s">
        <f>"王善涛"</f>
        <v>1169</v>
      </c>
      <c r="C589" s="2">
        <v>0.0</v>
      </c>
      <c r="D589" s="2">
        <v>-567.0</v>
      </c>
      <c r="E589" s="2">
        <v>-209.29</v>
      </c>
    </row>
    <row r="590" spans="1:5" customHeight="1" x14ac:dyDescent="0.15">
      <c r="A590" s="2" t="s">
        <f>"093000055920003"</f>
        <v>1170</v>
      </c>
      <c r="B590" s="2" t="s">
        <f>"夏闪"</f>
        <v>1171</v>
      </c>
      <c r="C590" s="2">
        <v>0.0</v>
      </c>
      <c r="D590" s="2">
        <v>0.0</v>
      </c>
      <c r="E590" s="2">
        <v>0.0</v>
      </c>
    </row>
    <row r="591" spans="1:5" customHeight="1" x14ac:dyDescent="0.15">
      <c r="A591" s="2" t="s">
        <f>"093000068920020"</f>
        <v>1172</v>
      </c>
      <c r="B591" s="2" t="s">
        <f>"谢暧荣"</f>
        <v>1173</v>
      </c>
      <c r="C591" s="2">
        <v>0.0</v>
      </c>
      <c r="D591" s="2">
        <v>15.0</v>
      </c>
      <c r="E591" s="2">
        <v>-6.74</v>
      </c>
    </row>
    <row r="592" spans="1:5" customHeight="1" x14ac:dyDescent="0.15">
      <c r="A592" s="2" t="s">
        <f>"093000068920019"</f>
        <v>1174</v>
      </c>
      <c r="B592" s="2" t="s">
        <f>"覃良意"</f>
        <v>1175</v>
      </c>
      <c r="C592" s="2">
        <v>12.0</v>
      </c>
      <c r="D592" s="2">
        <v>-224.0</v>
      </c>
      <c r="E592" s="2">
        <v>-76.92</v>
      </c>
    </row>
    <row r="593" spans="1:5" customHeight="1" x14ac:dyDescent="0.15">
      <c r="A593" s="2" t="s">
        <f>"093000068920021"</f>
        <v>1176</v>
      </c>
      <c r="B593" s="2" t="s">
        <f>"邹美婷"</f>
        <v>1177</v>
      </c>
      <c r="C593" s="2">
        <v>0.0</v>
      </c>
      <c r="D593" s="2">
        <v>0.0</v>
      </c>
      <c r="E593" s="2">
        <v>0.0</v>
      </c>
    </row>
    <row r="594" spans="1:5" customHeight="1" x14ac:dyDescent="0.15">
      <c r="A594" s="2" t="s">
        <f>"093000068920025"</f>
        <v>1178</v>
      </c>
      <c r="B594" s="2" t="s">
        <f>"区梦云"</f>
        <v>1179</v>
      </c>
      <c r="C594" s="2">
        <v>0.0</v>
      </c>
      <c r="D594" s="2">
        <v>0.0</v>
      </c>
      <c r="E594" s="2">
        <v>0.0</v>
      </c>
    </row>
    <row r="595" spans="1:5" customHeight="1" x14ac:dyDescent="0.15">
      <c r="A595" s="2" t="s">
        <f>"093000037920044"</f>
        <v>1180</v>
      </c>
      <c r="B595" s="2" t="s">
        <f>"李威锋"</f>
        <v>1181</v>
      </c>
      <c r="C595" s="2">
        <v>-117.0</v>
      </c>
      <c r="D595" s="2">
        <v>-1150.0</v>
      </c>
      <c r="E595" s="2">
        <v>-1414.37</v>
      </c>
    </row>
    <row r="596" spans="1:5" customHeight="1" x14ac:dyDescent="0.15">
      <c r="A596" s="2" t="s">
        <f>"093000920445"</f>
        <v>1182</v>
      </c>
      <c r="B596" s="2" t="s">
        <f>"周树忠"</f>
        <v>1183</v>
      </c>
      <c r="C596" s="2">
        <v>0.0</v>
      </c>
      <c r="D596" s="2">
        <v>0.0</v>
      </c>
      <c r="E596" s="2">
        <v>0.0</v>
      </c>
    </row>
    <row r="597" spans="1:5" customHeight="1" x14ac:dyDescent="0.15">
      <c r="A597" s="2" t="s">
        <f>"093000048920011"</f>
        <v>1184</v>
      </c>
      <c r="B597" s="2" t="s">
        <f>"唐春江"</f>
        <v>1185</v>
      </c>
      <c r="C597" s="2">
        <v>-717.0</v>
      </c>
      <c r="D597" s="2">
        <v>-113.0</v>
      </c>
      <c r="E597" s="2">
        <v>-101.39</v>
      </c>
    </row>
    <row r="598" spans="1:5" customHeight="1" x14ac:dyDescent="0.15">
      <c r="A598" s="2" t="s">
        <f>"093000067920059"</f>
        <v>1186</v>
      </c>
      <c r="B598" s="2" t="s">
        <f>"王嘉恒"</f>
        <v>1187</v>
      </c>
      <c r="C598" s="2">
        <v>0.0</v>
      </c>
      <c r="D598" s="2">
        <v>0.0</v>
      </c>
      <c r="E598" s="2">
        <v>0.0</v>
      </c>
    </row>
    <row r="599" spans="1:5" customHeight="1" x14ac:dyDescent="0.15">
      <c r="A599" s="2" t="s">
        <f>"093000040001920082"</f>
        <v>1188</v>
      </c>
      <c r="B599" s="2" t="s">
        <f>"吴伟杰"</f>
        <v>1189</v>
      </c>
      <c r="C599" s="2">
        <v>-306.0</v>
      </c>
      <c r="D599" s="2">
        <v>1214.0</v>
      </c>
      <c r="E599" s="2">
        <v>-104.84</v>
      </c>
    </row>
    <row r="600" spans="1:5" customHeight="1" x14ac:dyDescent="0.15">
      <c r="A600" s="2" t="s">
        <f>"093000067920063"</f>
        <v>1190</v>
      </c>
      <c r="B600" s="2" t="s">
        <f>"叶乙宏"</f>
        <v>1191</v>
      </c>
      <c r="C600" s="2">
        <v>0.0</v>
      </c>
      <c r="D600" s="2">
        <v>0.0</v>
      </c>
      <c r="E600" s="2">
        <v>0.0</v>
      </c>
    </row>
    <row r="601" spans="1:5" customHeight="1" x14ac:dyDescent="0.15">
      <c r="A601" s="2" t="s">
        <f>"093000066920010"</f>
        <v>1192</v>
      </c>
      <c r="B601" s="2" t="s">
        <f>"唐爱民"</f>
        <v>1193</v>
      </c>
      <c r="C601" s="2">
        <v>0.0</v>
      </c>
      <c r="D601" s="2">
        <v>0.0</v>
      </c>
      <c r="E601" s="2">
        <v>0.0</v>
      </c>
    </row>
    <row r="602" spans="1:5" customHeight="1" x14ac:dyDescent="0.15">
      <c r="A602" s="2" t="s">
        <f>"0930000000044"</f>
        <v>1194</v>
      </c>
      <c r="B602" s="2" t="s">
        <f>"罗少明"</f>
        <v>1195</v>
      </c>
      <c r="C602" s="2">
        <v>0.0</v>
      </c>
      <c r="D602" s="2">
        <v>-1050.0</v>
      </c>
      <c r="E602" s="2">
        <v>-177.3</v>
      </c>
    </row>
    <row r="603" spans="1:5" customHeight="1" x14ac:dyDescent="0.15">
      <c r="A603" s="2" t="s">
        <f>"0930000000045"</f>
        <v>1196</v>
      </c>
      <c r="B603" s="2" t="s">
        <f>"李巧敏"</f>
        <v>1197</v>
      </c>
      <c r="C603" s="2">
        <v>0.0</v>
      </c>
      <c r="D603" s="2">
        <v>662.0</v>
      </c>
      <c r="E603" s="2">
        <v>-176.18</v>
      </c>
    </row>
    <row r="604" spans="1:5" customHeight="1" x14ac:dyDescent="0.15">
      <c r="A604" s="2" t="s">
        <f>"093000037920045"</f>
        <v>1198</v>
      </c>
      <c r="B604" s="2" t="s">
        <f>"闫俊红"</f>
        <v>1199</v>
      </c>
      <c r="C604" s="2">
        <v>0.0</v>
      </c>
      <c r="D604" s="2">
        <v>0.0</v>
      </c>
      <c r="E604" s="2">
        <v>0.0</v>
      </c>
    </row>
    <row r="605" spans="1:5" customHeight="1" x14ac:dyDescent="0.15">
      <c r="A605" s="2" t="s">
        <f>"093000040920046"</f>
        <v>1200</v>
      </c>
      <c r="B605" s="2" t="s">
        <f>"覃宝安"</f>
        <v>1201</v>
      </c>
      <c r="C605" s="2">
        <v>-318.0</v>
      </c>
      <c r="D605" s="2">
        <v>-462.0</v>
      </c>
      <c r="E605" s="2">
        <v>-56.56</v>
      </c>
    </row>
    <row r="606" spans="1:5" customHeight="1" x14ac:dyDescent="0.15">
      <c r="A606" s="2" t="s">
        <f>"093000059920014"</f>
        <v>1202</v>
      </c>
      <c r="B606" s="2" t="s">
        <f>"毛淅萌"</f>
        <v>1203</v>
      </c>
      <c r="C606" s="2">
        <v>-220.0</v>
      </c>
      <c r="D606" s="2">
        <v>-4169.0</v>
      </c>
      <c r="E606" s="2">
        <v>-2451.62</v>
      </c>
    </row>
    <row r="607" spans="1:5" customHeight="1" x14ac:dyDescent="0.15">
      <c r="A607" s="2" t="s">
        <f>"093000071920004"</f>
        <v>1204</v>
      </c>
      <c r="B607" s="2" t="s">
        <f>"杨会梅"</f>
        <v>1205</v>
      </c>
      <c r="C607" s="2">
        <v>0.0</v>
      </c>
      <c r="D607" s="2">
        <v>0.0</v>
      </c>
      <c r="E607" s="2">
        <v>0.0</v>
      </c>
    </row>
    <row r="608" spans="1:5" customHeight="1" x14ac:dyDescent="0.15">
      <c r="A608" s="2" t="s">
        <f>"093000071920005"</f>
        <v>1206</v>
      </c>
      <c r="B608" s="2" t="s">
        <f>"张杭"</f>
        <v>1207</v>
      </c>
      <c r="C608" s="2">
        <v>0.0</v>
      </c>
      <c r="D608" s="2">
        <v>0.0</v>
      </c>
      <c r="E608" s="2">
        <v>0.0</v>
      </c>
    </row>
    <row r="609" spans="1:5" customHeight="1" x14ac:dyDescent="0.15">
      <c r="A609" s="2" t="s">
        <f>"093000043920013"</f>
        <v>1208</v>
      </c>
      <c r="B609" s="2" t="s">
        <f>"马红艳"</f>
        <v>1209</v>
      </c>
      <c r="C609" s="2">
        <v>10.0</v>
      </c>
      <c r="D609" s="2">
        <v>-604.0</v>
      </c>
      <c r="E609" s="2">
        <v>-1483.76</v>
      </c>
    </row>
    <row r="610" spans="1:5" customHeight="1" x14ac:dyDescent="0.15">
      <c r="A610" s="2" t="s">
        <f>"0930000000046"</f>
        <v>1210</v>
      </c>
      <c r="B610" s="2" t="s">
        <f>"钟娟萍"</f>
        <v>1211</v>
      </c>
      <c r="C610" s="2">
        <v>0.0</v>
      </c>
      <c r="D610" s="2">
        <v>0.0</v>
      </c>
      <c r="E610" s="2">
        <v>0.0</v>
      </c>
    </row>
    <row r="611" spans="1:5" customHeight="1" x14ac:dyDescent="0.15">
      <c r="A611" s="2" t="s">
        <f>"093000068920026"</f>
        <v>1212</v>
      </c>
      <c r="B611" s="2" t="s">
        <f>"周国泉"</f>
        <v>1213</v>
      </c>
      <c r="C611" s="2">
        <v>0.0</v>
      </c>
      <c r="D611" s="2">
        <v>0.0</v>
      </c>
      <c r="E611" s="2">
        <v>0.0</v>
      </c>
    </row>
    <row r="612" spans="1:5" customHeight="1" x14ac:dyDescent="0.15">
      <c r="A612" s="2" t="s">
        <f>"093000044920008"</f>
        <v>1214</v>
      </c>
      <c r="B612" s="2" t="s">
        <f>"郭保国"</f>
        <v>1215</v>
      </c>
      <c r="C612" s="2">
        <v>-17515.0</v>
      </c>
      <c r="D612" s="2">
        <v>-535.0</v>
      </c>
      <c r="E612" s="2">
        <v>-12069.98</v>
      </c>
    </row>
    <row r="613" spans="1:5" customHeight="1" x14ac:dyDescent="0.15">
      <c r="A613" s="2" t="s">
        <f>"093000068920027"</f>
        <v>1216</v>
      </c>
      <c r="B613" s="2" t="s">
        <f>"黄建习"</f>
        <v>1217</v>
      </c>
      <c r="C613" s="2">
        <v>0.0</v>
      </c>
      <c r="D613" s="2">
        <v>0.0</v>
      </c>
      <c r="E613" s="2">
        <v>0.0</v>
      </c>
    </row>
    <row r="614" spans="1:5" customHeight="1" x14ac:dyDescent="0.15">
      <c r="A614" s="2" t="s">
        <f>"0930000000047"</f>
        <v>1218</v>
      </c>
      <c r="B614" s="2" t="s">
        <f>"左有志"</f>
        <v>1219</v>
      </c>
      <c r="C614" s="2">
        <v>0.0</v>
      </c>
      <c r="D614" s="2">
        <v>-1171.0</v>
      </c>
      <c r="E614" s="2">
        <v>-307.03</v>
      </c>
    </row>
    <row r="615" spans="1:5" customHeight="1" x14ac:dyDescent="0.15">
      <c r="A615" s="2" t="s">
        <f>"093000041920024"</f>
        <v>1220</v>
      </c>
      <c r="B615" s="2" t="s">
        <f>"冼业富"</f>
        <v>1221</v>
      </c>
      <c r="C615" s="2">
        <v>0.0</v>
      </c>
      <c r="D615" s="2">
        <v>1002.0</v>
      </c>
      <c r="E615" s="2">
        <v>-102.42</v>
      </c>
    </row>
    <row r="616" spans="1:5" customHeight="1" x14ac:dyDescent="0.15">
      <c r="A616" s="2" t="s">
        <f>"093000044920009"</f>
        <v>1222</v>
      </c>
      <c r="B616" s="2" t="s">
        <f>"杜雷"</f>
        <v>1223</v>
      </c>
      <c r="C616" s="2">
        <v>0.0</v>
      </c>
      <c r="D616" s="2">
        <v>-30.0</v>
      </c>
      <c r="E616" s="2">
        <v>-6.75</v>
      </c>
    </row>
    <row r="617" spans="1:5" customHeight="1" x14ac:dyDescent="0.15">
      <c r="A617" s="2" t="s">
        <f>"093000064920031"</f>
        <v>1224</v>
      </c>
      <c r="B617" s="2" t="s">
        <f>"邓强"</f>
        <v>1225</v>
      </c>
      <c r="C617" s="2">
        <v>-588.0</v>
      </c>
      <c r="D617" s="2">
        <v>-393.0</v>
      </c>
      <c r="E617" s="2">
        <v>-110.9</v>
      </c>
    </row>
    <row r="618" spans="1:5" customHeight="1" x14ac:dyDescent="0.15">
      <c r="A618" s="2" t="s">
        <f>"093000064920034"</f>
        <v>1226</v>
      </c>
      <c r="B618" s="2" t="s">
        <f>"闻豪"</f>
        <v>1227</v>
      </c>
      <c r="C618" s="2">
        <v>-158.0</v>
      </c>
      <c r="D618" s="2">
        <v>1452.0</v>
      </c>
      <c r="E618" s="2">
        <v>-221.04</v>
      </c>
    </row>
    <row r="619" spans="1:5" customHeight="1" x14ac:dyDescent="0.15">
      <c r="A619" s="2" t="s">
        <f>"093000088920001"</f>
        <v>1228</v>
      </c>
      <c r="B619" s="2" t="s">
        <f>"魏长玉"</f>
        <v>1229</v>
      </c>
      <c r="C619" s="2">
        <v>-2616.0</v>
      </c>
      <c r="D619" s="2">
        <v>1682.0</v>
      </c>
      <c r="E619" s="2">
        <v>-2579.2</v>
      </c>
    </row>
    <row r="620" spans="1:5" customHeight="1" x14ac:dyDescent="0.15">
      <c r="A620" s="2" t="s">
        <f>"0930000730002"</f>
        <v>1230</v>
      </c>
      <c r="B620" s="2" t="s">
        <f>"秦水娟"</f>
        <v>1231</v>
      </c>
      <c r="C620" s="2">
        <v>0.0</v>
      </c>
      <c r="D620" s="2">
        <v>-1031.0</v>
      </c>
      <c r="E620" s="2">
        <v>-108.74</v>
      </c>
    </row>
    <row r="621" spans="1:5" customHeight="1" x14ac:dyDescent="0.15">
      <c r="A621" s="2" t="s">
        <f>"093000059920015"</f>
        <v>1232</v>
      </c>
      <c r="B621" s="2" t="s">
        <f>"马慧"</f>
        <v>1233</v>
      </c>
      <c r="C621" s="2">
        <v>-546.0</v>
      </c>
      <c r="D621" s="2">
        <v>361.0</v>
      </c>
      <c r="E621" s="2">
        <v>-2695.66</v>
      </c>
    </row>
    <row r="622" spans="1:5" customHeight="1" x14ac:dyDescent="0.15">
      <c r="A622" s="2" t="s">
        <f>"093000040920049"</f>
        <v>1234</v>
      </c>
      <c r="B622" s="2" t="s">
        <f>"马祝才"</f>
        <v>1235</v>
      </c>
      <c r="C622" s="2">
        <v>0.0</v>
      </c>
      <c r="D622" s="2">
        <v>0.0</v>
      </c>
      <c r="E622" s="2">
        <v>0.0</v>
      </c>
    </row>
    <row r="623" spans="1:5" customHeight="1" x14ac:dyDescent="0.15">
      <c r="A623" s="2" t="s">
        <f>"093000040001920084"</f>
        <v>1236</v>
      </c>
      <c r="B623" s="2" t="s">
        <f>"何丽红"</f>
        <v>1237</v>
      </c>
      <c r="C623" s="2">
        <v>0.0</v>
      </c>
      <c r="D623" s="2">
        <v>0.0</v>
      </c>
      <c r="E623" s="2">
        <v>0.0</v>
      </c>
    </row>
    <row r="624" spans="1:5" customHeight="1" x14ac:dyDescent="0.15">
      <c r="A624" s="2" t="s">
        <f>"093000044920010"</f>
        <v>1238</v>
      </c>
      <c r="B624" s="2" t="s">
        <f>"何明"</f>
        <v>1239</v>
      </c>
      <c r="C624" s="2">
        <v>0.0</v>
      </c>
      <c r="D624" s="2">
        <v>0.0</v>
      </c>
      <c r="E624" s="2">
        <v>0.0</v>
      </c>
    </row>
    <row r="625" spans="1:5" customHeight="1" x14ac:dyDescent="0.15">
      <c r="A625" s="2" t="s">
        <f>"0930000000049"</f>
        <v>1240</v>
      </c>
      <c r="B625" s="2" t="s">
        <f>"耿明栓"</f>
        <v>1241</v>
      </c>
      <c r="C625" s="2">
        <v>0.0</v>
      </c>
      <c r="D625" s="2">
        <v>-12.0</v>
      </c>
      <c r="E625" s="2">
        <v>-6.91</v>
      </c>
    </row>
    <row r="626" spans="1:5" customHeight="1" x14ac:dyDescent="0.15">
      <c r="A626" s="2" t="s">
        <f>"0930000000050"</f>
        <v>1242</v>
      </c>
      <c r="B626" s="2" t="s">
        <f>"仵玉华"</f>
        <v>1243</v>
      </c>
      <c r="C626" s="2">
        <v>-614.0</v>
      </c>
      <c r="D626" s="2">
        <v>-621.0</v>
      </c>
      <c r="E626" s="2">
        <v>-198.95</v>
      </c>
    </row>
    <row r="627" spans="1:5" customHeight="1" x14ac:dyDescent="0.15">
      <c r="A627" s="2" t="s">
        <f>"093000920460"</f>
        <v>1244</v>
      </c>
      <c r="B627" s="2" t="s">
        <f>"张俊文"</f>
        <v>1245</v>
      </c>
      <c r="C627" s="2">
        <v>0.0</v>
      </c>
      <c r="D627" s="2">
        <v>0.0</v>
      </c>
      <c r="E627" s="2">
        <v>0.0</v>
      </c>
    </row>
    <row r="628" spans="1:5" customHeight="1" x14ac:dyDescent="0.15">
      <c r="A628" s="2" t="s">
        <f>"093000067920064"</f>
        <v>1246</v>
      </c>
      <c r="B628" s="2" t="s">
        <f>"杨清岩 "</f>
        <v>1247</v>
      </c>
      <c r="C628" s="2">
        <v>0.0</v>
      </c>
      <c r="D628" s="2">
        <v>0.0</v>
      </c>
      <c r="E628" s="2">
        <v>0.0</v>
      </c>
    </row>
    <row r="629" spans="1:5" customHeight="1" x14ac:dyDescent="0.15">
      <c r="A629" s="2" t="s">
        <f>"0930000620007"</f>
        <v>1248</v>
      </c>
      <c r="B629" s="2" t="s">
        <f>"刘成新"</f>
        <v>1249</v>
      </c>
      <c r="C629" s="2">
        <v>0.0</v>
      </c>
      <c r="D629" s="2">
        <v>0.0</v>
      </c>
      <c r="E629" s="2">
        <v>0.0</v>
      </c>
    </row>
    <row r="630" spans="1:5" customHeight="1" x14ac:dyDescent="0.15">
      <c r="A630" s="2" t="s">
        <f>"093000064920035"</f>
        <v>1250</v>
      </c>
      <c r="B630" s="2" t="s">
        <f>"李志聪"</f>
        <v>1251</v>
      </c>
      <c r="C630" s="2">
        <v>65.0</v>
      </c>
      <c r="D630" s="2">
        <v>1226.0</v>
      </c>
      <c r="E630" s="2">
        <v>-143.17</v>
      </c>
    </row>
    <row r="631" spans="1:5" customHeight="1" x14ac:dyDescent="0.15">
      <c r="A631" s="2" t="s">
        <f>"093000044920011"</f>
        <v>1252</v>
      </c>
      <c r="B631" s="2" t="s">
        <f>"赵斌"</f>
        <v>1253</v>
      </c>
      <c r="C631" s="2">
        <v>0.0</v>
      </c>
      <c r="D631" s="2">
        <v>0.0</v>
      </c>
      <c r="E631" s="2">
        <v>0.0</v>
      </c>
    </row>
    <row r="632" spans="1:5" customHeight="1" x14ac:dyDescent="0.15">
      <c r="A632" s="2" t="s">
        <f>"093000070920010"</f>
        <v>1254</v>
      </c>
      <c r="B632" s="2" t="s">
        <f>"刘荫"</f>
        <v>1255</v>
      </c>
      <c r="C632" s="2">
        <v>0.0</v>
      </c>
      <c r="D632" s="2">
        <v>-733.0</v>
      </c>
      <c r="E632" s="2">
        <v>-685.95</v>
      </c>
    </row>
    <row r="633" spans="1:5" customHeight="1" x14ac:dyDescent="0.15">
      <c r="A633" s="2" t="s">
        <f>"093000049920038"</f>
        <v>1256</v>
      </c>
      <c r="B633" s="2" t="s">
        <f>"王洁杰"</f>
        <v>1257</v>
      </c>
      <c r="C633" s="2">
        <v>0.0</v>
      </c>
      <c r="D633" s="2">
        <v>-960.0</v>
      </c>
      <c r="E633" s="2">
        <v>-79.61</v>
      </c>
    </row>
    <row r="634" spans="1:5" customHeight="1" x14ac:dyDescent="0.15">
      <c r="A634" s="2" t="s">
        <f>"0930000000051"</f>
        <v>1258</v>
      </c>
      <c r="B634" s="2" t="s">
        <f>"葛军发"</f>
        <v>1259</v>
      </c>
      <c r="C634" s="2">
        <v>-390.0</v>
      </c>
      <c r="D634" s="2">
        <v>-37.0</v>
      </c>
      <c r="E634" s="2">
        <v>-861.12</v>
      </c>
    </row>
    <row r="635" spans="1:5" customHeight="1" x14ac:dyDescent="0.15">
      <c r="A635" s="2" t="s">
        <f>"0930000620008"</f>
        <v>1260</v>
      </c>
      <c r="B635" s="2" t="s">
        <f>"罗冲"</f>
        <v>1261</v>
      </c>
      <c r="C635" s="2">
        <v>0.0</v>
      </c>
      <c r="D635" s="2">
        <v>0.0</v>
      </c>
      <c r="E635" s="2">
        <v>0.0</v>
      </c>
    </row>
    <row r="636" spans="1:5" customHeight="1" x14ac:dyDescent="0.15">
      <c r="A636" s="2" t="s">
        <f>"093000040001920085"</f>
        <v>1262</v>
      </c>
      <c r="B636" s="2" t="s">
        <f>"陈枷澈"</f>
        <v>1263</v>
      </c>
      <c r="C636" s="2">
        <v>0.0</v>
      </c>
      <c r="D636" s="2">
        <v>-1040.0</v>
      </c>
      <c r="E636" s="2">
        <v>-290.42</v>
      </c>
    </row>
    <row r="637" spans="1:5" customHeight="1" x14ac:dyDescent="0.15">
      <c r="A637" s="2" t="s">
        <f>"093000048920012"</f>
        <v>1264</v>
      </c>
      <c r="B637" s="2" t="s">
        <f>"马青"</f>
        <v>1265</v>
      </c>
      <c r="C637" s="2">
        <v>12.0</v>
      </c>
      <c r="D637" s="2">
        <v>-685.0</v>
      </c>
      <c r="E637" s="2">
        <v>-957.82</v>
      </c>
    </row>
    <row r="638" spans="1:5" customHeight="1" x14ac:dyDescent="0.15">
      <c r="A638" s="2" t="s">
        <f>"093000059920016"</f>
        <v>1266</v>
      </c>
      <c r="B638" s="2" t="s">
        <f>"王思倩"</f>
        <v>1267</v>
      </c>
      <c r="C638" s="2">
        <v>-2114.0</v>
      </c>
      <c r="D638" s="2">
        <v>98.0</v>
      </c>
      <c r="E638" s="2">
        <v>-1148.38</v>
      </c>
    </row>
    <row r="639" spans="1:5" customHeight="1" x14ac:dyDescent="0.15">
      <c r="A639" s="2" t="s">
        <f>"093000059920017"</f>
        <v>1268</v>
      </c>
      <c r="B639" s="2" t="s">
        <f>"陈浩"</f>
        <v>1269</v>
      </c>
      <c r="C639" s="2">
        <v>0.0</v>
      </c>
      <c r="D639" s="2">
        <v>0.0</v>
      </c>
      <c r="E639" s="2">
        <v>0.0</v>
      </c>
    </row>
    <row r="640" spans="1:5" customHeight="1" x14ac:dyDescent="0.15">
      <c r="A640" s="2" t="s">
        <f>"093000068920032"</f>
        <v>1270</v>
      </c>
      <c r="B640" s="2" t="s">
        <f>"陈禾灵"</f>
        <v>1271</v>
      </c>
      <c r="C640" s="2">
        <v>0.0</v>
      </c>
      <c r="D640" s="2">
        <v>-689.0</v>
      </c>
      <c r="E640" s="2">
        <v>-107.85</v>
      </c>
    </row>
    <row r="641" spans="1:5" customHeight="1" x14ac:dyDescent="0.15">
      <c r="A641" s="2" t="s">
        <f>"093000068920031"</f>
        <v>1272</v>
      </c>
      <c r="B641" s="2" t="s">
        <f>"王华东"</f>
        <v>1273</v>
      </c>
      <c r="C641" s="2">
        <v>-2117.0</v>
      </c>
      <c r="D641" s="2">
        <v>-2703.0</v>
      </c>
      <c r="E641" s="2">
        <v>-7448.9</v>
      </c>
    </row>
    <row r="642" spans="1:5" customHeight="1" x14ac:dyDescent="0.15">
      <c r="A642" s="2" t="s">
        <f>"093000068920033"</f>
        <v>1274</v>
      </c>
      <c r="B642" s="2" t="s">
        <f>"潘敬奎"</f>
        <v>1275</v>
      </c>
      <c r="C642" s="2">
        <v>0.0</v>
      </c>
      <c r="D642" s="2">
        <v>-375.0</v>
      </c>
      <c r="E642" s="2">
        <v>-148.32</v>
      </c>
    </row>
    <row r="643" spans="1:5" customHeight="1" x14ac:dyDescent="0.15">
      <c r="A643" s="2" t="s">
        <f>"093000920465"</f>
        <v>1276</v>
      </c>
      <c r="B643" s="2" t="s">
        <f>"陈月阳"</f>
        <v>1277</v>
      </c>
      <c r="C643" s="2">
        <v>-203.0</v>
      </c>
      <c r="D643" s="2">
        <v>887.0</v>
      </c>
      <c r="E643" s="2">
        <v>-552.2</v>
      </c>
    </row>
    <row r="644" spans="1:5" customHeight="1" x14ac:dyDescent="0.15">
      <c r="A644" s="2" t="s">
        <f>"093000064920036"</f>
        <v>1278</v>
      </c>
      <c r="B644" s="2" t="s">
        <f>"王维"</f>
        <v>1279</v>
      </c>
      <c r="C644" s="2">
        <v>1237.0</v>
      </c>
      <c r="D644" s="2">
        <v>1989.0</v>
      </c>
      <c r="E644" s="2">
        <v>-476.58</v>
      </c>
    </row>
    <row r="645" spans="1:5" customHeight="1" x14ac:dyDescent="0.15">
      <c r="A645" s="2" t="s">
        <f>"0930000000052"</f>
        <v>1280</v>
      </c>
      <c r="B645" s="2" t="s">
        <f>"韦欢华"</f>
        <v>1281</v>
      </c>
      <c r="C645" s="2">
        <v>-333.0</v>
      </c>
      <c r="D645" s="2">
        <v>494.0</v>
      </c>
      <c r="E645" s="2">
        <v>-2854.06</v>
      </c>
    </row>
    <row r="646" spans="1:5" customHeight="1" x14ac:dyDescent="0.15">
      <c r="A646" s="2" t="s">
        <f>"093000043920014"</f>
        <v>1282</v>
      </c>
      <c r="B646" s="2" t="s">
        <f>"张军乾"</f>
        <v>1283</v>
      </c>
      <c r="C646" s="2">
        <v>0.0</v>
      </c>
      <c r="D646" s="2">
        <v>0.0</v>
      </c>
      <c r="E646" s="2">
        <v>0.0</v>
      </c>
    </row>
    <row r="647" spans="1:5" customHeight="1" x14ac:dyDescent="0.15">
      <c r="A647" s="2" t="s">
        <f>"093000043920014"</f>
        <v>1282</v>
      </c>
      <c r="B647" s="2" t="s">
        <f>"赵军乾"</f>
        <v>1284</v>
      </c>
      <c r="C647" s="2">
        <v>-922.0</v>
      </c>
      <c r="D647" s="2">
        <v>517.0</v>
      </c>
      <c r="E647" s="2">
        <v>-338.6</v>
      </c>
    </row>
    <row r="648" spans="1:5" customHeight="1" x14ac:dyDescent="0.15">
      <c r="A648" s="2" t="s">
        <f>"0930000620009"</f>
        <v>1285</v>
      </c>
      <c r="B648" s="2" t="s">
        <f>"刘银锋"</f>
        <v>1286</v>
      </c>
      <c r="C648" s="2">
        <v>0.0</v>
      </c>
      <c r="D648" s="2">
        <v>0.0</v>
      </c>
      <c r="E648" s="2">
        <v>0.0</v>
      </c>
    </row>
    <row r="649" spans="1:5" customHeight="1" x14ac:dyDescent="0.15">
      <c r="A649" s="2" t="s">
        <f>"093000043920015"</f>
        <v>1287</v>
      </c>
      <c r="B649" s="2" t="s">
        <f>"赵倩"</f>
        <v>1288</v>
      </c>
      <c r="C649" s="2">
        <v>-3182.0</v>
      </c>
      <c r="D649" s="2">
        <v>102.0</v>
      </c>
      <c r="E649" s="2">
        <v>-114.72</v>
      </c>
    </row>
    <row r="650" spans="1:5" customHeight="1" x14ac:dyDescent="0.15">
      <c r="A650" s="2" t="s">
        <f>"093000068920034"</f>
        <v>1289</v>
      </c>
      <c r="B650" s="2" t="s">
        <f>"雷晴"</f>
        <v>1290</v>
      </c>
      <c r="C650" s="2">
        <v>-117.0</v>
      </c>
      <c r="D650" s="2">
        <v>-60.0</v>
      </c>
      <c r="E650" s="2">
        <v>-131.64</v>
      </c>
    </row>
    <row r="651" spans="1:5" customHeight="1" x14ac:dyDescent="0.15">
      <c r="A651" s="2" t="s">
        <f>"0930000620010"</f>
        <v>1291</v>
      </c>
      <c r="B651" s="2" t="s">
        <f>"付鹏飞"</f>
        <v>1292</v>
      </c>
      <c r="C651" s="2">
        <v>-186.0</v>
      </c>
      <c r="D651" s="2">
        <v>-763.0</v>
      </c>
      <c r="E651" s="2">
        <v>-207.7</v>
      </c>
    </row>
    <row r="652" spans="1:5" customHeight="1" x14ac:dyDescent="0.15">
      <c r="A652" s="2" t="s">
        <f>"093000064920037"</f>
        <v>1293</v>
      </c>
      <c r="B652" s="2" t="s">
        <f>"焦晓静"</f>
        <v>1294</v>
      </c>
      <c r="C652" s="2">
        <v>-1023.0</v>
      </c>
      <c r="D652" s="2">
        <v>-1174.0</v>
      </c>
      <c r="E652" s="2">
        <v>-213.33</v>
      </c>
    </row>
    <row r="653" spans="1:5" customHeight="1" x14ac:dyDescent="0.15">
      <c r="A653" s="2" t="s">
        <f>"093000067920066"</f>
        <v>1295</v>
      </c>
      <c r="B653" s="2" t="s">
        <f>"梁建国"</f>
        <v>1296</v>
      </c>
      <c r="C653" s="2">
        <v>0.0</v>
      </c>
      <c r="D653" s="2">
        <v>0.0</v>
      </c>
      <c r="E653" s="2">
        <v>0.0</v>
      </c>
    </row>
    <row r="654" spans="1:5" customHeight="1" x14ac:dyDescent="0.15">
      <c r="A654" s="2" t="s">
        <f>"093000040001920086"</f>
        <v>1297</v>
      </c>
      <c r="B654" s="2" t="s">
        <f>"郭隆龙"</f>
        <v>1298</v>
      </c>
      <c r="C654" s="2">
        <v>244.0</v>
      </c>
      <c r="D654" s="2">
        <v>-1331.0</v>
      </c>
      <c r="E654" s="2">
        <v>-111.55</v>
      </c>
    </row>
    <row r="655" spans="1:5" customHeight="1" x14ac:dyDescent="0.15">
      <c r="A655" s="2" t="s">
        <f>"093000920466"</f>
        <v>1299</v>
      </c>
      <c r="B655" s="2" t="s">
        <f>"周立来"</f>
        <v>1300</v>
      </c>
      <c r="C655" s="2">
        <v>0.0</v>
      </c>
      <c r="D655" s="2">
        <v>-121.0</v>
      </c>
      <c r="E655" s="2">
        <v>-380.62</v>
      </c>
    </row>
    <row r="656" spans="1:5" customHeight="1" x14ac:dyDescent="0.15">
      <c r="A656" s="2" t="s">
        <f>"093000070920011"</f>
        <v>1301</v>
      </c>
      <c r="B656" s="2" t="s">
        <f>"孙小芳"</f>
        <v>1302</v>
      </c>
      <c r="C656" s="2">
        <v>0.0</v>
      </c>
      <c r="D656" s="2">
        <v>-706.0</v>
      </c>
      <c r="E656" s="2">
        <v>-208.93</v>
      </c>
    </row>
    <row r="657" spans="1:5" customHeight="1" x14ac:dyDescent="0.15">
      <c r="A657" s="2" t="s">
        <f>"093000040001920088"</f>
        <v>1303</v>
      </c>
      <c r="B657" s="2" t="s">
        <f>"麦杰波"</f>
        <v>1304</v>
      </c>
      <c r="C657" s="2">
        <v>0.0</v>
      </c>
      <c r="D657" s="2">
        <v>0.0</v>
      </c>
      <c r="E657" s="2">
        <v>0.0</v>
      </c>
    </row>
    <row r="658" spans="1:5" customHeight="1" x14ac:dyDescent="0.15">
      <c r="A658" s="2" t="s">
        <f>"093000068920035"</f>
        <v>1305</v>
      </c>
      <c r="B658" s="2" t="s">
        <f>"陆乙玮"</f>
        <v>1306</v>
      </c>
      <c r="C658" s="2">
        <v>-263.0</v>
      </c>
      <c r="D658" s="2">
        <v>93.0</v>
      </c>
      <c r="E658" s="2">
        <v>-20.39</v>
      </c>
    </row>
    <row r="659" spans="1:5" customHeight="1" x14ac:dyDescent="0.15">
      <c r="A659" s="2" t="s">
        <f>"0930000730003"</f>
        <v>1307</v>
      </c>
      <c r="B659" s="2" t="s">
        <f>"龙晓霞"</f>
        <v>1308</v>
      </c>
      <c r="C659" s="2">
        <v>0.0</v>
      </c>
      <c r="D659" s="2">
        <v>200.0</v>
      </c>
      <c r="E659" s="2">
        <v>-79.88</v>
      </c>
    </row>
    <row r="660" spans="1:5" customHeight="1" x14ac:dyDescent="0.15">
      <c r="A660" s="2" t="s">
        <f>"093000071920007"</f>
        <v>1309</v>
      </c>
      <c r="B660" s="2" t="s">
        <f>"郑朝东"</f>
        <v>1310</v>
      </c>
      <c r="C660" s="2">
        <v>0.0</v>
      </c>
      <c r="D660" s="2">
        <v>-979.0</v>
      </c>
      <c r="E660" s="2">
        <v>-48.74</v>
      </c>
    </row>
    <row r="661" spans="1:5" customHeight="1" x14ac:dyDescent="0.15">
      <c r="A661" s="2" t="s">
        <f>"093000068920036"</f>
        <v>1311</v>
      </c>
      <c r="B661" s="2" t="s">
        <f>"肖婉婕"</f>
        <v>1312</v>
      </c>
      <c r="C661" s="2">
        <v>0.0</v>
      </c>
      <c r="D661" s="2">
        <v>0.0</v>
      </c>
      <c r="E661" s="2">
        <v>0.0</v>
      </c>
    </row>
    <row r="662" spans="1:5" customHeight="1" x14ac:dyDescent="0.15">
      <c r="A662" s="2" t="s">
        <f>"093000070920012"</f>
        <v>1313</v>
      </c>
      <c r="B662" s="2" t="s">
        <f>"陈婷婷"</f>
        <v>1314</v>
      </c>
      <c r="C662" s="2">
        <v>0.0</v>
      </c>
      <c r="D662" s="2">
        <v>1903.0</v>
      </c>
      <c r="E662" s="2">
        <v>-937.31</v>
      </c>
    </row>
    <row r="663" spans="1:5" customHeight="1" x14ac:dyDescent="0.15">
      <c r="A663" s="2" t="s">
        <f>"093000044920013"</f>
        <v>1315</v>
      </c>
      <c r="B663" s="2" t="s">
        <f>"胡云召"</f>
        <v>1316</v>
      </c>
      <c r="C663" s="2">
        <v>-1.0</v>
      </c>
      <c r="D663" s="2">
        <v>-745.0</v>
      </c>
      <c r="E663" s="2">
        <v>-304.81</v>
      </c>
    </row>
    <row r="664" spans="1:5" customHeight="1" x14ac:dyDescent="0.15">
      <c r="A664" s="2" t="s">
        <f>"093000040001920089"</f>
        <v>1317</v>
      </c>
      <c r="B664" s="2" t="s">
        <f>"林伟华"</f>
        <v>1318</v>
      </c>
      <c r="C664" s="2">
        <v>0.0</v>
      </c>
      <c r="D664" s="2">
        <v>-960.0</v>
      </c>
      <c r="E664" s="2">
        <v>-99.62</v>
      </c>
    </row>
    <row r="665" spans="1:5" customHeight="1" x14ac:dyDescent="0.15">
      <c r="A665" s="2" t="s">
        <f>"093000071920008"</f>
        <v>1319</v>
      </c>
      <c r="B665" s="2" t="s">
        <f>"刘大娃"</f>
        <v>1320</v>
      </c>
      <c r="C665" s="2">
        <v>0.0</v>
      </c>
      <c r="D665" s="2">
        <v>0.0</v>
      </c>
      <c r="E665" s="2">
        <v>0.0</v>
      </c>
    </row>
    <row r="666" spans="1:5" customHeight="1" x14ac:dyDescent="0.15">
      <c r="A666" s="2" t="s">
        <f>"093000047920007"</f>
        <v>1321</v>
      </c>
      <c r="B666" s="2" t="s">
        <f>"孟祥太"</f>
        <v>1322</v>
      </c>
      <c r="C666" s="2">
        <v>0.0</v>
      </c>
      <c r="D666" s="2">
        <v>2210.0</v>
      </c>
      <c r="E666" s="2">
        <v>-210.85</v>
      </c>
    </row>
    <row r="667" spans="1:5" customHeight="1" x14ac:dyDescent="0.15">
      <c r="A667" s="2" t="s">
        <f>"093000064920038"</f>
        <v>1323</v>
      </c>
      <c r="B667" s="2" t="s">
        <f>"王冰"</f>
        <v>1324</v>
      </c>
      <c r="C667" s="2">
        <v>-153.0</v>
      </c>
      <c r="D667" s="2">
        <v>-1350.0</v>
      </c>
      <c r="E667" s="2">
        <v>-899.09</v>
      </c>
    </row>
    <row r="668" spans="1:5" customHeight="1" x14ac:dyDescent="0.15">
      <c r="A668" s="2" t="s">
        <f>"0930000470000"</f>
        <v>1325</v>
      </c>
      <c r="B668" s="2" t="s">
        <f>"李广"</f>
        <v>1326</v>
      </c>
      <c r="C668" s="2">
        <v>-247.0</v>
      </c>
      <c r="D668" s="2">
        <v>-480.0</v>
      </c>
      <c r="E668" s="2">
        <v>-395.75</v>
      </c>
    </row>
    <row r="669" spans="1:5" customHeight="1" x14ac:dyDescent="0.15">
      <c r="A669" s="2" t="s">
        <f>"0930000620011"</f>
        <v>1327</v>
      </c>
      <c r="B669" s="2" t="s">
        <f>"麦爱萍"</f>
        <v>1328</v>
      </c>
      <c r="C669" s="2">
        <v>0.0</v>
      </c>
      <c r="D669" s="2">
        <v>818.0</v>
      </c>
      <c r="E669" s="2">
        <v>-50.98</v>
      </c>
    </row>
    <row r="670" spans="1:5" customHeight="1" x14ac:dyDescent="0.15">
      <c r="A670" s="2" t="s">
        <f>"093000049920039"</f>
        <v>1329</v>
      </c>
      <c r="B670" s="2" t="s">
        <f>"黄克涛"</f>
        <v>1330</v>
      </c>
      <c r="C670" s="2">
        <v>0.0</v>
      </c>
      <c r="D670" s="2">
        <v>0.0</v>
      </c>
      <c r="E670" s="2">
        <v>0.0</v>
      </c>
    </row>
    <row r="671" spans="1:5" customHeight="1" x14ac:dyDescent="0.15">
      <c r="A671" s="2" t="s">
        <f>"093000044920014"</f>
        <v>1331</v>
      </c>
      <c r="B671" s="2" t="s">
        <f>"刘国清"</f>
        <v>1332</v>
      </c>
      <c r="C671" s="2">
        <v>0.0</v>
      </c>
      <c r="D671" s="2">
        <v>0.0</v>
      </c>
      <c r="E671" s="2">
        <v>0.0</v>
      </c>
    </row>
    <row r="672" spans="1:5" customHeight="1" x14ac:dyDescent="0.15">
      <c r="A672" s="2" t="s">
        <f>"093000047920009"</f>
        <v>1333</v>
      </c>
      <c r="B672" s="2" t="s">
        <f>"郭飞"</f>
        <v>1334</v>
      </c>
      <c r="C672" s="2">
        <v>-1121.0</v>
      </c>
      <c r="D672" s="2">
        <v>-181.0</v>
      </c>
      <c r="E672" s="2">
        <v>-3342.23</v>
      </c>
    </row>
    <row r="673" spans="1:5" customHeight="1" x14ac:dyDescent="0.15">
      <c r="A673" s="2" t="s">
        <f>"093000040001920090"</f>
        <v>1335</v>
      </c>
      <c r="B673" s="2" t="s">
        <f>"郭月桂"</f>
        <v>1336</v>
      </c>
      <c r="C673" s="2">
        <v>-120.0</v>
      </c>
      <c r="D673" s="2">
        <v>992.0</v>
      </c>
      <c r="E673" s="2">
        <v>-101.89</v>
      </c>
    </row>
    <row r="674" spans="1:5" customHeight="1" x14ac:dyDescent="0.15">
      <c r="A674" s="2" t="s">
        <f>"0930000000053"</f>
        <v>1337</v>
      </c>
      <c r="B674" s="2" t="s">
        <f>"胡兵兵"</f>
        <v>1338</v>
      </c>
      <c r="C674" s="2">
        <v>1.0</v>
      </c>
      <c r="D674" s="2">
        <v>-2270.0</v>
      </c>
      <c r="E674" s="2">
        <v>-701.05</v>
      </c>
    </row>
    <row r="675" spans="1:5" customHeight="1" x14ac:dyDescent="0.15">
      <c r="A675" s="2" t="s">
        <f>"093000041920025"</f>
        <v>1339</v>
      </c>
      <c r="B675" s="2" t="s">
        <f>"陈相财"</f>
        <v>1340</v>
      </c>
      <c r="C675" s="2">
        <v>0.0</v>
      </c>
      <c r="D675" s="2">
        <v>-1220.0</v>
      </c>
      <c r="E675" s="2">
        <v>-102.5</v>
      </c>
    </row>
    <row r="676" spans="1:5" customHeight="1" x14ac:dyDescent="0.15">
      <c r="A676" s="2" t="s">
        <f>"093000041920026"</f>
        <v>1341</v>
      </c>
      <c r="B676" s="2" t="s">
        <f>"欧艺"</f>
        <v>1342</v>
      </c>
      <c r="C676" s="2">
        <v>0.0</v>
      </c>
      <c r="D676" s="2">
        <v>1128.0</v>
      </c>
      <c r="E676" s="2">
        <v>-102.5</v>
      </c>
    </row>
    <row r="677" spans="1:5" customHeight="1" x14ac:dyDescent="0.15">
      <c r="A677" s="2" t="s">
        <f>"093000067920071"</f>
        <v>1343</v>
      </c>
      <c r="B677" s="2" t="s">
        <f>"顾元广"</f>
        <v>1344</v>
      </c>
      <c r="C677" s="2">
        <v>0.0</v>
      </c>
      <c r="D677" s="2">
        <v>0.0</v>
      </c>
      <c r="E677" s="2">
        <v>0.0</v>
      </c>
    </row>
    <row r="678" spans="1:5" customHeight="1" x14ac:dyDescent="0.15">
      <c r="A678" s="2" t="s">
        <f>"093000044920016"</f>
        <v>1345</v>
      </c>
      <c r="B678" s="2" t="s">
        <f>"曲东红"</f>
        <v>1346</v>
      </c>
      <c r="C678" s="2">
        <v>-5295.0</v>
      </c>
      <c r="D678" s="2">
        <v>1734.0</v>
      </c>
      <c r="E678" s="2">
        <v>-3056.16</v>
      </c>
    </row>
    <row r="679" spans="1:5" customHeight="1" x14ac:dyDescent="0.15">
      <c r="A679" s="2" t="s">
        <f>"093000088920002"</f>
        <v>1347</v>
      </c>
      <c r="B679" s="2" t="s">
        <f>"秦文通"</f>
        <v>1348</v>
      </c>
      <c r="C679" s="2">
        <v>-1317.0</v>
      </c>
      <c r="D679" s="2">
        <v>146.0</v>
      </c>
      <c r="E679" s="2">
        <v>-256.74</v>
      </c>
    </row>
    <row r="680" spans="1:5" customHeight="1" x14ac:dyDescent="0.15">
      <c r="A680" s="2" t="s">
        <f>"093000920473"</f>
        <v>1349</v>
      </c>
      <c r="B680" s="2" t="s">
        <f>"陈露露"</f>
        <v>1350</v>
      </c>
      <c r="C680" s="2">
        <v>-194.0</v>
      </c>
      <c r="D680" s="2">
        <v>-780.0</v>
      </c>
      <c r="E680" s="2">
        <v>-490.0</v>
      </c>
    </row>
    <row r="681" spans="1:5" customHeight="1" x14ac:dyDescent="0.15">
      <c r="A681" s="2" t="s">
        <f>"093000066920011"</f>
        <v>1351</v>
      </c>
      <c r="B681" s="2" t="s">
        <f>"曹海营"</f>
        <v>1352</v>
      </c>
      <c r="C681" s="2">
        <v>0.0</v>
      </c>
      <c r="D681" s="2">
        <v>0.0</v>
      </c>
      <c r="E681" s="2">
        <v>0.0</v>
      </c>
    </row>
    <row r="682" spans="1:5" customHeight="1" x14ac:dyDescent="0.15">
      <c r="A682" s="2" t="s">
        <f>"093000064920039"</f>
        <v>1353</v>
      </c>
      <c r="B682" s="2" t="s">
        <f>"李贺威"</f>
        <v>1354</v>
      </c>
      <c r="C682" s="2">
        <v>-76.0</v>
      </c>
      <c r="D682" s="2">
        <v>1670.0</v>
      </c>
      <c r="E682" s="2">
        <v>-951.29</v>
      </c>
    </row>
    <row r="683" spans="1:5" customHeight="1" x14ac:dyDescent="0.15">
      <c r="A683" s="2" t="s">
        <f>"093000068920039"</f>
        <v>1355</v>
      </c>
      <c r="B683" s="2" t="s">
        <f>"黄恒福"</f>
        <v>1356</v>
      </c>
      <c r="C683" s="2">
        <v>0.0</v>
      </c>
      <c r="D683" s="2">
        <v>27.0</v>
      </c>
      <c r="E683" s="2">
        <v>-98.41</v>
      </c>
    </row>
    <row r="684" spans="1:5" customHeight="1" x14ac:dyDescent="0.15">
      <c r="A684" s="2" t="s">
        <f>"093000088920003"</f>
        <v>1357</v>
      </c>
      <c r="B684" s="2" t="s">
        <f>"李书霞"</f>
        <v>1358</v>
      </c>
      <c r="C684" s="2">
        <v>-45.0</v>
      </c>
      <c r="D684" s="2">
        <v>-1351.0</v>
      </c>
      <c r="E684" s="2">
        <v>-1023.18</v>
      </c>
    </row>
    <row r="685" spans="1:5" customHeight="1" x14ac:dyDescent="0.15">
      <c r="A685" s="2" t="s">
        <f>"093000068920040"</f>
        <v>1359</v>
      </c>
      <c r="B685" s="2" t="s">
        <f>"陈劲"</f>
        <v>1360</v>
      </c>
      <c r="C685" s="2">
        <v>0.0</v>
      </c>
      <c r="D685" s="2">
        <v>0.0</v>
      </c>
      <c r="E685" s="2">
        <v>0.0</v>
      </c>
    </row>
    <row r="686" spans="1:5" customHeight="1" x14ac:dyDescent="0.15">
      <c r="A686" s="2" t="s">
        <f>"093000063920011"</f>
        <v>1361</v>
      </c>
      <c r="B686" s="2" t="s">
        <f>"周燕燕"</f>
        <v>1362</v>
      </c>
      <c r="C686" s="2">
        <v>0.0</v>
      </c>
      <c r="D686" s="2">
        <v>0.0</v>
      </c>
      <c r="E686" s="2">
        <v>0.0</v>
      </c>
    </row>
    <row r="687" spans="1:5" customHeight="1" x14ac:dyDescent="0.15">
      <c r="A687" s="2" t="s">
        <f>"0930000620053"</f>
        <v>1363</v>
      </c>
      <c r="B687" s="2" t="s">
        <f>"文勇辉"</f>
        <v>1364</v>
      </c>
      <c r="C687" s="2">
        <v>-265.0</v>
      </c>
      <c r="D687" s="2">
        <v>-1997.0</v>
      </c>
      <c r="E687" s="2">
        <v>-192.23</v>
      </c>
    </row>
    <row r="688" spans="1:5" customHeight="1" x14ac:dyDescent="0.15">
      <c r="A688" s="2" t="s">
        <f>"093000088920004"</f>
        <v>1365</v>
      </c>
      <c r="B688" s="2" t="s">
        <f>"陈淅江"</f>
        <v>1366</v>
      </c>
      <c r="C688" s="2">
        <v>-573.0</v>
      </c>
      <c r="D688" s="2">
        <v>1539.0</v>
      </c>
      <c r="E688" s="2">
        <v>-564.89</v>
      </c>
    </row>
    <row r="689" spans="1:5" customHeight="1" x14ac:dyDescent="0.15">
      <c r="A689" s="2" t="s">
        <f>"0930000000054"</f>
        <v>1367</v>
      </c>
      <c r="B689" s="2" t="s">
        <f>"刘月同"</f>
        <v>1368</v>
      </c>
      <c r="C689" s="2">
        <v>-726.0</v>
      </c>
      <c r="D689" s="2">
        <v>-634.0</v>
      </c>
      <c r="E689" s="2">
        <v>-99.87</v>
      </c>
    </row>
    <row r="690" spans="1:5" customHeight="1" x14ac:dyDescent="0.15">
      <c r="A690" s="2" t="s">
        <f>"093000040001920092"</f>
        <v>1369</v>
      </c>
      <c r="B690" s="2" t="s">
        <f>"扬梓玄"</f>
        <v>1370</v>
      </c>
      <c r="C690" s="2">
        <v>0.0</v>
      </c>
      <c r="D690" s="2">
        <v>0.0</v>
      </c>
      <c r="E690" s="2">
        <v>0.0</v>
      </c>
    </row>
    <row r="691" spans="1:5" customHeight="1" x14ac:dyDescent="0.15">
      <c r="A691" s="2" t="s">
        <f>"093000068920041"</f>
        <v>1371</v>
      </c>
      <c r="B691" s="2" t="s">
        <f>"李承育"</f>
        <v>1372</v>
      </c>
      <c r="C691" s="2">
        <v>0.0</v>
      </c>
      <c r="D691" s="2">
        <v>0.0</v>
      </c>
      <c r="E691" s="2">
        <v>0.0</v>
      </c>
    </row>
    <row r="692" spans="1:5" customHeight="1" x14ac:dyDescent="0.15">
      <c r="A692" s="2" t="s">
        <f>"093000920474"</f>
        <v>1373</v>
      </c>
      <c r="B692" s="2" t="s">
        <f>"司启航"</f>
        <v>1374</v>
      </c>
      <c r="C692" s="2">
        <v>408.0</v>
      </c>
      <c r="D692" s="2">
        <v>-1520.0</v>
      </c>
      <c r="E692" s="2">
        <v>-380.35</v>
      </c>
    </row>
    <row r="693" spans="1:5" customHeight="1" x14ac:dyDescent="0.15">
      <c r="A693" s="2" t="s">
        <f>"093000040001920093"</f>
        <v>1375</v>
      </c>
      <c r="B693" s="2" t="s">
        <f>"郭远"</f>
        <v>1376</v>
      </c>
      <c r="C693" s="2">
        <v>-120.0</v>
      </c>
      <c r="D693" s="2">
        <v>-673.0</v>
      </c>
      <c r="E693" s="2">
        <v>-264.44</v>
      </c>
    </row>
    <row r="694" spans="1:5" customHeight="1" x14ac:dyDescent="0.15">
      <c r="A694" s="2" t="s">
        <f>"093000040001920094"</f>
        <v>1377</v>
      </c>
      <c r="B694" s="2" t="s">
        <f>"黄静红"</f>
        <v>1378</v>
      </c>
      <c r="C694" s="2">
        <v>-702.0</v>
      </c>
      <c r="D694" s="2">
        <v>-382.0</v>
      </c>
      <c r="E694" s="2">
        <v>-98.96</v>
      </c>
    </row>
    <row r="695" spans="1:5" customHeight="1" x14ac:dyDescent="0.15">
      <c r="A695" s="2" t="s">
        <f>"093000040001920095"</f>
        <v>1379</v>
      </c>
      <c r="B695" s="2" t="s">
        <f>"郑慧莲"</f>
        <v>1380</v>
      </c>
      <c r="C695" s="2">
        <v>0.0</v>
      </c>
      <c r="D695" s="2">
        <v>-1068.0</v>
      </c>
      <c r="E695" s="2">
        <v>-98.58</v>
      </c>
    </row>
    <row r="696" spans="1:5" customHeight="1" x14ac:dyDescent="0.15">
      <c r="A696" s="2" t="s">
        <f>"093000040001920096"</f>
        <v>1381</v>
      </c>
      <c r="B696" s="2" t="s">
        <f>"陈华秀"</f>
        <v>1382</v>
      </c>
      <c r="C696" s="2">
        <v>0.0</v>
      </c>
      <c r="D696" s="2">
        <v>0.0</v>
      </c>
      <c r="E696" s="2">
        <v>0.0</v>
      </c>
    </row>
    <row r="697" spans="1:5" customHeight="1" x14ac:dyDescent="0.15">
      <c r="A697" s="2" t="s">
        <f>"093000040920050"</f>
        <v>1383</v>
      </c>
      <c r="B697" s="2" t="s">
        <f>"冯林谦"</f>
        <v>1384</v>
      </c>
      <c r="C697" s="2">
        <v>-10857.0</v>
      </c>
      <c r="D697" s="2">
        <v>500.0</v>
      </c>
      <c r="E697" s="2">
        <v>-10254.12</v>
      </c>
    </row>
    <row r="698" spans="1:5" customHeight="1" x14ac:dyDescent="0.15">
      <c r="A698" s="2" t="s">
        <f>"093000064920040"</f>
        <v>1385</v>
      </c>
      <c r="B698" s="2" t="s">
        <f>"崔爽"</f>
        <v>1386</v>
      </c>
      <c r="C698" s="2">
        <v>-5193.0</v>
      </c>
      <c r="D698" s="2">
        <v>801.0</v>
      </c>
      <c r="E698" s="2">
        <v>-10851.12</v>
      </c>
    </row>
    <row r="699" spans="1:5" customHeight="1" x14ac:dyDescent="0.15">
      <c r="A699" s="2" t="s">
        <f>"0930000620054"</f>
        <v>1387</v>
      </c>
      <c r="B699" s="2" t="s">
        <f>"麦宁宁"</f>
        <v>1388</v>
      </c>
      <c r="C699" s="2">
        <v>0.0</v>
      </c>
      <c r="D699" s="2">
        <v>0.0</v>
      </c>
      <c r="E699" s="2">
        <v>0.0</v>
      </c>
    </row>
    <row r="700" spans="1:5" customHeight="1" x14ac:dyDescent="0.15">
      <c r="A700" s="2" t="s">
        <f>"093000044920017"</f>
        <v>1389</v>
      </c>
      <c r="B700" s="2" t="s">
        <f>"乔楚"</f>
        <v>1390</v>
      </c>
      <c r="C700" s="2">
        <v>0.0</v>
      </c>
      <c r="D700" s="2">
        <v>-388.0</v>
      </c>
      <c r="E700" s="2">
        <v>-217.69</v>
      </c>
    </row>
    <row r="701" spans="1:5" customHeight="1" x14ac:dyDescent="0.15">
      <c r="A701" s="2" t="s">
        <f>"093000920478"</f>
        <v>1391</v>
      </c>
      <c r="B701" s="2" t="s">
        <f>"王同贤"</f>
        <v>1392</v>
      </c>
      <c r="C701" s="2">
        <v>178.0</v>
      </c>
      <c r="D701" s="2">
        <v>1284.0</v>
      </c>
      <c r="E701" s="2">
        <v>-142.88</v>
      </c>
    </row>
    <row r="702" spans="1:5" customHeight="1" x14ac:dyDescent="0.15">
      <c r="A702" s="2" t="s">
        <f>"093000067920074"</f>
        <v>1393</v>
      </c>
      <c r="B702" s="2" t="s">
        <f>"姚建明"</f>
        <v>1394</v>
      </c>
      <c r="C702" s="2">
        <v>0.0</v>
      </c>
      <c r="D702" s="2">
        <v>0.0</v>
      </c>
      <c r="E702" s="2">
        <v>0.0</v>
      </c>
    </row>
    <row r="703" spans="1:5" customHeight="1" x14ac:dyDescent="0.15">
      <c r="A703" s="2" t="s">
        <f>"093000067920076"</f>
        <v>1395</v>
      </c>
      <c r="B703" s="2" t="s">
        <f>"宋柄威"</f>
        <v>1396</v>
      </c>
      <c r="C703" s="2">
        <v>0.0</v>
      </c>
      <c r="D703" s="2">
        <v>-10.0</v>
      </c>
      <c r="E703" s="2">
        <v>-6.72</v>
      </c>
    </row>
    <row r="704" spans="1:5" customHeight="1" x14ac:dyDescent="0.15">
      <c r="A704" s="2" t="s">
        <f>"093000068920042"</f>
        <v>1397</v>
      </c>
      <c r="B704" s="2" t="s">
        <f>"吴施敏"</f>
        <v>1398</v>
      </c>
      <c r="C704" s="2">
        <v>0.0</v>
      </c>
      <c r="D704" s="2">
        <v>0.0</v>
      </c>
      <c r="E704" s="2">
        <v>0.0</v>
      </c>
    </row>
    <row r="705" spans="1:5" customHeight="1" x14ac:dyDescent="0.15">
      <c r="A705" s="2" t="s">
        <f>"093000070920013"</f>
        <v>1399</v>
      </c>
      <c r="B705" s="2" t="s">
        <f>"王刚"</f>
        <v>1400</v>
      </c>
      <c r="C705" s="2">
        <v>0.0</v>
      </c>
      <c r="D705" s="2">
        <v>0.0</v>
      </c>
      <c r="E705" s="2">
        <v>0.0</v>
      </c>
    </row>
    <row r="706" spans="1:5" customHeight="1" x14ac:dyDescent="0.15">
      <c r="A706" s="2" t="s">
        <f>"093000049920040"</f>
        <v>1401</v>
      </c>
      <c r="B706" s="2" t="s">
        <f>"高德泉"</f>
        <v>1402</v>
      </c>
      <c r="C706" s="2">
        <v>0.0</v>
      </c>
      <c r="D706" s="2">
        <v>517.0</v>
      </c>
      <c r="E706" s="2">
        <v>-51.33</v>
      </c>
    </row>
    <row r="707" spans="1:5" customHeight="1" x14ac:dyDescent="0.15">
      <c r="A707" s="2" t="s">
        <f>"093000043920016"</f>
        <v>1403</v>
      </c>
      <c r="B707" s="2" t="s">
        <f>"王长春"</f>
        <v>1404</v>
      </c>
      <c r="C707" s="2">
        <v>0.0</v>
      </c>
      <c r="D707" s="2">
        <v>-219.0</v>
      </c>
      <c r="E707" s="2">
        <v>-158.41</v>
      </c>
    </row>
    <row r="708" spans="1:5" customHeight="1" x14ac:dyDescent="0.15">
      <c r="A708" s="2" t="s">
        <f>"093000049920041"</f>
        <v>1405</v>
      </c>
      <c r="B708" s="2" t="s">
        <f>"张佩佩"</f>
        <v>1406</v>
      </c>
      <c r="C708" s="2">
        <v>0.0</v>
      </c>
      <c r="D708" s="2">
        <v>860.0</v>
      </c>
      <c r="E708" s="2">
        <v>-157.63</v>
      </c>
    </row>
    <row r="709" spans="1:5" customHeight="1" x14ac:dyDescent="0.15">
      <c r="A709" s="2" t="s">
        <f>"093000043920017"</f>
        <v>1407</v>
      </c>
      <c r="B709" s="2" t="s">
        <f>"李晓"</f>
        <v>1408</v>
      </c>
      <c r="C709" s="2">
        <v>0.0</v>
      </c>
      <c r="D709" s="2">
        <v>-337.0</v>
      </c>
      <c r="E709" s="2">
        <v>-170.87</v>
      </c>
    </row>
    <row r="710" spans="1:5" customHeight="1" x14ac:dyDescent="0.15">
      <c r="A710" s="2" t="s">
        <f>"093000040001920097"</f>
        <v>1409</v>
      </c>
      <c r="B710" s="2" t="s">
        <f>"麦丽燕"</f>
        <v>1410</v>
      </c>
      <c r="C710" s="2">
        <v>0.0</v>
      </c>
      <c r="D710" s="2">
        <v>-1086.0</v>
      </c>
      <c r="E710" s="2">
        <v>-99.44</v>
      </c>
    </row>
    <row r="711" spans="1:5" customHeight="1" x14ac:dyDescent="0.15">
      <c r="A711" s="2" t="s">
        <f>"093000072920002"</f>
        <v>1411</v>
      </c>
      <c r="B711" s="2" t="s">
        <f>"卢居勇"</f>
        <v>1412</v>
      </c>
      <c r="C711" s="2">
        <v>-8655.0</v>
      </c>
      <c r="D711" s="2">
        <v>1853.0</v>
      </c>
      <c r="E711" s="2">
        <v>-3894.22</v>
      </c>
    </row>
    <row r="712" spans="1:5" customHeight="1" x14ac:dyDescent="0.15">
      <c r="A712" s="2" t="s">
        <f>"093000070920014"</f>
        <v>1413</v>
      </c>
      <c r="B712" s="2" t="s">
        <f>"叶后山"</f>
        <v>1414</v>
      </c>
      <c r="C712" s="2">
        <v>0.0</v>
      </c>
      <c r="D712" s="2">
        <v>0.0</v>
      </c>
      <c r="E712" s="2">
        <v>0.0</v>
      </c>
    </row>
    <row r="713" spans="1:5" customHeight="1" x14ac:dyDescent="0.15">
      <c r="A713" s="2" t="s">
        <f>"0930000370044"</f>
        <v>1415</v>
      </c>
      <c r="B713" s="2" t="s">
        <f>"乔世杰"</f>
        <v>1416</v>
      </c>
      <c r="C713" s="2">
        <v>108.0</v>
      </c>
      <c r="D713" s="2">
        <v>364.0</v>
      </c>
      <c r="E713" s="2">
        <v>-895.52</v>
      </c>
    </row>
    <row r="714" spans="1:5" customHeight="1" x14ac:dyDescent="0.15">
      <c r="A714" s="2" t="s">
        <f>"093000040001920098"</f>
        <v>1417</v>
      </c>
      <c r="B714" s="2" t="s">
        <f>"邱启文"</f>
        <v>1418</v>
      </c>
      <c r="C714" s="2">
        <v>765.0</v>
      </c>
      <c r="D714" s="2">
        <v>840.0</v>
      </c>
      <c r="E714" s="2">
        <v>-217.47</v>
      </c>
    </row>
    <row r="715" spans="1:5" customHeight="1" x14ac:dyDescent="0.15">
      <c r="A715" s="2" t="s">
        <f>"093000068920047"</f>
        <v>1419</v>
      </c>
      <c r="B715" s="2" t="s">
        <f>"陈明珊"</f>
        <v>1420</v>
      </c>
      <c r="C715" s="2">
        <v>0.0</v>
      </c>
      <c r="D715" s="2">
        <v>0.0</v>
      </c>
      <c r="E715" s="2">
        <v>0.0</v>
      </c>
    </row>
    <row r="716" spans="1:5" customHeight="1" x14ac:dyDescent="0.15">
      <c r="A716" s="2" t="s">
        <f>"093000068920046"</f>
        <v>1421</v>
      </c>
      <c r="B716" s="2" t="s">
        <f>"武刚"</f>
        <v>1422</v>
      </c>
      <c r="C716" s="2">
        <v>0.0</v>
      </c>
      <c r="D716" s="2">
        <v>0.0</v>
      </c>
      <c r="E716" s="2">
        <v>0.0</v>
      </c>
    </row>
    <row r="717" spans="1:5" customHeight="1" x14ac:dyDescent="0.15">
      <c r="A717" s="2" t="s">
        <f>"093000046920017"</f>
        <v>1423</v>
      </c>
      <c r="B717" s="2" t="s">
        <f>"全淅"</f>
        <v>1424</v>
      </c>
      <c r="C717" s="2">
        <v>0.0</v>
      </c>
      <c r="D717" s="2">
        <v>0.0</v>
      </c>
      <c r="E717" s="2">
        <v>0.0</v>
      </c>
    </row>
    <row r="718" spans="1:5" customHeight="1" x14ac:dyDescent="0.15">
      <c r="A718" s="2" t="s">
        <f>"093000040001920099"</f>
        <v>1425</v>
      </c>
      <c r="B718" s="2" t="s">
        <f>"罗杰"</f>
        <v>1426</v>
      </c>
      <c r="C718" s="2">
        <v>0.0</v>
      </c>
      <c r="D718" s="2">
        <v>-1072.0</v>
      </c>
      <c r="E718" s="2">
        <v>-97.3</v>
      </c>
    </row>
    <row r="719" spans="1:5" customHeight="1" x14ac:dyDescent="0.15">
      <c r="A719" s="2" t="s">
        <f>"093000040001920100"</f>
        <v>1427</v>
      </c>
      <c r="B719" s="2" t="s">
        <f>"郭日丽"</f>
        <v>1428</v>
      </c>
      <c r="C719" s="2">
        <v>0.0</v>
      </c>
      <c r="D719" s="2">
        <v>1966.0</v>
      </c>
      <c r="E719" s="2">
        <v>-193.76</v>
      </c>
    </row>
    <row r="720" spans="1:5" customHeight="1" x14ac:dyDescent="0.15">
      <c r="A720" s="2" t="s">
        <f>"0930000620055"</f>
        <v>1429</v>
      </c>
      <c r="B720" s="2" t="s">
        <f>"罗焕"</f>
        <v>1430</v>
      </c>
      <c r="C720" s="2">
        <v>0.0</v>
      </c>
      <c r="D720" s="2">
        <v>0.0</v>
      </c>
      <c r="E720" s="2">
        <v>0.0</v>
      </c>
    </row>
    <row r="721" spans="1:5" customHeight="1" x14ac:dyDescent="0.15">
      <c r="A721" s="2" t="s">
        <f>"0930000370045"</f>
        <v>1431</v>
      </c>
      <c r="B721" s="2" t="s">
        <f>"任丽莎"</f>
        <v>1432</v>
      </c>
      <c r="C721" s="2">
        <v>0.0</v>
      </c>
      <c r="D721" s="2">
        <v>-888.0</v>
      </c>
      <c r="E721" s="2">
        <v>-420.89</v>
      </c>
    </row>
    <row r="722" spans="1:5" customHeight="1" x14ac:dyDescent="0.15">
      <c r="A722" s="2" t="s">
        <f>"093000043920018"</f>
        <v>1433</v>
      </c>
      <c r="B722" s="2" t="s">
        <f>"张松岑"</f>
        <v>1434</v>
      </c>
      <c r="C722" s="2">
        <v>0.0</v>
      </c>
      <c r="D722" s="2">
        <v>-1127.0</v>
      </c>
      <c r="E722" s="2">
        <v>-588.84</v>
      </c>
    </row>
    <row r="723" spans="1:5" customHeight="1" x14ac:dyDescent="0.15">
      <c r="A723" s="2" t="s">
        <f>"093000040001920101"</f>
        <v>1435</v>
      </c>
      <c r="B723" s="2" t="s">
        <f>"李炳柱"</f>
        <v>1436</v>
      </c>
      <c r="C723" s="2">
        <v>0.0</v>
      </c>
      <c r="D723" s="2">
        <v>-1068.0</v>
      </c>
      <c r="E723" s="2">
        <v>-98.9</v>
      </c>
    </row>
    <row r="724" spans="1:5" customHeight="1" x14ac:dyDescent="0.15">
      <c r="A724" s="2" t="s">
        <f>"0930000790001"</f>
        <v>1437</v>
      </c>
      <c r="B724" s="2" t="s">
        <f>"鲁月"</f>
        <v>1438</v>
      </c>
      <c r="C724" s="2">
        <v>0.0</v>
      </c>
      <c r="D724" s="2">
        <v>-1135.0</v>
      </c>
      <c r="E724" s="2">
        <v>-125.46</v>
      </c>
    </row>
    <row r="725" spans="1:5" customHeight="1" x14ac:dyDescent="0.15">
      <c r="A725" s="2" t="s">
        <f>"093000040001920104"</f>
        <v>1439</v>
      </c>
      <c r="B725" s="2" t="s">
        <f>"文鑫"</f>
        <v>1440</v>
      </c>
      <c r="C725" s="2">
        <v>0.0</v>
      </c>
      <c r="D725" s="2">
        <v>-1068.0</v>
      </c>
      <c r="E725" s="2">
        <v>-98.7</v>
      </c>
    </row>
    <row r="726" spans="1:5" customHeight="1" x14ac:dyDescent="0.15">
      <c r="A726" s="2" t="s">
        <f>"093000040001920105"</f>
        <v>1441</v>
      </c>
      <c r="B726" s="2" t="s">
        <f>"林星华"</f>
        <v>1442</v>
      </c>
      <c r="C726" s="2">
        <v>0.0</v>
      </c>
      <c r="D726" s="2">
        <v>848.0</v>
      </c>
      <c r="E726" s="2">
        <v>-99.64</v>
      </c>
    </row>
    <row r="727" spans="1:5" customHeight="1" x14ac:dyDescent="0.15">
      <c r="A727" s="2" t="s">
        <f>"093000920480"</f>
        <v>1443</v>
      </c>
      <c r="B727" s="2" t="s">
        <f>"诸葛明威"</f>
        <v>1444</v>
      </c>
      <c r="C727" s="2">
        <v>0.0</v>
      </c>
      <c r="D727" s="2">
        <v>0.0</v>
      </c>
      <c r="E727" s="2">
        <v>0.0</v>
      </c>
    </row>
    <row r="728" spans="1:5" customHeight="1" x14ac:dyDescent="0.15">
      <c r="A728" s="2" t="s">
        <f>"0930000400012"</f>
        <v>1445</v>
      </c>
      <c r="B728" s="2" t="s">
        <f>"张鑫旺"</f>
        <v>1446</v>
      </c>
      <c r="C728" s="2">
        <v>0.0</v>
      </c>
      <c r="D728" s="2">
        <v>0.0</v>
      </c>
      <c r="E728" s="2">
        <v>0.0</v>
      </c>
    </row>
    <row r="729" spans="1:5" customHeight="1" x14ac:dyDescent="0.15">
      <c r="A729" s="2" t="s">
        <f>"093000040920052"</f>
        <v>1447</v>
      </c>
      <c r="B729" s="2" t="s">
        <f>"郭艳丽"</f>
        <v>1448</v>
      </c>
      <c r="C729" s="2">
        <v>-340.0</v>
      </c>
      <c r="D729" s="2">
        <v>-351.0</v>
      </c>
      <c r="E729" s="2">
        <v>-460.35</v>
      </c>
    </row>
    <row r="730" spans="1:5" customHeight="1" x14ac:dyDescent="0.15">
      <c r="A730" s="2" t="s">
        <f>"093000037920046"</f>
        <v>1449</v>
      </c>
      <c r="B730" s="2" t="s">
        <f>"白公平"</f>
        <v>1450</v>
      </c>
      <c r="C730" s="2">
        <v>0.0</v>
      </c>
      <c r="D730" s="2">
        <v>-54.0</v>
      </c>
      <c r="E730" s="2">
        <v>-20.81</v>
      </c>
    </row>
    <row r="731" spans="1:5" customHeight="1" x14ac:dyDescent="0.15">
      <c r="A731" s="2" t="s">
        <f>"0930000560003"</f>
        <v>1451</v>
      </c>
      <c r="B731" s="2" t="s">
        <f>"邹顺凯"</f>
        <v>1452</v>
      </c>
      <c r="C731" s="2">
        <v>-135.0</v>
      </c>
      <c r="D731" s="2">
        <v>-76.0</v>
      </c>
      <c r="E731" s="2">
        <v>-535.79</v>
      </c>
    </row>
    <row r="732" spans="1:5" customHeight="1" x14ac:dyDescent="0.15">
      <c r="A732" s="2" t="s">
        <f>"093000043920019"</f>
        <v>1453</v>
      </c>
      <c r="B732" s="2" t="s">
        <f>"曲慧"</f>
        <v>1454</v>
      </c>
      <c r="C732" s="2">
        <v>0.0</v>
      </c>
      <c r="D732" s="2">
        <v>-146.0</v>
      </c>
      <c r="E732" s="2">
        <v>-48.91</v>
      </c>
    </row>
    <row r="733" spans="1:5" customHeight="1" x14ac:dyDescent="0.15">
      <c r="A733" s="2" t="s">
        <f>"0930000790002"</f>
        <v>1455</v>
      </c>
      <c r="B733" s="2" t="s">
        <f>"方成伟"</f>
        <v>1456</v>
      </c>
      <c r="C733" s="2">
        <v>0.0</v>
      </c>
      <c r="D733" s="2">
        <v>0.0</v>
      </c>
      <c r="E733" s="2">
        <v>0.0</v>
      </c>
    </row>
    <row r="734" spans="1:5" customHeight="1" x14ac:dyDescent="0.15">
      <c r="A734" s="2" t="s">
        <f>"093000039001920002"</f>
        <v>1457</v>
      </c>
      <c r="B734" s="2" t="s">
        <f>"焦丰锐"</f>
        <v>1458</v>
      </c>
      <c r="C734" s="2">
        <v>-705.0</v>
      </c>
      <c r="D734" s="2">
        <v>-8.0</v>
      </c>
      <c r="E734" s="2">
        <v>-650.56</v>
      </c>
    </row>
    <row r="735" spans="1:5" customHeight="1" x14ac:dyDescent="0.15">
      <c r="A735" s="2" t="s">
        <f>"0930000620056"</f>
        <v>1459</v>
      </c>
      <c r="B735" s="2" t="s">
        <f>"陆艳慧"</f>
        <v>1460</v>
      </c>
      <c r="C735" s="2">
        <v>0.0</v>
      </c>
      <c r="D735" s="2">
        <v>-920.0</v>
      </c>
      <c r="E735" s="2">
        <v>-95.49</v>
      </c>
    </row>
    <row r="736" spans="1:5" customHeight="1" x14ac:dyDescent="0.15">
      <c r="A736" s="2" t="s">
        <f>"093000044920019"</f>
        <v>1461</v>
      </c>
      <c r="B736" s="2" t="s">
        <f>"岳瑞霞"</f>
        <v>1462</v>
      </c>
      <c r="C736" s="2">
        <v>0.0</v>
      </c>
      <c r="D736" s="2">
        <v>0.0</v>
      </c>
      <c r="E736" s="2">
        <v>0.0</v>
      </c>
    </row>
    <row r="737" spans="1:5" customHeight="1" x14ac:dyDescent="0.15">
      <c r="A737" s="2" t="s">
        <f>"093000040920053"</f>
        <v>1463</v>
      </c>
      <c r="B737" s="2" t="s">
        <f>"尚光华"</f>
        <v>1464</v>
      </c>
      <c r="C737" s="2">
        <v>-18.0</v>
      </c>
      <c r="D737" s="2">
        <v>-987.0</v>
      </c>
      <c r="E737" s="2">
        <v>-348.5</v>
      </c>
    </row>
    <row r="738" spans="1:5" customHeight="1" x14ac:dyDescent="0.15">
      <c r="A738" s="2" t="s">
        <f>"0930000620057"</f>
        <v>1465</v>
      </c>
      <c r="B738" s="2" t="s">
        <f>"黄翠兰"</f>
        <v>1466</v>
      </c>
      <c r="C738" s="2">
        <v>0.0</v>
      </c>
      <c r="D738" s="2">
        <v>860.0</v>
      </c>
      <c r="E738" s="2">
        <v>-72.33</v>
      </c>
    </row>
    <row r="739" spans="1:5" customHeight="1" x14ac:dyDescent="0.15">
      <c r="A739" s="2" t="s">
        <f>"093000040001920106"</f>
        <v>1467</v>
      </c>
      <c r="B739" s="2" t="s">
        <f>"杨金明"</f>
        <v>1468</v>
      </c>
      <c r="C739" s="2">
        <v>0.0</v>
      </c>
      <c r="D739" s="2">
        <v>0.0</v>
      </c>
      <c r="E739" s="2">
        <v>0.0</v>
      </c>
    </row>
    <row r="740" spans="1:5" customHeight="1" x14ac:dyDescent="0.15">
      <c r="A740" s="2" t="s">
        <f>"093000043920020"</f>
        <v>1469</v>
      </c>
      <c r="B740" s="2" t="s">
        <f>"杜燕"</f>
        <v>1470</v>
      </c>
      <c r="C740" s="2">
        <v>-34.0</v>
      </c>
      <c r="D740" s="2">
        <v>-224.0</v>
      </c>
      <c r="E740" s="2">
        <v>-705.96</v>
      </c>
    </row>
    <row r="741" spans="1:5" customHeight="1" x14ac:dyDescent="0.15">
      <c r="A741" s="2" t="s">
        <f>"093000067920079"</f>
        <v>1471</v>
      </c>
      <c r="B741" s="2" t="s">
        <f>"冯肖飞"</f>
        <v>1472</v>
      </c>
      <c r="C741" s="2">
        <v>0.0</v>
      </c>
      <c r="D741" s="2">
        <v>-6.0</v>
      </c>
      <c r="E741" s="2">
        <v>-6.51</v>
      </c>
    </row>
    <row r="742" spans="1:5" customHeight="1" x14ac:dyDescent="0.15">
      <c r="A742" s="2" t="s">
        <f>"0930000670011"</f>
        <v>1473</v>
      </c>
      <c r="B742" s="2" t="s">
        <f>"胡林"</f>
        <v>1474</v>
      </c>
      <c r="C742" s="2">
        <v>-193.0</v>
      </c>
      <c r="D742" s="2">
        <v>366.0</v>
      </c>
      <c r="E742" s="2">
        <v>-1310.67</v>
      </c>
    </row>
    <row r="743" spans="1:5" customHeight="1" x14ac:dyDescent="0.15">
      <c r="A743" s="2" t="s">
        <f>"093000040001920107"</f>
        <v>1475</v>
      </c>
      <c r="B743" s="2" t="s">
        <f>"温石杏"</f>
        <v>1476</v>
      </c>
      <c r="C743" s="2">
        <v>0.0</v>
      </c>
      <c r="D743" s="2">
        <v>150.0</v>
      </c>
      <c r="E743" s="2">
        <v>-517.79</v>
      </c>
    </row>
    <row r="744" spans="1:5" customHeight="1" x14ac:dyDescent="0.15">
      <c r="A744" s="2" t="s">
        <f>"0930000790003"</f>
        <v>1477</v>
      </c>
      <c r="B744" s="2" t="s">
        <f>"曾坤"</f>
        <v>1478</v>
      </c>
      <c r="C744" s="2">
        <v>0.0</v>
      </c>
      <c r="D744" s="2">
        <v>-4.0</v>
      </c>
      <c r="E744" s="2">
        <v>-20.53</v>
      </c>
    </row>
    <row r="745" spans="1:5" customHeight="1" x14ac:dyDescent="0.15">
      <c r="A745" s="2" t="s">
        <f>"093000043920021"</f>
        <v>1479</v>
      </c>
      <c r="B745" s="2" t="s">
        <f>"朱明丽"</f>
        <v>1480</v>
      </c>
      <c r="C745" s="2">
        <v>0.0</v>
      </c>
      <c r="D745" s="2">
        <v>-308.0</v>
      </c>
      <c r="E745" s="2">
        <v>-722.62</v>
      </c>
    </row>
    <row r="746" spans="1:5" customHeight="1" x14ac:dyDescent="0.15">
      <c r="A746" s="2" t="s">
        <f>"093000920485"</f>
        <v>1481</v>
      </c>
      <c r="B746" s="2" t="s">
        <f>"陈秋凤"</f>
        <v>1482</v>
      </c>
      <c r="C746" s="2">
        <v>-337.0</v>
      </c>
      <c r="D746" s="2">
        <v>-261.0</v>
      </c>
      <c r="E746" s="2">
        <v>-386.84</v>
      </c>
    </row>
    <row r="747" spans="1:5" customHeight="1" x14ac:dyDescent="0.15">
      <c r="A747" s="2" t="s">
        <f>"093000040001920109"</f>
        <v>1483</v>
      </c>
      <c r="B747" s="2" t="s">
        <f>"冯俊铭"</f>
        <v>1484</v>
      </c>
      <c r="C747" s="2">
        <v>0.0</v>
      </c>
      <c r="D747" s="2">
        <v>0.0</v>
      </c>
      <c r="E747" s="2">
        <v>0.0</v>
      </c>
    </row>
    <row r="748" spans="1:5" customHeight="1" x14ac:dyDescent="0.15">
      <c r="A748" s="2" t="s">
        <f>"093000040920054"</f>
        <v>1485</v>
      </c>
      <c r="B748" s="2" t="s">
        <f>"张彦存"</f>
        <v>1486</v>
      </c>
      <c r="C748" s="2">
        <v>0.0</v>
      </c>
      <c r="D748" s="2">
        <v>256.0</v>
      </c>
      <c r="E748" s="2">
        <v>-370.08</v>
      </c>
    </row>
    <row r="749" spans="1:5" customHeight="1" x14ac:dyDescent="0.15">
      <c r="A749" s="2" t="s">
        <f>"093000040001920110"</f>
        <v>1487</v>
      </c>
      <c r="B749" s="2" t="s">
        <f>"柳艺春"</f>
        <v>1488</v>
      </c>
      <c r="C749" s="2">
        <v>0.0</v>
      </c>
      <c r="D749" s="2">
        <v>-707.0</v>
      </c>
      <c r="E749" s="2">
        <v>-335.07</v>
      </c>
    </row>
    <row r="750" spans="1:5" customHeight="1" x14ac:dyDescent="0.15">
      <c r="A750" s="2" t="s">
        <f>"093000040001920111"</f>
        <v>1489</v>
      </c>
      <c r="B750" s="2" t="s">
        <f>"胡桂绪"</f>
        <v>1490</v>
      </c>
      <c r="C750" s="2">
        <v>0.0</v>
      </c>
      <c r="D750" s="2">
        <v>910.0</v>
      </c>
      <c r="E750" s="2">
        <v>-97.32</v>
      </c>
    </row>
    <row r="751" spans="1:5" customHeight="1" x14ac:dyDescent="0.15">
      <c r="A751" s="2" t="s">
        <f>"093000043920022"</f>
        <v>1491</v>
      </c>
      <c r="B751" s="2" t="s">
        <f>"任超奇"</f>
        <v>1492</v>
      </c>
      <c r="C751" s="2">
        <v>0.0</v>
      </c>
      <c r="D751" s="2">
        <v>-288.0</v>
      </c>
      <c r="E751" s="2">
        <v>-233.0</v>
      </c>
    </row>
    <row r="752" spans="1:5" customHeight="1" x14ac:dyDescent="0.15">
      <c r="A752" s="2" t="s">
        <f>"093000040001920112"</f>
        <v>1493</v>
      </c>
      <c r="B752" s="2" t="s">
        <f>"李东新"</f>
        <v>1494</v>
      </c>
      <c r="C752" s="2">
        <v>0.0</v>
      </c>
      <c r="D752" s="2">
        <v>-762.0</v>
      </c>
      <c r="E752" s="2">
        <v>-336.67</v>
      </c>
    </row>
    <row r="753" spans="1:5" customHeight="1" x14ac:dyDescent="0.15">
      <c r="A753" s="2" t="s">
        <f>"093000040001920113"</f>
        <v>1495</v>
      </c>
      <c r="B753" s="2" t="s">
        <f>"李巨文"</f>
        <v>1496</v>
      </c>
      <c r="C753" s="2">
        <v>0.0</v>
      </c>
      <c r="D753" s="2">
        <v>938.0</v>
      </c>
      <c r="E753" s="2">
        <v>-97.2</v>
      </c>
    </row>
    <row r="754" spans="1:5" customHeight="1" x14ac:dyDescent="0.15">
      <c r="A754" s="2" t="s">
        <f>"093000059920018"</f>
        <v>1497</v>
      </c>
      <c r="B754" s="2" t="s">
        <f>"王程超"</f>
        <v>1498</v>
      </c>
      <c r="C754" s="2">
        <v>0.0</v>
      </c>
      <c r="D754" s="2">
        <v>-1396.0</v>
      </c>
      <c r="E754" s="2">
        <v>-846.47</v>
      </c>
    </row>
    <row r="755" spans="1:5" customHeight="1" x14ac:dyDescent="0.15">
      <c r="A755" s="2" t="s">
        <f>"093000063920012"</f>
        <v>1499</v>
      </c>
      <c r="B755" s="2" t="s">
        <f>"李兰"</f>
        <v>1500</v>
      </c>
      <c r="C755" s="2">
        <v>286.0</v>
      </c>
      <c r="D755" s="2">
        <v>1341.0</v>
      </c>
      <c r="E755" s="2">
        <v>-979.77</v>
      </c>
    </row>
    <row r="756" spans="1:5" customHeight="1" x14ac:dyDescent="0.15">
      <c r="A756" s="2" t="s">
        <f>"093000041920027"</f>
        <v>1501</v>
      </c>
      <c r="B756" s="2" t="s">
        <f>"史天皓"</f>
        <v>1502</v>
      </c>
      <c r="C756" s="2">
        <v>0.0</v>
      </c>
      <c r="D756" s="2">
        <v>1004.0</v>
      </c>
      <c r="E756" s="2">
        <v>-96.42</v>
      </c>
    </row>
    <row r="757" spans="1:5" customHeight="1" x14ac:dyDescent="0.15">
      <c r="A757" s="2" t="s">
        <f>"093000041920028"</f>
        <v>1503</v>
      </c>
      <c r="B757" s="2" t="s">
        <f>"陆永久"</f>
        <v>1504</v>
      </c>
      <c r="C757" s="2">
        <v>0.0</v>
      </c>
      <c r="D757" s="2">
        <v>-1088.0</v>
      </c>
      <c r="E757" s="2">
        <v>-96.42</v>
      </c>
    </row>
    <row r="758" spans="1:5" customHeight="1" x14ac:dyDescent="0.15">
      <c r="A758" s="2" t="s">
        <f>"0930000640001"</f>
        <v>1505</v>
      </c>
      <c r="B758" s="2" t="s">
        <f>"汪春桥"</f>
        <v>1506</v>
      </c>
      <c r="C758" s="2">
        <v>0.0</v>
      </c>
      <c r="D758" s="2">
        <v>-1822.0</v>
      </c>
      <c r="E758" s="2">
        <v>-95.94</v>
      </c>
    </row>
    <row r="759" spans="1:5" customHeight="1" x14ac:dyDescent="0.15">
      <c r="A759" s="2" t="s">
        <f>"093000920491"</f>
        <v>1507</v>
      </c>
      <c r="B759" s="2" t="s">
        <f>"冯翔"</f>
        <v>1508</v>
      </c>
      <c r="C759" s="2">
        <v>0.0</v>
      </c>
      <c r="D759" s="2">
        <v>0.0</v>
      </c>
      <c r="E759" s="2">
        <v>0.0</v>
      </c>
    </row>
    <row r="760" spans="1:5" customHeight="1" x14ac:dyDescent="0.15">
      <c r="A760" s="2" t="s">
        <f>"093000920492"</f>
        <v>1509</v>
      </c>
      <c r="B760" s="2" t="s">
        <f>"金俊杰"</f>
        <v>1510</v>
      </c>
      <c r="C760" s="2">
        <v>0.0</v>
      </c>
      <c r="D760" s="2">
        <v>0.0</v>
      </c>
      <c r="E760" s="2">
        <v>0.0</v>
      </c>
    </row>
    <row r="761" spans="1:5" customHeight="1" x14ac:dyDescent="0.15">
      <c r="A761" s="2" t="s">
        <f>"0930000000055"</f>
        <v>1511</v>
      </c>
      <c r="B761" s="2" t="s">
        <f>"张磊"</f>
        <v>1512</v>
      </c>
      <c r="C761" s="2">
        <v>0.0</v>
      </c>
      <c r="D761" s="2">
        <v>-66.0</v>
      </c>
      <c r="E761" s="2">
        <v>-71.6</v>
      </c>
    </row>
    <row r="762" spans="1:5" customHeight="1" x14ac:dyDescent="0.15">
      <c r="A762" s="2" t="s">
        <f>"0930000730004"</f>
        <v>1513</v>
      </c>
      <c r="B762" s="2" t="s">
        <f>"王桂秀"</f>
        <v>1514</v>
      </c>
      <c r="C762" s="2">
        <v>0.0</v>
      </c>
      <c r="D762" s="2">
        <v>-370.0</v>
      </c>
      <c r="E762" s="2">
        <v>-52.97</v>
      </c>
    </row>
    <row r="763" spans="1:5" customHeight="1" x14ac:dyDescent="0.15">
      <c r="A763" s="2" t="s">
        <f>"0930000000056"</f>
        <v>1515</v>
      </c>
      <c r="B763" s="2" t="s">
        <f>"吴梦娇"</f>
        <v>1516</v>
      </c>
      <c r="C763" s="2">
        <v>0.0</v>
      </c>
      <c r="D763" s="2">
        <v>725.0</v>
      </c>
      <c r="E763" s="2">
        <v>-99.22</v>
      </c>
    </row>
    <row r="764" spans="1:5" customHeight="1" x14ac:dyDescent="0.15">
      <c r="A764" s="2" t="s">
        <f>"093000043920023"</f>
        <v>1517</v>
      </c>
      <c r="B764" s="2" t="s">
        <f>"宋江立"</f>
        <v>1518</v>
      </c>
      <c r="C764" s="2">
        <v>-550.0</v>
      </c>
      <c r="D764" s="2">
        <v>587.0</v>
      </c>
      <c r="E764" s="2">
        <v>-4823.62</v>
      </c>
    </row>
    <row r="765" spans="1:5" customHeight="1" x14ac:dyDescent="0.15">
      <c r="A765" s="2" t="s">
        <f>"093000059920019"</f>
        <v>1519</v>
      </c>
      <c r="B765" s="2" t="s">
        <f>"闫艳"</f>
        <v>1520</v>
      </c>
      <c r="C765" s="2">
        <v>-341.0</v>
      </c>
      <c r="D765" s="2">
        <v>-76.0</v>
      </c>
      <c r="E765" s="2">
        <v>-150.56</v>
      </c>
    </row>
    <row r="766" spans="1:5" customHeight="1" x14ac:dyDescent="0.15">
      <c r="A766" s="2" t="s">
        <f>"093000040001920114"</f>
        <v>1521</v>
      </c>
      <c r="B766" s="2" t="s">
        <f>"欧钊华"</f>
        <v>1522</v>
      </c>
      <c r="C766" s="2">
        <v>0.0</v>
      </c>
      <c r="D766" s="2">
        <v>0.0</v>
      </c>
      <c r="E766" s="2">
        <v>0.0</v>
      </c>
    </row>
    <row r="767" spans="1:5" customHeight="1" x14ac:dyDescent="0.15">
      <c r="A767" s="2" t="s">
        <f>"093000068920048"</f>
        <v>1523</v>
      </c>
      <c r="B767" s="2" t="s">
        <f>"容兰珍"</f>
        <v>1524</v>
      </c>
      <c r="C767" s="2">
        <v>-140.0</v>
      </c>
      <c r="D767" s="2">
        <v>32.0</v>
      </c>
      <c r="E767" s="2">
        <v>-13.65</v>
      </c>
    </row>
    <row r="768" spans="1:5" customHeight="1" x14ac:dyDescent="0.15">
      <c r="A768" s="2" t="s">
        <f>"0930000620003"</f>
        <v>1525</v>
      </c>
      <c r="B768" s="2" t="s">
        <f>"涂家炜"</f>
        <v>1526</v>
      </c>
      <c r="C768" s="2">
        <v>-549.0</v>
      </c>
      <c r="D768" s="2">
        <v>-227.0</v>
      </c>
      <c r="E768" s="2">
        <v>-489.69</v>
      </c>
    </row>
    <row r="769" spans="1:5" customHeight="1" x14ac:dyDescent="0.15">
      <c r="A769" s="2" t="s">
        <f>"093000040001920115"</f>
        <v>1527</v>
      </c>
      <c r="B769" s="2" t="s">
        <f>"林乐文"</f>
        <v>1528</v>
      </c>
      <c r="C769" s="2">
        <v>-266.0</v>
      </c>
      <c r="D769" s="2">
        <v>-852.0</v>
      </c>
      <c r="E769" s="2">
        <v>-100.69</v>
      </c>
    </row>
    <row r="770" spans="1:5" customHeight="1" x14ac:dyDescent="0.15">
      <c r="A770" s="2" t="s">
        <f>"0930000640002"</f>
        <v>1529</v>
      </c>
      <c r="B770" s="2" t="s">
        <f>"孙转娃"</f>
        <v>1530</v>
      </c>
      <c r="C770" s="2">
        <v>0.0</v>
      </c>
      <c r="D770" s="2">
        <v>-1418.0</v>
      </c>
      <c r="E770" s="2">
        <v>-96.24</v>
      </c>
    </row>
    <row r="771" spans="1:5" customHeight="1" x14ac:dyDescent="0.15">
      <c r="A771" s="2" t="s">
        <f>"093000039001920003"</f>
        <v>1531</v>
      </c>
      <c r="B771" s="2" t="s">
        <f>"李国付"</f>
        <v>1532</v>
      </c>
      <c r="C771" s="2">
        <v>0.0</v>
      </c>
      <c r="D771" s="2">
        <v>0.0</v>
      </c>
      <c r="E771" s="2">
        <v>0.0</v>
      </c>
    </row>
    <row r="772" spans="1:5" customHeight="1" x14ac:dyDescent="0.15">
      <c r="A772" s="2" t="s">
        <f>"093000920495"</f>
        <v>1533</v>
      </c>
      <c r="B772" s="2" t="s">
        <f>"李世源"</f>
        <v>1534</v>
      </c>
      <c r="C772" s="2">
        <v>0.0</v>
      </c>
      <c r="D772" s="2">
        <v>0.0</v>
      </c>
      <c r="E772" s="2">
        <v>0.0</v>
      </c>
    </row>
    <row r="773" spans="1:5" customHeight="1" x14ac:dyDescent="0.15">
      <c r="A773" s="2" t="s">
        <f>"0930000640003"</f>
        <v>1535</v>
      </c>
      <c r="B773" s="2" t="s">
        <f>"王浩"</f>
        <v>1536</v>
      </c>
      <c r="C773" s="2">
        <v>0.0</v>
      </c>
      <c r="D773" s="2">
        <v>1296.0</v>
      </c>
      <c r="E773" s="2">
        <v>-96.23</v>
      </c>
    </row>
    <row r="774" spans="1:5" customHeight="1" x14ac:dyDescent="0.15">
      <c r="A774" s="2" t="s">
        <f>"0930000640004"</f>
        <v>1537</v>
      </c>
      <c r="B774" s="2" t="s">
        <f>"陈奎"</f>
        <v>1538</v>
      </c>
      <c r="C774" s="2">
        <v>0.0</v>
      </c>
      <c r="D774" s="2">
        <v>1136.0</v>
      </c>
      <c r="E774" s="2">
        <v>-96.06</v>
      </c>
    </row>
    <row r="775" spans="1:5" customHeight="1" x14ac:dyDescent="0.15">
      <c r="A775" s="2" t="s">
        <f>"093000040001920116"</f>
        <v>1539</v>
      </c>
      <c r="B775" s="2" t="s">
        <f>"叶容伶"</f>
        <v>1540</v>
      </c>
      <c r="C775" s="2">
        <v>0.0</v>
      </c>
      <c r="D775" s="2">
        <v>0.0</v>
      </c>
      <c r="E775" s="2">
        <v>0.0</v>
      </c>
    </row>
    <row r="776" spans="1:5" customHeight="1" x14ac:dyDescent="0.15">
      <c r="A776" s="2" t="s">
        <f>"093000067920085"</f>
        <v>1541</v>
      </c>
      <c r="B776" s="2" t="s">
        <f>"申长山"</f>
        <v>1542</v>
      </c>
      <c r="C776" s="2">
        <v>0.0</v>
      </c>
      <c r="D776" s="2">
        <v>0.0</v>
      </c>
      <c r="E776" s="2">
        <v>0.0</v>
      </c>
    </row>
    <row r="777" spans="1:5" customHeight="1" x14ac:dyDescent="0.15">
      <c r="A777" s="2" t="s">
        <f>"0930000000057"</f>
        <v>1543</v>
      </c>
      <c r="B777" s="2" t="s">
        <f>"冯彩龙"</f>
        <v>1544</v>
      </c>
      <c r="C777" s="2">
        <v>0.0</v>
      </c>
      <c r="D777" s="2">
        <v>0.0</v>
      </c>
      <c r="E777" s="2">
        <v>0.0</v>
      </c>
    </row>
    <row r="778" spans="1:5" customHeight="1" x14ac:dyDescent="0.15">
      <c r="A778" s="2" t="s">
        <f>"093000041920029"</f>
        <v>1545</v>
      </c>
      <c r="B778" s="2" t="s">
        <f>"刘宽愉"</f>
        <v>1546</v>
      </c>
      <c r="C778" s="2">
        <v>-106.0</v>
      </c>
      <c r="D778" s="2">
        <v>-980.0</v>
      </c>
      <c r="E778" s="2">
        <v>-100.96</v>
      </c>
    </row>
    <row r="779" spans="1:5" customHeight="1" x14ac:dyDescent="0.15">
      <c r="A779" s="2" t="s">
        <f>"093000041920030"</f>
        <v>1547</v>
      </c>
      <c r="B779" s="2" t="s">
        <f>"曾作伟"</f>
        <v>1548</v>
      </c>
      <c r="C779" s="2">
        <v>62.0</v>
      </c>
      <c r="D779" s="2">
        <v>938.0</v>
      </c>
      <c r="E779" s="2">
        <v>-100.96</v>
      </c>
    </row>
    <row r="780" spans="1:5" customHeight="1" x14ac:dyDescent="0.15">
      <c r="A780" s="2" t="s">
        <f>"0930000800001"</f>
        <v>1549</v>
      </c>
      <c r="B780" s="2" t="s">
        <f>"谢嘉铭"</f>
        <v>1550</v>
      </c>
      <c r="C780" s="2">
        <v>0.0</v>
      </c>
      <c r="D780" s="2">
        <v>0.0</v>
      </c>
      <c r="E780" s="2">
        <v>0.0</v>
      </c>
    </row>
    <row r="781" spans="1:5" customHeight="1" x14ac:dyDescent="0.15">
      <c r="A781" s="2" t="s">
        <f>"093000049920042"</f>
        <v>1551</v>
      </c>
      <c r="B781" s="2" t="s">
        <f>"韩发强"</f>
        <v>1552</v>
      </c>
      <c r="C781" s="2">
        <v>0.0</v>
      </c>
      <c r="D781" s="2">
        <v>-297.0</v>
      </c>
      <c r="E781" s="2">
        <v>-148.06</v>
      </c>
    </row>
    <row r="782" spans="1:5" customHeight="1" x14ac:dyDescent="0.15">
      <c r="A782" s="2" t="s">
        <f>"0930000640005"</f>
        <v>1553</v>
      </c>
      <c r="B782" s="2" t="s">
        <f>"刘闯"</f>
        <v>1554</v>
      </c>
      <c r="C782" s="2">
        <v>0.0</v>
      </c>
      <c r="D782" s="2">
        <v>-1206.0</v>
      </c>
      <c r="E782" s="2">
        <v>-96.05</v>
      </c>
    </row>
    <row r="783" spans="1:5" customHeight="1" x14ac:dyDescent="0.15">
      <c r="A783" s="2" t="s">
        <f>"093000039001920004"</f>
        <v>1555</v>
      </c>
      <c r="B783" s="2" t="s">
        <f>"乔春霖"</f>
        <v>1556</v>
      </c>
      <c r="C783" s="2">
        <v>0.0</v>
      </c>
      <c r="D783" s="2">
        <v>343.0</v>
      </c>
      <c r="E783" s="2">
        <v>-742.23</v>
      </c>
    </row>
    <row r="784" spans="1:5" customHeight="1" x14ac:dyDescent="0.15">
      <c r="A784" s="2" t="s">
        <f>"0930000730005"</f>
        <v>1557</v>
      </c>
      <c r="B784" s="2" t="s">
        <f>"文小红"</f>
        <v>1558</v>
      </c>
      <c r="C784" s="2">
        <v>0.0</v>
      </c>
      <c r="D784" s="2">
        <v>-378.0</v>
      </c>
      <c r="E784" s="2">
        <v>-53.5</v>
      </c>
    </row>
    <row r="785" spans="1:5" customHeight="1" x14ac:dyDescent="0.15">
      <c r="A785" s="2" t="s">
        <f>"0930000058"</f>
        <v>1559</v>
      </c>
      <c r="B785" s="2" t="s">
        <f>"刘强"</f>
        <v>1560</v>
      </c>
      <c r="C785" s="2">
        <v>0.0</v>
      </c>
      <c r="D785" s="2">
        <v>0.0</v>
      </c>
      <c r="E785" s="2">
        <v>0.0</v>
      </c>
    </row>
    <row r="786" spans="1:5" customHeight="1" x14ac:dyDescent="0.15">
      <c r="A786" s="2" t="s">
        <f>"0930000000058"</f>
        <v>1561</v>
      </c>
      <c r="B786" s="2" t="s">
        <f>"莫坚华"</f>
        <v>1562</v>
      </c>
      <c r="C786" s="2">
        <v>0.0</v>
      </c>
      <c r="D786" s="2">
        <v>0.0</v>
      </c>
      <c r="E786" s="2">
        <v>0.0</v>
      </c>
    </row>
    <row r="787" spans="1:5" customHeight="1" x14ac:dyDescent="0.15">
      <c r="A787" s="2" t="s">
        <f>"0930000810001"</f>
        <v>1563</v>
      </c>
      <c r="B787" s="2" t="s">
        <f>"朱永明"</f>
        <v>1564</v>
      </c>
      <c r="C787" s="2">
        <v>0.0</v>
      </c>
      <c r="D787" s="2">
        <v>0.0</v>
      </c>
      <c r="E787" s="2">
        <v>0.0</v>
      </c>
    </row>
    <row r="788" spans="1:5" customHeight="1" x14ac:dyDescent="0.15">
      <c r="A788" s="2" t="s">
        <f>"093000043920025"</f>
        <v>1565</v>
      </c>
      <c r="B788" s="2" t="s">
        <f>"胡亚磊"</f>
        <v>1566</v>
      </c>
      <c r="C788" s="2">
        <v>0.0</v>
      </c>
      <c r="D788" s="2">
        <v>685.0</v>
      </c>
      <c r="E788" s="2">
        <v>-823.04</v>
      </c>
    </row>
    <row r="789" spans="1:5" customHeight="1" x14ac:dyDescent="0.15">
      <c r="A789" s="2" t="s">
        <f>"093000920501"</f>
        <v>1567</v>
      </c>
      <c r="B789" s="2" t="s">
        <f>"张占领"</f>
        <v>1568</v>
      </c>
      <c r="C789" s="2">
        <v>-2625.0</v>
      </c>
      <c r="D789" s="2">
        <v>3099.0</v>
      </c>
      <c r="E789" s="2">
        <v>-603.28</v>
      </c>
    </row>
    <row r="790" spans="1:5" customHeight="1" x14ac:dyDescent="0.15">
      <c r="A790" s="2" t="s">
        <f>"093000039001920005"</f>
        <v>1569</v>
      </c>
      <c r="B790" s="2" t="s">
        <f>"李庆印"</f>
        <v>1570</v>
      </c>
      <c r="C790" s="2">
        <v>-1313.0</v>
      </c>
      <c r="D790" s="2">
        <v>468.0</v>
      </c>
      <c r="E790" s="2">
        <v>-282.87</v>
      </c>
    </row>
    <row r="791" spans="1:5" customHeight="1" x14ac:dyDescent="0.15">
      <c r="A791" s="2" t="s">
        <f>"093000040920056"</f>
        <v>1571</v>
      </c>
      <c r="B791" s="2" t="s">
        <f>"刘志萍"</f>
        <v>1572</v>
      </c>
      <c r="C791" s="2">
        <v>0.0</v>
      </c>
      <c r="D791" s="2">
        <v>0.0</v>
      </c>
      <c r="E791" s="2">
        <v>0.0</v>
      </c>
    </row>
    <row r="792" spans="1:5" customHeight="1" x14ac:dyDescent="0.15">
      <c r="A792" s="2" t="s">
        <f>"0930000000059"</f>
        <v>1573</v>
      </c>
      <c r="B792" s="2" t="s">
        <f>"刘强"</f>
        <v>1560</v>
      </c>
      <c r="C792" s="2">
        <v>0.0</v>
      </c>
      <c r="D792" s="2">
        <v>0.0</v>
      </c>
      <c r="E792" s="2">
        <v>0.0</v>
      </c>
    </row>
    <row r="793" spans="1:5" customHeight="1" x14ac:dyDescent="0.15">
      <c r="A793" s="2" t="s">
        <f>"0930000000060"</f>
        <v>1574</v>
      </c>
      <c r="B793" s="2" t="s">
        <f>"马帅"</f>
        <v>1575</v>
      </c>
      <c r="C793" s="2">
        <v>-671.0</v>
      </c>
      <c r="D793" s="2">
        <v>357.0</v>
      </c>
      <c r="E793" s="2">
        <v>-104.25</v>
      </c>
    </row>
    <row r="794" spans="1:5" customHeight="1" x14ac:dyDescent="0.15">
      <c r="A794" s="2" t="s">
        <f>"0930000810002"</f>
        <v>1576</v>
      </c>
      <c r="B794" s="2" t="s">
        <f>"孙晨阳"</f>
        <v>1577</v>
      </c>
      <c r="C794" s="2">
        <v>0.0</v>
      </c>
      <c r="D794" s="2">
        <v>-21.0</v>
      </c>
      <c r="E794" s="2">
        <v>-6.72</v>
      </c>
    </row>
    <row r="795" spans="1:5" customHeight="1" x14ac:dyDescent="0.15">
      <c r="A795" s="2" t="s">
        <f>"0930000000061"</f>
        <v>1578</v>
      </c>
      <c r="B795" s="2" t="s">
        <f>"李根"</f>
        <v>1579</v>
      </c>
      <c r="C795" s="2">
        <v>0.0</v>
      </c>
      <c r="D795" s="2">
        <v>0.0</v>
      </c>
      <c r="E795" s="2">
        <v>0.0</v>
      </c>
    </row>
    <row r="796" spans="1:5" customHeight="1" x14ac:dyDescent="0.15">
      <c r="A796" s="2" t="s">
        <f>"0930000000062"</f>
        <v>1580</v>
      </c>
      <c r="B796" s="2" t="s">
        <f>"蒋国鹏"</f>
        <v>1581</v>
      </c>
      <c r="C796" s="2">
        <v>0.0</v>
      </c>
      <c r="D796" s="2">
        <v>-212.0</v>
      </c>
      <c r="E796" s="2">
        <v>-48.67</v>
      </c>
    </row>
    <row r="797" spans="1:5" customHeight="1" x14ac:dyDescent="0.15">
      <c r="A797" s="2" t="s">
        <f>"0930000000063"</f>
        <v>1582</v>
      </c>
      <c r="B797" s="2" t="s">
        <f>"王文杰"</f>
        <v>1583</v>
      </c>
      <c r="C797" s="2">
        <v>0.0</v>
      </c>
      <c r="D797" s="2">
        <v>0.0</v>
      </c>
      <c r="E797" s="2">
        <v>0.0</v>
      </c>
    </row>
    <row r="798" spans="1:5" customHeight="1" x14ac:dyDescent="0.15">
      <c r="A798" s="2" t="s">
        <f>"093000046920018"</f>
        <v>1584</v>
      </c>
      <c r="B798" s="2" t="s">
        <f>"毕龙才"</f>
        <v>1585</v>
      </c>
      <c r="C798" s="2">
        <v>0.0</v>
      </c>
      <c r="D798" s="2">
        <v>0.0</v>
      </c>
      <c r="E798" s="2">
        <v>0.0</v>
      </c>
    </row>
    <row r="799" spans="1:5" customHeight="1" x14ac:dyDescent="0.15">
      <c r="A799" s="2" t="s">
        <f>"0930000000064"</f>
        <v>1586</v>
      </c>
      <c r="B799" s="2" t="s">
        <f>"刘欢"</f>
        <v>473</v>
      </c>
      <c r="C799" s="2">
        <v>-305.0</v>
      </c>
      <c r="D799" s="2">
        <v>-89.0</v>
      </c>
      <c r="E799" s="2">
        <v>-428.26</v>
      </c>
    </row>
    <row r="800" spans="1:5" customHeight="1" x14ac:dyDescent="0.15">
      <c r="A800" s="2" t="s">
        <f>"0930000000065"</f>
        <v>1587</v>
      </c>
      <c r="B800" s="2" t="s">
        <f>"李冬阳"</f>
        <v>1588</v>
      </c>
      <c r="C800" s="2">
        <v>0.0</v>
      </c>
      <c r="D800" s="2">
        <v>0.0</v>
      </c>
      <c r="E800" s="2">
        <v>0.0</v>
      </c>
    </row>
    <row r="801" spans="1:5" customHeight="1" x14ac:dyDescent="0.15">
      <c r="A801" s="2" t="s">
        <f>"0930000000066"</f>
        <v>1589</v>
      </c>
      <c r="B801" s="2" t="s">
        <f>"刘栋"</f>
        <v>1590</v>
      </c>
      <c r="C801" s="2">
        <v>-92.0</v>
      </c>
      <c r="D801" s="2">
        <v>-1105.0</v>
      </c>
      <c r="E801" s="2">
        <v>-543.51</v>
      </c>
    </row>
    <row r="802" spans="1:5" customHeight="1" x14ac:dyDescent="0.15">
      <c r="A802" s="2" t="s">
        <f>"0930000000067"</f>
        <v>1591</v>
      </c>
      <c r="B802" s="2" t="s">
        <f>"班义倬"</f>
        <v>1592</v>
      </c>
      <c r="C802" s="2">
        <v>0.0</v>
      </c>
      <c r="D802" s="2">
        <v>0.0</v>
      </c>
      <c r="E802" s="2">
        <v>0.0</v>
      </c>
    </row>
    <row r="803" spans="1:5" customHeight="1" x14ac:dyDescent="0.15">
      <c r="A803" s="2" t="s">
        <f>"0930000000068"</f>
        <v>1593</v>
      </c>
      <c r="B803" s="2" t="s">
        <f>"宋丙奇"</f>
        <v>1594</v>
      </c>
      <c r="C803" s="2">
        <v>0.0</v>
      </c>
      <c r="D803" s="2">
        <v>13.0</v>
      </c>
      <c r="E803" s="2">
        <v>-120.31</v>
      </c>
    </row>
    <row r="804" spans="1:5" customHeight="1" x14ac:dyDescent="0.15">
      <c r="A804" s="2" t="s">
        <f>"0930000810003"</f>
        <v>1595</v>
      </c>
      <c r="B804" s="2" t="s">
        <f>"孙谦"</f>
        <v>1596</v>
      </c>
      <c r="C804" s="2">
        <v>0.0</v>
      </c>
      <c r="D804" s="2">
        <v>0.0</v>
      </c>
      <c r="E804" s="2">
        <v>0.0</v>
      </c>
    </row>
    <row r="805" spans="1:5" customHeight="1" x14ac:dyDescent="0.15">
      <c r="A805" s="2" t="s">
        <f>"0930000810004"</f>
        <v>1597</v>
      </c>
      <c r="B805" s="2" t="s">
        <f>"刘勇"</f>
        <v>1598</v>
      </c>
      <c r="C805" s="2">
        <v>0.0</v>
      </c>
      <c r="D805" s="2">
        <v>0.0</v>
      </c>
      <c r="E805" s="2">
        <v>0.0</v>
      </c>
    </row>
    <row r="806" spans="1:5" customHeight="1" x14ac:dyDescent="0.15">
      <c r="A806" s="2" t="s">
        <f>"0930000810005"</f>
        <v>1599</v>
      </c>
      <c r="B806" s="2" t="s">
        <f>"魏坤龙"</f>
        <v>1600</v>
      </c>
      <c r="C806" s="2">
        <v>0.0</v>
      </c>
      <c r="D806" s="2">
        <v>0.0</v>
      </c>
      <c r="E806" s="2">
        <v>0.0</v>
      </c>
    </row>
    <row r="807" spans="1:5" customHeight="1" x14ac:dyDescent="0.15">
      <c r="A807" s="2" t="s">
        <f>"0930000000069"</f>
        <v>1601</v>
      </c>
      <c r="B807" s="2" t="s">
        <f>"岳建杰"</f>
        <v>1602</v>
      </c>
      <c r="C807" s="2">
        <v>0.0</v>
      </c>
      <c r="D807" s="2">
        <v>168.0</v>
      </c>
      <c r="E807" s="2">
        <v>-48.68</v>
      </c>
    </row>
    <row r="808" spans="1:5" customHeight="1" x14ac:dyDescent="0.15">
      <c r="A808" s="2" t="s">
        <f>"0930000000070"</f>
        <v>1603</v>
      </c>
      <c r="B808" s="2" t="s">
        <f>"刘迪"</f>
        <v>1604</v>
      </c>
      <c r="C808" s="2">
        <v>0.0</v>
      </c>
      <c r="D808" s="2">
        <v>0.0</v>
      </c>
      <c r="E808" s="2">
        <v>0.0</v>
      </c>
    </row>
    <row r="809" spans="1:5" customHeight="1" x14ac:dyDescent="0.15">
      <c r="A809" s="2" t="s">
        <f>"0930000810006"</f>
        <v>1605</v>
      </c>
      <c r="B809" s="2" t="s">
        <f>"刘新阳"</f>
        <v>1606</v>
      </c>
      <c r="C809" s="2">
        <v>0.0</v>
      </c>
      <c r="D809" s="2">
        <v>0.0</v>
      </c>
      <c r="E809" s="2">
        <v>0.0</v>
      </c>
    </row>
    <row r="810" spans="1:5" customHeight="1" x14ac:dyDescent="0.15">
      <c r="A810" s="2" t="s">
        <f>"0930000000071"</f>
        <v>1607</v>
      </c>
      <c r="B810" s="2" t="s">
        <f>"赵嘉嘉"</f>
        <v>1608</v>
      </c>
      <c r="C810" s="2">
        <v>0.0</v>
      </c>
      <c r="D810" s="2">
        <v>0.0</v>
      </c>
      <c r="E810" s="2">
        <v>0.0</v>
      </c>
    </row>
    <row r="811" spans="1:5" customHeight="1" x14ac:dyDescent="0.15">
      <c r="A811" s="2" t="s">
        <f>"0930000810007"</f>
        <v>1609</v>
      </c>
      <c r="B811" s="2" t="s">
        <f>"孙立"</f>
        <v>1610</v>
      </c>
      <c r="C811" s="2">
        <v>0.0</v>
      </c>
      <c r="D811" s="2">
        <v>0.0</v>
      </c>
      <c r="E811" s="2">
        <v>0.0</v>
      </c>
    </row>
    <row r="812" spans="1:5" customHeight="1" x14ac:dyDescent="0.15">
      <c r="A812" s="2" t="s">
        <f>"093000044920022"</f>
        <v>1611</v>
      </c>
      <c r="B812" s="2" t="s">
        <f>"王向阳"</f>
        <v>1612</v>
      </c>
      <c r="C812" s="2">
        <v>-172.0</v>
      </c>
      <c r="D812" s="2">
        <v>-903.0</v>
      </c>
      <c r="E812" s="2">
        <v>-397.11</v>
      </c>
    </row>
    <row r="813" spans="1:5" customHeight="1" x14ac:dyDescent="0.15">
      <c r="A813" s="2" t="s">
        <f>"0930000790004"</f>
        <v>1613</v>
      </c>
      <c r="B813" s="2" t="s">
        <f>"何海彬"</f>
        <v>1614</v>
      </c>
      <c r="C813" s="2">
        <v>0.0</v>
      </c>
      <c r="D813" s="2">
        <v>0.0</v>
      </c>
      <c r="E813" s="2">
        <v>0.0</v>
      </c>
    </row>
    <row r="814" spans="1:5" customHeight="1" x14ac:dyDescent="0.15">
      <c r="A814" s="2" t="s">
        <f>"093000039001920006"</f>
        <v>1615</v>
      </c>
      <c r="B814" s="2" t="s">
        <f>"陈卓"</f>
        <v>24</v>
      </c>
      <c r="C814" s="2">
        <v>0.0</v>
      </c>
      <c r="D814" s="2">
        <v>1785.0</v>
      </c>
      <c r="E814" s="2">
        <v>-737.87</v>
      </c>
    </row>
    <row r="815" spans="1:5" customHeight="1" x14ac:dyDescent="0.15">
      <c r="A815" s="2" t="s">
        <f>"093000920505"</f>
        <v>1616</v>
      </c>
      <c r="B815" s="2" t="s">
        <f>"王震"</f>
        <v>1617</v>
      </c>
      <c r="C815" s="2">
        <v>0.0</v>
      </c>
      <c r="D815" s="2">
        <v>0.0</v>
      </c>
      <c r="E815" s="2">
        <v>0.0</v>
      </c>
    </row>
    <row r="816" spans="1:5" customHeight="1" x14ac:dyDescent="0.15">
      <c r="A816" s="2" t="s">
        <f>"093000920504"</f>
        <v>1618</v>
      </c>
      <c r="B816" s="2" t="s">
        <f>"赵国"</f>
        <v>1619</v>
      </c>
      <c r="C816" s="2">
        <v>0.0</v>
      </c>
      <c r="D816" s="2">
        <v>0.0</v>
      </c>
      <c r="E816" s="2">
        <v>0.0</v>
      </c>
    </row>
    <row r="817" spans="1:5" customHeight="1" x14ac:dyDescent="0.15">
      <c r="A817" s="2" t="s">
        <f>"0930000730006"</f>
        <v>1620</v>
      </c>
      <c r="B817" s="2" t="s">
        <f>"黄俊桦"</f>
        <v>1621</v>
      </c>
      <c r="C817" s="2">
        <v>-159.0</v>
      </c>
      <c r="D817" s="2">
        <v>-1103.0</v>
      </c>
      <c r="E817" s="2">
        <v>-133.36</v>
      </c>
    </row>
    <row r="818" spans="1:5" customHeight="1" x14ac:dyDescent="0.15">
      <c r="A818" s="2" t="s">
        <f>"0930000620004"</f>
        <v>1622</v>
      </c>
      <c r="B818" s="2" t="s">
        <f>"黄显成"</f>
        <v>1623</v>
      </c>
      <c r="C818" s="2">
        <v>0.0</v>
      </c>
      <c r="D818" s="2">
        <v>-1018.0</v>
      </c>
      <c r="E818" s="2">
        <v>-160.83</v>
      </c>
    </row>
    <row r="819" spans="1:5" customHeight="1" x14ac:dyDescent="0.15">
      <c r="A819" s="2" t="s">
        <f>"0930000790005"</f>
        <v>1624</v>
      </c>
      <c r="B819" s="2" t="s">
        <f>"郭宗霞"</f>
        <v>1625</v>
      </c>
      <c r="C819" s="2">
        <v>0.0</v>
      </c>
      <c r="D819" s="2">
        <v>-471.0</v>
      </c>
      <c r="E819" s="2">
        <v>-578.8</v>
      </c>
    </row>
    <row r="820" spans="1:5" customHeight="1" x14ac:dyDescent="0.15">
      <c r="A820" s="2" t="s">
        <f>"093000049920043"</f>
        <v>1626</v>
      </c>
      <c r="B820" s="2" t="s">
        <f>"邱全伟"</f>
        <v>1627</v>
      </c>
      <c r="C820" s="2">
        <v>0.0</v>
      </c>
      <c r="D820" s="2">
        <v>0.0</v>
      </c>
      <c r="E820" s="2">
        <v>0.0</v>
      </c>
    </row>
    <row r="821" spans="1:5" customHeight="1" x14ac:dyDescent="0.15">
      <c r="A821" s="2" t="s">
        <f>"0930000000101"</f>
        <v>1628</v>
      </c>
      <c r="B821" s="2" t="s">
        <f>"黄小艳"</f>
        <v>1629</v>
      </c>
      <c r="C821" s="2">
        <v>0.0</v>
      </c>
      <c r="D821" s="2">
        <v>0.0</v>
      </c>
      <c r="E821" s="2">
        <v>0.0</v>
      </c>
    </row>
    <row r="822" spans="1:5" customHeight="1" x14ac:dyDescent="0.15">
      <c r="A822" s="2" t="s">
        <f>"093000043920026"</f>
        <v>1630</v>
      </c>
      <c r="B822" s="2" t="s">
        <f>"吕建荣"</f>
        <v>1631</v>
      </c>
      <c r="C822" s="2">
        <v>0.0</v>
      </c>
      <c r="D822" s="2">
        <v>-273.0</v>
      </c>
      <c r="E822" s="2">
        <v>-1385.14</v>
      </c>
    </row>
    <row r="823" spans="1:5" customHeight="1" x14ac:dyDescent="0.15">
      <c r="A823" s="2" t="s">
        <f>"0930000000072"</f>
        <v>1632</v>
      </c>
      <c r="B823" s="2" t="s">
        <f>"李鹏"</f>
        <v>1633</v>
      </c>
      <c r="C823" s="2">
        <v>0.0</v>
      </c>
      <c r="D823" s="2">
        <v>0.0</v>
      </c>
      <c r="E823" s="2">
        <v>0.0</v>
      </c>
    </row>
    <row r="824" spans="1:5" customHeight="1" x14ac:dyDescent="0.15">
      <c r="A824" s="2" t="s">
        <f>"093000088920006"</f>
        <v>1634</v>
      </c>
      <c r="B824" s="2" t="s">
        <f>"党九山"</f>
        <v>1635</v>
      </c>
      <c r="C824" s="2">
        <v>-2122.0</v>
      </c>
      <c r="D824" s="2">
        <v>-1383.0</v>
      </c>
      <c r="E824" s="2">
        <v>-1895.56</v>
      </c>
    </row>
    <row r="825" spans="1:5" customHeight="1" x14ac:dyDescent="0.15">
      <c r="A825" s="2" t="s">
        <f>"093000067920086"</f>
        <v>1636</v>
      </c>
      <c r="B825" s="2" t="s">
        <f>"陈兴隆"</f>
        <v>1637</v>
      </c>
      <c r="C825" s="2">
        <v>0.0</v>
      </c>
      <c r="D825" s="2">
        <v>0.0</v>
      </c>
      <c r="E825" s="2">
        <v>0.0</v>
      </c>
    </row>
    <row r="826" spans="1:5" customHeight="1" x14ac:dyDescent="0.15">
      <c r="A826" s="2" t="s">
        <f>"093000041920031"</f>
        <v>1638</v>
      </c>
      <c r="B826" s="2" t="s">
        <f>"周梦桢"</f>
        <v>1639</v>
      </c>
      <c r="C826" s="2">
        <v>0.0</v>
      </c>
      <c r="D826" s="2">
        <v>-1088.0</v>
      </c>
      <c r="E826" s="2">
        <v>-102.42</v>
      </c>
    </row>
    <row r="827" spans="1:5" customHeight="1" x14ac:dyDescent="0.15">
      <c r="A827" s="2" t="s">
        <f>"0930000640006"</f>
        <v>1640</v>
      </c>
      <c r="B827" s="2" t="s">
        <f>"梁丰安"</f>
        <v>1641</v>
      </c>
      <c r="C827" s="2">
        <v>0.0</v>
      </c>
      <c r="D827" s="2">
        <v>0.0</v>
      </c>
      <c r="E827" s="2">
        <v>0.0</v>
      </c>
    </row>
    <row r="828" spans="1:5" customHeight="1" x14ac:dyDescent="0.15">
      <c r="A828" s="2" t="s">
        <f>"093000059920020"</f>
        <v>1642</v>
      </c>
      <c r="B828" s="2" t="s">
        <f>"徐路娟"</f>
        <v>1643</v>
      </c>
      <c r="C828" s="2">
        <v>-1829.0</v>
      </c>
      <c r="D828" s="2">
        <v>1239.0</v>
      </c>
      <c r="E828" s="2">
        <v>-1658.59</v>
      </c>
    </row>
    <row r="829" spans="1:5" customHeight="1" x14ac:dyDescent="0.15">
      <c r="A829" s="2" t="s">
        <f>"093000083920001"</f>
        <v>1644</v>
      </c>
      <c r="B829" s="2" t="s">
        <f>"杨堂宽"</f>
        <v>1645</v>
      </c>
      <c r="C829" s="2">
        <v>0.0</v>
      </c>
      <c r="D829" s="2">
        <v>0.0</v>
      </c>
      <c r="E829" s="2">
        <v>0.0</v>
      </c>
    </row>
    <row r="830" spans="1:5" customHeight="1" x14ac:dyDescent="0.15">
      <c r="A830" s="2" t="s">
        <f>"0930000790006"</f>
        <v>1646</v>
      </c>
      <c r="B830" s="2" t="s">
        <f>"杨晓威"</f>
        <v>1647</v>
      </c>
      <c r="C830" s="2">
        <v>0.0</v>
      </c>
      <c r="D830" s="2">
        <v>0.0</v>
      </c>
      <c r="E830" s="2">
        <v>0.0</v>
      </c>
    </row>
    <row r="831" spans="1:5" customHeight="1" x14ac:dyDescent="0.15">
      <c r="A831" s="2" t="s">
        <f>"0930000790007"</f>
        <v>1648</v>
      </c>
      <c r="B831" s="2" t="s">
        <f>"陈阳阳"</f>
        <v>1649</v>
      </c>
      <c r="C831" s="2">
        <v>0.0</v>
      </c>
      <c r="D831" s="2">
        <v>0.0</v>
      </c>
      <c r="E831" s="2">
        <v>0.0</v>
      </c>
    </row>
    <row r="832" spans="1:5" customHeight="1" x14ac:dyDescent="0.15">
      <c r="A832" s="2" t="s">
        <f>"093000043920028"</f>
        <v>1650</v>
      </c>
      <c r="B832" s="2" t="s">
        <f>"薄涛"</f>
        <v>1651</v>
      </c>
      <c r="C832" s="2">
        <v>0.0</v>
      </c>
      <c r="D832" s="2">
        <v>-210.0</v>
      </c>
      <c r="E832" s="2">
        <v>-1280.34</v>
      </c>
    </row>
    <row r="833" spans="1:5" customHeight="1" x14ac:dyDescent="0.15">
      <c r="A833" s="2" t="s">
        <f>"093000043920029"</f>
        <v>1652</v>
      </c>
      <c r="B833" s="2" t="s">
        <f>"李彦鹏"</f>
        <v>1653</v>
      </c>
      <c r="C833" s="2">
        <v>0.0</v>
      </c>
      <c r="D833" s="2">
        <v>-840.0</v>
      </c>
      <c r="E833" s="2">
        <v>-154.47</v>
      </c>
    </row>
    <row r="834" spans="1:5" customHeight="1" x14ac:dyDescent="0.15">
      <c r="A834" s="2" t="s">
        <f>"093000044920023"</f>
        <v>1654</v>
      </c>
      <c r="B834" s="2" t="s">
        <f>"何书均"</f>
        <v>1655</v>
      </c>
      <c r="C834" s="2">
        <v>-30.0</v>
      </c>
      <c r="D834" s="2">
        <v>600.0</v>
      </c>
      <c r="E834" s="2">
        <v>-3454.27</v>
      </c>
    </row>
    <row r="835" spans="1:5" customHeight="1" x14ac:dyDescent="0.15">
      <c r="A835" s="2" t="s">
        <f>"093000043920030"</f>
        <v>1656</v>
      </c>
      <c r="B835" s="2" t="s">
        <f>"李彦红"</f>
        <v>1657</v>
      </c>
      <c r="C835" s="2">
        <v>-960.0</v>
      </c>
      <c r="D835" s="2">
        <v>80.0</v>
      </c>
      <c r="E835" s="2">
        <v>-149.47</v>
      </c>
    </row>
    <row r="836" spans="1:5" customHeight="1" x14ac:dyDescent="0.15">
      <c r="A836" s="2" t="s">
        <f>"0930000790008"</f>
        <v>1658</v>
      </c>
      <c r="B836" s="2" t="s">
        <f>"李良栋"</f>
        <v>1659</v>
      </c>
      <c r="C836" s="2">
        <v>0.0</v>
      </c>
      <c r="D836" s="2">
        <v>0.0</v>
      </c>
      <c r="E836" s="2">
        <v>0.0</v>
      </c>
    </row>
    <row r="837" spans="1:5" customHeight="1" x14ac:dyDescent="0.15">
      <c r="A837" s="2" t="s">
        <f>"093000040920057"</f>
        <v>1660</v>
      </c>
      <c r="B837" s="2" t="s">
        <f>"孙瑞轩"</f>
        <v>1661</v>
      </c>
      <c r="C837" s="2">
        <v>0.0</v>
      </c>
      <c r="D837" s="2">
        <v>0.0</v>
      </c>
      <c r="E837" s="2">
        <v>0.0</v>
      </c>
    </row>
    <row r="838" spans="1:5" customHeight="1" x14ac:dyDescent="0.15">
      <c r="A838" s="2" t="s">
        <f>"0930000790009"</f>
        <v>1662</v>
      </c>
      <c r="B838" s="2" t="s">
        <f>"蒋海淼"</f>
        <v>1663</v>
      </c>
      <c r="C838" s="2">
        <v>0.0</v>
      </c>
      <c r="D838" s="2">
        <v>0.0</v>
      </c>
      <c r="E838" s="2">
        <v>0.0</v>
      </c>
    </row>
    <row r="839" spans="1:5" customHeight="1" x14ac:dyDescent="0.15">
      <c r="A839" s="2" t="s">
        <f>"093000039001920008"</f>
        <v>1664</v>
      </c>
      <c r="B839" s="2" t="s">
        <f>"杨武洋"</f>
        <v>1665</v>
      </c>
      <c r="C839" s="2">
        <v>0.0</v>
      </c>
      <c r="D839" s="2">
        <v>0.0</v>
      </c>
      <c r="E839" s="2">
        <v>0.0</v>
      </c>
    </row>
    <row r="840" spans="1:5" customHeight="1" x14ac:dyDescent="0.15">
      <c r="A840" s="2" t="s">
        <f>"093000039001920009"</f>
        <v>1666</v>
      </c>
      <c r="B840" s="2" t="s">
        <f>"李展"</f>
        <v>1667</v>
      </c>
      <c r="C840" s="2">
        <v>0.0</v>
      </c>
      <c r="D840" s="2">
        <v>123.0</v>
      </c>
      <c r="E840" s="2">
        <v>-58.25</v>
      </c>
    </row>
    <row r="841" spans="1:5" customHeight="1" x14ac:dyDescent="0.15">
      <c r="A841" s="2" t="s">
        <f>"093000039001920010"</f>
        <v>1668</v>
      </c>
      <c r="B841" s="2" t="s">
        <f>"陈朋飞"</f>
        <v>1669</v>
      </c>
      <c r="C841" s="2">
        <v>0.0</v>
      </c>
      <c r="D841" s="2">
        <v>-93.0</v>
      </c>
      <c r="E841" s="2">
        <v>-222.13</v>
      </c>
    </row>
    <row r="842" spans="1:5" customHeight="1" x14ac:dyDescent="0.15">
      <c r="A842" s="2" t="s">
        <f>"093000083920003"</f>
        <v>1670</v>
      </c>
      <c r="B842" s="2" t="s">
        <f>"沈庆玲"</f>
        <v>1671</v>
      </c>
      <c r="C842" s="2">
        <v>0.0</v>
      </c>
      <c r="D842" s="2">
        <v>5155.0</v>
      </c>
      <c r="E842" s="2">
        <v>-3693.98</v>
      </c>
    </row>
    <row r="843" spans="1:5" customHeight="1" x14ac:dyDescent="0.15">
      <c r="A843" s="2" t="s">
        <f>"093000044920024"</f>
        <v>1672</v>
      </c>
      <c r="B843" s="2" t="s">
        <f>"王士红"</f>
        <v>1673</v>
      </c>
      <c r="C843" s="2">
        <v>-573.0</v>
      </c>
      <c r="D843" s="2">
        <v>842.0</v>
      </c>
      <c r="E843" s="2">
        <v>-1160.95</v>
      </c>
    </row>
    <row r="844" spans="1:5" customHeight="1" x14ac:dyDescent="0.15">
      <c r="A844" s="2" t="s">
        <f>"093000039001920011"</f>
        <v>1674</v>
      </c>
      <c r="B844" s="2" t="s">
        <f>"冯居国"</f>
        <v>1675</v>
      </c>
      <c r="C844" s="2">
        <v>0.0</v>
      </c>
      <c r="D844" s="2">
        <v>0.0</v>
      </c>
      <c r="E844" s="2">
        <v>0.0</v>
      </c>
    </row>
    <row r="845" spans="1:5" customHeight="1" x14ac:dyDescent="0.15">
      <c r="A845" s="2" t="s">
        <f>"0930000790010"</f>
        <v>1676</v>
      </c>
      <c r="B845" s="2" t="s">
        <f>"王永明"</f>
        <v>1677</v>
      </c>
      <c r="C845" s="2">
        <v>23.0</v>
      </c>
      <c r="D845" s="2">
        <v>-327.0</v>
      </c>
      <c r="E845" s="2">
        <v>-69.36</v>
      </c>
    </row>
    <row r="846" spans="1:5" customHeight="1" x14ac:dyDescent="0.15">
      <c r="A846" s="2" t="s">
        <f>"093000044920025"</f>
        <v>1678</v>
      </c>
      <c r="B846" s="2" t="s">
        <f>"苏贵州"</f>
        <v>1679</v>
      </c>
      <c r="C846" s="2">
        <v>-4529.0</v>
      </c>
      <c r="D846" s="2">
        <v>-10997.0</v>
      </c>
      <c r="E846" s="2">
        <v>-6214.63</v>
      </c>
    </row>
    <row r="847" spans="1:5" customHeight="1" x14ac:dyDescent="0.15">
      <c r="A847" s="2" t="s">
        <f>"0930000810008"</f>
        <v>1680</v>
      </c>
      <c r="B847" s="2" t="s">
        <f>"冯振超"</f>
        <v>1681</v>
      </c>
      <c r="C847" s="2">
        <v>0.0</v>
      </c>
      <c r="D847" s="2">
        <v>0.0</v>
      </c>
      <c r="E847" s="2">
        <v>0.0</v>
      </c>
    </row>
    <row r="848" spans="1:5" customHeight="1" x14ac:dyDescent="0.15">
      <c r="A848" s="2" t="s">
        <f>"0930000370001"</f>
        <v>1682</v>
      </c>
      <c r="B848" s="2" t="s">
        <f>" 赵梦仙"</f>
        <v>1683</v>
      </c>
      <c r="C848" s="2">
        <v>0.0</v>
      </c>
      <c r="D848" s="2">
        <v>-9.0</v>
      </c>
      <c r="E848" s="2">
        <v>-6.52</v>
      </c>
    </row>
    <row r="849" spans="1:5" customHeight="1" x14ac:dyDescent="0.15">
      <c r="A849" s="2" t="s">
        <f>"0930000370001"</f>
        <v>1682</v>
      </c>
      <c r="B849" s="2" t="s">
        <f>"赵梦仙"</f>
        <v>1684</v>
      </c>
      <c r="C849" s="2">
        <v>0.0</v>
      </c>
      <c r="D849" s="2">
        <v>0.0</v>
      </c>
      <c r="E849" s="2">
        <v>0.0</v>
      </c>
    </row>
    <row r="850" spans="1:5" customHeight="1" x14ac:dyDescent="0.15">
      <c r="A850" s="2" t="s">
        <f>"093000043920031"</f>
        <v>1685</v>
      </c>
      <c r="B850" s="2" t="s">
        <f>"田晓萍"</f>
        <v>1686</v>
      </c>
      <c r="C850" s="2">
        <v>-602.0</v>
      </c>
      <c r="D850" s="2">
        <v>-562.0</v>
      </c>
      <c r="E850" s="2">
        <v>-1955.44</v>
      </c>
    </row>
    <row r="851" spans="1:5" customHeight="1" x14ac:dyDescent="0.15">
      <c r="A851" s="2" t="s">
        <f>"0930000790011"</f>
        <v>1687</v>
      </c>
      <c r="B851" s="2" t="s">
        <f>"陈文龙"</f>
        <v>1688</v>
      </c>
      <c r="C851" s="2">
        <v>0.0</v>
      </c>
      <c r="D851" s="2">
        <v>0.0</v>
      </c>
      <c r="E851" s="2">
        <v>0.0</v>
      </c>
    </row>
    <row r="852" spans="1:5" customHeight="1" x14ac:dyDescent="0.15">
      <c r="A852" s="2" t="s">
        <f>"093000043920032"</f>
        <v>1689</v>
      </c>
      <c r="B852" s="2" t="s">
        <f>"李建明"</f>
        <v>1690</v>
      </c>
      <c r="C852" s="2">
        <v>0.0</v>
      </c>
      <c r="D852" s="2">
        <v>0.0</v>
      </c>
      <c r="E852" s="2">
        <v>0.0</v>
      </c>
    </row>
    <row r="853" spans="1:5" customHeight="1" x14ac:dyDescent="0.15">
      <c r="A853" s="2" t="s">
        <f>"0930000790012"</f>
        <v>1691</v>
      </c>
      <c r="B853" s="2" t="s">
        <f>"任德振"</f>
        <v>1692</v>
      </c>
      <c r="C853" s="2">
        <v>-428.0</v>
      </c>
      <c r="D853" s="2">
        <v>-954.0</v>
      </c>
      <c r="E853" s="2">
        <v>-718.26</v>
      </c>
    </row>
    <row r="854" spans="1:5" customHeight="1" x14ac:dyDescent="0.15">
      <c r="A854" s="2" t="s">
        <f>"0930000810009"</f>
        <v>1693</v>
      </c>
      <c r="B854" s="2" t="s">
        <f>"陈志斌"</f>
        <v>1694</v>
      </c>
      <c r="C854" s="2">
        <v>0.0</v>
      </c>
      <c r="D854" s="2">
        <v>0.0</v>
      </c>
      <c r="E854" s="2">
        <v>0.0</v>
      </c>
    </row>
    <row r="855" spans="1:5" customHeight="1" x14ac:dyDescent="0.15">
      <c r="A855" s="2" t="s">
        <f>"093000047920010"</f>
        <v>1695</v>
      </c>
      <c r="B855" s="2" t="s">
        <f>"王丽"</f>
        <v>106</v>
      </c>
      <c r="C855" s="2">
        <v>0.0</v>
      </c>
      <c r="D855" s="2">
        <v>4213.0</v>
      </c>
      <c r="E855" s="2">
        <v>-904.11</v>
      </c>
    </row>
    <row r="856" spans="1:5" customHeight="1" x14ac:dyDescent="0.15">
      <c r="A856" s="2" t="s">
        <f>"093000040920058"</f>
        <v>1696</v>
      </c>
      <c r="B856" s="2" t="s">
        <f>"葛英霞"</f>
        <v>1697</v>
      </c>
      <c r="C856" s="2">
        <v>0.0</v>
      </c>
      <c r="D856" s="2">
        <v>0.0</v>
      </c>
      <c r="E856" s="2">
        <v>0.0</v>
      </c>
    </row>
    <row r="857" spans="1:5" customHeight="1" x14ac:dyDescent="0.15">
      <c r="A857" s="2" t="s">
        <f>"0930000740005"</f>
        <v>1698</v>
      </c>
      <c r="B857" s="2" t="s">
        <f>"黄霞"</f>
        <v>1699</v>
      </c>
      <c r="C857" s="2">
        <v>0.0</v>
      </c>
      <c r="D857" s="2">
        <v>-335.0</v>
      </c>
      <c r="E857" s="2">
        <v>-109.06</v>
      </c>
    </row>
    <row r="858" spans="1:5" customHeight="1" x14ac:dyDescent="0.15">
      <c r="A858" s="2" t="s">
        <f>"0930000620012"</f>
        <v>1700</v>
      </c>
      <c r="B858" s="2" t="s">
        <f>"李晓敏"</f>
        <v>1701</v>
      </c>
      <c r="C858" s="2">
        <v>0.0</v>
      </c>
      <c r="D858" s="2">
        <v>0.0</v>
      </c>
      <c r="E858" s="2">
        <v>0.0</v>
      </c>
    </row>
    <row r="859" spans="1:5" customHeight="1" x14ac:dyDescent="0.15">
      <c r="A859" s="2" t="s">
        <f>"093000063920014"</f>
        <v>1702</v>
      </c>
      <c r="B859" s="2" t="s">
        <f>"王荣"</f>
        <v>1703</v>
      </c>
      <c r="C859" s="2">
        <v>85.0</v>
      </c>
      <c r="D859" s="2">
        <v>-282.0</v>
      </c>
      <c r="E859" s="2">
        <v>-505.77</v>
      </c>
    </row>
    <row r="860" spans="1:5" customHeight="1" x14ac:dyDescent="0.15">
      <c r="A860" s="2" t="s">
        <f>"093000083920004"</f>
        <v>1704</v>
      </c>
      <c r="B860" s="2" t="s">
        <f>"丁文新"</f>
        <v>1705</v>
      </c>
      <c r="C860" s="2">
        <v>-5395.0</v>
      </c>
      <c r="D860" s="2">
        <v>-6558.5</v>
      </c>
      <c r="E860" s="2">
        <v>-13908.28</v>
      </c>
    </row>
    <row r="861" spans="1:5" customHeight="1" x14ac:dyDescent="0.15">
      <c r="A861" s="2" t="s">
        <f>"0930000510001"</f>
        <v>1706</v>
      </c>
      <c r="B861" s="2" t="s">
        <f>"葛俊磊"</f>
        <v>1707</v>
      </c>
      <c r="C861" s="2">
        <v>0.0</v>
      </c>
      <c r="D861" s="2">
        <v>0.0</v>
      </c>
      <c r="E861" s="2">
        <v>0.0</v>
      </c>
    </row>
    <row r="862" spans="1:5" customHeight="1" x14ac:dyDescent="0.15">
      <c r="A862" s="2" t="s">
        <f>"093000920510"</f>
        <v>1708</v>
      </c>
      <c r="B862" s="2" t="s">
        <f>"王太辉"</f>
        <v>1709</v>
      </c>
      <c r="C862" s="2">
        <v>0.0</v>
      </c>
      <c r="D862" s="2">
        <v>0.0</v>
      </c>
      <c r="E862" s="2">
        <v>0.0</v>
      </c>
    </row>
    <row r="863" spans="1:5" customHeight="1" x14ac:dyDescent="0.15">
      <c r="A863" s="2" t="s">
        <f>"093000063920015"</f>
        <v>1710</v>
      </c>
      <c r="B863" s="2" t="s">
        <f>"王璐璐"</f>
        <v>1711</v>
      </c>
      <c r="C863" s="2">
        <v>0.0</v>
      </c>
      <c r="D863" s="2">
        <v>88.0</v>
      </c>
      <c r="E863" s="2">
        <v>-559.84</v>
      </c>
    </row>
    <row r="864" spans="1:5" customHeight="1" x14ac:dyDescent="0.15">
      <c r="A864" s="2" t="s">
        <f>"0930000790013"</f>
        <v>1712</v>
      </c>
      <c r="B864" s="2" t="s">
        <f>"许曼菲"</f>
        <v>1713</v>
      </c>
      <c r="C864" s="2">
        <v>0.0</v>
      </c>
      <c r="D864" s="2">
        <v>0.0</v>
      </c>
      <c r="E864" s="2">
        <v>0.0</v>
      </c>
    </row>
    <row r="865" spans="1:5" customHeight="1" x14ac:dyDescent="0.15">
      <c r="A865" s="2" t="s">
        <f>"0930000790014"</f>
        <v>1714</v>
      </c>
      <c r="B865" s="2" t="s">
        <f>"张永仙"</f>
        <v>1715</v>
      </c>
      <c r="C865" s="2">
        <v>0.0</v>
      </c>
      <c r="D865" s="2">
        <v>0.0</v>
      </c>
      <c r="E865" s="2">
        <v>0.0</v>
      </c>
    </row>
    <row r="866" spans="1:5" customHeight="1" x14ac:dyDescent="0.15">
      <c r="A866" s="2" t="s">
        <f>"093000920512"</f>
        <v>1716</v>
      </c>
      <c r="B866" s="2" t="s">
        <f>"李彬"</f>
        <v>1717</v>
      </c>
      <c r="C866" s="2">
        <v>0.0</v>
      </c>
      <c r="D866" s="2">
        <v>0.0</v>
      </c>
      <c r="E866" s="2">
        <v>0.0</v>
      </c>
    </row>
    <row r="867" spans="1:5" customHeight="1" x14ac:dyDescent="0.15">
      <c r="A867" s="2" t="s">
        <f>"093000067920092"</f>
        <v>1718</v>
      </c>
      <c r="B867" s="2" t="s">
        <f>"姚剑"</f>
        <v>1719</v>
      </c>
      <c r="C867" s="2">
        <v>0.0</v>
      </c>
      <c r="D867" s="2">
        <v>0.0</v>
      </c>
      <c r="E867" s="2">
        <v>0.0</v>
      </c>
    </row>
    <row r="868" spans="1:5" customHeight="1" x14ac:dyDescent="0.15">
      <c r="A868" s="2" t="s">
        <f>"093000043920033"</f>
        <v>1720</v>
      </c>
      <c r="B868" s="2" t="s">
        <f>"韩九宾"</f>
        <v>1721</v>
      </c>
      <c r="C868" s="2">
        <v>-11.0</v>
      </c>
      <c r="D868" s="2">
        <v>-494.0</v>
      </c>
      <c r="E868" s="2">
        <v>-262.22</v>
      </c>
    </row>
    <row r="869" spans="1:5" customHeight="1" x14ac:dyDescent="0.15">
      <c r="A869" s="2" t="s">
        <f>"093000039001920012"</f>
        <v>1722</v>
      </c>
      <c r="B869" s="2" t="s">
        <f>"马翀"</f>
        <v>1723</v>
      </c>
      <c r="C869" s="2">
        <v>0.0</v>
      </c>
      <c r="D869" s="2">
        <v>-849.0</v>
      </c>
      <c r="E869" s="2">
        <v>-280.93</v>
      </c>
    </row>
    <row r="870" spans="1:5" customHeight="1" x14ac:dyDescent="0.15">
      <c r="A870" s="2" t="s">
        <f>"0930000510002"</f>
        <v>1724</v>
      </c>
      <c r="B870" s="2" t="s">
        <f>"张艳丽"</f>
        <v>1725</v>
      </c>
      <c r="C870" s="2">
        <v>0.0</v>
      </c>
      <c r="D870" s="2">
        <v>0.0</v>
      </c>
      <c r="E870" s="2">
        <v>0.0</v>
      </c>
    </row>
    <row r="871" spans="1:5" customHeight="1" x14ac:dyDescent="0.15">
      <c r="A871" s="2" t="s">
        <f>"0930000820001"</f>
        <v>1726</v>
      </c>
      <c r="B871" s="2" t="s">
        <f>"高武"</f>
        <v>1727</v>
      </c>
      <c r="C871" s="2">
        <v>0.0</v>
      </c>
      <c r="D871" s="2">
        <v>0.0</v>
      </c>
      <c r="E871" s="2">
        <v>0.0</v>
      </c>
    </row>
    <row r="872" spans="1:5" customHeight="1" x14ac:dyDescent="0.15">
      <c r="A872" s="2" t="s">
        <f>"093000047920011"</f>
        <v>1728</v>
      </c>
      <c r="B872" s="2" t="s">
        <f>"韩照印"</f>
        <v>1729</v>
      </c>
      <c r="C872" s="2">
        <v>0.0</v>
      </c>
      <c r="D872" s="2">
        <v>6872.0</v>
      </c>
      <c r="E872" s="2">
        <v>-837.09</v>
      </c>
    </row>
    <row r="873" spans="1:5" customHeight="1" x14ac:dyDescent="0.15">
      <c r="A873" s="2" t="s">
        <f>"093000043920034"</f>
        <v>1730</v>
      </c>
      <c r="B873" s="2" t="s">
        <f>"王林各"</f>
        <v>1731</v>
      </c>
      <c r="C873" s="2">
        <v>0.0</v>
      </c>
      <c r="D873" s="2">
        <v>-529.0</v>
      </c>
      <c r="E873" s="2">
        <v>-288.64</v>
      </c>
    </row>
    <row r="874" spans="1:5" customHeight="1" x14ac:dyDescent="0.15">
      <c r="A874" s="2" t="s">
        <f>"0930000790015"</f>
        <v>1732</v>
      </c>
      <c r="B874" s="2" t="s">
        <f>"严凯"</f>
        <v>1733</v>
      </c>
      <c r="C874" s="2">
        <v>0.0</v>
      </c>
      <c r="D874" s="2">
        <v>743.0</v>
      </c>
      <c r="E874" s="2">
        <v>-110.67</v>
      </c>
    </row>
    <row r="875" spans="1:5" customHeight="1" x14ac:dyDescent="0.15">
      <c r="A875" s="2" t="s">
        <f>"0930000000073"</f>
        <v>1734</v>
      </c>
      <c r="B875" s="2" t="s">
        <f>"杨莉"</f>
        <v>1735</v>
      </c>
      <c r="C875" s="2">
        <v>472.0</v>
      </c>
      <c r="D875" s="2">
        <v>-5777.0</v>
      </c>
      <c r="E875" s="2">
        <v>-3045.16</v>
      </c>
    </row>
    <row r="876" spans="1:5" customHeight="1" x14ac:dyDescent="0.15">
      <c r="A876" s="2" t="s">
        <f>"093000044920027"</f>
        <v>1736</v>
      </c>
      <c r="B876" s="2" t="s">
        <f>"胡海洲"</f>
        <v>1737</v>
      </c>
      <c r="C876" s="2">
        <v>0.0</v>
      </c>
      <c r="D876" s="2">
        <v>0.0</v>
      </c>
      <c r="E876" s="2">
        <v>0.0</v>
      </c>
    </row>
    <row r="877" spans="1:5" customHeight="1" x14ac:dyDescent="0.15">
      <c r="A877" s="2" t="s">
        <f>"093000039002000"</f>
        <v>1738</v>
      </c>
      <c r="B877" s="2" t="s">
        <f>"董幺松"</f>
        <v>1739</v>
      </c>
      <c r="C877" s="2">
        <v>0.0</v>
      </c>
      <c r="D877" s="2">
        <v>0.0</v>
      </c>
      <c r="E877" s="2">
        <v>0.0</v>
      </c>
    </row>
    <row r="878" spans="1:5" customHeight="1" x14ac:dyDescent="0.15">
      <c r="A878" s="2" t="s">
        <f>"093000043920035"</f>
        <v>1740</v>
      </c>
      <c r="B878" s="2" t="s">
        <f>"訾金蕊"</f>
        <v>1741</v>
      </c>
      <c r="C878" s="2">
        <v>0.0</v>
      </c>
      <c r="D878" s="2">
        <v>-328.0</v>
      </c>
      <c r="E878" s="2">
        <v>-1385.72</v>
      </c>
    </row>
    <row r="879" spans="1:5" customHeight="1" x14ac:dyDescent="0.15">
      <c r="A879" s="2" t="s">
        <f>"093000047920013"</f>
        <v>1742</v>
      </c>
      <c r="B879" s="2" t="s">
        <f>"景台"</f>
        <v>1743</v>
      </c>
      <c r="C879" s="2">
        <v>-677.0</v>
      </c>
      <c r="D879" s="2">
        <v>3933.0</v>
      </c>
      <c r="E879" s="2">
        <v>-673.81</v>
      </c>
    </row>
    <row r="880" spans="1:5" customHeight="1" x14ac:dyDescent="0.15">
      <c r="A880" s="2" t="s">
        <f>"093000044920029"</f>
        <v>1744</v>
      </c>
      <c r="B880" s="2" t="s">
        <f>"沈刚"</f>
        <v>1745</v>
      </c>
      <c r="C880" s="2">
        <v>-14.0</v>
      </c>
      <c r="D880" s="2">
        <v>2354.0</v>
      </c>
      <c r="E880" s="2">
        <v>-2839.72</v>
      </c>
    </row>
    <row r="881" spans="1:5" customHeight="1" x14ac:dyDescent="0.15">
      <c r="A881" s="2" t="s">
        <f>"093000044920030"</f>
        <v>1746</v>
      </c>
      <c r="B881" s="2" t="s">
        <f>"尹可敬"</f>
        <v>1747</v>
      </c>
      <c r="C881" s="2">
        <v>0.0</v>
      </c>
      <c r="D881" s="2">
        <v>0.0</v>
      </c>
      <c r="E881" s="2">
        <v>0.0</v>
      </c>
    </row>
    <row r="882" spans="1:5" customHeight="1" x14ac:dyDescent="0.15">
      <c r="A882" s="2" t="s">
        <f>"093000043920036"</f>
        <v>1748</v>
      </c>
      <c r="B882" s="2" t="s">
        <f>"宋江玲"</f>
        <v>1749</v>
      </c>
      <c r="C882" s="2">
        <v>0.0</v>
      </c>
      <c r="D882" s="2">
        <v>-516.0</v>
      </c>
      <c r="E882" s="2">
        <v>-996.43</v>
      </c>
    </row>
    <row r="883" spans="1:5" customHeight="1" x14ac:dyDescent="0.15">
      <c r="A883" s="2" t="s">
        <f>"0930000840000"</f>
        <v>1750</v>
      </c>
      <c r="B883" s="2" t="s">
        <f>"李琛琛"</f>
        <v>1751</v>
      </c>
      <c r="C883" s="2">
        <v>0.0</v>
      </c>
      <c r="D883" s="2">
        <v>0.0</v>
      </c>
      <c r="E883" s="2">
        <v>0.0</v>
      </c>
    </row>
    <row r="884" spans="1:5" customHeight="1" x14ac:dyDescent="0.15">
      <c r="A884" s="2" t="s">
        <f>"0930000670001"</f>
        <v>1752</v>
      </c>
      <c r="B884" s="2" t="s">
        <f>"王宏锦"</f>
        <v>1753</v>
      </c>
      <c r="C884" s="2">
        <v>0.0</v>
      </c>
      <c r="D884" s="2">
        <v>-454.0</v>
      </c>
      <c r="E884" s="2">
        <v>-91.49</v>
      </c>
    </row>
    <row r="885" spans="1:5" customHeight="1" x14ac:dyDescent="0.15">
      <c r="A885" s="2" t="s">
        <f>"093000920515"</f>
        <v>1754</v>
      </c>
      <c r="B885" s="2" t="s">
        <f>"吴湘军"</f>
        <v>1755</v>
      </c>
      <c r="C885" s="2">
        <v>0.0</v>
      </c>
      <c r="D885" s="2">
        <v>-1080.0</v>
      </c>
      <c r="E885" s="2">
        <v>-775.26</v>
      </c>
    </row>
    <row r="886" spans="1:5" customHeight="1" x14ac:dyDescent="0.15">
      <c r="A886" s="2" t="s">
        <f>"0930000670002"</f>
        <v>1756</v>
      </c>
      <c r="B886" s="2" t="s">
        <v>1757</v>
      </c>
      <c r="C886" s="2">
        <v>0.0</v>
      </c>
      <c r="D886" s="2">
        <v>-9.0</v>
      </c>
      <c r="E886" s="2">
        <v>-6.67</v>
      </c>
    </row>
    <row r="887" spans="1:5" customHeight="1" x14ac:dyDescent="0.15">
      <c r="A887" s="2" t="s">
        <f>"0930000670002"</f>
        <v>1756</v>
      </c>
      <c r="B887" s="2" t="s">
        <f>"张晓燕"</f>
        <v>1758</v>
      </c>
      <c r="C887" s="2">
        <v>0.0</v>
      </c>
      <c r="D887" s="2">
        <v>0.0</v>
      </c>
      <c r="E887" s="2">
        <v>0.0</v>
      </c>
    </row>
    <row r="888" spans="1:5" customHeight="1" x14ac:dyDescent="0.15">
      <c r="A888" s="2" t="s">
        <f>"093000044920032"</f>
        <v>1759</v>
      </c>
      <c r="B888" s="2" t="s">
        <f>"代永坤"</f>
        <v>1760</v>
      </c>
      <c r="C888" s="2">
        <v>-261.0</v>
      </c>
      <c r="D888" s="2">
        <v>1215.0</v>
      </c>
      <c r="E888" s="2">
        <v>-1472.52</v>
      </c>
    </row>
    <row r="889" spans="1:5" customHeight="1" x14ac:dyDescent="0.15">
      <c r="A889" s="2" t="s">
        <f>"093000040920059"</f>
        <v>1761</v>
      </c>
      <c r="B889" s="2" t="s">
        <f>"谷成彬"</f>
        <v>1762</v>
      </c>
      <c r="C889" s="2">
        <v>0.0</v>
      </c>
      <c r="D889" s="2">
        <v>-742.0</v>
      </c>
      <c r="E889" s="2">
        <v>-433.92</v>
      </c>
    </row>
    <row r="890" spans="1:5" customHeight="1" x14ac:dyDescent="0.15">
      <c r="A890" s="2" t="s">
        <f>"093000083920005"</f>
        <v>1763</v>
      </c>
      <c r="B890" s="2" t="s">
        <f>"陈康琼"</f>
        <v>1764</v>
      </c>
      <c r="C890" s="2">
        <v>0.0</v>
      </c>
      <c r="D890" s="2">
        <v>-11240.0</v>
      </c>
      <c r="E890" s="2">
        <v>-1758.93</v>
      </c>
    </row>
    <row r="891" spans="1:5" customHeight="1" x14ac:dyDescent="0.15">
      <c r="A891" s="2" t="s">
        <f>"093000067003"</f>
        <v>1765</v>
      </c>
      <c r="B891" s="2" t="s">
        <f>"张绍鹏"</f>
        <v>1766</v>
      </c>
      <c r="C891" s="2">
        <v>0.0</v>
      </c>
      <c r="D891" s="2">
        <v>0.0</v>
      </c>
      <c r="E891" s="2">
        <v>0.0</v>
      </c>
    </row>
    <row r="892" spans="1:5" customHeight="1" x14ac:dyDescent="0.15">
      <c r="A892" s="2" t="s">
        <f>"093000044920033"</f>
        <v>1767</v>
      </c>
      <c r="B892" s="2" t="s">
        <f>"陈志远"</f>
        <v>1768</v>
      </c>
      <c r="C892" s="2">
        <v>-2219.0</v>
      </c>
      <c r="D892" s="2">
        <v>472.0</v>
      </c>
      <c r="E892" s="2">
        <v>-664.5</v>
      </c>
    </row>
    <row r="893" spans="1:5" customHeight="1" x14ac:dyDescent="0.15">
      <c r="A893" s="2" t="s">
        <f>"0930000670003"</f>
        <v>1769</v>
      </c>
      <c r="B893" s="2" t="s">
        <f>"程相超"</f>
        <v>1770</v>
      </c>
      <c r="C893" s="2">
        <v>0.0</v>
      </c>
      <c r="D893" s="2">
        <v>1.0</v>
      </c>
      <c r="E893" s="2">
        <v>-6.62</v>
      </c>
    </row>
    <row r="894" spans="1:5" customHeight="1" x14ac:dyDescent="0.15">
      <c r="A894" s="2" t="s">
        <f>"0930000670004"</f>
        <v>1771</v>
      </c>
      <c r="B894" s="2" t="s">
        <f>"王文彬"</f>
        <v>1772</v>
      </c>
      <c r="C894" s="2">
        <v>0.0</v>
      </c>
      <c r="D894" s="2">
        <v>-4.0</v>
      </c>
      <c r="E894" s="2">
        <v>-6.52</v>
      </c>
    </row>
    <row r="895" spans="1:5" customHeight="1" x14ac:dyDescent="0.15">
      <c r="A895" s="2" t="s">
        <f>"093000047920014"</f>
        <v>1773</v>
      </c>
      <c r="B895" s="2" t="s">
        <f>"孙士朋"</f>
        <v>1774</v>
      </c>
      <c r="C895" s="2">
        <v>0.0</v>
      </c>
      <c r="D895" s="2">
        <v>195.0</v>
      </c>
      <c r="E895" s="2">
        <v>-54.89</v>
      </c>
    </row>
    <row r="896" spans="1:5" customHeight="1" x14ac:dyDescent="0.15">
      <c r="A896" s="2" t="s">
        <f>"0930000370002"</f>
        <v>1775</v>
      </c>
      <c r="B896" s="2" t="s">
        <f>"李向阳"</f>
        <v>1776</v>
      </c>
      <c r="C896" s="2">
        <v>0.0</v>
      </c>
      <c r="D896" s="2">
        <v>257.0</v>
      </c>
      <c r="E896" s="2">
        <v>-557.46</v>
      </c>
    </row>
    <row r="897" spans="1:5" customHeight="1" x14ac:dyDescent="0.15">
      <c r="A897" s="2" t="s">
        <f>"0930000400001"</f>
        <v>1777</v>
      </c>
      <c r="B897" s="2" t="s">
        <f>"张志兵"</f>
        <v>1778</v>
      </c>
      <c r="C897" s="2">
        <v>0.0</v>
      </c>
      <c r="D897" s="2">
        <v>0.0</v>
      </c>
      <c r="E897" s="2">
        <v>0.0</v>
      </c>
    </row>
    <row r="898" spans="1:5" customHeight="1" x14ac:dyDescent="0.15">
      <c r="A898" s="2" t="s">
        <f>"093000047920016"</f>
        <v>1779</v>
      </c>
      <c r="B898" s="2" t="s">
        <f>"王玉梅"</f>
        <v>1780</v>
      </c>
      <c r="C898" s="2">
        <v>0.0</v>
      </c>
      <c r="D898" s="2">
        <v>2112.0</v>
      </c>
      <c r="E898" s="2">
        <v>-434.74</v>
      </c>
    </row>
    <row r="899" spans="1:5" customHeight="1" x14ac:dyDescent="0.15">
      <c r="A899" s="2" t="s">
        <f>"093000047920015"</f>
        <v>1781</v>
      </c>
      <c r="B899" s="2" t="s">
        <f>"付国栓"</f>
        <v>1782</v>
      </c>
      <c r="C899" s="2">
        <v>0.0</v>
      </c>
      <c r="D899" s="2">
        <v>0.0</v>
      </c>
      <c r="E899" s="2">
        <v>0.0</v>
      </c>
    </row>
    <row r="900" spans="1:5" customHeight="1" x14ac:dyDescent="0.15">
      <c r="A900" s="2" t="s">
        <f>"0930000670000"</f>
        <v>1783</v>
      </c>
      <c r="B900" s="2" t="s">
        <f>"张绍鹏"</f>
        <v>1766</v>
      </c>
      <c r="C900" s="2">
        <v>0.0</v>
      </c>
      <c r="D900" s="2">
        <v>3.0</v>
      </c>
      <c r="E900" s="2">
        <v>-6.5</v>
      </c>
    </row>
    <row r="901" spans="1:5" customHeight="1" x14ac:dyDescent="0.15">
      <c r="A901" s="2" t="s">
        <f>"0930000000074"</f>
        <v>1784</v>
      </c>
      <c r="B901" s="2" t="s">
        <f>"张广强"</f>
        <v>1785</v>
      </c>
      <c r="C901" s="2">
        <v>0.0</v>
      </c>
      <c r="D901" s="2">
        <v>0.0</v>
      </c>
      <c r="E901" s="2">
        <v>0.0</v>
      </c>
    </row>
    <row r="902" spans="1:5" customHeight="1" x14ac:dyDescent="0.15">
      <c r="A902" s="2" t="s">
        <f>"0930000510003"</f>
        <v>1786</v>
      </c>
      <c r="B902" s="2" t="s">
        <f>"刘静宇"</f>
        <v>1787</v>
      </c>
      <c r="C902" s="2">
        <v>0.0</v>
      </c>
      <c r="D902" s="2">
        <v>0.0</v>
      </c>
      <c r="E902" s="2">
        <v>0.0</v>
      </c>
    </row>
    <row r="903" spans="1:5" customHeight="1" x14ac:dyDescent="0.15">
      <c r="A903" s="2" t="s">
        <f>"093000059920022"</f>
        <v>1788</v>
      </c>
      <c r="B903" s="2" t="s">
        <f>"麻梁"</f>
        <v>1789</v>
      </c>
      <c r="C903" s="2">
        <v>111.0</v>
      </c>
      <c r="D903" s="2">
        <v>-1905.0</v>
      </c>
      <c r="E903" s="2">
        <v>-1374.05</v>
      </c>
    </row>
    <row r="904" spans="1:5" customHeight="1" x14ac:dyDescent="0.15">
      <c r="A904" s="2" t="s">
        <f>"093000059920022"</f>
        <v>1788</v>
      </c>
      <c r="B904" s="2" t="s">
        <f>"麻粱"</f>
        <v>1790</v>
      </c>
      <c r="C904" s="2">
        <v>0.0</v>
      </c>
      <c r="D904" s="2">
        <v>0.0</v>
      </c>
      <c r="E904" s="2">
        <v>0.0</v>
      </c>
    </row>
    <row r="905" spans="1:5" customHeight="1" x14ac:dyDescent="0.15">
      <c r="A905" s="2" t="s">
        <f>"0930000000102"</f>
        <v>1791</v>
      </c>
      <c r="B905" s="2" t="s">
        <f>"田凯敏"</f>
        <v>1792</v>
      </c>
      <c r="C905" s="2">
        <v>0.0</v>
      </c>
      <c r="D905" s="2">
        <v>0.0</v>
      </c>
      <c r="E905" s="2">
        <v>0.0</v>
      </c>
    </row>
    <row r="906" spans="1:5" customHeight="1" x14ac:dyDescent="0.15">
      <c r="A906" s="2" t="s">
        <f>"093000044920036"</f>
        <v>1793</v>
      </c>
      <c r="B906" s="2" t="s">
        <f>"易思波"</f>
        <v>1794</v>
      </c>
      <c r="C906" s="2">
        <v>0.0</v>
      </c>
      <c r="D906" s="2">
        <v>-800.0</v>
      </c>
      <c r="E906" s="2">
        <v>-1106.44</v>
      </c>
    </row>
    <row r="907" spans="1:5" customHeight="1" x14ac:dyDescent="0.15">
      <c r="A907" s="2" t="s">
        <f>"0930000790000"</f>
        <v>1795</v>
      </c>
      <c r="B907" s="2" t="s">
        <f>"陈朕"</f>
        <v>1796</v>
      </c>
      <c r="C907" s="2">
        <v>0.0</v>
      </c>
      <c r="D907" s="2">
        <v>0.0</v>
      </c>
      <c r="E907" s="2">
        <v>0.0</v>
      </c>
    </row>
    <row r="908" spans="1:5" customHeight="1" x14ac:dyDescent="0.15">
      <c r="A908" s="2" t="s">
        <f>"093000044920038"</f>
        <v>1797</v>
      </c>
      <c r="B908" s="2" t="s">
        <f>"滕改玲"</f>
        <v>1798</v>
      </c>
      <c r="C908" s="2">
        <v>0.0</v>
      </c>
      <c r="D908" s="2">
        <v>-1045.0</v>
      </c>
      <c r="E908" s="2">
        <v>-492.02</v>
      </c>
    </row>
    <row r="909" spans="1:5" customHeight="1" x14ac:dyDescent="0.15">
      <c r="A909" s="2" t="s">
        <f>"0930000670005"</f>
        <v>1799</v>
      </c>
      <c r="B909" s="2" t="s">
        <v>1800</v>
      </c>
      <c r="C909" s="2">
        <v>0.0</v>
      </c>
      <c r="D909" s="2">
        <v>-10.0</v>
      </c>
      <c r="E909" s="2">
        <v>-6.45</v>
      </c>
    </row>
    <row r="910" spans="1:5" customHeight="1" x14ac:dyDescent="0.15">
      <c r="A910" s="2" t="s">
        <f>"0930000670005"</f>
        <v>1799</v>
      </c>
      <c r="B910" s="2" t="s">
        <f>"李宁宁"</f>
        <v>1801</v>
      </c>
      <c r="C910" s="2">
        <v>0.0</v>
      </c>
      <c r="D910" s="2">
        <v>-636.0</v>
      </c>
      <c r="E910" s="2">
        <v>-546.02</v>
      </c>
    </row>
    <row r="911" spans="1:5" customHeight="1" x14ac:dyDescent="0.15">
      <c r="A911" s="2" t="s">
        <f>"0930000000103"</f>
        <v>1802</v>
      </c>
      <c r="B911" s="2" t="s">
        <f>"刘向满"</f>
        <v>1803</v>
      </c>
      <c r="C911" s="2">
        <v>0.0</v>
      </c>
      <c r="D911" s="2">
        <v>0.0</v>
      </c>
      <c r="E911" s="2">
        <v>0.0</v>
      </c>
    </row>
    <row r="912" spans="1:5" customHeight="1" x14ac:dyDescent="0.15">
      <c r="A912" s="2" t="s">
        <f>"0930000620013"</f>
        <v>1804</v>
      </c>
      <c r="B912" s="2" t="s">
        <f>"王芳利"</f>
        <v>1805</v>
      </c>
      <c r="C912" s="2">
        <v>0.0</v>
      </c>
      <c r="D912" s="2">
        <v>0.0</v>
      </c>
      <c r="E912" s="2">
        <v>0.0</v>
      </c>
    </row>
    <row r="913" spans="1:5" customHeight="1" x14ac:dyDescent="0.15">
      <c r="A913" s="2" t="s">
        <f>"0930000730007"</f>
        <v>1806</v>
      </c>
      <c r="B913" s="2" t="s">
        <f>"张海波"</f>
        <v>1807</v>
      </c>
      <c r="C913" s="2">
        <v>0.0</v>
      </c>
      <c r="D913" s="2">
        <v>-352.0</v>
      </c>
      <c r="E913" s="2">
        <v>-55.29</v>
      </c>
    </row>
    <row r="914" spans="1:5" customHeight="1" x14ac:dyDescent="0.15">
      <c r="A914" s="2" t="s">
        <f>"0930000730008"</f>
        <v>1808</v>
      </c>
      <c r="B914" s="2" t="s">
        <f>"王蒋吉"</f>
        <v>1809</v>
      </c>
      <c r="C914" s="2">
        <v>0.0</v>
      </c>
      <c r="D914" s="2">
        <v>0.0</v>
      </c>
      <c r="E914" s="2">
        <v>0.0</v>
      </c>
    </row>
    <row r="915" spans="1:5" customHeight="1" x14ac:dyDescent="0.15">
      <c r="A915" s="2" t="s">
        <f>"093000044920039"</f>
        <v>1810</v>
      </c>
      <c r="B915" s="2" t="s">
        <f>"符文楠"</f>
        <v>1811</v>
      </c>
      <c r="C915" s="2">
        <v>25.0</v>
      </c>
      <c r="D915" s="2">
        <v>-85.0</v>
      </c>
      <c r="E915" s="2">
        <v>-125.5</v>
      </c>
    </row>
    <row r="916" spans="1:5" customHeight="1" x14ac:dyDescent="0.15">
      <c r="A916" s="2" t="s">
        <f>"0930000620014"</f>
        <v>1812</v>
      </c>
      <c r="B916" s="2" t="s">
        <f>"白英杰"</f>
        <v>1813</v>
      </c>
      <c r="C916" s="2">
        <v>0.0</v>
      </c>
      <c r="D916" s="2">
        <v>0.0</v>
      </c>
      <c r="E916" s="2">
        <v>0.0</v>
      </c>
    </row>
    <row r="917" spans="1:5" customHeight="1" x14ac:dyDescent="0.15">
      <c r="A917" s="2" t="s">
        <f>"0930000370003"</f>
        <v>1814</v>
      </c>
      <c r="B917" s="2" t="s">
        <f>"李兵雅"</f>
        <v>1815</v>
      </c>
      <c r="C917" s="2">
        <v>0.0</v>
      </c>
      <c r="D917" s="2">
        <v>431.0</v>
      </c>
      <c r="E917" s="2">
        <v>-160.38</v>
      </c>
    </row>
    <row r="918" spans="1:5" customHeight="1" x14ac:dyDescent="0.15">
      <c r="A918" s="2" t="s">
        <f>"093000039001920013"</f>
        <v>1816</v>
      </c>
      <c r="B918" s="2" t="s">
        <f>"张培源"</f>
        <v>1817</v>
      </c>
      <c r="C918" s="2">
        <v>0.0</v>
      </c>
      <c r="D918" s="2">
        <v>0.0</v>
      </c>
      <c r="E918" s="2">
        <v>0.0</v>
      </c>
    </row>
    <row r="919" spans="1:5" customHeight="1" x14ac:dyDescent="0.15">
      <c r="A919" s="2" t="s">
        <f>"093000043920037"</f>
        <v>1818</v>
      </c>
      <c r="B919" s="2" t="s">
        <f>"张改"</f>
        <v>1819</v>
      </c>
      <c r="C919" s="2">
        <v>0.0</v>
      </c>
      <c r="D919" s="2">
        <v>1612.0</v>
      </c>
      <c r="E919" s="2">
        <v>-573.91</v>
      </c>
    </row>
    <row r="920" spans="1:5" customHeight="1" x14ac:dyDescent="0.15">
      <c r="A920" s="2" t="s">
        <f>"093000043920038"</f>
        <v>1820</v>
      </c>
      <c r="B920" s="2" t="s">
        <f>"吴占东"</f>
        <v>1821</v>
      </c>
      <c r="C920" s="2">
        <v>-200.0</v>
      </c>
      <c r="D920" s="2">
        <v>-636.0</v>
      </c>
      <c r="E920" s="2">
        <v>-2041.54</v>
      </c>
    </row>
    <row r="921" spans="1:5" customHeight="1" x14ac:dyDescent="0.15">
      <c r="A921" s="2" t="s">
        <f>"0930000670006"</f>
        <v>1822</v>
      </c>
      <c r="B921" s="2" t="s">
        <v>1823</v>
      </c>
      <c r="C921" s="2">
        <v>0.0</v>
      </c>
      <c r="D921" s="2">
        <v>-13.0</v>
      </c>
      <c r="E921" s="2">
        <v>-6.49</v>
      </c>
    </row>
    <row r="922" spans="1:5" customHeight="1" x14ac:dyDescent="0.15">
      <c r="A922" s="2" t="s">
        <f>"0930000670006"</f>
        <v>1822</v>
      </c>
      <c r="B922" s="2" t="s">
        <f>"李阿敏"</f>
        <v>1824</v>
      </c>
      <c r="C922" s="2">
        <v>0.0</v>
      </c>
      <c r="D922" s="2">
        <v>0.0</v>
      </c>
      <c r="E922" s="2">
        <v>0.0</v>
      </c>
    </row>
    <row r="923" spans="1:5" customHeight="1" x14ac:dyDescent="0.15">
      <c r="A923" s="2" t="s">
        <f>"093000040920060"</f>
        <v>1825</v>
      </c>
      <c r="B923" s="2" t="s">
        <f>"武建全"</f>
        <v>1826</v>
      </c>
      <c r="C923" s="2">
        <v>0.0</v>
      </c>
      <c r="D923" s="2">
        <v>-446.0</v>
      </c>
      <c r="E923" s="2">
        <v>-218.68</v>
      </c>
    </row>
    <row r="924" spans="1:5" customHeight="1" x14ac:dyDescent="0.15">
      <c r="A924" s="2" t="s">
        <f>"093000039001920014"</f>
        <v>1827</v>
      </c>
      <c r="B924" s="2" t="s">
        <f>"王涛"</f>
        <v>1828</v>
      </c>
      <c r="C924" s="2">
        <v>0.0</v>
      </c>
      <c r="D924" s="2">
        <v>0.0</v>
      </c>
      <c r="E924" s="2">
        <v>0.0</v>
      </c>
    </row>
    <row r="925" spans="1:5" customHeight="1" x14ac:dyDescent="0.15">
      <c r="A925" s="2" t="s">
        <f>"093000063920016"</f>
        <v>1829</v>
      </c>
      <c r="B925" s="2" t="s">
        <f>"吕萍"</f>
        <v>1830</v>
      </c>
      <c r="C925" s="2">
        <v>0.0</v>
      </c>
      <c r="D925" s="2">
        <v>-878.0</v>
      </c>
      <c r="E925" s="2">
        <v>-165.18</v>
      </c>
    </row>
    <row r="926" spans="1:5" customHeight="1" x14ac:dyDescent="0.15">
      <c r="A926" s="2" t="s">
        <f>"093000920521"</f>
        <v>1831</v>
      </c>
      <c r="B926" s="2" t="s">
        <f>"马佳丽"</f>
        <v>1832</v>
      </c>
      <c r="C926" s="2">
        <v>0.0</v>
      </c>
      <c r="D926" s="2">
        <v>0.0</v>
      </c>
      <c r="E926" s="2">
        <v>0.0</v>
      </c>
    </row>
    <row r="927" spans="1:5" customHeight="1" x14ac:dyDescent="0.15">
      <c r="A927" s="2" t="s">
        <f>"093000039001920015"</f>
        <v>1833</v>
      </c>
      <c r="B927" s="2" t="s">
        <f>"马达"</f>
        <v>1834</v>
      </c>
      <c r="C927" s="2">
        <v>0.0</v>
      </c>
      <c r="D927" s="2">
        <v>353.0</v>
      </c>
      <c r="E927" s="2">
        <v>-608.49</v>
      </c>
    </row>
    <row r="928" spans="1:5" customHeight="1" x14ac:dyDescent="0.15">
      <c r="A928" s="2" t="s">
        <f>"0930000000104"</f>
        <v>1835</v>
      </c>
      <c r="B928" s="2" t="s">
        <f>"袁高飞"</f>
        <v>1836</v>
      </c>
      <c r="C928" s="2">
        <v>0.0</v>
      </c>
      <c r="D928" s="2">
        <v>-3.0</v>
      </c>
      <c r="E928" s="2">
        <v>-6.46</v>
      </c>
    </row>
    <row r="929" spans="1:5" customHeight="1" x14ac:dyDescent="0.15">
      <c r="A929" s="2" t="s">
        <f>"093000039001920016"</f>
        <v>1837</v>
      </c>
      <c r="B929" s="2" t="s">
        <f>"李金平"</f>
        <v>541</v>
      </c>
      <c r="C929" s="2">
        <v>-655.0</v>
      </c>
      <c r="D929" s="2">
        <v>2057.0</v>
      </c>
      <c r="E929" s="2">
        <v>-1859.06</v>
      </c>
    </row>
    <row r="930" spans="1:5" customHeight="1" x14ac:dyDescent="0.15">
      <c r="A930" s="2" t="s">
        <f>"0930000440000"</f>
        <v>1838</v>
      </c>
      <c r="B930" s="2" t="s">
        <f>"朱婉莹"</f>
        <v>1839</v>
      </c>
      <c r="C930" s="2">
        <v>0.0</v>
      </c>
      <c r="D930" s="2">
        <v>-424.0</v>
      </c>
      <c r="E930" s="2">
        <v>-57.22</v>
      </c>
    </row>
    <row r="931" spans="1:5" customHeight="1" x14ac:dyDescent="0.15">
      <c r="A931" s="2" t="s">
        <f>"0930000370004"</f>
        <v>1840</v>
      </c>
      <c r="B931" s="2" t="s">
        <f>"毕亚强"</f>
        <v>1841</v>
      </c>
      <c r="C931" s="2">
        <v>0.0</v>
      </c>
      <c r="D931" s="2">
        <v>0.0</v>
      </c>
      <c r="E931" s="2">
        <v>0.0</v>
      </c>
    </row>
    <row r="932" spans="1:5" customHeight="1" x14ac:dyDescent="0.15">
      <c r="A932" s="2" t="s">
        <f>"0930000000105"</f>
        <v>1842</v>
      </c>
      <c r="B932" s="2" t="s">
        <f>"安桃桃"</f>
        <v>1843</v>
      </c>
      <c r="C932" s="2">
        <v>0.0</v>
      </c>
      <c r="D932" s="2">
        <v>0.0</v>
      </c>
      <c r="E932" s="2">
        <v>0.0</v>
      </c>
    </row>
    <row r="933" spans="1:5" customHeight="1" x14ac:dyDescent="0.15">
      <c r="A933" s="2" t="s">
        <f>"093000047920017"</f>
        <v>1844</v>
      </c>
      <c r="B933" s="2" t="s">
        <f>"韩秀奇"</f>
        <v>1845</v>
      </c>
      <c r="C933" s="2">
        <v>0.0</v>
      </c>
      <c r="D933" s="2">
        <v>501.0</v>
      </c>
      <c r="E933" s="2">
        <v>-224.39</v>
      </c>
    </row>
    <row r="934" spans="1:5" customHeight="1" x14ac:dyDescent="0.15">
      <c r="A934" s="2" t="s">
        <f>"0930000000075"</f>
        <v>1846</v>
      </c>
      <c r="B934" s="2" t="s">
        <f>"赵世杰"</f>
        <v>1847</v>
      </c>
      <c r="C934" s="2">
        <v>-2867.0</v>
      </c>
      <c r="D934" s="2">
        <v>-777.0</v>
      </c>
      <c r="E934" s="2">
        <v>-599.71</v>
      </c>
    </row>
    <row r="935" spans="1:5" customHeight="1" x14ac:dyDescent="0.15">
      <c r="A935" s="2" t="s">
        <f>"093000047920018"</f>
        <v>1848</v>
      </c>
      <c r="B935" s="2" t="s">
        <f>"张永生"</f>
        <v>1849</v>
      </c>
      <c r="C935" s="2">
        <v>0.0</v>
      </c>
      <c r="D935" s="2">
        <v>8097.0</v>
      </c>
      <c r="E935" s="2">
        <v>-1082.54</v>
      </c>
    </row>
    <row r="936" spans="1:5" customHeight="1" x14ac:dyDescent="0.15">
      <c r="A936" s="2" t="s">
        <f>"0930000630000"</f>
        <v>1850</v>
      </c>
      <c r="B936" s="2" t="s">
        <f>"陈雅欣"</f>
        <v>1851</v>
      </c>
      <c r="C936" s="2">
        <v>-316.0</v>
      </c>
      <c r="D936" s="2">
        <v>-1108.0</v>
      </c>
      <c r="E936" s="2">
        <v>-274.89</v>
      </c>
    </row>
    <row r="937" spans="1:5" customHeight="1" x14ac:dyDescent="0.15">
      <c r="A937" s="2" t="s">
        <f>"093000046920020"</f>
        <v>1852</v>
      </c>
      <c r="B937" s="2" t="s">
        <f>"柯小女"</f>
        <v>1853</v>
      </c>
      <c r="C937" s="2">
        <v>0.0</v>
      </c>
      <c r="D937" s="2">
        <v>0.0</v>
      </c>
      <c r="E937" s="2">
        <v>0.0</v>
      </c>
    </row>
    <row r="938" spans="1:5" customHeight="1" x14ac:dyDescent="0.15">
      <c r="A938" s="2" t="s">
        <f>"0930000670007"</f>
        <v>1854</v>
      </c>
      <c r="B938" s="2" t="s">
        <f>"宋松霖"</f>
        <v>1855</v>
      </c>
      <c r="C938" s="2">
        <v>0.0</v>
      </c>
      <c r="D938" s="2">
        <v>-7.0</v>
      </c>
      <c r="E938" s="2">
        <v>-6.36</v>
      </c>
    </row>
    <row r="939" spans="1:5" customHeight="1" x14ac:dyDescent="0.15">
      <c r="A939" s="2" t="s">
        <f>"093000046920021"</f>
        <v>1856</v>
      </c>
      <c r="B939" s="2" t="s">
        <f>"张玉芬"</f>
        <v>1857</v>
      </c>
      <c r="C939" s="2">
        <v>0.0</v>
      </c>
      <c r="D939" s="2">
        <v>-689.0</v>
      </c>
      <c r="E939" s="2">
        <v>-537.97</v>
      </c>
    </row>
    <row r="940" spans="1:5" customHeight="1" x14ac:dyDescent="0.15">
      <c r="A940" s="2" t="s">
        <f>"093000059920023"</f>
        <v>1858</v>
      </c>
      <c r="B940" s="2" t="s">
        <f>"袁帅"</f>
        <v>1859</v>
      </c>
      <c r="C940" s="2">
        <v>133.0</v>
      </c>
      <c r="D940" s="2">
        <v>-2431.0</v>
      </c>
      <c r="E940" s="2">
        <v>-818.8</v>
      </c>
    </row>
    <row r="941" spans="1:5" customHeight="1" x14ac:dyDescent="0.15">
      <c r="A941" s="2" t="s">
        <f>"0930000000106"</f>
        <v>1860</v>
      </c>
      <c r="B941" s="2" t="s">
        <f>"段攀超"</f>
        <v>1861</v>
      </c>
      <c r="C941" s="2">
        <v>0.0</v>
      </c>
      <c r="D941" s="2">
        <v>5.0</v>
      </c>
      <c r="E941" s="2">
        <v>-60.59</v>
      </c>
    </row>
    <row r="942" spans="1:5" customHeight="1" x14ac:dyDescent="0.15">
      <c r="A942" s="2" t="s">
        <f>"0930000670008"</f>
        <v>1862</v>
      </c>
      <c r="B942" s="2" t="s">
        <f>"吕世蕾"</f>
        <v>1863</v>
      </c>
      <c r="C942" s="2">
        <v>0.0</v>
      </c>
      <c r="D942" s="2">
        <v>-3.0</v>
      </c>
      <c r="E942" s="2">
        <v>-6.38</v>
      </c>
    </row>
    <row r="943" spans="1:5" customHeight="1" x14ac:dyDescent="0.15">
      <c r="A943" s="2" t="s">
        <f>"0930000000107"</f>
        <v>1864</v>
      </c>
      <c r="B943" s="2" t="s">
        <f>"梁永富"</f>
        <v>1865</v>
      </c>
      <c r="C943" s="2">
        <v>0.0</v>
      </c>
      <c r="D943" s="2">
        <v>0.0</v>
      </c>
      <c r="E943" s="2">
        <v>0.0</v>
      </c>
    </row>
    <row r="944" spans="1:5" customHeight="1" x14ac:dyDescent="0.15">
      <c r="A944" s="2" t="s">
        <f>"0930000670009"</f>
        <v>1866</v>
      </c>
      <c r="B944" s="2" t="s">
        <f>"朱晨飞"</f>
        <v>1867</v>
      </c>
      <c r="C944" s="2">
        <v>0.0</v>
      </c>
      <c r="D944" s="2">
        <v>-6.0</v>
      </c>
      <c r="E944" s="2">
        <v>-6.37</v>
      </c>
    </row>
    <row r="945" spans="1:5" customHeight="1" x14ac:dyDescent="0.15">
      <c r="A945" s="2" t="s">
        <f>"0930000000108"</f>
        <v>1868</v>
      </c>
      <c r="B945" s="2" t="s">
        <f>"冯佩田"</f>
        <v>1869</v>
      </c>
      <c r="C945" s="2">
        <v>0.0</v>
      </c>
      <c r="D945" s="2">
        <v>-6.0</v>
      </c>
      <c r="E945" s="2">
        <v>-6.37</v>
      </c>
    </row>
    <row r="946" spans="1:5" customHeight="1" x14ac:dyDescent="0.15">
      <c r="A946" s="2" t="s">
        <f>"093000043920039"</f>
        <v>1870</v>
      </c>
      <c r="B946" s="2" t="s">
        <f>"王聚兴"</f>
        <v>1871</v>
      </c>
      <c r="C946" s="2">
        <v>0.0</v>
      </c>
      <c r="D946" s="2">
        <v>-1111.0</v>
      </c>
      <c r="E946" s="2">
        <v>-306.98</v>
      </c>
    </row>
    <row r="947" spans="1:5" customHeight="1" x14ac:dyDescent="0.15">
      <c r="A947" s="2" t="s">
        <f>"0930000670010"</f>
        <v>1872</v>
      </c>
      <c r="B947" s="2" t="s">
        <f>"庞永琴"</f>
        <v>1873</v>
      </c>
      <c r="C947" s="2">
        <v>0.0</v>
      </c>
      <c r="D947" s="2">
        <v>-3.0</v>
      </c>
      <c r="E947" s="2">
        <v>-6.38</v>
      </c>
    </row>
    <row r="948" spans="1:5" customHeight="1" x14ac:dyDescent="0.15">
      <c r="A948" s="2" t="s">
        <f>"0930000670012"</f>
        <v>1874</v>
      </c>
      <c r="B948" s="2" t="s">
        <f>"赵志辰"</f>
        <v>1875</v>
      </c>
      <c r="C948" s="2">
        <v>0.0</v>
      </c>
      <c r="D948" s="2">
        <v>55.0</v>
      </c>
      <c r="E948" s="2">
        <v>-55.72</v>
      </c>
    </row>
    <row r="949" spans="1:5" customHeight="1" x14ac:dyDescent="0.15">
      <c r="A949" s="2" t="s">
        <f>"093000083920006"</f>
        <v>1876</v>
      </c>
      <c r="B949" s="2" t="s">
        <f>"殷锦国"</f>
        <v>1877</v>
      </c>
      <c r="C949" s="2">
        <v>-45.0</v>
      </c>
      <c r="D949" s="2">
        <v>-5085.0</v>
      </c>
      <c r="E949" s="2">
        <v>-1509.68</v>
      </c>
    </row>
    <row r="950" spans="1:5" customHeight="1" x14ac:dyDescent="0.15">
      <c r="A950" s="2" t="s">
        <f>"0930000670013"</f>
        <v>1878</v>
      </c>
      <c r="B950" s="2" t="s">
        <f>"陈钊岐"</f>
        <v>1879</v>
      </c>
      <c r="C950" s="2">
        <v>0.0</v>
      </c>
      <c r="D950" s="2">
        <v>-10.0</v>
      </c>
      <c r="E950" s="2">
        <v>-6.37</v>
      </c>
    </row>
    <row r="951" spans="1:5" customHeight="1" x14ac:dyDescent="0.15">
      <c r="A951" s="2" t="s">
        <f>"0930000688888"</f>
        <v>1880</v>
      </c>
      <c r="B951" s="2" t="s">
        <f>"陆庆妃"</f>
        <v>1881</v>
      </c>
      <c r="C951" s="2">
        <v>0.0</v>
      </c>
      <c r="D951" s="2">
        <v>-249.0</v>
      </c>
      <c r="E951" s="2">
        <v>-56.45</v>
      </c>
    </row>
    <row r="952" spans="1:5" customHeight="1" x14ac:dyDescent="0.15">
      <c r="A952" s="2" t="s">
        <f>"0930000670014"</f>
        <v>1882</v>
      </c>
      <c r="B952" s="2" t="s">
        <f>"高胜艳"</f>
        <v>1883</v>
      </c>
      <c r="C952" s="2">
        <v>0.0</v>
      </c>
      <c r="D952" s="2">
        <v>-277.0</v>
      </c>
      <c r="E952" s="2">
        <v>-174.28</v>
      </c>
    </row>
    <row r="953" spans="1:5" customHeight="1" x14ac:dyDescent="0.15">
      <c r="A953" s="2" t="s">
        <f>"0930000670015"</f>
        <v>1884</v>
      </c>
      <c r="B953" s="2" t="s">
        <f>"吕召召"</f>
        <v>1885</v>
      </c>
      <c r="C953" s="2">
        <v>0.0</v>
      </c>
      <c r="D953" s="2">
        <v>-6.0</v>
      </c>
      <c r="E953" s="2">
        <v>-6.37</v>
      </c>
    </row>
    <row r="954" spans="1:5" customHeight="1" x14ac:dyDescent="0.15">
      <c r="A954" s="2" t="s">
        <f>"0930000670016"</f>
        <v>1886</v>
      </c>
      <c r="B954" s="2" t="s">
        <f>"张海兰"</f>
        <v>1887</v>
      </c>
      <c r="C954" s="2">
        <v>0.0</v>
      </c>
      <c r="D954" s="2">
        <v>-6.0</v>
      </c>
      <c r="E954" s="2">
        <v>-6.38</v>
      </c>
    </row>
    <row r="955" spans="1:5" customHeight="1" x14ac:dyDescent="0.15">
      <c r="A955" s="2" t="s">
        <f>"093000059920024"</f>
        <v>1888</v>
      </c>
      <c r="B955" s="2" t="s">
        <f>"闫小红"</f>
        <v>1889</v>
      </c>
      <c r="C955" s="2">
        <v>-14.0</v>
      </c>
      <c r="D955" s="2">
        <v>2382.0</v>
      </c>
      <c r="E955" s="2">
        <v>-1119.08</v>
      </c>
    </row>
    <row r="956" spans="1:5" customHeight="1" x14ac:dyDescent="0.15">
      <c r="A956" s="2" t="s">
        <f>"093000067920094"</f>
        <v>1890</v>
      </c>
      <c r="B956" s="2" t="s">
        <f>"张自昌"</f>
        <v>1891</v>
      </c>
      <c r="C956" s="2">
        <v>0.0</v>
      </c>
      <c r="D956" s="2">
        <v>-6.0</v>
      </c>
      <c r="E956" s="2">
        <v>-6.37</v>
      </c>
    </row>
    <row r="957" spans="1:5" customHeight="1" x14ac:dyDescent="0.15">
      <c r="A957" s="2" t="s">
        <f>"0930000670017"</f>
        <v>1892</v>
      </c>
      <c r="B957" s="2" t="s">
        <f>"冯琦"</f>
        <v>1893</v>
      </c>
      <c r="C957" s="2">
        <v>0.0</v>
      </c>
      <c r="D957" s="2">
        <v>-5.0</v>
      </c>
      <c r="E957" s="2">
        <v>-6.38</v>
      </c>
    </row>
    <row r="958" spans="1:5" customHeight="1" x14ac:dyDescent="0.15">
      <c r="A958" s="2" t="s">
        <f>"0930000670018"</f>
        <v>1894</v>
      </c>
      <c r="B958" s="2" t="s">
        <f>"陈亚光"</f>
        <v>1895</v>
      </c>
      <c r="C958" s="2">
        <v>0.0</v>
      </c>
      <c r="D958" s="2">
        <v>-7.0</v>
      </c>
      <c r="E958" s="2">
        <v>-6.37</v>
      </c>
    </row>
    <row r="959" spans="1:5" customHeight="1" x14ac:dyDescent="0.15">
      <c r="A959" s="2" t="s">
        <f>"093000043920040"</f>
        <v>1896</v>
      </c>
      <c r="B959" s="2" t="s">
        <f>"穆春来"</f>
        <v>1897</v>
      </c>
      <c r="C959" s="2">
        <v>62.0</v>
      </c>
      <c r="D959" s="2">
        <v>197.0</v>
      </c>
      <c r="E959" s="2">
        <v>-781.18</v>
      </c>
    </row>
    <row r="960" spans="1:5" customHeight="1" x14ac:dyDescent="0.15">
      <c r="A960" s="2" t="s">
        <f>"093000043920041"</f>
        <v>1898</v>
      </c>
      <c r="B960" s="2" t="s">
        <f>"李江丽"</f>
        <v>1899</v>
      </c>
      <c r="C960" s="2">
        <v>0.0</v>
      </c>
      <c r="D960" s="2">
        <v>-365.0</v>
      </c>
      <c r="E960" s="2">
        <v>-1284.36</v>
      </c>
    </row>
    <row r="961" spans="1:5" customHeight="1" x14ac:dyDescent="0.15">
      <c r="A961" s="2" t="s">
        <f>"093000043920043"</f>
        <v>1900</v>
      </c>
      <c r="B961" s="2" t="s">
        <f>"张宗泽"</f>
        <v>1901</v>
      </c>
      <c r="C961" s="2">
        <v>0.0</v>
      </c>
      <c r="D961" s="2">
        <v>1129.0</v>
      </c>
      <c r="E961" s="2">
        <v>-2676.1</v>
      </c>
    </row>
    <row r="962" spans="1:5" customHeight="1" x14ac:dyDescent="0.15">
      <c r="A962" s="2" t="s">
        <f>"093000039001920017"</f>
        <v>1902</v>
      </c>
      <c r="B962" s="2" t="s">
        <f>"张瑞芳"</f>
        <v>1903</v>
      </c>
      <c r="C962" s="2">
        <v>-578.0</v>
      </c>
      <c r="D962" s="2">
        <v>-104.0</v>
      </c>
      <c r="E962" s="2">
        <v>-543.69</v>
      </c>
    </row>
    <row r="963" spans="1:5" customHeight="1" x14ac:dyDescent="0.15">
      <c r="A963" s="2" t="s">
        <f>"093000043920042"</f>
        <v>1904</v>
      </c>
      <c r="B963" s="2" t="s">
        <f>"倪永磊"</f>
        <v>1905</v>
      </c>
      <c r="C963" s="2">
        <v>0.0</v>
      </c>
      <c r="D963" s="2">
        <v>323.0</v>
      </c>
      <c r="E963" s="2">
        <v>-163.82</v>
      </c>
    </row>
    <row r="964" spans="1:5" customHeight="1" x14ac:dyDescent="0.15">
      <c r="A964" s="2" t="s">
        <f>"0930000670019"</f>
        <v>1906</v>
      </c>
      <c r="B964" s="2" t="s">
        <f>"庞跃新"</f>
        <v>1907</v>
      </c>
      <c r="C964" s="2">
        <v>0.0</v>
      </c>
      <c r="D964" s="2">
        <v>-4.0</v>
      </c>
      <c r="E964" s="2">
        <v>-6.36</v>
      </c>
    </row>
    <row r="965" spans="1:5" customHeight="1" x14ac:dyDescent="0.15">
      <c r="A965" s="2" t="s">
        <f>"093000044920041"</f>
        <v>1908</v>
      </c>
      <c r="B965" s="2" t="s">
        <f>"袁鸣"</f>
        <v>1909</v>
      </c>
      <c r="C965" s="2">
        <v>-14.0</v>
      </c>
      <c r="D965" s="2">
        <v>1533.0</v>
      </c>
      <c r="E965" s="2">
        <v>-683.47</v>
      </c>
    </row>
    <row r="966" spans="1:5" customHeight="1" x14ac:dyDescent="0.15">
      <c r="A966" s="2" t="s">
        <f>"093000043920044"</f>
        <v>1910</v>
      </c>
      <c r="B966" s="2" t="s">
        <f>"王天西"</f>
        <v>1911</v>
      </c>
      <c r="C966" s="2">
        <v>0.0</v>
      </c>
      <c r="D966" s="2">
        <v>0.0</v>
      </c>
      <c r="E966" s="2">
        <v>0.0</v>
      </c>
    </row>
    <row r="967" spans="1:5" customHeight="1" x14ac:dyDescent="0.15">
      <c r="A967" s="2" t="s">
        <f>"093000043920045"</f>
        <v>1912</v>
      </c>
      <c r="B967" s="2" t="s">
        <f>"冯明浩"</f>
        <v>1913</v>
      </c>
      <c r="C967" s="2">
        <v>-269.0</v>
      </c>
      <c r="D967" s="2">
        <v>-2641.0</v>
      </c>
      <c r="E967" s="2">
        <v>-947.05</v>
      </c>
    </row>
    <row r="968" spans="1:5" customHeight="1" x14ac:dyDescent="0.15">
      <c r="A968" s="2" t="s">
        <f>"093000043920046"</f>
        <v>1914</v>
      </c>
      <c r="B968" s="2" t="s">
        <f>"高德敏"</f>
        <v>1915</v>
      </c>
      <c r="C968" s="2">
        <v>0.0</v>
      </c>
      <c r="D968" s="2">
        <v>-343.0</v>
      </c>
      <c r="E968" s="2">
        <v>-698.11</v>
      </c>
    </row>
    <row r="969" spans="1:5" customHeight="1" x14ac:dyDescent="0.15">
      <c r="A969" s="2" t="s">
        <f>"0930000800000"</f>
        <v>1916</v>
      </c>
      <c r="B969" s="2" t="s">
        <f>"谢世莲"</f>
        <v>1917</v>
      </c>
      <c r="C969" s="2">
        <v>0.0</v>
      </c>
      <c r="D969" s="2">
        <v>0.0</v>
      </c>
      <c r="E969" s="2">
        <v>0.0</v>
      </c>
    </row>
    <row r="970" spans="1:5" customHeight="1" x14ac:dyDescent="0.15">
      <c r="A970" s="2" t="s">
        <f>"0930000670020"</f>
        <v>1918</v>
      </c>
      <c r="B970" s="2" t="s">
        <f>"赵致毅"</f>
        <v>1919</v>
      </c>
      <c r="C970" s="2">
        <v>0.0</v>
      </c>
      <c r="D970" s="2">
        <v>-3.0</v>
      </c>
      <c r="E970" s="2">
        <v>-6.42</v>
      </c>
    </row>
    <row r="971" spans="1:5" customHeight="1" x14ac:dyDescent="0.15">
      <c r="A971" s="2" t="s">
        <f>"0930000670021"</f>
        <v>1920</v>
      </c>
      <c r="B971" s="2" t="s">
        <f>"赵志霖"</f>
        <v>1921</v>
      </c>
      <c r="C971" s="2">
        <v>0.0</v>
      </c>
      <c r="D971" s="2">
        <v>-6.0</v>
      </c>
      <c r="E971" s="2">
        <v>-6.43</v>
      </c>
    </row>
    <row r="972" spans="1:5" customHeight="1" x14ac:dyDescent="0.15">
      <c r="A972" s="2" t="s">
        <f>"0930000000109"</f>
        <v>1922</v>
      </c>
      <c r="B972" s="2" t="s">
        <f>"栾鑫可"</f>
        <v>1923</v>
      </c>
      <c r="C972" s="2">
        <v>0.0</v>
      </c>
      <c r="D972" s="2">
        <v>400.0</v>
      </c>
      <c r="E972" s="2">
        <v>-77.8</v>
      </c>
    </row>
    <row r="973" spans="1:5" customHeight="1" x14ac:dyDescent="0.15">
      <c r="A973" s="2" t="s">
        <f>"0930000440001"</f>
        <v>1924</v>
      </c>
      <c r="B973" s="2" t="s">
        <f>"李宗锋"</f>
        <v>1925</v>
      </c>
      <c r="C973" s="2">
        <v>-347.0</v>
      </c>
      <c r="D973" s="2">
        <v>-941.0</v>
      </c>
      <c r="E973" s="2">
        <v>-108.68</v>
      </c>
    </row>
    <row r="974" spans="1:5" customHeight="1" x14ac:dyDescent="0.15">
      <c r="A974" s="2" t="s">
        <f>"093000043920047"</f>
        <v>1926</v>
      </c>
      <c r="B974" s="2" t="s">
        <f>"高金玲"</f>
        <v>1927</v>
      </c>
      <c r="C974" s="2">
        <v>0.0</v>
      </c>
      <c r="D974" s="2">
        <v>-2688.0</v>
      </c>
      <c r="E974" s="2">
        <v>-1631.48</v>
      </c>
    </row>
    <row r="975" spans="1:5" customHeight="1" x14ac:dyDescent="0.15">
      <c r="A975" s="2" t="s">
        <f>"093000067920097"</f>
        <v>1928</v>
      </c>
      <c r="B975" s="2" t="s">
        <f>"赵银生"</f>
        <v>1929</v>
      </c>
      <c r="C975" s="2">
        <v>0.0</v>
      </c>
      <c r="D975" s="2">
        <v>-44.0</v>
      </c>
      <c r="E975" s="2">
        <v>-40.0</v>
      </c>
    </row>
    <row r="976" spans="1:5" customHeight="1" x14ac:dyDescent="0.15">
      <c r="A976" s="2" t="s">
        <f>"093000039001920018"</f>
        <v>1930</v>
      </c>
      <c r="B976" s="2" t="s">
        <f>"赵东"</f>
        <v>1931</v>
      </c>
      <c r="C976" s="2">
        <v>0.0</v>
      </c>
      <c r="D976" s="2">
        <v>-329.0</v>
      </c>
      <c r="E976" s="2">
        <v>-259.24</v>
      </c>
    </row>
    <row r="977" spans="1:5" customHeight="1" x14ac:dyDescent="0.15">
      <c r="A977" s="2" t="s">
        <f>"0930000740006"</f>
        <v>1932</v>
      </c>
      <c r="B977" s="2" t="s">
        <f>"覃莹"</f>
        <v>1933</v>
      </c>
      <c r="C977" s="2">
        <v>0.0</v>
      </c>
      <c r="D977" s="2">
        <v>-440.0</v>
      </c>
      <c r="E977" s="2">
        <v>-52.81</v>
      </c>
    </row>
    <row r="978" spans="1:5" customHeight="1" x14ac:dyDescent="0.15">
      <c r="A978" s="2" t="s">
        <f>"093000088920008"</f>
        <v>1934</v>
      </c>
      <c r="B978" s="2" t="s">
        <f>"王冬冬"</f>
        <v>1935</v>
      </c>
      <c r="C978" s="2">
        <v>63.0</v>
      </c>
      <c r="D978" s="2">
        <v>101.0</v>
      </c>
      <c r="E978" s="2">
        <v>-751.89</v>
      </c>
    </row>
    <row r="979" spans="1:5" customHeight="1" x14ac:dyDescent="0.15">
      <c r="A979" s="2" t="s">
        <f>"0930000670022"</f>
        <v>1936</v>
      </c>
      <c r="B979" s="2" t="s">
        <f>"邱生辉"</f>
        <v>1937</v>
      </c>
      <c r="C979" s="2">
        <v>0.0</v>
      </c>
      <c r="D979" s="2">
        <v>315.0</v>
      </c>
      <c r="E979" s="2">
        <v>-98.46</v>
      </c>
    </row>
    <row r="980" spans="1:5" customHeight="1" x14ac:dyDescent="0.15">
      <c r="A980" s="2" t="s">
        <f>"0930000630001"</f>
        <v>1938</v>
      </c>
      <c r="B980" s="2" t="s">
        <f>"李文典"</f>
        <v>1939</v>
      </c>
      <c r="C980" s="2">
        <v>-933.0</v>
      </c>
      <c r="D980" s="2">
        <v>-422.0</v>
      </c>
      <c r="E980" s="2">
        <v>-215.07</v>
      </c>
    </row>
    <row r="981" spans="1:5" customHeight="1" x14ac:dyDescent="0.15">
      <c r="A981" s="2" t="s">
        <f>"093000047920019"</f>
        <v>1940</v>
      </c>
      <c r="B981" s="2" t="s">
        <f>"李建彬"</f>
        <v>1941</v>
      </c>
      <c r="C981" s="2">
        <v>0.0</v>
      </c>
      <c r="D981" s="2">
        <v>1154.0</v>
      </c>
      <c r="E981" s="2">
        <v>-560.45</v>
      </c>
    </row>
    <row r="982" spans="1:5" customHeight="1" x14ac:dyDescent="0.15">
      <c r="A982" s="2" t="s">
        <f>"093000044920042"</f>
        <v>1942</v>
      </c>
      <c r="B982" s="2" t="s">
        <f>"郭志华"</f>
        <v>1943</v>
      </c>
      <c r="C982" s="2">
        <v>0.0</v>
      </c>
      <c r="D982" s="2">
        <v>-168.0</v>
      </c>
      <c r="E982" s="2">
        <v>-323.0</v>
      </c>
    </row>
    <row r="983" spans="1:5" customHeight="1" x14ac:dyDescent="0.15">
      <c r="A983" s="2" t="s">
        <f>"093000044920043"</f>
        <v>1944</v>
      </c>
      <c r="B983" s="2" t="s">
        <f>"张宏燕"</f>
        <v>1945</v>
      </c>
      <c r="C983" s="2">
        <v>-644.0</v>
      </c>
      <c r="D983" s="2">
        <v>333.0</v>
      </c>
      <c r="E983" s="2">
        <v>-1431.6</v>
      </c>
    </row>
    <row r="984" spans="1:5" customHeight="1" x14ac:dyDescent="0.15">
      <c r="A984" s="2" t="s">
        <f>"093000088920009"</f>
        <v>1946</v>
      </c>
      <c r="B984" s="2" t="s">
        <f>"周园"</f>
        <v>1947</v>
      </c>
      <c r="C984" s="2">
        <v>0.0</v>
      </c>
      <c r="D984" s="2">
        <v>133.0</v>
      </c>
      <c r="E984" s="2">
        <v>-108.62</v>
      </c>
    </row>
    <row r="985" spans="1:5" customHeight="1" x14ac:dyDescent="0.15">
      <c r="A985" s="2" t="s">
        <f>"093000039001920020"</f>
        <v>1948</v>
      </c>
      <c r="B985" s="2" t="s">
        <f>"许郭崇杰"</f>
        <v>1949</v>
      </c>
      <c r="C985" s="2">
        <v>0.0</v>
      </c>
      <c r="D985" s="2">
        <v>-553.0</v>
      </c>
      <c r="E985" s="2">
        <v>-140.28</v>
      </c>
    </row>
    <row r="986" spans="1:5" customHeight="1" x14ac:dyDescent="0.15">
      <c r="A986" s="2" t="s">
        <f>"093000047920021"</f>
        <v>1950</v>
      </c>
      <c r="B986" s="2" t="s">
        <f>"常艳荣"</f>
        <v>1951</v>
      </c>
      <c r="C986" s="2">
        <v>-1462.0</v>
      </c>
      <c r="D986" s="2">
        <v>3178.0</v>
      </c>
      <c r="E986" s="2">
        <v>-1228.79</v>
      </c>
    </row>
    <row r="987" spans="1:5" customHeight="1" x14ac:dyDescent="0.15">
      <c r="A987" s="2" t="s">
        <f>"0930000000076"</f>
        <v>1952</v>
      </c>
      <c r="B987" s="2" t="s">
        <f>"李学龙"</f>
        <v>1953</v>
      </c>
      <c r="C987" s="2">
        <v>0.0</v>
      </c>
      <c r="D987" s="2">
        <v>0.0</v>
      </c>
      <c r="E987" s="2">
        <v>0.0</v>
      </c>
    </row>
    <row r="988" spans="1:5" customHeight="1" x14ac:dyDescent="0.15">
      <c r="A988" s="2" t="s">
        <f>"093000043920048"</f>
        <v>1954</v>
      </c>
      <c r="B988" s="2" t="s">
        <f>"李艳恒"</f>
        <v>1955</v>
      </c>
      <c r="C988" s="2">
        <v>-1246.0</v>
      </c>
      <c r="D988" s="2">
        <v>-358.0</v>
      </c>
      <c r="E988" s="2">
        <v>-1577.28</v>
      </c>
    </row>
    <row r="989" spans="1:5" customHeight="1" x14ac:dyDescent="0.15">
      <c r="A989" s="2" t="s">
        <f>"093000039001920021"</f>
        <v>1956</v>
      </c>
      <c r="B989" s="2" t="s">
        <f>"王明甫"</f>
        <v>1957</v>
      </c>
      <c r="C989" s="2">
        <v>0.0</v>
      </c>
      <c r="D989" s="2">
        <v>0.0</v>
      </c>
      <c r="E989" s="2">
        <v>0.0</v>
      </c>
    </row>
    <row r="990" spans="1:5" customHeight="1" x14ac:dyDescent="0.15">
      <c r="A990" s="2" t="s">
        <f>"093000090920001"</f>
        <v>1958</v>
      </c>
      <c r="B990" s="2" t="s">
        <f>"韩中磊"</f>
        <v>1959</v>
      </c>
      <c r="C990" s="2">
        <v>0.0</v>
      </c>
      <c r="D990" s="2">
        <v>0.0</v>
      </c>
      <c r="E990" s="2">
        <v>0.0</v>
      </c>
    </row>
    <row r="991" spans="1:5" customHeight="1" x14ac:dyDescent="0.15">
      <c r="A991" s="2" t="s">
        <f>"093000047920022"</f>
        <v>1960</v>
      </c>
      <c r="B991" s="2" t="s">
        <f>"张丽丽"</f>
        <v>1961</v>
      </c>
      <c r="C991" s="2">
        <v>0.0</v>
      </c>
      <c r="D991" s="2">
        <v>-649.0</v>
      </c>
      <c r="E991" s="2">
        <v>-393.08</v>
      </c>
    </row>
    <row r="992" spans="1:5" customHeight="1" x14ac:dyDescent="0.15">
      <c r="A992" s="2" t="s">
        <f>"093000059920025"</f>
        <v>1962</v>
      </c>
      <c r="B992" s="2" t="s">
        <f>"王家豪"</f>
        <v>1963</v>
      </c>
      <c r="C992" s="2">
        <v>-126.0</v>
      </c>
      <c r="D992" s="2">
        <v>-357.0</v>
      </c>
      <c r="E992" s="2">
        <v>-603.34</v>
      </c>
    </row>
    <row r="993" spans="1:5" customHeight="1" x14ac:dyDescent="0.15">
      <c r="A993" s="2" t="s">
        <f>"0930000000077"</f>
        <v>1964</v>
      </c>
      <c r="B993" s="2" t="s">
        <f>"卢珍珍"</f>
        <v>1965</v>
      </c>
      <c r="C993" s="2">
        <v>-300.0</v>
      </c>
      <c r="D993" s="2">
        <v>-790.0</v>
      </c>
      <c r="E993" s="2">
        <v>-105.94</v>
      </c>
    </row>
    <row r="994" spans="1:5" customHeight="1" x14ac:dyDescent="0.15">
      <c r="A994" s="2" t="s">
        <f>"0930000000078"</f>
        <v>1966</v>
      </c>
      <c r="B994" s="2" t="s">
        <f>"刘亚威"</f>
        <v>1967</v>
      </c>
      <c r="C994" s="2">
        <v>0.0</v>
      </c>
      <c r="D994" s="2">
        <v>0.0</v>
      </c>
      <c r="E994" s="2">
        <v>0.0</v>
      </c>
    </row>
    <row r="995" spans="1:5" customHeight="1" x14ac:dyDescent="0.15">
      <c r="A995" s="2" t="s">
        <f>"093000043920049"</f>
        <v>1968</v>
      </c>
      <c r="B995" s="2" t="s">
        <f>"曾丽英"</f>
        <v>1969</v>
      </c>
      <c r="C995" s="2">
        <v>0.0</v>
      </c>
      <c r="D995" s="2">
        <v>-48.0</v>
      </c>
      <c r="E995" s="2">
        <v>-107.6</v>
      </c>
    </row>
    <row r="996" spans="1:5" customHeight="1" x14ac:dyDescent="0.15">
      <c r="A996" s="2" t="s">
        <f>"093000039005920001"</f>
        <v>1970</v>
      </c>
      <c r="B996" s="2" t="s">
        <f>"张玉巧"</f>
        <v>1971</v>
      </c>
      <c r="C996" s="2">
        <v>0.0</v>
      </c>
      <c r="D996" s="2">
        <v>-1071.0</v>
      </c>
      <c r="E996" s="2">
        <v>-107.92</v>
      </c>
    </row>
    <row r="997" spans="1:5" customHeight="1" x14ac:dyDescent="0.15">
      <c r="A997" s="2" t="s">
        <f>"0930000000079"</f>
        <v>1972</v>
      </c>
      <c r="B997" s="2" t="s">
        <f>"熊乾伟"</f>
        <v>1973</v>
      </c>
      <c r="C997" s="2">
        <v>0.0</v>
      </c>
      <c r="D997" s="2">
        <v>0.0</v>
      </c>
      <c r="E997" s="2">
        <v>0.0</v>
      </c>
    </row>
    <row r="998" spans="1:5" customHeight="1" x14ac:dyDescent="0.15">
      <c r="A998" s="2" t="s">
        <f>"0930000920000"</f>
        <v>1974</v>
      </c>
      <c r="B998" s="2" t="s">
        <f>"张孟贾"</f>
        <v>1975</v>
      </c>
      <c r="C998" s="2">
        <v>0.0</v>
      </c>
      <c r="D998" s="2">
        <v>0.0</v>
      </c>
      <c r="E998" s="2">
        <v>0.0</v>
      </c>
    </row>
    <row r="999" spans="1:5" customHeight="1" x14ac:dyDescent="0.15">
      <c r="A999" s="2" t="s">
        <f>"0930000620015"</f>
        <v>1976</v>
      </c>
      <c r="B999" s="2" t="s">
        <f>"黄毅"</f>
        <v>1977</v>
      </c>
      <c r="C999" s="2">
        <v>0.0</v>
      </c>
      <c r="D999" s="2">
        <v>-390.0</v>
      </c>
      <c r="E999" s="2">
        <v>-55.85</v>
      </c>
    </row>
    <row r="1000" spans="1:5" customHeight="1" x14ac:dyDescent="0.15">
      <c r="A1000" s="2" t="s">
        <f>"093000039005920002"</f>
        <v>1978</v>
      </c>
      <c r="B1000" s="2" t="s">
        <f>"姚建堂"</f>
        <v>1979</v>
      </c>
      <c r="C1000" s="2">
        <v>0.0</v>
      </c>
      <c r="D1000" s="2">
        <v>-930.0</v>
      </c>
      <c r="E1000" s="2">
        <v>-128.85</v>
      </c>
    </row>
    <row r="1001" spans="1:5" customHeight="1" x14ac:dyDescent="0.15">
      <c r="A1001" s="2" t="s">
        <f>"0930000590000"</f>
        <v>1980</v>
      </c>
      <c r="B1001" s="2" t="s">
        <f>"孙海波"</f>
        <v>1981</v>
      </c>
      <c r="C1001" s="2">
        <v>79.0</v>
      </c>
      <c r="D1001" s="2">
        <v>-260.0</v>
      </c>
      <c r="E1001" s="2">
        <v>-493.63</v>
      </c>
    </row>
    <row r="1002" spans="1:5" customHeight="1" x14ac:dyDescent="0.15">
      <c r="A1002" s="2" t="s">
        <f>"093000043920050"</f>
        <v>1982</v>
      </c>
      <c r="B1002" s="2" t="s">
        <f>"赵志刚"</f>
        <v>1983</v>
      </c>
      <c r="C1002" s="2">
        <v>0.0</v>
      </c>
      <c r="D1002" s="2">
        <v>-982.0</v>
      </c>
      <c r="E1002" s="2">
        <v>-268.71</v>
      </c>
    </row>
    <row r="1003" spans="1:5" customHeight="1" x14ac:dyDescent="0.15">
      <c r="A1003" s="2" t="s">
        <f>"0930000390010000"</f>
        <v>1984</v>
      </c>
      <c r="B1003" s="2" t="s">
        <f>"方彬"</f>
        <v>1985</v>
      </c>
      <c r="C1003" s="2">
        <v>0.0</v>
      </c>
      <c r="D1003" s="2">
        <v>0.0</v>
      </c>
      <c r="E1003" s="2">
        <v>0.0</v>
      </c>
    </row>
    <row r="1004" spans="1:5" customHeight="1" x14ac:dyDescent="0.15">
      <c r="A1004" s="2" t="s">
        <f>"093000039001000"</f>
        <v>1986</v>
      </c>
      <c r="B1004" s="2" t="s">
        <f>"吴六玲"</f>
        <v>1987</v>
      </c>
      <c r="C1004" s="2">
        <v>0.0</v>
      </c>
      <c r="D1004" s="2">
        <v>0.0</v>
      </c>
      <c r="E1004" s="2">
        <v>0.0</v>
      </c>
    </row>
    <row r="1005" spans="1:5" customHeight="1" x14ac:dyDescent="0.15">
      <c r="A1005" s="2" t="s">
        <f>"093000039001920022"</f>
        <v>1988</v>
      </c>
      <c r="B1005" s="2" t="s">
        <f>"晋生"</f>
        <v>1989</v>
      </c>
      <c r="C1005" s="2">
        <v>0.0</v>
      </c>
      <c r="D1005" s="2">
        <v>775.0</v>
      </c>
      <c r="E1005" s="2">
        <v>-305.36</v>
      </c>
    </row>
    <row r="1006" spans="1:5" customHeight="1" x14ac:dyDescent="0.15">
      <c r="A1006" s="2" t="s">
        <f>"093000047920023"</f>
        <v>1990</v>
      </c>
      <c r="B1006" s="2" t="s">
        <f>"景东林"</f>
        <v>1991</v>
      </c>
      <c r="C1006" s="2">
        <v>0.0</v>
      </c>
      <c r="D1006" s="2">
        <v>606.0</v>
      </c>
      <c r="E1006" s="2">
        <v>-110.16</v>
      </c>
    </row>
    <row r="1007" spans="1:5" customHeight="1" x14ac:dyDescent="0.15">
      <c r="A1007" s="2" t="s">
        <f>"093000039005920003"</f>
        <v>1992</v>
      </c>
      <c r="B1007" s="2" t="s">
        <f>"贾建训"</f>
        <v>1993</v>
      </c>
      <c r="C1007" s="2">
        <v>0.0</v>
      </c>
      <c r="D1007" s="2">
        <v>138.0</v>
      </c>
      <c r="E1007" s="2">
        <v>-426.02</v>
      </c>
    </row>
    <row r="1008" spans="1:5" customHeight="1" x14ac:dyDescent="0.15">
      <c r="A1008" s="2" t="s">
        <f>"0930000790016"</f>
        <v>1994</v>
      </c>
      <c r="B1008" s="2" t="s">
        <f>"张燕"</f>
        <v>1995</v>
      </c>
      <c r="C1008" s="2">
        <v>0.0</v>
      </c>
      <c r="D1008" s="2">
        <v>-422.0</v>
      </c>
      <c r="E1008" s="2">
        <v>-162.6</v>
      </c>
    </row>
    <row r="1009" spans="1:5" customHeight="1" x14ac:dyDescent="0.15">
      <c r="A1009" s="2" t="s">
        <f>"093000039001920023"</f>
        <v>1996</v>
      </c>
      <c r="B1009" s="2" t="s">
        <f>"罗冰冰"</f>
        <v>1997</v>
      </c>
      <c r="C1009" s="2">
        <v>0.0</v>
      </c>
      <c r="D1009" s="2">
        <v>-518.0</v>
      </c>
      <c r="E1009" s="2">
        <v>-163.58</v>
      </c>
    </row>
    <row r="1010" spans="1:5" customHeight="1" x14ac:dyDescent="0.15">
      <c r="A1010" s="2" t="s">
        <f>"093000044920045"</f>
        <v>1998</v>
      </c>
      <c r="B1010" s="2" t="s">
        <f>"陈平"</f>
        <v>1999</v>
      </c>
      <c r="C1010" s="2">
        <v>0.0</v>
      </c>
      <c r="D1010" s="2">
        <v>0.0</v>
      </c>
      <c r="E1010" s="2">
        <v>0.0</v>
      </c>
    </row>
    <row r="1011" spans="1:5" customHeight="1" x14ac:dyDescent="0.15">
      <c r="A1011" s="2" t="s">
        <f>"0930000620016"</f>
        <v>2000</v>
      </c>
      <c r="B1011" s="2" t="s">
        <f>"黄敏"</f>
        <v>2001</v>
      </c>
      <c r="C1011" s="2">
        <v>0.0</v>
      </c>
      <c r="D1011" s="2">
        <v>450.0</v>
      </c>
      <c r="E1011" s="2">
        <v>-55.95</v>
      </c>
    </row>
    <row r="1012" spans="1:5" customHeight="1" x14ac:dyDescent="0.15">
      <c r="A1012" s="2" t="s">
        <f>"0930000640000"</f>
        <v>2002</v>
      </c>
      <c r="B1012" s="2" t="s">
        <f>"朱腾跃"</f>
        <v>2003</v>
      </c>
      <c r="C1012" s="2">
        <v>-242.0</v>
      </c>
      <c r="D1012" s="2">
        <v>1296.0</v>
      </c>
      <c r="E1012" s="2">
        <v>-107.36</v>
      </c>
    </row>
    <row r="1013" spans="1:5" customHeight="1" x14ac:dyDescent="0.15">
      <c r="A1013" s="2" t="s">
        <f>"093000920532"</f>
        <v>2004</v>
      </c>
      <c r="B1013" s="2" t="s">
        <f>"李硕"</f>
        <v>2005</v>
      </c>
      <c r="C1013" s="2">
        <v>0.0</v>
      </c>
      <c r="D1013" s="2">
        <v>0.0</v>
      </c>
      <c r="E1013" s="2">
        <v>0.0</v>
      </c>
    </row>
    <row r="1014" spans="1:5" customHeight="1" x14ac:dyDescent="0.15">
      <c r="A1014" s="2" t="s">
        <f>"0930000560000"</f>
        <v>2006</v>
      </c>
      <c r="B1014" s="2" t="s">
        <f>"李兴伟"</f>
        <v>2007</v>
      </c>
      <c r="C1014" s="2">
        <v>0.0</v>
      </c>
      <c r="D1014" s="2">
        <v>0.0</v>
      </c>
      <c r="E1014" s="2">
        <v>0.0</v>
      </c>
    </row>
    <row r="1015" spans="1:5" customHeight="1" x14ac:dyDescent="0.15">
      <c r="A1015" s="2" t="s">
        <f>"0930000640007"</f>
        <v>2008</v>
      </c>
      <c r="B1015" s="2" t="s">
        <f>"程保堂"</f>
        <v>2009</v>
      </c>
      <c r="C1015" s="2">
        <v>194.0</v>
      </c>
      <c r="D1015" s="2">
        <v>-1304.0</v>
      </c>
      <c r="E1015" s="2">
        <v>-107.4</v>
      </c>
    </row>
    <row r="1016" spans="1:5" customHeight="1" x14ac:dyDescent="0.15">
      <c r="A1016" s="2" t="s">
        <f>"0930000670023"</f>
        <v>2010</v>
      </c>
      <c r="B1016" s="2" t="s">
        <f>"许曌"</f>
        <v>2011</v>
      </c>
      <c r="C1016" s="2">
        <v>0.0</v>
      </c>
      <c r="D1016" s="2">
        <v>0.0</v>
      </c>
      <c r="E1016" s="2">
        <v>0.0</v>
      </c>
    </row>
    <row r="1017" spans="1:5" customHeight="1" x14ac:dyDescent="0.15">
      <c r="A1017" s="2" t="s">
        <f>"093000044920046"</f>
        <v>2012</v>
      </c>
      <c r="B1017" s="2" t="s">
        <f>"廖永红"</f>
        <v>2013</v>
      </c>
      <c r="C1017" s="2">
        <v>0.0</v>
      </c>
      <c r="D1017" s="2">
        <v>0.0</v>
      </c>
      <c r="E1017" s="2">
        <v>0.0</v>
      </c>
    </row>
    <row r="1018" spans="1:5" customHeight="1" x14ac:dyDescent="0.15">
      <c r="A1018" s="2" t="s">
        <f>"093000044920047"</f>
        <v>2014</v>
      </c>
      <c r="B1018" s="2" t="s">
        <f>"罗玉梅"</f>
        <v>2015</v>
      </c>
      <c r="C1018" s="2">
        <v>0.0</v>
      </c>
      <c r="D1018" s="2">
        <v>0.0</v>
      </c>
      <c r="E1018" s="2">
        <v>0.0</v>
      </c>
    </row>
    <row r="1019" spans="1:5" customHeight="1" x14ac:dyDescent="0.15">
      <c r="A1019" s="2" t="s">
        <f>"093000039001920024"</f>
        <v>2016</v>
      </c>
      <c r="B1019" s="2" t="s">
        <f>"余金红"</f>
        <v>2017</v>
      </c>
      <c r="C1019" s="2">
        <v>0.0</v>
      </c>
      <c r="D1019" s="2">
        <v>53.0</v>
      </c>
      <c r="E1019" s="2">
        <v>-90.32</v>
      </c>
    </row>
    <row r="1020" spans="1:5" customHeight="1" x14ac:dyDescent="0.15">
      <c r="A1020" s="2" t="s">
        <f>"093000039001920025"</f>
        <v>2018</v>
      </c>
      <c r="B1020" s="2" t="s">
        <f>"徐梓豪"</f>
        <v>2019</v>
      </c>
      <c r="C1020" s="2">
        <v>0.0</v>
      </c>
      <c r="D1020" s="2">
        <v>-235.0</v>
      </c>
      <c r="E1020" s="2">
        <v>-171.04</v>
      </c>
    </row>
    <row r="1021" spans="1:5" customHeight="1" x14ac:dyDescent="0.15">
      <c r="A1021" s="2" t="s">
        <f>"093000043920051"</f>
        <v>2020</v>
      </c>
      <c r="B1021" s="2" t="s">
        <f>"朱培阁"</f>
        <v>2021</v>
      </c>
      <c r="C1021" s="2">
        <v>0.0</v>
      </c>
      <c r="D1021" s="2">
        <v>7.0</v>
      </c>
      <c r="E1021" s="2">
        <v>-501.84</v>
      </c>
    </row>
    <row r="1022" spans="1:5" customHeight="1" x14ac:dyDescent="0.15">
      <c r="A1022" s="2" t="s">
        <f>"093000039001920026"</f>
        <v>2022</v>
      </c>
      <c r="B1022" s="2" t="s">
        <f>"胡小江"</f>
        <v>2023</v>
      </c>
      <c r="C1022" s="2">
        <v>0.0</v>
      </c>
      <c r="D1022" s="2">
        <v>208.0</v>
      </c>
      <c r="E1022" s="2">
        <v>-56.67</v>
      </c>
    </row>
    <row r="1023" spans="1:5" customHeight="1" x14ac:dyDescent="0.15">
      <c r="A1023" s="2" t="s">
        <f>"0930000000080"</f>
        <v>2024</v>
      </c>
      <c r="B1023" s="2" t="s">
        <f>"刘润尧"</f>
        <v>2025</v>
      </c>
      <c r="C1023" s="2">
        <v>0.0</v>
      </c>
      <c r="D1023" s="2">
        <v>0.0</v>
      </c>
      <c r="E1023" s="2">
        <v>0.0</v>
      </c>
    </row>
    <row r="1024" spans="1:5" customHeight="1" x14ac:dyDescent="0.15">
      <c r="A1024" s="2" t="s">
        <f>"0930000000081"</f>
        <v>2026</v>
      </c>
      <c r="B1024" s="2" t="s">
        <f>"董坤"</f>
        <v>2027</v>
      </c>
      <c r="C1024" s="2">
        <v>0.0</v>
      </c>
      <c r="D1024" s="2">
        <v>0.0</v>
      </c>
      <c r="E1024" s="2">
        <v>0.0</v>
      </c>
    </row>
    <row r="1025" spans="1:5" customHeight="1" x14ac:dyDescent="0.15">
      <c r="A1025" s="2" t="s">
        <f>"0930000000082"</f>
        <v>2028</v>
      </c>
      <c r="B1025" s="2" t="s">
        <f>"刘宴谷"</f>
        <v>2029</v>
      </c>
      <c r="C1025" s="2">
        <v>0.0</v>
      </c>
      <c r="D1025" s="2">
        <v>-900.0</v>
      </c>
      <c r="E1025" s="2">
        <v>-80.88</v>
      </c>
    </row>
    <row r="1026" spans="1:5" customHeight="1" x14ac:dyDescent="0.15">
      <c r="A1026" s="2" t="s">
        <f>"093000043920052"</f>
        <v>2030</v>
      </c>
      <c r="B1026" s="2" t="s">
        <f>"魏渊"</f>
        <v>2031</v>
      </c>
      <c r="C1026" s="2">
        <v>0.0</v>
      </c>
      <c r="D1026" s="2">
        <v>0.0</v>
      </c>
      <c r="E1026" s="2">
        <v>0.0</v>
      </c>
    </row>
    <row r="1027" spans="1:5" customHeight="1" x14ac:dyDescent="0.15">
      <c r="A1027" s="2" t="s">
        <f>"093000049920047"</f>
        <v>2032</v>
      </c>
      <c r="B1027" s="2" t="s">
        <f>"孙振邦"</f>
        <v>2033</v>
      </c>
      <c r="C1027" s="2">
        <v>0.0</v>
      </c>
      <c r="D1027" s="2">
        <v>780.0</v>
      </c>
      <c r="E1027" s="2">
        <v>-79.66</v>
      </c>
    </row>
    <row r="1028" spans="1:5" customHeight="1" x14ac:dyDescent="0.15">
      <c r="A1028" s="2" t="s">
        <f>"0930000370000"</f>
        <v>2034</v>
      </c>
      <c r="B1028" s="2" t="s">
        <f>"郑建霞"</f>
        <v>2035</v>
      </c>
      <c r="C1028" s="2">
        <v>0.0</v>
      </c>
      <c r="D1028" s="2">
        <v>1294.0</v>
      </c>
      <c r="E1028" s="2">
        <v>-274.13</v>
      </c>
    </row>
    <row r="1029" spans="1:5" customHeight="1" x14ac:dyDescent="0.15">
      <c r="A1029" s="2" t="s">
        <f>"093000039001920027"</f>
        <v>2036</v>
      </c>
      <c r="B1029" s="2" t="s">
        <f>"钟菲菲"</f>
        <v>2037</v>
      </c>
      <c r="C1029" s="2">
        <v>0.0</v>
      </c>
      <c r="D1029" s="2">
        <v>-943.0</v>
      </c>
      <c r="E1029" s="2">
        <v>-164.35</v>
      </c>
    </row>
    <row r="1030" spans="1:5" customHeight="1" x14ac:dyDescent="0.15">
      <c r="A1030" s="2" t="s">
        <f>"0930000540000"</f>
        <v>2038</v>
      </c>
      <c r="B1030" s="2" t="s">
        <f>"余宗洋"</f>
        <v>2039</v>
      </c>
      <c r="C1030" s="2">
        <v>0.0</v>
      </c>
      <c r="D1030" s="2">
        <v>0.0</v>
      </c>
      <c r="E1030" s="2">
        <v>0.0</v>
      </c>
    </row>
    <row r="1031" spans="1:5" customHeight="1" x14ac:dyDescent="0.15">
      <c r="A1031" s="2" t="s">
        <f>"093000039001920028"</f>
        <v>2040</v>
      </c>
      <c r="B1031" s="2" t="s">
        <f>"刘涛"</f>
        <v>2041</v>
      </c>
      <c r="C1031" s="2">
        <v>0.0</v>
      </c>
      <c r="D1031" s="2">
        <v>0.0</v>
      </c>
      <c r="E1031" s="2">
        <v>0.0</v>
      </c>
    </row>
    <row r="1032" spans="1:5" customHeight="1" x14ac:dyDescent="0.15">
      <c r="A1032" s="2" t="s">
        <f>"093000039001920029"</f>
        <v>2042</v>
      </c>
      <c r="B1032" s="2" t="s">
        <f>"刘洋"</f>
        <v>2043</v>
      </c>
      <c r="C1032" s="2">
        <v>0.0</v>
      </c>
      <c r="D1032" s="2">
        <v>-74.0</v>
      </c>
      <c r="E1032" s="2">
        <v>-115.32</v>
      </c>
    </row>
    <row r="1033" spans="1:5" customHeight="1" x14ac:dyDescent="0.15">
      <c r="A1033" s="2" t="s">
        <f>"0930000000083"</f>
        <v>2044</v>
      </c>
      <c r="B1033" s="2" t="s">
        <f>"陈贺年"</f>
        <v>2045</v>
      </c>
      <c r="C1033" s="2">
        <v>-54.0</v>
      </c>
      <c r="D1033" s="2">
        <v>152.0</v>
      </c>
      <c r="E1033" s="2">
        <v>-490.59</v>
      </c>
    </row>
    <row r="1034" spans="1:5" customHeight="1" x14ac:dyDescent="0.15">
      <c r="A1034" s="2" t="s">
        <f>"093000044920049"</f>
        <v>2046</v>
      </c>
      <c r="B1034" s="2" t="s">
        <f>"王付年"</f>
        <v>2047</v>
      </c>
      <c r="C1034" s="2">
        <v>0.0</v>
      </c>
      <c r="D1034" s="2">
        <v>0.0</v>
      </c>
      <c r="E1034" s="2">
        <v>0.0</v>
      </c>
    </row>
    <row r="1035" spans="1:5" customHeight="1" x14ac:dyDescent="0.15">
      <c r="A1035" s="2" t="s">
        <f>"0930000620017"</f>
        <v>2048</v>
      </c>
      <c r="B1035" s="2" t="s">
        <f>"黄金丽"</f>
        <v>2049</v>
      </c>
      <c r="C1035" s="2">
        <v>-472.0</v>
      </c>
      <c r="D1035" s="2">
        <v>-873.0</v>
      </c>
      <c r="E1035" s="2">
        <v>-178.13</v>
      </c>
    </row>
    <row r="1036" spans="1:5" customHeight="1" x14ac:dyDescent="0.15">
      <c r="A1036" s="2" t="s">
        <f>"093000043920053"</f>
        <v>2050</v>
      </c>
      <c r="B1036" s="2" t="s">
        <f>"董明瑞"</f>
        <v>2051</v>
      </c>
      <c r="C1036" s="2">
        <v>0.0</v>
      </c>
      <c r="D1036" s="2">
        <v>-145.0</v>
      </c>
      <c r="E1036" s="2">
        <v>-658.68</v>
      </c>
    </row>
    <row r="1037" spans="1:5" customHeight="1" x14ac:dyDescent="0.15">
      <c r="A1037" s="2" t="s">
        <f>"093000039001920030"</f>
        <v>2052</v>
      </c>
      <c r="B1037" s="2" t="s">
        <f>"张庶"</f>
        <v>2053</v>
      </c>
      <c r="C1037" s="2">
        <v>0.0</v>
      </c>
      <c r="D1037" s="2">
        <v>-184.0</v>
      </c>
      <c r="E1037" s="2">
        <v>-168.73</v>
      </c>
    </row>
    <row r="1038" spans="1:5" customHeight="1" x14ac:dyDescent="0.15">
      <c r="A1038" s="2" t="s">
        <f>"093000039001920032"</f>
        <v>2054</v>
      </c>
      <c r="B1038" s="2" t="s">
        <f>"张瀚月"</f>
        <v>2055</v>
      </c>
      <c r="C1038" s="2">
        <v>0.0</v>
      </c>
      <c r="D1038" s="2">
        <v>449.0</v>
      </c>
      <c r="E1038" s="2">
        <v>-168.36</v>
      </c>
    </row>
    <row r="1039" spans="1:5" customHeight="1" x14ac:dyDescent="0.15">
      <c r="A1039" s="2" t="s">
        <f>"093000039001920034"</f>
        <v>2056</v>
      </c>
      <c r="B1039" s="2" t="s">
        <f>"李德华"</f>
        <v>2057</v>
      </c>
      <c r="C1039" s="2">
        <v>0.0</v>
      </c>
      <c r="D1039" s="2">
        <v>-1140.0</v>
      </c>
      <c r="E1039" s="2">
        <v>-195.88</v>
      </c>
    </row>
    <row r="1040" spans="1:5" customHeight="1" x14ac:dyDescent="0.15">
      <c r="A1040" s="2" t="s">
        <f>"093000039001920033"</f>
        <v>2058</v>
      </c>
      <c r="B1040" s="2" t="s">
        <f>"张中奇"</f>
        <v>2059</v>
      </c>
      <c r="C1040" s="2">
        <v>0.0</v>
      </c>
      <c r="D1040" s="2">
        <v>1073.0</v>
      </c>
      <c r="E1040" s="2">
        <v>-303.05</v>
      </c>
    </row>
    <row r="1041" spans="1:5" customHeight="1" x14ac:dyDescent="0.15">
      <c r="A1041" s="2" t="s">
        <f>"0930000620018"</f>
        <v>2060</v>
      </c>
      <c r="B1041" s="2" t="s">
        <f>"苏天权"</f>
        <v>2061</v>
      </c>
      <c r="C1041" s="2">
        <v>0.0</v>
      </c>
      <c r="D1041" s="2">
        <v>0.0</v>
      </c>
      <c r="E1041" s="2">
        <v>0.0</v>
      </c>
    </row>
    <row r="1042" spans="1:5" customHeight="1" x14ac:dyDescent="0.15">
      <c r="A1042" s="2" t="s">
        <f>"0930000790017"</f>
        <v>2062</v>
      </c>
      <c r="B1042" s="2" t="s">
        <f>"王沛"</f>
        <v>2063</v>
      </c>
      <c r="C1042" s="2">
        <v>0.0</v>
      </c>
      <c r="D1042" s="2">
        <v>0.0</v>
      </c>
      <c r="E1042" s="2">
        <v>0.0</v>
      </c>
    </row>
    <row r="1043" spans="1:5" customHeight="1" x14ac:dyDescent="0.15">
      <c r="A1043" s="2" t="s">
        <f>"093000040920065"</f>
        <v>2064</v>
      </c>
      <c r="B1043" s="2" t="s">
        <f>"刘玉印"</f>
        <v>2065</v>
      </c>
      <c r="C1043" s="2">
        <v>0.0</v>
      </c>
      <c r="D1043" s="2">
        <v>70.0</v>
      </c>
      <c r="E1043" s="2">
        <v>-160.84</v>
      </c>
    </row>
    <row r="1044" spans="1:5" customHeight="1" x14ac:dyDescent="0.15">
      <c r="A1044" s="2" t="s">
        <f>"093000043920054"</f>
        <v>2066</v>
      </c>
      <c r="B1044" s="2" t="s">
        <f>"张自平"</f>
        <v>2067</v>
      </c>
      <c r="C1044" s="2">
        <v>0.0</v>
      </c>
      <c r="D1044" s="2">
        <v>512.0</v>
      </c>
      <c r="E1044" s="2">
        <v>-958.32</v>
      </c>
    </row>
    <row r="1045" spans="1:5" customHeight="1" x14ac:dyDescent="0.15">
      <c r="A1045" s="2" t="s">
        <f>"093000039001920035"</f>
        <v>2068</v>
      </c>
      <c r="B1045" s="2" t="s">
        <f>"刘奇"</f>
        <v>2069</v>
      </c>
      <c r="C1045" s="2">
        <v>0.0</v>
      </c>
      <c r="D1045" s="2">
        <v>844.0</v>
      </c>
      <c r="E1045" s="2">
        <v>-307.06</v>
      </c>
    </row>
    <row r="1046" spans="1:5" customHeight="1" x14ac:dyDescent="0.15">
      <c r="A1046" s="2" t="s">
        <f>"093000043920055"</f>
        <v>2070</v>
      </c>
      <c r="B1046" s="2" t="s">
        <f>"丁永会"</f>
        <v>2071</v>
      </c>
      <c r="C1046" s="2">
        <v>-864.0</v>
      </c>
      <c r="D1046" s="2">
        <v>-272.0</v>
      </c>
      <c r="E1046" s="2">
        <v>-498.55</v>
      </c>
    </row>
    <row r="1047" spans="1:5" customHeight="1" x14ac:dyDescent="0.15">
      <c r="A1047" s="2" t="s">
        <f>"0930000620019"</f>
        <v>2072</v>
      </c>
      <c r="B1047" s="2" t="s">
        <f>"邓启军"</f>
        <v>2073</v>
      </c>
      <c r="C1047" s="2">
        <v>0.0</v>
      </c>
      <c r="D1047" s="2">
        <v>362.0</v>
      </c>
      <c r="E1047" s="2">
        <v>-54.78</v>
      </c>
    </row>
    <row r="1048" spans="1:5" customHeight="1" x14ac:dyDescent="0.15">
      <c r="A1048" s="2" t="s">
        <f>"0930000620020"</f>
        <v>2074</v>
      </c>
      <c r="B1048" s="2" t="s">
        <f>"曾燕勋"</f>
        <v>2075</v>
      </c>
      <c r="C1048" s="2">
        <v>0.0</v>
      </c>
      <c r="D1048" s="2">
        <v>-390.0</v>
      </c>
      <c r="E1048" s="2">
        <v>-54.8</v>
      </c>
    </row>
    <row r="1049" spans="1:5" customHeight="1" x14ac:dyDescent="0.15">
      <c r="A1049" s="2" t="s">
        <f>"0930000620021"</f>
        <v>2076</v>
      </c>
      <c r="B1049" s="2" t="s">
        <f>"廖光耸"</f>
        <v>2077</v>
      </c>
      <c r="C1049" s="2">
        <v>-131.0</v>
      </c>
      <c r="D1049" s="2">
        <v>1222.0</v>
      </c>
      <c r="E1049" s="2">
        <v>-1006.67</v>
      </c>
    </row>
    <row r="1050" spans="1:5" customHeight="1" x14ac:dyDescent="0.15">
      <c r="A1050" s="2" t="s">
        <f>"0930000390020000"</f>
        <v>2078</v>
      </c>
      <c r="B1050" s="2" t="s">
        <f>"陈爱平"</f>
        <v>2079</v>
      </c>
      <c r="C1050" s="2">
        <v>0.0</v>
      </c>
      <c r="D1050" s="2">
        <v>0.0</v>
      </c>
      <c r="E1050" s="2">
        <v>0.0</v>
      </c>
    </row>
    <row r="1051" spans="1:5" customHeight="1" x14ac:dyDescent="0.15">
      <c r="A1051" s="2" t="s">
        <f>"093000059920027"</f>
        <v>2080</v>
      </c>
      <c r="B1051" s="2" t="s">
        <f>"麻庆更"</f>
        <v>2081</v>
      </c>
      <c r="C1051" s="2">
        <v>0.0</v>
      </c>
      <c r="D1051" s="2">
        <v>-2493.0</v>
      </c>
      <c r="E1051" s="2">
        <v>-1323.02</v>
      </c>
    </row>
    <row r="1052" spans="1:5" customHeight="1" x14ac:dyDescent="0.15">
      <c r="A1052" s="2" t="s">
        <f>"0930000790018"</f>
        <v>2082</v>
      </c>
      <c r="B1052" s="2" t="s">
        <f>"田鑫"</f>
        <v>2083</v>
      </c>
      <c r="C1052" s="2">
        <v>0.0</v>
      </c>
      <c r="D1052" s="2">
        <v>362.0</v>
      </c>
      <c r="E1052" s="2">
        <v>-113.35</v>
      </c>
    </row>
    <row r="1053" spans="1:5" customHeight="1" x14ac:dyDescent="0.15">
      <c r="A1053" s="2" t="s">
        <f>"093000039001920036"</f>
        <v>2084</v>
      </c>
      <c r="B1053" s="2" t="s">
        <f>"王宇"</f>
        <v>2085</v>
      </c>
      <c r="C1053" s="2">
        <v>0.0</v>
      </c>
      <c r="D1053" s="2">
        <v>512.0</v>
      </c>
      <c r="E1053" s="2">
        <v>-133.59</v>
      </c>
    </row>
    <row r="1054" spans="1:5" customHeight="1" x14ac:dyDescent="0.15">
      <c r="A1054" s="2" t="s">
        <f>"093000039005920004"</f>
        <v>2086</v>
      </c>
      <c r="B1054" s="2" t="s">
        <f>"曹万丽"</f>
        <v>2087</v>
      </c>
      <c r="C1054" s="2">
        <v>0.0</v>
      </c>
      <c r="D1054" s="2">
        <v>-967.0</v>
      </c>
      <c r="E1054" s="2">
        <v>-441.16</v>
      </c>
    </row>
    <row r="1055" spans="1:5" customHeight="1" x14ac:dyDescent="0.15">
      <c r="A1055" s="2" t="s">
        <f>"0930000640008"</f>
        <v>2088</v>
      </c>
      <c r="B1055" s="2" t="s">
        <f>"李志民"</f>
        <v>2089</v>
      </c>
      <c r="C1055" s="2">
        <v>0.0</v>
      </c>
      <c r="D1055" s="2">
        <v>0.0</v>
      </c>
      <c r="E1055" s="2">
        <v>0.0</v>
      </c>
    </row>
    <row r="1056" spans="1:5" customHeight="1" x14ac:dyDescent="0.15">
      <c r="A1056" s="2" t="s">
        <f>"0930000000084"</f>
        <v>2090</v>
      </c>
      <c r="B1056" s="2" t="s">
        <f>"白清伟"</f>
        <v>2091</v>
      </c>
      <c r="C1056" s="2">
        <v>0.0</v>
      </c>
      <c r="D1056" s="2">
        <v>0.0</v>
      </c>
      <c r="E1056" s="2">
        <v>0.0</v>
      </c>
    </row>
    <row r="1057" spans="1:5" customHeight="1" x14ac:dyDescent="0.15">
      <c r="A1057" s="2" t="s">
        <f>"093000043920056"</f>
        <v>2092</v>
      </c>
      <c r="B1057" s="2" t="s">
        <f>"李光春"</f>
        <v>2093</v>
      </c>
      <c r="C1057" s="2">
        <v>0.0</v>
      </c>
      <c r="D1057" s="2">
        <v>-567.0</v>
      </c>
      <c r="E1057" s="2">
        <v>-272.66</v>
      </c>
    </row>
    <row r="1058" spans="1:5" customHeight="1" x14ac:dyDescent="0.15">
      <c r="A1058" s="2" t="s">
        <f>"093000043920057"</f>
        <v>2094</v>
      </c>
      <c r="B1058" s="2" t="s">
        <f>"宋海兰"</f>
        <v>2095</v>
      </c>
      <c r="C1058" s="2">
        <v>0.0</v>
      </c>
      <c r="D1058" s="2">
        <v>-210.0</v>
      </c>
      <c r="E1058" s="2">
        <v>-984.01</v>
      </c>
    </row>
    <row r="1059" spans="1:5" customHeight="1" x14ac:dyDescent="0.15">
      <c r="A1059" s="2" t="s">
        <f>"093000920537"</f>
        <v>2096</v>
      </c>
      <c r="B1059" s="2" t="s">
        <f>"申飞虎"</f>
        <v>2097</v>
      </c>
      <c r="C1059" s="2">
        <v>0.0</v>
      </c>
      <c r="D1059" s="2">
        <v>-800.0</v>
      </c>
      <c r="E1059" s="2">
        <v>-233.19</v>
      </c>
    </row>
    <row r="1060" spans="1:5" customHeight="1" x14ac:dyDescent="0.15">
      <c r="A1060" s="2" t="s">
        <f>"0930000000085"</f>
        <v>2098</v>
      </c>
      <c r="B1060" s="2" t="s">
        <f>"卞政伟"</f>
        <v>2099</v>
      </c>
      <c r="C1060" s="2">
        <v>0.0</v>
      </c>
      <c r="D1060" s="2">
        <v>0.0</v>
      </c>
      <c r="E1060" s="2">
        <v>0.0</v>
      </c>
    </row>
    <row r="1061" spans="1:5" customHeight="1" x14ac:dyDescent="0.15">
      <c r="A1061" s="2" t="s">
        <f>"093000920539"</f>
        <v>2100</v>
      </c>
      <c r="B1061" s="2" t="s">
        <f>"侯照旭"</f>
        <v>2101</v>
      </c>
      <c r="C1061" s="2">
        <v>0.0</v>
      </c>
      <c r="D1061" s="2">
        <v>0.0</v>
      </c>
      <c r="E1061" s="2">
        <v>0.0</v>
      </c>
    </row>
    <row r="1062" spans="1:5" customHeight="1" x14ac:dyDescent="0.15">
      <c r="A1062" s="2" t="s">
        <f>"093000044920051"</f>
        <v>2102</v>
      </c>
      <c r="B1062" s="2" t="s">
        <f>"刘相芝"</f>
        <v>2103</v>
      </c>
      <c r="C1062" s="2">
        <v>0.0</v>
      </c>
      <c r="D1062" s="2">
        <v>1202.0</v>
      </c>
      <c r="E1062" s="2">
        <v>-480.82</v>
      </c>
    </row>
    <row r="1063" spans="1:5" customHeight="1" x14ac:dyDescent="0.15">
      <c r="A1063" s="2" t="s">
        <f>"0930000800002"</f>
        <v>2104</v>
      </c>
      <c r="B1063" s="2" t="s">
        <f>"韦信广"</f>
        <v>2105</v>
      </c>
      <c r="C1063" s="2">
        <v>0.0</v>
      </c>
      <c r="D1063" s="2">
        <v>0.0</v>
      </c>
      <c r="E1063" s="2">
        <v>0.0</v>
      </c>
    </row>
    <row r="1064" spans="1:5" customHeight="1" x14ac:dyDescent="0.15">
      <c r="A1064" s="2" t="s">
        <f>"0930000000086"</f>
        <v>2106</v>
      </c>
      <c r="B1064" s="2" t="s">
        <f>"李文排"</f>
        <v>2107</v>
      </c>
      <c r="C1064" s="2">
        <v>0.0</v>
      </c>
      <c r="D1064" s="2">
        <v>0.0</v>
      </c>
      <c r="E1064" s="2">
        <v>0.0</v>
      </c>
    </row>
    <row r="1065" spans="1:5" customHeight="1" x14ac:dyDescent="0.15">
      <c r="A1065" s="2" t="s">
        <f>"093000039001920037"</f>
        <v>2108</v>
      </c>
      <c r="B1065" s="2" t="s">
        <f>"马楠"</f>
        <v>2109</v>
      </c>
      <c r="C1065" s="2">
        <v>-1091.0</v>
      </c>
      <c r="D1065" s="2">
        <v>1087.0</v>
      </c>
      <c r="E1065" s="2">
        <v>-541.68</v>
      </c>
    </row>
    <row r="1066" spans="1:5" customHeight="1" x14ac:dyDescent="0.15">
      <c r="A1066" s="2" t="s">
        <f>"093000039001920039"</f>
        <v>2110</v>
      </c>
      <c r="B1066" s="2" t="s">
        <f>"邓璞原"</f>
        <v>2111</v>
      </c>
      <c r="C1066" s="2">
        <v>0.0</v>
      </c>
      <c r="D1066" s="2">
        <v>804.0</v>
      </c>
      <c r="E1066" s="2">
        <v>-109.85</v>
      </c>
    </row>
    <row r="1067" spans="1:5" customHeight="1" x14ac:dyDescent="0.15">
      <c r="A1067" s="2" t="s">
        <f>"093000047920024"</f>
        <v>2112</v>
      </c>
      <c r="B1067" s="2" t="s">
        <f>"常艳梅"</f>
        <v>2113</v>
      </c>
      <c r="C1067" s="2">
        <v>-271.0</v>
      </c>
      <c r="D1067" s="2">
        <v>-478.0</v>
      </c>
      <c r="E1067" s="2">
        <v>-107.55</v>
      </c>
    </row>
    <row r="1068" spans="1:5" customHeight="1" x14ac:dyDescent="0.15">
      <c r="A1068" s="2" t="s">
        <f>"0930000890000"</f>
        <v>2114</v>
      </c>
      <c r="B1068" s="2" t="s">
        <f>"崔验波"</f>
        <v>2115</v>
      </c>
      <c r="C1068" s="2">
        <v>0.0</v>
      </c>
      <c r="D1068" s="2">
        <v>0.0</v>
      </c>
      <c r="E1068" s="2">
        <v>0.0</v>
      </c>
    </row>
    <row r="1069" spans="1:5" customHeight="1" x14ac:dyDescent="0.15">
      <c r="A1069" s="2" t="s">
        <f>"093000059920028"</f>
        <v>2116</v>
      </c>
      <c r="B1069" s="2" t="s">
        <f>"孙珊珊"</f>
        <v>2117</v>
      </c>
      <c r="C1069" s="2">
        <v>354.0</v>
      </c>
      <c r="D1069" s="2">
        <v>-1148.0</v>
      </c>
      <c r="E1069" s="2">
        <v>-1135.1</v>
      </c>
    </row>
    <row r="1070" spans="1:5" customHeight="1" x14ac:dyDescent="0.15">
      <c r="A1070" s="2" t="s">
        <f>"0930000430000"</f>
        <v>2118</v>
      </c>
      <c r="B1070" s="2" t="s">
        <f>"王洋"</f>
        <v>2119</v>
      </c>
      <c r="C1070" s="2">
        <v>168.0</v>
      </c>
      <c r="D1070" s="2">
        <v>-5189.0</v>
      </c>
      <c r="E1070" s="2">
        <v>-6362.78</v>
      </c>
    </row>
    <row r="1071" spans="1:5" customHeight="1" x14ac:dyDescent="0.15">
      <c r="A1071" s="2" t="s">
        <f>"093000039001920041"</f>
        <v>2120</v>
      </c>
      <c r="B1071" s="2" t="s">
        <f>"赵满"</f>
        <v>2121</v>
      </c>
      <c r="C1071" s="2">
        <v>0.0</v>
      </c>
      <c r="D1071" s="2">
        <v>-1128.0</v>
      </c>
      <c r="E1071" s="2">
        <v>-165.18</v>
      </c>
    </row>
    <row r="1072" spans="1:5" customHeight="1" x14ac:dyDescent="0.15">
      <c r="A1072" s="2" t="s">
        <f>"093000039001920040"</f>
        <v>2122</v>
      </c>
      <c r="B1072" s="2" t="s">
        <f>"王哲"</f>
        <v>2123</v>
      </c>
      <c r="C1072" s="2">
        <v>0.0</v>
      </c>
      <c r="D1072" s="2">
        <v>1298.0</v>
      </c>
      <c r="E1072" s="2">
        <v>-165.13</v>
      </c>
    </row>
    <row r="1073" spans="1:5" customHeight="1" x14ac:dyDescent="0.15">
      <c r="A1073" s="2" t="s">
        <f>"0930000790019"</f>
        <v>2124</v>
      </c>
      <c r="B1073" s="2" t="s">
        <f>"范元峰"</f>
        <v>2125</v>
      </c>
      <c r="C1073" s="2">
        <v>0.0</v>
      </c>
      <c r="D1073" s="2">
        <v>0.0</v>
      </c>
      <c r="E1073" s="2">
        <v>0.0</v>
      </c>
    </row>
    <row r="1074" spans="1:5" customHeight="1" x14ac:dyDescent="0.15">
      <c r="A1074" s="2" t="s">
        <f>"093000039001920042"</f>
        <v>2126</v>
      </c>
      <c r="B1074" s="2" t="s">
        <f>"李俊"</f>
        <v>2127</v>
      </c>
      <c r="C1074" s="2">
        <v>0.0</v>
      </c>
      <c r="D1074" s="2">
        <v>205.0</v>
      </c>
      <c r="E1074" s="2">
        <v>-215.99</v>
      </c>
    </row>
    <row r="1075" spans="1:5" customHeight="1" x14ac:dyDescent="0.15">
      <c r="A1075" s="2" t="s">
        <f>"093000043920059"</f>
        <v>2128</v>
      </c>
      <c r="B1075" s="2" t="s">
        <f>"朱瑞莉"</f>
        <v>2129</v>
      </c>
      <c r="C1075" s="2">
        <v>0.0</v>
      </c>
      <c r="D1075" s="2">
        <v>195.0</v>
      </c>
      <c r="E1075" s="2">
        <v>-54.88</v>
      </c>
    </row>
    <row r="1076" spans="1:5" customHeight="1" x14ac:dyDescent="0.15">
      <c r="A1076" s="2" t="s">
        <f>"093000039001920043"</f>
        <v>2130</v>
      </c>
      <c r="B1076" s="2" t="s">
        <f>"李卿豪"</f>
        <v>2131</v>
      </c>
      <c r="C1076" s="2">
        <v>0.0</v>
      </c>
      <c r="D1076" s="2">
        <v>-114.0</v>
      </c>
      <c r="E1076" s="2">
        <v>-217.74</v>
      </c>
    </row>
    <row r="1077" spans="1:5" customHeight="1" x14ac:dyDescent="0.15">
      <c r="A1077" s="2" t="s">
        <f>"093000039001920044"</f>
        <v>2132</v>
      </c>
      <c r="B1077" s="2" t="s">
        <f>"贺敬淼"</f>
        <v>2133</v>
      </c>
      <c r="C1077" s="2">
        <v>0.0</v>
      </c>
      <c r="D1077" s="2">
        <v>1768.0</v>
      </c>
      <c r="E1077" s="2">
        <v>-347.13</v>
      </c>
    </row>
    <row r="1078" spans="1:5" customHeight="1" x14ac:dyDescent="0.15">
      <c r="A1078" s="2" t="s">
        <f>"093000047920025"</f>
        <v>2134</v>
      </c>
      <c r="B1078" s="2" t="s">
        <f>"郑广州"</f>
        <v>2135</v>
      </c>
      <c r="C1078" s="2">
        <v>0.0</v>
      </c>
      <c r="D1078" s="2">
        <v>470.0</v>
      </c>
      <c r="E1078" s="2">
        <v>-53.82</v>
      </c>
    </row>
    <row r="1079" spans="1:5" customHeight="1" x14ac:dyDescent="0.15">
      <c r="A1079" s="2" t="s">
        <f>"093000920543"</f>
        <v>2136</v>
      </c>
      <c r="B1079" s="2" t="s">
        <f>"焦国庆"</f>
        <v>2137</v>
      </c>
      <c r="C1079" s="2">
        <v>-680.0</v>
      </c>
      <c r="D1079" s="2">
        <v>-140.0</v>
      </c>
      <c r="E1079" s="2">
        <v>-232.23</v>
      </c>
    </row>
    <row r="1080" spans="1:5" customHeight="1" x14ac:dyDescent="0.15">
      <c r="A1080" s="2" t="s">
        <f>"093000920544"</f>
        <v>2138</v>
      </c>
      <c r="B1080" s="2" t="s">
        <f>"卢琴"</f>
        <v>2139</v>
      </c>
      <c r="C1080" s="2">
        <v>0.0</v>
      </c>
      <c r="D1080" s="2">
        <v>0.0</v>
      </c>
      <c r="E1080" s="2">
        <v>0.0</v>
      </c>
    </row>
    <row r="1081" spans="1:5" customHeight="1" x14ac:dyDescent="0.15">
      <c r="A1081" s="2" t="s">
        <f>"093000043920060"</f>
        <v>2140</v>
      </c>
      <c r="B1081" s="2" t="s">
        <f>"王春"</f>
        <v>2141</v>
      </c>
      <c r="C1081" s="2">
        <v>0.0</v>
      </c>
      <c r="D1081" s="2">
        <v>0.0</v>
      </c>
      <c r="E1081" s="2">
        <v>0.0</v>
      </c>
    </row>
    <row r="1082" spans="1:5" customHeight="1" x14ac:dyDescent="0.15">
      <c r="A1082" s="2" t="s">
        <f>"0930000790020"</f>
        <v>2142</v>
      </c>
      <c r="B1082" s="2" t="s">
        <f>"王宗谱"</f>
        <v>2143</v>
      </c>
      <c r="C1082" s="2">
        <v>-944.0</v>
      </c>
      <c r="D1082" s="2">
        <v>175.0</v>
      </c>
      <c r="E1082" s="2">
        <v>-628.13</v>
      </c>
    </row>
    <row r="1083" spans="1:5" customHeight="1" x14ac:dyDescent="0.15">
      <c r="A1083" s="2" t="s">
        <f>"0930000790021"</f>
        <v>2144</v>
      </c>
      <c r="B1083" s="2" t="s">
        <f>"王甲锋"</f>
        <v>2145</v>
      </c>
      <c r="C1083" s="2">
        <v>0.0</v>
      </c>
      <c r="D1083" s="2">
        <v>0.0</v>
      </c>
      <c r="E1083" s="2">
        <v>0.0</v>
      </c>
    </row>
    <row r="1084" spans="1:5" customHeight="1" x14ac:dyDescent="0.15">
      <c r="A1084" s="2" t="s">
        <f>"093000047920026"</f>
        <v>2146</v>
      </c>
      <c r="B1084" s="2" t="s">
        <f>"马强"</f>
        <v>2147</v>
      </c>
      <c r="C1084" s="2">
        <v>-872.0</v>
      </c>
      <c r="D1084" s="2">
        <v>320.0</v>
      </c>
      <c r="E1084" s="2">
        <v>-54.06</v>
      </c>
    </row>
    <row r="1085" spans="1:5" customHeight="1" x14ac:dyDescent="0.15">
      <c r="A1085" s="2" t="s">
        <f>"093000920548"</f>
        <v>2148</v>
      </c>
      <c r="B1085" s="2" t="s">
        <f>"张家香"</f>
        <v>2149</v>
      </c>
      <c r="C1085" s="2">
        <v>0.0</v>
      </c>
      <c r="D1085" s="2">
        <v>0.0</v>
      </c>
      <c r="E1085" s="2">
        <v>0.0</v>
      </c>
    </row>
    <row r="1086" spans="1:5" customHeight="1" x14ac:dyDescent="0.15">
      <c r="A1086" s="2" t="s">
        <f>"093000059920029"</f>
        <v>2150</v>
      </c>
      <c r="B1086" s="2" t="s">
        <f>"闫小静"</f>
        <v>2151</v>
      </c>
      <c r="C1086" s="2">
        <v>0.0</v>
      </c>
      <c r="D1086" s="2">
        <v>-1032.0</v>
      </c>
      <c r="E1086" s="2">
        <v>-162.34</v>
      </c>
    </row>
    <row r="1087" spans="1:5" customHeight="1" x14ac:dyDescent="0.15">
      <c r="A1087" s="2" t="s">
        <f>"0930000900000"</f>
        <v>2152</v>
      </c>
      <c r="B1087" s="2" t="s">
        <f>"石昌富"</f>
        <v>2153</v>
      </c>
      <c r="C1087" s="2">
        <v>0.0</v>
      </c>
      <c r="D1087" s="2">
        <v>0.0</v>
      </c>
      <c r="E1087" s="2">
        <v>0.0</v>
      </c>
    </row>
    <row r="1088" spans="1:5" customHeight="1" x14ac:dyDescent="0.15">
      <c r="A1088" s="2" t="s">
        <f>"093000088920010"</f>
        <v>2154</v>
      </c>
      <c r="B1088" s="2" t="s">
        <f>"李鑫"</f>
        <v>2155</v>
      </c>
      <c r="C1088" s="2">
        <v>0.0</v>
      </c>
      <c r="D1088" s="2">
        <v>-2035.0</v>
      </c>
      <c r="E1088" s="2">
        <v>-750.69</v>
      </c>
    </row>
    <row r="1089" spans="1:5" customHeight="1" x14ac:dyDescent="0.15">
      <c r="A1089" s="2" t="s">
        <f>"0930000000087"</f>
        <v>2156</v>
      </c>
      <c r="B1089" s="2" t="s">
        <f>"王勇"</f>
        <v>2157</v>
      </c>
      <c r="C1089" s="2">
        <v>0.0</v>
      </c>
      <c r="D1089" s="2">
        <v>0.0</v>
      </c>
      <c r="E1089" s="2">
        <v>0.0</v>
      </c>
    </row>
    <row r="1090" spans="1:5" customHeight="1" x14ac:dyDescent="0.15">
      <c r="A1090" s="2" t="s">
        <f>"0930000960000"</f>
        <v>2158</v>
      </c>
      <c r="B1090" s="2" t="s">
        <f>"王海燕"</f>
        <v>2159</v>
      </c>
      <c r="C1090" s="2">
        <v>0.0</v>
      </c>
      <c r="D1090" s="2">
        <v>593.0</v>
      </c>
      <c r="E1090" s="2">
        <v>-108.9</v>
      </c>
    </row>
    <row r="1091" spans="1:5" customHeight="1" x14ac:dyDescent="0.15">
      <c r="A1091" s="2" t="s">
        <f>"093000039001920045"</f>
        <v>2160</v>
      </c>
      <c r="B1091" s="2" t="s">
        <f>"李清运"</f>
        <v>2161</v>
      </c>
      <c r="C1091" s="2">
        <v>0.0</v>
      </c>
      <c r="D1091" s="2">
        <v>699.0</v>
      </c>
      <c r="E1091" s="2">
        <v>-699.28</v>
      </c>
    </row>
    <row r="1092" spans="1:5" customHeight="1" x14ac:dyDescent="0.15">
      <c r="A1092" s="2" t="s">
        <f>"093000044920052"</f>
        <v>2162</v>
      </c>
      <c r="B1092" s="2" t="s">
        <f>"路文颂"</f>
        <v>2163</v>
      </c>
      <c r="C1092" s="2">
        <v>0.0</v>
      </c>
      <c r="D1092" s="2">
        <v>0.0</v>
      </c>
      <c r="E1092" s="2">
        <v>0.0</v>
      </c>
    </row>
    <row r="1093" spans="1:5" customHeight="1" x14ac:dyDescent="0.15">
      <c r="A1093" s="2" t="s">
        <f>"0930000620022"</f>
        <v>2164</v>
      </c>
      <c r="B1093" s="2" t="s">
        <f>"廖光耸"</f>
        <v>2077</v>
      </c>
      <c r="C1093" s="2">
        <v>0.0</v>
      </c>
      <c r="D1093" s="2">
        <v>0.0</v>
      </c>
      <c r="E1093" s="2">
        <v>0.0</v>
      </c>
    </row>
    <row r="1094" spans="1:5" customHeight="1" x14ac:dyDescent="0.15">
      <c r="A1094" s="2" t="s">
        <f>"093000920551"</f>
        <v>2165</v>
      </c>
      <c r="B1094" s="2" t="s">
        <f>"罗绍银"</f>
        <v>2166</v>
      </c>
      <c r="C1094" s="2">
        <v>0.0</v>
      </c>
      <c r="D1094" s="2">
        <v>0.0</v>
      </c>
      <c r="E1094" s="2">
        <v>0.0</v>
      </c>
    </row>
    <row r="1095" spans="1:5" customHeight="1" x14ac:dyDescent="0.15">
      <c r="A1095" s="2" t="s">
        <f>"093000920550"</f>
        <v>2167</v>
      </c>
      <c r="B1095" s="2" t="s">
        <f>"梁文芳"</f>
        <v>2168</v>
      </c>
      <c r="C1095" s="2">
        <v>0.0</v>
      </c>
      <c r="D1095" s="2">
        <v>0.0</v>
      </c>
      <c r="E1095" s="2">
        <v>0.0</v>
      </c>
    </row>
    <row r="1096" spans="1:5" customHeight="1" x14ac:dyDescent="0.15">
      <c r="A1096" s="2" t="s">
        <f>"093000043920061"</f>
        <v>2169</v>
      </c>
      <c r="B1096" s="2" t="s">
        <f>"宋胜林"</f>
        <v>2170</v>
      </c>
      <c r="C1096" s="2">
        <v>-23.0</v>
      </c>
      <c r="D1096" s="2">
        <v>-457.0</v>
      </c>
      <c r="E1096" s="2">
        <v>-1060.27</v>
      </c>
    </row>
    <row r="1097" spans="1:5" customHeight="1" x14ac:dyDescent="0.15">
      <c r="A1097" s="2" t="s">
        <f>"093000039001920046"</f>
        <v>2171</v>
      </c>
      <c r="B1097" s="2" t="s">
        <f>"尹林"</f>
        <v>2172</v>
      </c>
      <c r="C1097" s="2">
        <v>0.0</v>
      </c>
      <c r="D1097" s="2">
        <v>557.0</v>
      </c>
      <c r="E1097" s="2">
        <v>-323.81</v>
      </c>
    </row>
    <row r="1098" spans="1:5" customHeight="1" x14ac:dyDescent="0.15">
      <c r="A1098" s="2" t="s">
        <f>"093000920552"</f>
        <v>2173</v>
      </c>
      <c r="B1098" s="2" t="s">
        <f>"郭路洋"</f>
        <v>2174</v>
      </c>
      <c r="C1098" s="2">
        <v>0.0</v>
      </c>
      <c r="D1098" s="2">
        <v>636.0</v>
      </c>
      <c r="E1098" s="2">
        <v>-287.93</v>
      </c>
    </row>
    <row r="1099" spans="1:5" customHeight="1" x14ac:dyDescent="0.15">
      <c r="A1099" s="2" t="s">
        <f>"093000039001920047"</f>
        <v>2175</v>
      </c>
      <c r="B1099" s="2" t="s">
        <f>"杨坡"</f>
        <v>2176</v>
      </c>
      <c r="C1099" s="2">
        <v>-739.0</v>
      </c>
      <c r="D1099" s="2">
        <v>451.0</v>
      </c>
      <c r="E1099" s="2">
        <v>-161.78</v>
      </c>
    </row>
    <row r="1100" spans="1:5" customHeight="1" x14ac:dyDescent="0.15">
      <c r="A1100" s="2" t="s">
        <f>"093000039001920048"</f>
        <v>2177</v>
      </c>
      <c r="B1100" s="2" t="s">
        <f>"董国辉"</f>
        <v>2178</v>
      </c>
      <c r="C1100" s="2">
        <v>-121.0</v>
      </c>
      <c r="D1100" s="2">
        <v>-352.0</v>
      </c>
      <c r="E1100" s="2">
        <v>-430.96</v>
      </c>
    </row>
    <row r="1101" spans="1:5" customHeight="1" x14ac:dyDescent="0.15">
      <c r="A1101" s="2" t="s">
        <f>"093000043920062"</f>
        <v>2179</v>
      </c>
      <c r="B1101" s="2" t="s">
        <f>"朱向飞"</f>
        <v>2180</v>
      </c>
      <c r="C1101" s="2">
        <v>0.0</v>
      </c>
      <c r="D1101" s="2">
        <v>0.0</v>
      </c>
      <c r="E1101" s="2">
        <v>0.0</v>
      </c>
    </row>
    <row r="1102" spans="1:5" customHeight="1" x14ac:dyDescent="0.15">
      <c r="A1102" s="2" t="s">
        <f>"0930000390000"</f>
        <v>2181</v>
      </c>
      <c r="B1102" s="2" t="s">
        <f>"栗春洋"</f>
        <v>2182</v>
      </c>
      <c r="C1102" s="2">
        <v>0.0</v>
      </c>
      <c r="D1102" s="2">
        <v>506.0</v>
      </c>
      <c r="E1102" s="2">
        <v>-106.71</v>
      </c>
    </row>
    <row r="1103" spans="1:5" customHeight="1" x14ac:dyDescent="0.15">
      <c r="A1103" s="2" t="s">
        <f>"0930000790022"</f>
        <v>2183</v>
      </c>
      <c r="B1103" s="2" t="s">
        <f>"彭静丽"</f>
        <v>2184</v>
      </c>
      <c r="C1103" s="2">
        <v>0.0</v>
      </c>
      <c r="D1103" s="2">
        <v>0.0</v>
      </c>
      <c r="E1103" s="2">
        <v>0.0</v>
      </c>
    </row>
    <row r="1104" spans="1:5" customHeight="1" x14ac:dyDescent="0.15">
      <c r="A1104" s="2" t="s">
        <f>"0930000960001"</f>
        <v>2185</v>
      </c>
      <c r="B1104" s="2" t="s">
        <f>" 王海洋"</f>
        <v>2186</v>
      </c>
      <c r="C1104" s="2">
        <v>0.0</v>
      </c>
      <c r="D1104" s="2">
        <v>-388.0</v>
      </c>
      <c r="E1104" s="2">
        <v>-54.37</v>
      </c>
    </row>
    <row r="1105" spans="1:5" customHeight="1" x14ac:dyDescent="0.15">
      <c r="A1105" s="2" t="s">
        <f>"093000039001920050"</f>
        <v>2187</v>
      </c>
      <c r="B1105" s="2" t="s">
        <f>"任梦玥"</f>
        <v>2188</v>
      </c>
      <c r="C1105" s="2">
        <v>0.0</v>
      </c>
      <c r="D1105" s="2">
        <v>-264.0</v>
      </c>
      <c r="E1105" s="2">
        <v>-162.06</v>
      </c>
    </row>
    <row r="1106" spans="1:5" customHeight="1" x14ac:dyDescent="0.15">
      <c r="A1106" s="2" t="s">
        <f>"0930000960002"</f>
        <v>2189</v>
      </c>
      <c r="B1106" s="2" t="s">
        <f>"王海龙"</f>
        <v>2190</v>
      </c>
      <c r="C1106" s="2">
        <v>0.0</v>
      </c>
      <c r="D1106" s="2">
        <v>0.0</v>
      </c>
      <c r="E1106" s="2">
        <v>0.0</v>
      </c>
    </row>
    <row r="1107" spans="1:5" customHeight="1" x14ac:dyDescent="0.15">
      <c r="A1107" s="2" t="s">
        <f>"093000920553"</f>
        <v>2191</v>
      </c>
      <c r="B1107" s="2" t="s">
        <f>"钟龙平"</f>
        <v>2192</v>
      </c>
      <c r="C1107" s="2">
        <v>0.0</v>
      </c>
      <c r="D1107" s="2">
        <v>0.0</v>
      </c>
      <c r="E1107" s="2">
        <v>0.0</v>
      </c>
    </row>
    <row r="1108" spans="1:5" customHeight="1" x14ac:dyDescent="0.15">
      <c r="A1108" s="2" t="s">
        <f>"093000043920063"</f>
        <v>2193</v>
      </c>
      <c r="B1108" s="2" t="s">
        <f>"柳云英"</f>
        <v>2194</v>
      </c>
      <c r="C1108" s="2">
        <v>0.0</v>
      </c>
      <c r="D1108" s="2">
        <v>-443.0</v>
      </c>
      <c r="E1108" s="2">
        <v>-581.17</v>
      </c>
    </row>
    <row r="1109" spans="1:5" customHeight="1" x14ac:dyDescent="0.15">
      <c r="A1109" s="2" t="s">
        <f>"093000044920054"</f>
        <v>2195</v>
      </c>
      <c r="B1109" s="2" t="s">
        <f>"谢健民"</f>
        <v>2196</v>
      </c>
      <c r="C1109" s="2">
        <v>0.0</v>
      </c>
      <c r="D1109" s="2">
        <v>85.0</v>
      </c>
      <c r="E1109" s="2">
        <v>-106.64</v>
      </c>
    </row>
    <row r="1110" spans="1:5" customHeight="1" x14ac:dyDescent="0.15">
      <c r="A1110" s="2" t="s">
        <f>"093000920554"</f>
        <v>2197</v>
      </c>
      <c r="B1110" s="2" t="s">
        <f>"罗仕斌"</f>
        <v>2198</v>
      </c>
      <c r="C1110" s="2">
        <v>0.0</v>
      </c>
      <c r="D1110" s="2">
        <v>0.0</v>
      </c>
      <c r="E1110" s="2">
        <v>0.0</v>
      </c>
    </row>
    <row r="1111" spans="1:5" customHeight="1" x14ac:dyDescent="0.15">
      <c r="A1111" s="2" t="s">
        <f>"093000043920064"</f>
        <v>2199</v>
      </c>
      <c r="B1111" s="2" t="s">
        <f>"樊丽"</f>
        <v>2200</v>
      </c>
      <c r="C1111" s="2">
        <v>0.0</v>
      </c>
      <c r="D1111" s="2">
        <v>1014.0</v>
      </c>
      <c r="E1111" s="2">
        <v>-965.09</v>
      </c>
    </row>
    <row r="1112" spans="1:5" customHeight="1" x14ac:dyDescent="0.15">
      <c r="A1112" s="2" t="s">
        <f>"093000039001920052"</f>
        <v>2201</v>
      </c>
      <c r="B1112" s="2" t="s">
        <f>"高鹏飞"</f>
        <v>2202</v>
      </c>
      <c r="C1112" s="2">
        <v>-6.0</v>
      </c>
      <c r="D1112" s="2">
        <v>437.0</v>
      </c>
      <c r="E1112" s="2">
        <v>-57.08</v>
      </c>
    </row>
    <row r="1113" spans="1:5" customHeight="1" x14ac:dyDescent="0.15">
      <c r="A1113" s="2" t="s">
        <f>"093000039001920053"</f>
        <v>2203</v>
      </c>
      <c r="B1113" s="2" t="s">
        <f>"张茹"</f>
        <v>2204</v>
      </c>
      <c r="C1113" s="2">
        <v>0.0</v>
      </c>
      <c r="D1113" s="2">
        <v>-389.0</v>
      </c>
      <c r="E1113" s="2">
        <v>-53.09</v>
      </c>
    </row>
    <row r="1114" spans="1:5" customHeight="1" x14ac:dyDescent="0.15">
      <c r="A1114" s="2" t="s">
        <f>"093000039001920054"</f>
        <v>2205</v>
      </c>
      <c r="B1114" s="2" t="s">
        <f>"王玉伟"</f>
        <v>2206</v>
      </c>
      <c r="C1114" s="2">
        <v>0.0</v>
      </c>
      <c r="D1114" s="2">
        <v>0.0</v>
      </c>
      <c r="E1114" s="2">
        <v>0.0</v>
      </c>
    </row>
    <row r="1115" spans="1:5" customHeight="1" x14ac:dyDescent="0.15">
      <c r="A1115" s="2" t="s">
        <f>"093000043920065"</f>
        <v>2207</v>
      </c>
      <c r="B1115" s="2" t="s">
        <f>"冯清泉"</f>
        <v>2208</v>
      </c>
      <c r="C1115" s="2">
        <v>0.0</v>
      </c>
      <c r="D1115" s="2">
        <v>-1001.0</v>
      </c>
      <c r="E1115" s="2">
        <v>-605.33</v>
      </c>
    </row>
    <row r="1116" spans="1:5" customHeight="1" x14ac:dyDescent="0.15">
      <c r="A1116" s="2" t="s">
        <f>"093000044920055"</f>
        <v>2209</v>
      </c>
      <c r="B1116" s="2" t="s">
        <f>"郭保兰"</f>
        <v>2210</v>
      </c>
      <c r="C1116" s="2">
        <v>0.0</v>
      </c>
      <c r="D1116" s="2">
        <v>0.0</v>
      </c>
      <c r="E1116" s="2">
        <v>0.0</v>
      </c>
    </row>
    <row r="1117" spans="1:5" customHeight="1" x14ac:dyDescent="0.15">
      <c r="A1117" s="2" t="s">
        <f>"093000043920066"</f>
        <v>2211</v>
      </c>
      <c r="B1117" s="2" t="s">
        <f>"马付生"</f>
        <v>2212</v>
      </c>
      <c r="C1117" s="2">
        <v>0.0</v>
      </c>
      <c r="D1117" s="2">
        <v>0.0</v>
      </c>
      <c r="E1117" s="2">
        <v>0.0</v>
      </c>
    </row>
    <row r="1118" spans="1:5" customHeight="1" x14ac:dyDescent="0.15">
      <c r="A1118" s="2" t="s">
        <f>"093000044920057"</f>
        <v>2213</v>
      </c>
      <c r="B1118" s="2" t="s">
        <f>"胡振军"</f>
        <v>2214</v>
      </c>
      <c r="C1118" s="2">
        <v>0.0</v>
      </c>
      <c r="D1118" s="2">
        <v>474.0</v>
      </c>
      <c r="E1118" s="2">
        <v>-318.92</v>
      </c>
    </row>
    <row r="1119" spans="1:5" customHeight="1" x14ac:dyDescent="0.15">
      <c r="A1119" s="2" t="s">
        <f>"093000044920056"</f>
        <v>2215</v>
      </c>
      <c r="B1119" s="2" t="s">
        <f>"张改连"</f>
        <v>2216</v>
      </c>
      <c r="C1119" s="2">
        <v>0.0</v>
      </c>
      <c r="D1119" s="2">
        <v>541.0</v>
      </c>
      <c r="E1119" s="2">
        <v>-373.64</v>
      </c>
    </row>
    <row r="1120" spans="1:5" customHeight="1" x14ac:dyDescent="0.15">
      <c r="A1120" s="2" t="s">
        <f>"093000920556"</f>
        <v>2217</v>
      </c>
      <c r="B1120" s="2" t="s">
        <f>"李云良"</f>
        <v>2218</v>
      </c>
      <c r="C1120" s="2">
        <v>0.0</v>
      </c>
      <c r="D1120" s="2">
        <v>0.0</v>
      </c>
      <c r="E1120" s="2">
        <v>0.0</v>
      </c>
    </row>
    <row r="1121" spans="1:5" customHeight="1" x14ac:dyDescent="0.15">
      <c r="A1121" s="2" t="s">
        <f>"093000039001920055"</f>
        <v>2219</v>
      </c>
      <c r="B1121" s="2" t="s">
        <f>"李东伟"</f>
        <v>2220</v>
      </c>
      <c r="C1121" s="2">
        <v>0.0</v>
      </c>
      <c r="D1121" s="2">
        <v>227.0</v>
      </c>
      <c r="E1121" s="2">
        <v>-53.48</v>
      </c>
    </row>
    <row r="1122" spans="1:5" customHeight="1" x14ac:dyDescent="0.15">
      <c r="A1122" s="2" t="s">
        <f>"0930000960003"</f>
        <v>2221</v>
      </c>
      <c r="B1122" s="2" t="s">
        <f>"赵翠娟"</f>
        <v>2222</v>
      </c>
      <c r="C1122" s="2">
        <v>0.0</v>
      </c>
      <c r="D1122" s="2">
        <v>0.0</v>
      </c>
      <c r="E1122" s="2">
        <v>0.0</v>
      </c>
    </row>
    <row r="1123" spans="1:5" customHeight="1" x14ac:dyDescent="0.15">
      <c r="A1123" s="2" t="s">
        <f>"0930000960004"</f>
        <v>2223</v>
      </c>
      <c r="B1123" s="2" t="s">
        <f>"王进强"</f>
        <v>2224</v>
      </c>
      <c r="C1123" s="2">
        <v>0.0</v>
      </c>
      <c r="D1123" s="2">
        <v>0.0</v>
      </c>
      <c r="E1123" s="2">
        <v>0.0</v>
      </c>
    </row>
    <row r="1124" spans="1:5" customHeight="1" x14ac:dyDescent="0.15">
      <c r="A1124" s="2" t="s">
        <f>"0930000960005"</f>
        <v>2225</v>
      </c>
      <c r="B1124" s="2" t="s">
        <f>"胡美珍"</f>
        <v>2226</v>
      </c>
      <c r="C1124" s="2">
        <v>0.0</v>
      </c>
      <c r="D1124" s="2">
        <v>0.0</v>
      </c>
      <c r="E1124" s="2">
        <v>0.0</v>
      </c>
    </row>
    <row r="1125" spans="1:5" customHeight="1" x14ac:dyDescent="0.15">
      <c r="A1125" s="2" t="s">
        <f>"093000047920027"</f>
        <v>2227</v>
      </c>
      <c r="B1125" s="2" t="s">
        <f>"杨胜利"</f>
        <v>2228</v>
      </c>
      <c r="C1125" s="2">
        <v>0.0</v>
      </c>
      <c r="D1125" s="2">
        <v>0.0</v>
      </c>
      <c r="E1125" s="2">
        <v>0.0</v>
      </c>
    </row>
    <row r="1126" spans="1:5" customHeight="1" x14ac:dyDescent="0.15">
      <c r="A1126" s="2" t="s">
        <f>"0930000960006"</f>
        <v>2229</v>
      </c>
      <c r="B1126" s="2" t="s">
        <f>"胡美林"</f>
        <v>2230</v>
      </c>
      <c r="C1126" s="2">
        <v>0.0</v>
      </c>
      <c r="D1126" s="2">
        <v>0.0</v>
      </c>
      <c r="E1126" s="2">
        <v>0.0</v>
      </c>
    </row>
    <row r="1127" spans="1:5" customHeight="1" x14ac:dyDescent="0.15">
      <c r="A1127" s="2" t="s">
        <f>"0930000960007"</f>
        <v>2231</v>
      </c>
      <c r="B1127" s="2" t="s">
        <f>"李红瑞"</f>
        <v>2232</v>
      </c>
      <c r="C1127" s="2">
        <v>293.0</v>
      </c>
      <c r="D1127" s="2">
        <v>0.0</v>
      </c>
      <c r="E1127" s="2">
        <v>-26.59</v>
      </c>
    </row>
    <row r="1128" spans="1:5" customHeight="1" x14ac:dyDescent="0.15">
      <c r="A1128" s="2" t="s">
        <f>"093000039001920056"</f>
        <v>2233</v>
      </c>
      <c r="B1128" s="2" t="s">
        <f>"卢连国"</f>
        <v>2234</v>
      </c>
      <c r="C1128" s="2">
        <v>0.0</v>
      </c>
      <c r="D1128" s="2">
        <v>465.0</v>
      </c>
      <c r="E1128" s="2">
        <v>-53.22</v>
      </c>
    </row>
    <row r="1129" spans="1:5" customHeight="1" x14ac:dyDescent="0.15">
      <c r="A1129" s="2" t="s">
        <f>"0930000960008"</f>
        <v>2235</v>
      </c>
      <c r="B1129" s="2" t="s">
        <f>"聂世胜"</f>
        <v>2236</v>
      </c>
      <c r="C1129" s="2">
        <v>0.0</v>
      </c>
      <c r="D1129" s="2">
        <v>0.0</v>
      </c>
      <c r="E1129" s="2">
        <v>0.0</v>
      </c>
    </row>
    <row r="1130" spans="1:5" customHeight="1" x14ac:dyDescent="0.15">
      <c r="A1130" s="2" t="s">
        <f>"093000039001920057"</f>
        <v>2237</v>
      </c>
      <c r="B1130" s="2" t="s">
        <f>"吴晓晗"</f>
        <v>2238</v>
      </c>
      <c r="C1130" s="2">
        <v>0.0</v>
      </c>
      <c r="D1130" s="2">
        <v>0.0</v>
      </c>
      <c r="E1130" s="2">
        <v>0.0</v>
      </c>
    </row>
    <row r="1131" spans="1:5" customHeight="1" x14ac:dyDescent="0.15">
      <c r="A1131" s="2" t="s">
        <f>"093000039001920059"</f>
        <v>2239</v>
      </c>
      <c r="B1131" s="2" t="s">
        <f>"李欣"</f>
        <v>2240</v>
      </c>
      <c r="C1131" s="2">
        <v>0.0</v>
      </c>
      <c r="D1131" s="2">
        <v>0.0</v>
      </c>
      <c r="E1131" s="2">
        <v>0.0</v>
      </c>
    </row>
    <row r="1132" spans="1:5" customHeight="1" x14ac:dyDescent="0.15">
      <c r="A1132" s="2" t="s">
        <f>"093000039001920060"</f>
        <v>2241</v>
      </c>
      <c r="B1132" s="2" t="s">
        <f>"柳茵"</f>
        <v>2242</v>
      </c>
      <c r="C1132" s="2">
        <v>0.0</v>
      </c>
      <c r="D1132" s="2">
        <v>-379.0</v>
      </c>
      <c r="E1132" s="2">
        <v>-53.02</v>
      </c>
    </row>
    <row r="1133" spans="1:5" customHeight="1" x14ac:dyDescent="0.15">
      <c r="A1133" s="2" t="s">
        <f>"093000047920028"</f>
        <v>2243</v>
      </c>
      <c r="B1133" s="2" t="s">
        <f>"许志旺"</f>
        <v>2244</v>
      </c>
      <c r="C1133" s="2">
        <v>0.0</v>
      </c>
      <c r="D1133" s="2">
        <v>0.0</v>
      </c>
      <c r="E1133" s="2">
        <v>0.0</v>
      </c>
    </row>
    <row r="1134" spans="1:5" customHeight="1" x14ac:dyDescent="0.15">
      <c r="A1134" s="2" t="s">
        <f>"0930000390020001"</f>
        <v>2245</v>
      </c>
      <c r="B1134" s="2" t="s">
        <f>"张世高"</f>
        <v>2246</v>
      </c>
      <c r="C1134" s="2">
        <v>0.0</v>
      </c>
      <c r="D1134" s="2">
        <v>0.0</v>
      </c>
      <c r="E1134" s="2">
        <v>0.0</v>
      </c>
    </row>
    <row r="1135" spans="1:5" customHeight="1" x14ac:dyDescent="0.15">
      <c r="A1135" s="2" t="s">
        <f>"093000047920029"</f>
        <v>2247</v>
      </c>
      <c r="B1135" s="2" t="s">
        <f>"谢杨辉"</f>
        <v>2248</v>
      </c>
      <c r="C1135" s="2">
        <v>0.0</v>
      </c>
      <c r="D1135" s="2">
        <v>0.0</v>
      </c>
      <c r="E1135" s="2">
        <v>0.0</v>
      </c>
    </row>
    <row r="1136" spans="1:5" customHeight="1" x14ac:dyDescent="0.15">
      <c r="A1136" s="2" t="s">
        <f>"093000047920030"</f>
        <v>2249</v>
      </c>
      <c r="B1136" s="2" t="s">
        <f>"白中立"</f>
        <v>2250</v>
      </c>
      <c r="C1136" s="2">
        <v>0.0</v>
      </c>
      <c r="D1136" s="2">
        <v>0.0</v>
      </c>
      <c r="E1136" s="2">
        <v>0.0</v>
      </c>
    </row>
    <row r="1137" spans="1:5" customHeight="1" x14ac:dyDescent="0.15">
      <c r="A1137" s="2" t="s">
        <f>"093000059920030"</f>
        <v>2251</v>
      </c>
      <c r="B1137" s="2" t="s">
        <f>"钟旭东"</f>
        <v>2252</v>
      </c>
      <c r="C1137" s="2">
        <v>0.0</v>
      </c>
      <c r="D1137" s="2">
        <v>0.0</v>
      </c>
      <c r="E1137" s="2">
        <v>0.0</v>
      </c>
    </row>
    <row r="1138" spans="1:5" customHeight="1" x14ac:dyDescent="0.15">
      <c r="A1138" s="2" t="s">
        <f>"0930000920001"</f>
        <v>2253</v>
      </c>
      <c r="B1138" s="2" t="s">
        <f>"揭勇"</f>
        <v>2254</v>
      </c>
      <c r="C1138" s="2">
        <v>0.0</v>
      </c>
      <c r="D1138" s="2">
        <v>0.0</v>
      </c>
      <c r="E1138" s="2">
        <v>0.0</v>
      </c>
    </row>
    <row r="1139" spans="1:5" customHeight="1" x14ac:dyDescent="0.15">
      <c r="A1139" s="2" t="s">
        <f>"093000043920067"</f>
        <v>2255</v>
      </c>
      <c r="B1139" s="2" t="s">
        <f>"王磊"</f>
        <v>126</v>
      </c>
      <c r="C1139" s="2">
        <v>0.0</v>
      </c>
      <c r="D1139" s="2">
        <v>0.0</v>
      </c>
      <c r="E1139" s="2">
        <v>0.0</v>
      </c>
    </row>
    <row r="1140" spans="1:5" customHeight="1" x14ac:dyDescent="0.15">
      <c r="A1140" s="2" t="s">
        <f>"093000044920058"</f>
        <v>2256</v>
      </c>
      <c r="B1140" s="2" t="s">
        <f>"胡克强"</f>
        <v>2257</v>
      </c>
      <c r="C1140" s="2">
        <v>0.0</v>
      </c>
      <c r="D1140" s="2">
        <v>150.0</v>
      </c>
      <c r="E1140" s="2">
        <v>-53.36</v>
      </c>
    </row>
    <row r="1141" spans="1:5" customHeight="1" x14ac:dyDescent="0.15">
      <c r="A1141" s="2" t="s">
        <f>"093000044920059"</f>
        <v>2258</v>
      </c>
      <c r="B1141" s="2" t="s">
        <f>"赵晓会"</f>
        <v>2259</v>
      </c>
      <c r="C1141" s="2">
        <v>0.0</v>
      </c>
      <c r="D1141" s="2">
        <v>0.0</v>
      </c>
      <c r="E1141" s="2">
        <v>0.0</v>
      </c>
    </row>
    <row r="1142" spans="1:5" customHeight="1" x14ac:dyDescent="0.15">
      <c r="A1142" s="2" t="s">
        <f>"093000044920060"</f>
        <v>2260</v>
      </c>
      <c r="B1142" s="2" t="s">
        <f>"曲良景"</f>
        <v>2261</v>
      </c>
      <c r="C1142" s="2">
        <v>0.0</v>
      </c>
      <c r="D1142" s="2">
        <v>246.0</v>
      </c>
      <c r="E1142" s="2">
        <v>-53.32</v>
      </c>
    </row>
    <row r="1143" spans="1:5" customHeight="1" x14ac:dyDescent="0.15">
      <c r="A1143" s="2" t="s">
        <f>"093000044920061"</f>
        <v>2262</v>
      </c>
      <c r="B1143" s="2" t="s">
        <f>"靳中丽"</f>
        <v>2263</v>
      </c>
      <c r="C1143" s="2">
        <v>0.0</v>
      </c>
      <c r="D1143" s="2">
        <v>-263.0</v>
      </c>
      <c r="E1143" s="2">
        <v>-53.34</v>
      </c>
    </row>
    <row r="1144" spans="1:5" customHeight="1" x14ac:dyDescent="0.15">
      <c r="A1144" s="2" t="s">
        <v>2264</v>
      </c>
      <c r="B1144" s="2" t="s">
        <v>2265</v>
      </c>
      <c r="C1144" s="2">
        <v>-900.0</v>
      </c>
      <c r="D1144" s="2">
        <v>-200.0</v>
      </c>
      <c r="E1144" s="2">
        <v>-100.0</v>
      </c>
    </row>
    <row r="1145" spans="1:5" customHeight="1" x14ac:dyDescent="0.15">
      <c r="A1145" s="3" t="s">
        <v>2266</v>
      </c>
      <c r="B1145" s="2" t="s">
        <v>2267</v>
      </c>
      <c r="C1145" s="2">
        <v>100.0</v>
      </c>
      <c r="D1145" s="2">
        <v>200.0</v>
      </c>
      <c r="E1145" s="2">
        <v>-100.0</v>
      </c>
    </row>
    <row r="1146" spans="1:5" customHeight="1" x14ac:dyDescent="0.15">
      <c r="A1146" s="3" t="s">
        <v>2268</v>
      </c>
      <c r="B1146" s="2" t="s">
        <v>2269</v>
      </c>
      <c r="C1146" s="2">
        <v>500.0</v>
      </c>
      <c r="D1146" s="2">
        <v>800.0</v>
      </c>
      <c r="E1146" s="2">
        <v>-100.0</v>
      </c>
    </row>
    <row r="1147" spans="1:5" customHeight="1" x14ac:dyDescent="0.15">
      <c r="A1147" s="2" t="s">
        <f>"0000000000001"</f>
        <v>2270</v>
      </c>
      <c r="B1147" s="2" t="s">
        <f>"兰岚"</f>
        <v>2271</v>
      </c>
      <c r="C1147" s="2">
        <v>-1.0</v>
      </c>
      <c r="D1147" s="2">
        <v>-1.0</v>
      </c>
      <c r="E1147" s="2">
        <v>-1.0</v>
      </c>
    </row>
  </sheetData>
  <phoneticPr fontId="0" type="noConversion"/>
  <pageMargins left="0.7499062639521802" right="0.7499062639521802" top="0.9998749560258521" bottom="0.9998749560258521" header="0.5096585262478807" footer="0.509658526247880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47"/>
  <sheetViews>
    <sheetView tabSelected="1" zoomScaleNormal="100" topLeftCell="A1" workbookViewId="0">
      <selection activeCell="A1" activeCellId="0" sqref="A1:E1147"/>
    </sheetView>
  </sheetViews>
  <sheetFormatPr defaultRowHeight="12.75" defaultColWidth="8.0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 t="s">
        <f>"093000920003"</f>
        <v>5</v>
      </c>
      <c r="B2" s="2" t="s">
        <f>"孙佳佳"</f>
        <v>6</v>
      </c>
      <c r="C2" s="2">
        <v>0.0</v>
      </c>
      <c r="D2" s="2">
        <v>172.0</v>
      </c>
      <c r="E2" s="2">
        <v>-55.0</v>
      </c>
    </row>
    <row r="3" spans="1:5" x14ac:dyDescent="0.15">
      <c r="A3" s="2" t="s">
        <f>"093000920005"</f>
        <v>7</v>
      </c>
      <c r="B3" s="2" t="s">
        <f>"王一冰"</f>
        <v>8</v>
      </c>
      <c r="C3" s="2">
        <v>0.0</v>
      </c>
      <c r="D3" s="2">
        <v>-1077.0</v>
      </c>
      <c r="E3" s="2">
        <v>-114.99</v>
      </c>
    </row>
    <row r="4" spans="1:5" x14ac:dyDescent="0.15">
      <c r="A4" s="2" t="s">
        <f>"093000920008"</f>
        <v>9</v>
      </c>
      <c r="B4" s="2" t="s">
        <f>"张峻磐"</f>
        <v>10</v>
      </c>
      <c r="C4" s="2">
        <v>197.0</v>
      </c>
      <c r="D4" s="2">
        <v>-667.0</v>
      </c>
      <c r="E4" s="2">
        <v>-348.57</v>
      </c>
    </row>
    <row r="5" spans="1:5" x14ac:dyDescent="0.15">
      <c r="A5" s="2" t="s">
        <f>"093000920013"</f>
        <v>11</v>
      </c>
      <c r="B5" s="2" t="s">
        <f>"任美宇"</f>
        <v>12</v>
      </c>
      <c r="C5" s="2">
        <v>0.0</v>
      </c>
      <c r="D5" s="2">
        <v>0.0</v>
      </c>
      <c r="E5" s="2">
        <v>0.0</v>
      </c>
    </row>
    <row r="6" spans="1:5" x14ac:dyDescent="0.15">
      <c r="A6" s="2" t="s">
        <f>"093000920004"</f>
        <v>13</v>
      </c>
      <c r="B6" s="2" t="s">
        <f>"邹旭翠"</f>
        <v>14</v>
      </c>
      <c r="C6" s="2">
        <v>500.0</v>
      </c>
      <c r="D6" s="2">
        <v>-800.0</v>
      </c>
      <c r="E6" s="2">
        <v>-10.0</v>
      </c>
    </row>
    <row r="7" spans="1:5" x14ac:dyDescent="0.15">
      <c r="A7" s="2" t="s">
        <f>"093000920015"</f>
        <v>15</v>
      </c>
      <c r="B7" s="2" t="s">
        <f>"李刚"</f>
        <v>16</v>
      </c>
      <c r="C7" s="2">
        <v>-13672.0</v>
      </c>
      <c r="D7" s="2">
        <v>-17419.0</v>
      </c>
      <c r="E7" s="2">
        <v>-18334.78</v>
      </c>
    </row>
    <row r="8" spans="1:5" x14ac:dyDescent="0.15">
      <c r="A8" s="2" t="s">
        <f>"093000920019"</f>
        <v>17</v>
      </c>
      <c r="B8" s="2" t="s">
        <f>"钱丹"</f>
        <v>18</v>
      </c>
      <c r="C8" s="2">
        <v>-782.0</v>
      </c>
      <c r="D8" s="2">
        <v>-1680.0</v>
      </c>
      <c r="E8" s="2">
        <v>-849.95</v>
      </c>
    </row>
    <row r="9" spans="1:5" x14ac:dyDescent="0.15">
      <c r="A9" s="2" t="s">
        <f>"093000920018"</f>
        <v>19</v>
      </c>
      <c r="B9" s="2" t="s">
        <f>"肖诗琴"</f>
        <v>20</v>
      </c>
      <c r="C9" s="2">
        <v>-492.0</v>
      </c>
      <c r="D9" s="2">
        <v>-105.0</v>
      </c>
      <c r="E9" s="2">
        <v>-58.54</v>
      </c>
    </row>
    <row r="10" spans="1:5" x14ac:dyDescent="0.15">
      <c r="A10" s="2" t="s">
        <f>"093000920021"</f>
        <v>21</v>
      </c>
      <c r="B10" s="2" t="s">
        <f>"马琳"</f>
        <v>22</v>
      </c>
      <c r="C10" s="2">
        <v>0.0</v>
      </c>
      <c r="D10" s="2">
        <v>0.0</v>
      </c>
      <c r="E10" s="2">
        <v>0.0</v>
      </c>
    </row>
    <row r="11" spans="1:5" x14ac:dyDescent="0.15">
      <c r="A11" s="2" t="s">
        <f>"093000920022"</f>
        <v>23</v>
      </c>
      <c r="B11" s="2" t="s">
        <f>"陈卓"</f>
        <v>24</v>
      </c>
      <c r="C11" s="2">
        <v>-1378.0</v>
      </c>
      <c r="D11" s="2">
        <v>413.0</v>
      </c>
      <c r="E11" s="2">
        <v>-660.32</v>
      </c>
    </row>
    <row r="12" spans="1:5" x14ac:dyDescent="0.15">
      <c r="A12" s="2" t="s">
        <f>"093000920023"</f>
        <v>25</v>
      </c>
      <c r="B12" s="2" t="s">
        <f>"叶超亚"</f>
        <v>26</v>
      </c>
      <c r="C12" s="2">
        <v>0.0</v>
      </c>
      <c r="D12" s="2">
        <v>0.0</v>
      </c>
      <c r="E12" s="2">
        <v>0.0</v>
      </c>
    </row>
    <row r="13" spans="1:5" x14ac:dyDescent="0.15">
      <c r="A13" s="2" t="s">
        <f>"093000920012"</f>
        <v>27</v>
      </c>
      <c r="B13" s="2" t="s">
        <f>"张凯"</f>
        <v>28</v>
      </c>
      <c r="C13" s="2">
        <v>0.0</v>
      </c>
      <c r="D13" s="2">
        <v>0.0</v>
      </c>
      <c r="E13" s="2">
        <v>0.0</v>
      </c>
    </row>
    <row r="14" spans="1:5" x14ac:dyDescent="0.15">
      <c r="A14" s="2" t="s">
        <f>"093000920024"</f>
        <v>29</v>
      </c>
      <c r="B14" s="2" t="s">
        <f>"王静"</f>
        <v>30</v>
      </c>
      <c r="C14" s="2">
        <v>0.0</v>
      </c>
      <c r="D14" s="2">
        <v>0.0</v>
      </c>
      <c r="E14" s="2">
        <v>0.0</v>
      </c>
    </row>
    <row r="15" spans="1:5" x14ac:dyDescent="0.15">
      <c r="A15" s="2" t="s">
        <f>"093000920025"</f>
        <v>31</v>
      </c>
      <c r="B15" s="2" t="s">
        <f>"张苗苗"</f>
        <v>32</v>
      </c>
      <c r="C15" s="2">
        <v>0.0</v>
      </c>
      <c r="D15" s="2">
        <v>0.0</v>
      </c>
      <c r="E15" s="2">
        <v>0.0</v>
      </c>
    </row>
    <row r="16" spans="1:5" x14ac:dyDescent="0.15">
      <c r="A16" s="2" t="s">
        <f>"093000920026"</f>
        <v>33</v>
      </c>
      <c r="B16" s="2" t="s">
        <f>"单尽亮"</f>
        <v>34</v>
      </c>
      <c r="C16" s="2">
        <v>0.0</v>
      </c>
      <c r="D16" s="2">
        <v>0.0</v>
      </c>
      <c r="E16" s="2">
        <v>0.0</v>
      </c>
    </row>
    <row r="17" spans="1:5" x14ac:dyDescent="0.15">
      <c r="A17" s="2" t="s">
        <f>"093000920027"</f>
        <v>35</v>
      </c>
      <c r="B17" s="2" t="s">
        <f>"章秀敏"</f>
        <v>36</v>
      </c>
      <c r="C17" s="2">
        <v>0.0</v>
      </c>
      <c r="D17" s="2">
        <v>0.0</v>
      </c>
      <c r="E17" s="2">
        <v>0.0</v>
      </c>
    </row>
    <row r="18" spans="1:5" x14ac:dyDescent="0.15">
      <c r="A18" s="2" t="s">
        <f>"093000920028"</f>
        <v>37</v>
      </c>
      <c r="B18" s="2" t="s">
        <f>"李昊远"</f>
        <v>38</v>
      </c>
      <c r="C18" s="2">
        <v>0.0</v>
      </c>
      <c r="D18" s="2">
        <v>0.0</v>
      </c>
      <c r="E18" s="2">
        <v>0.0</v>
      </c>
    </row>
    <row r="19" spans="1:5" x14ac:dyDescent="0.15">
      <c r="A19" s="2" t="s">
        <f>"093000920029"</f>
        <v>39</v>
      </c>
      <c r="B19" s="2" t="s">
        <f>"张亚雷"</f>
        <v>40</v>
      </c>
      <c r="C19" s="2">
        <v>0.0</v>
      </c>
      <c r="D19" s="2">
        <v>0.0</v>
      </c>
      <c r="E19" s="2">
        <v>0.0</v>
      </c>
    </row>
    <row r="20" spans="1:5" x14ac:dyDescent="0.15">
      <c r="A20" s="2" t="s">
        <f>"093000920030"</f>
        <v>41</v>
      </c>
      <c r="B20" s="2" t="s">
        <f>"肖岗"</f>
        <v>42</v>
      </c>
      <c r="C20" s="2">
        <v>0.0</v>
      </c>
      <c r="D20" s="2">
        <v>0.0</v>
      </c>
      <c r="E20" s="2">
        <v>0.0</v>
      </c>
    </row>
    <row r="21" spans="1:5" x14ac:dyDescent="0.15">
      <c r="A21" s="2" t="s">
        <f>"093000920032"</f>
        <v>43</v>
      </c>
      <c r="B21" s="2" t="s">
        <f>"冯桂敏"</f>
        <v>44</v>
      </c>
      <c r="C21" s="2">
        <v>-52.0</v>
      </c>
      <c r="D21" s="2">
        <v>-1640.0</v>
      </c>
      <c r="E21" s="2">
        <v>-492.34</v>
      </c>
    </row>
    <row r="22" spans="1:5" x14ac:dyDescent="0.15">
      <c r="A22" s="2" t="s">
        <f>"093000920034"</f>
        <v>45</v>
      </c>
      <c r="B22" s="2" t="s">
        <f>"马群"</f>
        <v>46</v>
      </c>
      <c r="C22" s="2">
        <v>-131.0</v>
      </c>
      <c r="D22" s="2">
        <v>-1650.0</v>
      </c>
      <c r="E22" s="2">
        <v>-752.93</v>
      </c>
    </row>
    <row r="23" spans="1:5" x14ac:dyDescent="0.15">
      <c r="A23" s="2" t="s">
        <f>"093000920036"</f>
        <v>47</v>
      </c>
      <c r="B23" s="2" t="s">
        <f>"肖玲玲"</f>
        <v>48</v>
      </c>
      <c r="C23" s="2">
        <v>-429.0</v>
      </c>
      <c r="D23" s="2">
        <v>-204.0</v>
      </c>
      <c r="E23" s="2">
        <v>-428.89</v>
      </c>
    </row>
    <row r="24" spans="1:5" x14ac:dyDescent="0.15">
      <c r="A24" s="2" t="s">
        <f>"093000920035"</f>
        <v>49</v>
      </c>
      <c r="B24" s="2" t="s">
        <f>"高一兵"</f>
        <v>50</v>
      </c>
      <c r="C24" s="2">
        <v>-11.0</v>
      </c>
      <c r="D24" s="2">
        <v>-47.0</v>
      </c>
      <c r="E24" s="2">
        <v>-149.82</v>
      </c>
    </row>
    <row r="25" spans="1:5" x14ac:dyDescent="0.15">
      <c r="A25" s="2" t="s">
        <f>"093000920038"</f>
        <v>51</v>
      </c>
      <c r="B25" s="2" t="s">
        <f>"谭海艳"</f>
        <v>52</v>
      </c>
      <c r="C25" s="2">
        <v>0.0</v>
      </c>
      <c r="D25" s="2">
        <v>0.0</v>
      </c>
      <c r="E25" s="2">
        <v>0.0</v>
      </c>
    </row>
    <row r="26" spans="1:5" x14ac:dyDescent="0.15">
      <c r="A26" s="2" t="s">
        <f>"093000920039"</f>
        <v>53</v>
      </c>
      <c r="B26" s="2" t="s">
        <f>"孙晓枝"</f>
        <v>54</v>
      </c>
      <c r="C26" s="2">
        <v>0.0</v>
      </c>
      <c r="D26" s="2">
        <v>-760.0</v>
      </c>
      <c r="E26" s="2">
        <v>-664.7</v>
      </c>
    </row>
    <row r="27" spans="1:5" x14ac:dyDescent="0.15">
      <c r="A27" s="2" t="s">
        <f>"093000920042"</f>
        <v>55</v>
      </c>
      <c r="B27" s="2" t="s">
        <f>"杨滔"</f>
        <v>56</v>
      </c>
      <c r="C27" s="2">
        <v>980.0</v>
      </c>
      <c r="D27" s="2">
        <v>127.0</v>
      </c>
      <c r="E27" s="2">
        <v>-215.73</v>
      </c>
    </row>
    <row r="28" spans="1:5" x14ac:dyDescent="0.15">
      <c r="A28" s="2" t="s">
        <f>"093000038920001"</f>
        <v>57</v>
      </c>
      <c r="B28" s="2" t="s">
        <f>"郭婷婷"</f>
        <v>58</v>
      </c>
      <c r="C28" s="2">
        <v>0.0</v>
      </c>
      <c r="D28" s="2">
        <v>0.0</v>
      </c>
      <c r="E28" s="2">
        <v>0.0</v>
      </c>
    </row>
    <row r="29" spans="1:5" x14ac:dyDescent="0.15">
      <c r="A29" s="2" t="s">
        <f>"093000920047"</f>
        <v>59</v>
      </c>
      <c r="B29" s="2" t="s">
        <f>"刘云飞"</f>
        <v>60</v>
      </c>
      <c r="C29" s="2">
        <v>0.0</v>
      </c>
      <c r="D29" s="2">
        <v>0.0</v>
      </c>
      <c r="E29" s="2">
        <v>0.0</v>
      </c>
    </row>
    <row r="30" spans="1:5" x14ac:dyDescent="0.15">
      <c r="A30" s="2" t="s">
        <f>"093000920048"</f>
        <v>61</v>
      </c>
      <c r="B30" s="2" t="s">
        <f>"刘轲"</f>
        <v>62</v>
      </c>
      <c r="C30" s="2">
        <v>0.0</v>
      </c>
      <c r="D30" s="2">
        <v>-51.0</v>
      </c>
      <c r="E30" s="2">
        <v>-56.47</v>
      </c>
    </row>
    <row r="31" spans="1:5" x14ac:dyDescent="0.15">
      <c r="A31" s="2" t="s">
        <f>"093000920051"</f>
        <v>63</v>
      </c>
      <c r="B31" s="2" t="s">
        <f>"王森林"</f>
        <v>64</v>
      </c>
      <c r="C31" s="2">
        <v>-565.0</v>
      </c>
      <c r="D31" s="2">
        <v>-854.0</v>
      </c>
      <c r="E31" s="2">
        <v>-1603.43</v>
      </c>
    </row>
    <row r="32" spans="1:5" x14ac:dyDescent="0.15">
      <c r="A32" s="2" t="s">
        <f>"093000920052"</f>
        <v>65</v>
      </c>
      <c r="B32" s="2" t="s">
        <f>"王天一"</f>
        <v>66</v>
      </c>
      <c r="C32" s="2">
        <v>-1652.0</v>
      </c>
      <c r="D32" s="2">
        <v>1018.0</v>
      </c>
      <c r="E32" s="2">
        <v>-1847.58</v>
      </c>
    </row>
    <row r="33" spans="1:5" x14ac:dyDescent="0.15">
      <c r="A33" s="2" t="s">
        <f>"093000920056"</f>
        <v>67</v>
      </c>
      <c r="B33" s="2" t="s">
        <f>"韩雷"</f>
        <v>68</v>
      </c>
      <c r="C33" s="2">
        <v>66.0</v>
      </c>
      <c r="D33" s="2">
        <v>-1579.0</v>
      </c>
      <c r="E33" s="2">
        <v>-1969.71</v>
      </c>
    </row>
    <row r="34" spans="1:5" x14ac:dyDescent="0.15">
      <c r="A34" s="2" t="s">
        <f>"093000920057"</f>
        <v>69</v>
      </c>
      <c r="B34" s="2" t="s">
        <f>"刘垚"</f>
        <v>70</v>
      </c>
      <c r="C34" s="2">
        <v>0.0</v>
      </c>
      <c r="D34" s="2">
        <v>0.0</v>
      </c>
      <c r="E34" s="2">
        <v>0.0</v>
      </c>
    </row>
    <row r="35" spans="1:5" x14ac:dyDescent="0.15">
      <c r="A35" s="2" t="s">
        <f>"093000920060"</f>
        <v>71</v>
      </c>
      <c r="B35" s="2" t="s">
        <f>"常相依"</f>
        <v>72</v>
      </c>
      <c r="C35" s="2">
        <v>-10.0</v>
      </c>
      <c r="D35" s="2">
        <v>-368.0</v>
      </c>
      <c r="E35" s="2">
        <v>-326.28</v>
      </c>
    </row>
    <row r="36" spans="1:5" x14ac:dyDescent="0.15">
      <c r="A36" s="2" t="s">
        <f>"093000920061"</f>
        <v>73</v>
      </c>
      <c r="B36" s="2" t="s">
        <f>"黄靖雅"</f>
        <v>74</v>
      </c>
      <c r="C36" s="2">
        <v>0.0</v>
      </c>
      <c r="D36" s="2">
        <v>370.0</v>
      </c>
      <c r="E36" s="2">
        <v>-116.69</v>
      </c>
    </row>
    <row r="37" spans="1:5" x14ac:dyDescent="0.15">
      <c r="A37" s="2" t="s">
        <f>"093000920064"</f>
        <v>75</v>
      </c>
      <c r="B37" s="2" t="s">
        <f>"邹萍"</f>
        <v>76</v>
      </c>
      <c r="C37" s="2">
        <v>-596.0</v>
      </c>
      <c r="D37" s="2">
        <v>-814.0</v>
      </c>
      <c r="E37" s="2">
        <v>-221.77</v>
      </c>
    </row>
    <row r="38" spans="1:5" x14ac:dyDescent="0.15">
      <c r="A38" s="2" t="s">
        <f>"093000920065"</f>
        <v>77</v>
      </c>
      <c r="B38" s="2" t="s">
        <f>"訾玉新"</f>
        <v>78</v>
      </c>
      <c r="C38" s="2">
        <v>-698.0</v>
      </c>
      <c r="D38" s="2">
        <v>104.0</v>
      </c>
      <c r="E38" s="2">
        <v>-1379.7</v>
      </c>
    </row>
    <row r="39" spans="1:5" x14ac:dyDescent="0.15">
      <c r="A39" s="2" t="s">
        <f>"093000042920001"</f>
        <v>79</v>
      </c>
      <c r="B39" s="2" t="s">
        <f>"孔洋"</f>
        <v>80</v>
      </c>
      <c r="C39" s="2">
        <v>0.0</v>
      </c>
      <c r="D39" s="2">
        <v>0.0</v>
      </c>
      <c r="E39" s="2">
        <v>0.0</v>
      </c>
    </row>
    <row r="40" spans="1:5" x14ac:dyDescent="0.15">
      <c r="A40" s="2" t="s">
        <f>"093000920069"</f>
        <v>81</v>
      </c>
      <c r="B40" s="2" t="s">
        <f>"郭庆宽"</f>
        <v>82</v>
      </c>
      <c r="C40" s="2">
        <v>0.0</v>
      </c>
      <c r="D40" s="2">
        <v>0.0</v>
      </c>
      <c r="E40" s="2">
        <v>0.0</v>
      </c>
    </row>
    <row r="41" spans="1:5" x14ac:dyDescent="0.15">
      <c r="A41" s="2" t="s">
        <f>"093000920070"</f>
        <v>83</v>
      </c>
      <c r="B41" s="2" t="s">
        <f>"常国中"</f>
        <v>84</v>
      </c>
      <c r="C41" s="2">
        <v>134.0</v>
      </c>
      <c r="D41" s="2">
        <v>597.0</v>
      </c>
      <c r="E41" s="2">
        <v>-106.05</v>
      </c>
    </row>
    <row r="42" spans="1:5" x14ac:dyDescent="0.15">
      <c r="A42" s="2" t="s">
        <f>"093000920071"</f>
        <v>85</v>
      </c>
      <c r="B42" s="2" t="s">
        <f>"常啸"</f>
        <v>86</v>
      </c>
      <c r="C42" s="2">
        <v>-159.0</v>
      </c>
      <c r="D42" s="2">
        <v>-624.0</v>
      </c>
      <c r="E42" s="2">
        <v>-66.16</v>
      </c>
    </row>
    <row r="43" spans="1:5" x14ac:dyDescent="0.15">
      <c r="A43" s="2" t="s">
        <f>"093000920072"</f>
        <v>87</v>
      </c>
      <c r="B43" s="2" t="s">
        <f>"张远飞"</f>
        <v>88</v>
      </c>
      <c r="C43" s="2">
        <v>-555.0</v>
      </c>
      <c r="D43" s="2">
        <v>-1744.0</v>
      </c>
      <c r="E43" s="2">
        <v>-1245.33</v>
      </c>
    </row>
    <row r="44" spans="1:5" x14ac:dyDescent="0.15">
      <c r="A44" s="2" t="s">
        <f>"093000920073"</f>
        <v>89</v>
      </c>
      <c r="B44" s="2" t="s">
        <f>"王璇"</f>
        <v>90</v>
      </c>
      <c r="C44" s="2">
        <v>0.0</v>
      </c>
      <c r="D44" s="2">
        <v>0.0</v>
      </c>
      <c r="E44" s="2">
        <v>0.0</v>
      </c>
    </row>
    <row r="45" spans="1:5" x14ac:dyDescent="0.15">
      <c r="A45" s="2" t="s">
        <f>"093000920074"</f>
        <v>91</v>
      </c>
      <c r="B45" s="2" t="s">
        <f>"王燕"</f>
        <v>92</v>
      </c>
      <c r="C45" s="2">
        <v>0.0</v>
      </c>
      <c r="D45" s="2">
        <v>0.0</v>
      </c>
      <c r="E45" s="2">
        <v>0.0</v>
      </c>
    </row>
    <row r="46" spans="1:5" x14ac:dyDescent="0.15">
      <c r="A46" s="2" t="s">
        <f>"093000920077"</f>
        <v>93</v>
      </c>
      <c r="B46" s="2" t="s">
        <f>"王晨"</f>
        <v>94</v>
      </c>
      <c r="C46" s="2">
        <v>-1898.0</v>
      </c>
      <c r="D46" s="2">
        <v>1758.0</v>
      </c>
      <c r="E46" s="2">
        <v>-998.29</v>
      </c>
    </row>
    <row r="47" spans="1:5" x14ac:dyDescent="0.15">
      <c r="A47" s="2" t="s">
        <f>"093000920078"</f>
        <v>95</v>
      </c>
      <c r="B47" s="2" t="s">
        <f>"杜柯彤"</f>
        <v>96</v>
      </c>
      <c r="C47" s="2">
        <v>-86.0</v>
      </c>
      <c r="D47" s="2">
        <v>-697.0</v>
      </c>
      <c r="E47" s="2">
        <v>-314.43</v>
      </c>
    </row>
    <row r="48" spans="1:5" x14ac:dyDescent="0.15">
      <c r="A48" s="2" t="s">
        <f>"093000920080"</f>
        <v>97</v>
      </c>
      <c r="B48" s="2" t="s">
        <f>"王小川"</f>
        <v>98</v>
      </c>
      <c r="C48" s="2">
        <v>-1556.0</v>
      </c>
      <c r="D48" s="2">
        <v>-931.0</v>
      </c>
      <c r="E48" s="2">
        <v>-1079.06</v>
      </c>
    </row>
    <row r="49" spans="1:5" x14ac:dyDescent="0.15">
      <c r="A49" s="2" t="s">
        <f>"093000920089"</f>
        <v>99</v>
      </c>
      <c r="B49" s="2" t="s">
        <f>"郑冰云"</f>
        <v>100</v>
      </c>
      <c r="C49" s="2">
        <v>0.0</v>
      </c>
      <c r="D49" s="2">
        <v>-1124.0</v>
      </c>
      <c r="E49" s="2">
        <v>-960.29</v>
      </c>
    </row>
    <row r="50" spans="1:5" x14ac:dyDescent="0.15">
      <c r="A50" s="2" t="s">
        <f>"093000920090"</f>
        <v>101</v>
      </c>
      <c r="B50" s="2" t="s">
        <f>"尹凯杰"</f>
        <v>102</v>
      </c>
      <c r="C50" s="2">
        <v>0.0</v>
      </c>
      <c r="D50" s="2">
        <v>-618.0</v>
      </c>
      <c r="E50" s="2">
        <v>-174.24</v>
      </c>
    </row>
    <row r="51" spans="1:5" x14ac:dyDescent="0.15">
      <c r="A51" s="2" t="s">
        <f>"093000920091"</f>
        <v>103</v>
      </c>
      <c r="B51" s="2" t="s">
        <f>"苗帅"</f>
        <v>104</v>
      </c>
      <c r="C51" s="2">
        <v>0.0</v>
      </c>
      <c r="D51" s="2">
        <v>0.0</v>
      </c>
      <c r="E51" s="2">
        <v>0.0</v>
      </c>
    </row>
    <row r="52" spans="1:5" x14ac:dyDescent="0.15">
      <c r="A52" s="2" t="s">
        <f>"093000920094"</f>
        <v>105</v>
      </c>
      <c r="B52" s="2" t="s">
        <f>"王丽"</f>
        <v>106</v>
      </c>
      <c r="C52" s="2">
        <v>-33.0</v>
      </c>
      <c r="D52" s="2">
        <v>-922.0</v>
      </c>
      <c r="E52" s="2">
        <v>-406.63</v>
      </c>
    </row>
    <row r="53" spans="1:5" x14ac:dyDescent="0.15">
      <c r="A53" s="2" t="s">
        <f>"093000920098"</f>
        <v>107</v>
      </c>
      <c r="B53" s="2" t="s">
        <f>"马晶"</f>
        <v>108</v>
      </c>
      <c r="C53" s="2">
        <v>0.0</v>
      </c>
      <c r="D53" s="2">
        <v>0.0</v>
      </c>
      <c r="E53" s="2">
        <v>0.0</v>
      </c>
    </row>
    <row r="54" spans="1:5" x14ac:dyDescent="0.15">
      <c r="A54" s="2" t="s">
        <f>"093000920097"</f>
        <v>109</v>
      </c>
      <c r="B54" s="2" t="s">
        <f>"易明勋"</f>
        <v>110</v>
      </c>
      <c r="C54" s="2">
        <v>-446.0</v>
      </c>
      <c r="D54" s="2">
        <v>-317.0</v>
      </c>
      <c r="E54" s="2">
        <v>-406.54</v>
      </c>
    </row>
    <row r="55" spans="1:5" x14ac:dyDescent="0.15">
      <c r="A55" s="2" t="s">
        <f>"093000920096"</f>
        <v>111</v>
      </c>
      <c r="B55" s="2" t="s">
        <f>"程伟"</f>
        <v>112</v>
      </c>
      <c r="C55" s="2">
        <v>-9923.0</v>
      </c>
      <c r="D55" s="2">
        <v>-879.0</v>
      </c>
      <c r="E55" s="2">
        <v>-6475.85</v>
      </c>
    </row>
    <row r="56" spans="1:5" x14ac:dyDescent="0.15">
      <c r="A56" s="2" t="s">
        <f>"093000040920001"</f>
        <v>113</v>
      </c>
      <c r="B56" s="2" t="s">
        <f>"马余辉"</f>
        <v>114</v>
      </c>
      <c r="C56" s="2">
        <v>-184.0</v>
      </c>
      <c r="D56" s="2">
        <v>351.0</v>
      </c>
      <c r="E56" s="2">
        <v>-116.93</v>
      </c>
    </row>
    <row r="57" spans="1:5" x14ac:dyDescent="0.15">
      <c r="A57" s="2" t="s">
        <f>"093000040920002"</f>
        <v>115</v>
      </c>
      <c r="B57" s="2" t="s">
        <f>"李志伟"</f>
        <v>116</v>
      </c>
      <c r="C57" s="2">
        <v>0.0</v>
      </c>
      <c r="D57" s="2">
        <v>60.0</v>
      </c>
      <c r="E57" s="2">
        <v>-82.25</v>
      </c>
    </row>
    <row r="58" spans="1:5" x14ac:dyDescent="0.15">
      <c r="A58" s="2" t="s">
        <f>"093000920100"</f>
        <v>117</v>
      </c>
      <c r="B58" s="2" t="s">
        <f>"周正"</f>
        <v>118</v>
      </c>
      <c r="C58" s="2">
        <v>-527.0</v>
      </c>
      <c r="D58" s="2">
        <v>-559.0</v>
      </c>
      <c r="E58" s="2">
        <v>-241.43</v>
      </c>
    </row>
    <row r="59" spans="1:5" x14ac:dyDescent="0.15">
      <c r="A59" s="2" t="s">
        <f>"093000920099"</f>
        <v>119</v>
      </c>
      <c r="B59" s="2" t="s">
        <f>"陈隽"</f>
        <v>120</v>
      </c>
      <c r="C59" s="2">
        <v>-722.0</v>
      </c>
      <c r="D59" s="2">
        <v>-152.0</v>
      </c>
      <c r="E59" s="2">
        <v>-464.88</v>
      </c>
    </row>
    <row r="60" spans="1:5" x14ac:dyDescent="0.15">
      <c r="A60" s="2" t="s">
        <f>"093000920101"</f>
        <v>121</v>
      </c>
      <c r="B60" s="2" t="s">
        <f>"冯震"</f>
        <v>122</v>
      </c>
      <c r="C60" s="2">
        <v>-2985.0</v>
      </c>
      <c r="D60" s="2">
        <v>-2559.0</v>
      </c>
      <c r="E60" s="2">
        <v>-5671.6</v>
      </c>
    </row>
    <row r="61" spans="1:5" x14ac:dyDescent="0.15">
      <c r="A61" s="2" t="s">
        <f>"093000920104"</f>
        <v>123</v>
      </c>
      <c r="B61" s="2" t="s">
        <f>"魏宏生"</f>
        <v>124</v>
      </c>
      <c r="C61" s="2">
        <v>-640.0</v>
      </c>
      <c r="D61" s="2">
        <v>-380.0</v>
      </c>
      <c r="E61" s="2">
        <v>-1158.82</v>
      </c>
    </row>
    <row r="62" spans="1:5" x14ac:dyDescent="0.15">
      <c r="A62" s="2" t="s">
        <f>"093000920103"</f>
        <v>125</v>
      </c>
      <c r="B62" s="2" t="s">
        <f>"王磊"</f>
        <v>126</v>
      </c>
      <c r="C62" s="2">
        <v>0.0</v>
      </c>
      <c r="D62" s="2">
        <v>-667.0</v>
      </c>
      <c r="E62" s="2">
        <v>-259.4</v>
      </c>
    </row>
    <row r="63" spans="1:5" x14ac:dyDescent="0.15">
      <c r="A63" s="2" t="s">
        <f>"093000040920005"</f>
        <v>127</v>
      </c>
      <c r="B63" s="2" t="s">
        <f>"罗小倩"</f>
        <v>128</v>
      </c>
      <c r="C63" s="2">
        <v>0.0</v>
      </c>
      <c r="D63" s="2">
        <v>0.0</v>
      </c>
      <c r="E63" s="2">
        <v>0.0</v>
      </c>
    </row>
    <row r="64" spans="1:5" x14ac:dyDescent="0.15">
      <c r="A64" s="2" t="s">
        <f>"093000920106"</f>
        <v>129</v>
      </c>
      <c r="B64" s="2" t="s">
        <f>"王铎"</f>
        <v>130</v>
      </c>
      <c r="C64" s="2">
        <v>-1486.0</v>
      </c>
      <c r="D64" s="2">
        <v>-3377.0</v>
      </c>
      <c r="E64" s="2">
        <v>-916.27</v>
      </c>
    </row>
    <row r="65" spans="1:5" x14ac:dyDescent="0.15">
      <c r="A65" s="2" t="s">
        <f>"093000040920003"</f>
        <v>131</v>
      </c>
      <c r="B65" s="2" t="s">
        <f>"郭国显"</f>
        <v>132</v>
      </c>
      <c r="C65" s="2">
        <v>0.0</v>
      </c>
      <c r="D65" s="2">
        <v>-1123.0</v>
      </c>
      <c r="E65" s="2">
        <v>-482.11</v>
      </c>
    </row>
    <row r="66" spans="1:5" x14ac:dyDescent="0.15">
      <c r="A66" s="2" t="s">
        <f>"093000920111"</f>
        <v>133</v>
      </c>
      <c r="B66" s="2" t="s">
        <f>"张志华"</f>
        <v>134</v>
      </c>
      <c r="C66" s="2">
        <v>-563.0</v>
      </c>
      <c r="D66" s="2">
        <v>-445.0</v>
      </c>
      <c r="E66" s="2">
        <v>-57.45</v>
      </c>
    </row>
    <row r="67" spans="1:5" x14ac:dyDescent="0.15">
      <c r="A67" s="2" t="s">
        <f>"093000920112"</f>
        <v>135</v>
      </c>
      <c r="B67" s="2" t="s">
        <f>"许西霞"</f>
        <v>136</v>
      </c>
      <c r="C67" s="2">
        <v>-393.0</v>
      </c>
      <c r="D67" s="2">
        <v>-477.0</v>
      </c>
      <c r="E67" s="2">
        <v>-171.02</v>
      </c>
    </row>
    <row r="68" spans="1:5" x14ac:dyDescent="0.15">
      <c r="A68" s="2" t="s">
        <f>"093000920116"</f>
        <v>137</v>
      </c>
      <c r="B68" s="2" t="s">
        <f>"周静林"</f>
        <v>138</v>
      </c>
      <c r="C68" s="2">
        <v>-4550.0</v>
      </c>
      <c r="D68" s="2">
        <v>-703.0</v>
      </c>
      <c r="E68" s="2">
        <v>-2874.25</v>
      </c>
    </row>
    <row r="69" spans="1:5" x14ac:dyDescent="0.15">
      <c r="A69" s="2" t="s">
        <f>"093000040920009"</f>
        <v>139</v>
      </c>
      <c r="B69" s="2" t="s">
        <f>"陈红"</f>
        <v>140</v>
      </c>
      <c r="C69" s="2">
        <v>0.0</v>
      </c>
      <c r="D69" s="2">
        <v>0.0</v>
      </c>
      <c r="E69" s="2">
        <v>0.0</v>
      </c>
    </row>
    <row r="70" spans="1:5" x14ac:dyDescent="0.15">
      <c r="A70" s="2" t="s">
        <f>"093000920117"</f>
        <v>141</v>
      </c>
      <c r="B70" s="2" t="s">
        <f>"张延贺"</f>
        <v>142</v>
      </c>
      <c r="C70" s="2">
        <v>0.0</v>
      </c>
      <c r="D70" s="2">
        <v>-1282.0</v>
      </c>
      <c r="E70" s="2">
        <v>-875.04</v>
      </c>
    </row>
    <row r="71" spans="1:5" x14ac:dyDescent="0.15">
      <c r="A71" s="2" t="s">
        <f>"093000920119"</f>
        <v>143</v>
      </c>
      <c r="B71" s="2" t="s">
        <f>"刘秋芬"</f>
        <v>144</v>
      </c>
      <c r="C71" s="2">
        <v>0.0</v>
      </c>
      <c r="D71" s="2">
        <v>0.0</v>
      </c>
      <c r="E71" s="2">
        <v>0.0</v>
      </c>
    </row>
    <row r="72" spans="1:5" x14ac:dyDescent="0.15">
      <c r="A72" s="2" t="s">
        <f>"093000040920010"</f>
        <v>145</v>
      </c>
      <c r="B72" s="2" t="s">
        <f>"齐许兵"</f>
        <v>146</v>
      </c>
      <c r="C72" s="2">
        <v>0.0</v>
      </c>
      <c r="D72" s="2">
        <v>-585.0</v>
      </c>
      <c r="E72" s="2">
        <v>-174.27</v>
      </c>
    </row>
    <row r="73" spans="1:5" x14ac:dyDescent="0.15">
      <c r="A73" s="2" t="s">
        <f>"093000920120"</f>
        <v>147</v>
      </c>
      <c r="B73" s="2" t="s">
        <f>"乔昆林"</f>
        <v>148</v>
      </c>
      <c r="C73" s="2">
        <v>-22.0</v>
      </c>
      <c r="D73" s="2">
        <v>-815.0</v>
      </c>
      <c r="E73" s="2">
        <v>-707.16</v>
      </c>
    </row>
    <row r="74" spans="1:5" x14ac:dyDescent="0.15">
      <c r="A74" s="2" t="s">
        <f>"093000037920004"</f>
        <v>149</v>
      </c>
      <c r="B74" s="2" t="s">
        <f>"程杨"</f>
        <v>150</v>
      </c>
      <c r="C74" s="2">
        <v>-379.0</v>
      </c>
      <c r="D74" s="2">
        <v>-2216.0</v>
      </c>
      <c r="E74" s="2">
        <v>-4218.39</v>
      </c>
    </row>
    <row r="75" spans="1:5" x14ac:dyDescent="0.15">
      <c r="A75" s="2" t="s">
        <f>"093000920125"</f>
        <v>151</v>
      </c>
      <c r="B75" s="2" t="s">
        <f>"田玲玲"</f>
        <v>152</v>
      </c>
      <c r="C75" s="2">
        <v>0.0</v>
      </c>
      <c r="D75" s="2">
        <v>-1253.0</v>
      </c>
      <c r="E75" s="2">
        <v>-329.68</v>
      </c>
    </row>
    <row r="76" spans="1:5" x14ac:dyDescent="0.15">
      <c r="A76" s="2" t="s">
        <f>"093000920131"</f>
        <v>153</v>
      </c>
      <c r="B76" s="2" t="s">
        <f>"安伟"</f>
        <v>154</v>
      </c>
      <c r="C76" s="2">
        <v>0.0</v>
      </c>
      <c r="D76" s="2">
        <v>-135.0</v>
      </c>
      <c r="E76" s="2">
        <v>-58.12</v>
      </c>
    </row>
    <row r="77" spans="1:5" x14ac:dyDescent="0.15">
      <c r="A77" s="2" t="s">
        <f>"093000920129"</f>
        <v>155</v>
      </c>
      <c r="B77" s="2" t="s">
        <f>"李东生"</f>
        <v>156</v>
      </c>
      <c r="C77" s="2">
        <v>-413.0</v>
      </c>
      <c r="D77" s="2">
        <v>-189.0</v>
      </c>
      <c r="E77" s="2">
        <v>-464.04</v>
      </c>
    </row>
    <row r="78" spans="1:5" x14ac:dyDescent="0.15">
      <c r="A78" s="2" t="s">
        <f>"093000920135"</f>
        <v>157</v>
      </c>
      <c r="B78" s="2" t="s">
        <f>"程峰"</f>
        <v>158</v>
      </c>
      <c r="C78" s="2">
        <v>-444.0</v>
      </c>
      <c r="D78" s="2">
        <v>-430.0</v>
      </c>
      <c r="E78" s="2">
        <v>-58.21</v>
      </c>
    </row>
    <row r="79" spans="1:5" x14ac:dyDescent="0.15">
      <c r="A79" s="2" t="s">
        <f>"093000920132"</f>
        <v>159</v>
      </c>
      <c r="B79" s="2" t="s">
        <f>"麻永超"</f>
        <v>160</v>
      </c>
      <c r="C79" s="2">
        <v>0.0</v>
      </c>
      <c r="D79" s="2">
        <v>0.0</v>
      </c>
      <c r="E79" s="2">
        <v>0.0</v>
      </c>
    </row>
    <row r="80" spans="1:5" x14ac:dyDescent="0.15">
      <c r="A80" s="2" t="s">
        <f>"093000920136"</f>
        <v>161</v>
      </c>
      <c r="B80" s="2" t="s">
        <f>"郑本伍"</f>
        <v>162</v>
      </c>
      <c r="C80" s="2">
        <v>0.0</v>
      </c>
      <c r="D80" s="2">
        <v>0.0</v>
      </c>
      <c r="E80" s="2">
        <v>0.0</v>
      </c>
    </row>
    <row r="81" spans="1:5" x14ac:dyDescent="0.15">
      <c r="A81" s="2" t="s">
        <f>"093000920138"</f>
        <v>163</v>
      </c>
      <c r="B81" s="2" t="s">
        <f>"张瑞猛"</f>
        <v>164</v>
      </c>
      <c r="C81" s="2">
        <v>-1268.0</v>
      </c>
      <c r="D81" s="2">
        <v>-567.0</v>
      </c>
      <c r="E81" s="2">
        <v>-1098.7</v>
      </c>
    </row>
    <row r="82" spans="1:5" x14ac:dyDescent="0.15">
      <c r="A82" s="2" t="s">
        <f>"093000920137"</f>
        <v>165</v>
      </c>
      <c r="B82" s="2" t="s">
        <f>"刘明"</f>
        <v>166</v>
      </c>
      <c r="C82" s="2">
        <v>-977.0</v>
      </c>
      <c r="D82" s="2">
        <v>-6698.0</v>
      </c>
      <c r="E82" s="2">
        <v>-14069.51</v>
      </c>
    </row>
    <row r="83" spans="1:5" x14ac:dyDescent="0.15">
      <c r="A83" s="2" t="s">
        <f>"093000920139"</f>
        <v>167</v>
      </c>
      <c r="B83" s="2" t="s">
        <f>"张剑功"</f>
        <v>168</v>
      </c>
      <c r="C83" s="2">
        <v>0.0</v>
      </c>
      <c r="D83" s="2">
        <v>-12.0</v>
      </c>
      <c r="E83" s="2">
        <v>-10.98</v>
      </c>
    </row>
    <row r="84" spans="1:5" x14ac:dyDescent="0.15">
      <c r="A84" s="2" t="s">
        <f>"093000920121"</f>
        <v>169</v>
      </c>
      <c r="B84" s="2" t="s">
        <f>"全建宇"</f>
        <v>170</v>
      </c>
      <c r="C84" s="2">
        <v>-526.0</v>
      </c>
      <c r="D84" s="2">
        <v>-110.0</v>
      </c>
      <c r="E84" s="2">
        <v>-217.53</v>
      </c>
    </row>
    <row r="85" spans="1:5" x14ac:dyDescent="0.15">
      <c r="A85" s="2" t="s">
        <f>"093000920143"</f>
        <v>171</v>
      </c>
      <c r="B85" s="2" t="s">
        <f>"张海龙"</f>
        <v>172</v>
      </c>
      <c r="C85" s="2">
        <v>0.0</v>
      </c>
      <c r="D85" s="2">
        <v>460.0</v>
      </c>
      <c r="E85" s="2">
        <v>-163.11</v>
      </c>
    </row>
    <row r="86" spans="1:5" x14ac:dyDescent="0.15">
      <c r="A86" s="2" t="s">
        <f>"093000920145"</f>
        <v>173</v>
      </c>
      <c r="B86" s="2" t="s">
        <f>"代文琦"</f>
        <v>174</v>
      </c>
      <c r="C86" s="2">
        <v>0.0</v>
      </c>
      <c r="D86" s="2">
        <v>0.0</v>
      </c>
      <c r="E86" s="2">
        <v>0.0</v>
      </c>
    </row>
    <row r="87" spans="1:5" x14ac:dyDescent="0.15">
      <c r="A87" s="2" t="s">
        <f>"093000920146"</f>
        <v>175</v>
      </c>
      <c r="B87" s="2" t="s">
        <f>"冯中塬"</f>
        <v>176</v>
      </c>
      <c r="C87" s="2">
        <v>0.0</v>
      </c>
      <c r="D87" s="2">
        <v>-860.0</v>
      </c>
      <c r="E87" s="2">
        <v>-83.53</v>
      </c>
    </row>
    <row r="88" spans="1:5" x14ac:dyDescent="0.15">
      <c r="A88" s="2" t="s">
        <f>"093000920147"</f>
        <v>177</v>
      </c>
      <c r="B88" s="2" t="s">
        <f>"曾欣"</f>
        <v>178</v>
      </c>
      <c r="C88" s="2">
        <v>-368.0</v>
      </c>
      <c r="D88" s="2">
        <v>-661.0</v>
      </c>
      <c r="E88" s="2">
        <v>-1511.54</v>
      </c>
    </row>
    <row r="89" spans="1:5" x14ac:dyDescent="0.15">
      <c r="A89" s="2" t="s">
        <f>"093000040920012"</f>
        <v>179</v>
      </c>
      <c r="B89" s="2" t="s">
        <f>"赫聚岭"</f>
        <v>180</v>
      </c>
      <c r="C89" s="2">
        <v>0.0</v>
      </c>
      <c r="D89" s="2">
        <v>0.0</v>
      </c>
      <c r="E89" s="2">
        <v>0.0</v>
      </c>
    </row>
    <row r="90" spans="1:5" x14ac:dyDescent="0.15">
      <c r="A90" s="2" t="s">
        <f>"093000920149"</f>
        <v>181</v>
      </c>
      <c r="B90" s="2" t="s">
        <f>"乔蒙蒙"</f>
        <v>182</v>
      </c>
      <c r="C90" s="2">
        <v>0.0</v>
      </c>
      <c r="D90" s="2">
        <v>-860.0</v>
      </c>
      <c r="E90" s="2">
        <v>-83.53</v>
      </c>
    </row>
    <row r="91" spans="1:5" x14ac:dyDescent="0.15">
      <c r="A91" s="2" t="s">
        <f>"093000041920003"</f>
        <v>183</v>
      </c>
      <c r="B91" s="2" t="s">
        <f>"吕家权"</f>
        <v>184</v>
      </c>
      <c r="C91" s="2">
        <v>0.0</v>
      </c>
      <c r="D91" s="2">
        <v>-1088.0</v>
      </c>
      <c r="E91" s="2">
        <v>-115.12</v>
      </c>
    </row>
    <row r="92" spans="1:5" x14ac:dyDescent="0.15">
      <c r="A92" s="2" t="s">
        <f>"093000041920005"</f>
        <v>185</v>
      </c>
      <c r="B92" s="2" t="s">
        <f>"吴璧君"</f>
        <v>186</v>
      </c>
      <c r="C92" s="2">
        <v>0.0</v>
      </c>
      <c r="D92" s="2">
        <v>0.0</v>
      </c>
      <c r="E92" s="2">
        <v>0.0</v>
      </c>
    </row>
    <row r="93" spans="1:5" x14ac:dyDescent="0.15">
      <c r="A93" s="2" t="s">
        <f>"093000920154"</f>
        <v>187</v>
      </c>
      <c r="B93" s="2" t="s">
        <f>"石宇"</f>
        <v>188</v>
      </c>
      <c r="C93" s="2">
        <v>0.0</v>
      </c>
      <c r="D93" s="2">
        <v>180.0</v>
      </c>
      <c r="E93" s="2">
        <v>-82.51</v>
      </c>
    </row>
    <row r="94" spans="1:5" x14ac:dyDescent="0.15">
      <c r="A94" s="2" t="s">
        <f>"093000920156"</f>
        <v>189</v>
      </c>
      <c r="B94" s="2" t="s">
        <f>"杨世军"</f>
        <v>190</v>
      </c>
      <c r="C94" s="2">
        <v>0.0</v>
      </c>
      <c r="D94" s="2">
        <v>300.0</v>
      </c>
      <c r="E94" s="2">
        <v>-85.56</v>
      </c>
    </row>
    <row r="95" spans="1:5" x14ac:dyDescent="0.15">
      <c r="A95" s="2" t="s">
        <f>"093000920155"</f>
        <v>191</v>
      </c>
      <c r="B95" s="2" t="s">
        <f>"冯霞"</f>
        <v>192</v>
      </c>
      <c r="C95" s="2">
        <v>0.0</v>
      </c>
      <c r="D95" s="2">
        <v>-900.0</v>
      </c>
      <c r="E95" s="2">
        <v>-81.84</v>
      </c>
    </row>
    <row r="96" spans="1:5" x14ac:dyDescent="0.15">
      <c r="A96" s="2" t="s">
        <f>"093000920158"</f>
        <v>193</v>
      </c>
      <c r="B96" s="2" t="s">
        <f>"王德功"</f>
        <v>194</v>
      </c>
      <c r="C96" s="2">
        <v>0.0</v>
      </c>
      <c r="D96" s="2">
        <v>0.0</v>
      </c>
      <c r="E96" s="2">
        <v>0.0</v>
      </c>
    </row>
    <row r="97" spans="1:5" x14ac:dyDescent="0.15">
      <c r="A97" s="2" t="s">
        <f>"093000920160"</f>
        <v>195</v>
      </c>
      <c r="B97" s="2" t="s">
        <f>"庄中奇"</f>
        <v>196</v>
      </c>
      <c r="C97" s="2">
        <v>-269.0</v>
      </c>
      <c r="D97" s="2">
        <v>-2143.0</v>
      </c>
      <c r="E97" s="2">
        <v>-2107.1</v>
      </c>
    </row>
    <row r="98" spans="1:5" x14ac:dyDescent="0.15">
      <c r="A98" s="2" t="s">
        <f>"093000037920005"</f>
        <v>197</v>
      </c>
      <c r="B98" s="2" t="s">
        <f>"方俊凯"</f>
        <v>198</v>
      </c>
      <c r="C98" s="2">
        <v>-691.0</v>
      </c>
      <c r="D98" s="2">
        <v>-784.0</v>
      </c>
      <c r="E98" s="2">
        <v>-727.31</v>
      </c>
    </row>
    <row r="99" spans="1:5" x14ac:dyDescent="0.15">
      <c r="A99" s="2" t="s">
        <f>"093000920163"</f>
        <v>199</v>
      </c>
      <c r="B99" s="2" t="s">
        <f>"任鹏"</f>
        <v>200</v>
      </c>
      <c r="C99" s="2">
        <v>0.0</v>
      </c>
      <c r="D99" s="2">
        <v>-572.0</v>
      </c>
      <c r="E99" s="2">
        <v>-464.04</v>
      </c>
    </row>
    <row r="100" spans="1:5" x14ac:dyDescent="0.15">
      <c r="A100" s="2" t="s">
        <f>"093000040920016"</f>
        <v>201</v>
      </c>
      <c r="B100" s="2" t="s">
        <f>"朱伟超"</f>
        <v>202</v>
      </c>
      <c r="C100" s="2">
        <v>0.0</v>
      </c>
      <c r="D100" s="2">
        <v>-840.0</v>
      </c>
      <c r="E100" s="2">
        <v>-82.43</v>
      </c>
    </row>
    <row r="101" spans="1:5" x14ac:dyDescent="0.15">
      <c r="A101" s="2" t="s">
        <f>"093000037920006"</f>
        <v>203</v>
      </c>
      <c r="B101" s="2" t="s">
        <f>"王向前"</f>
        <v>204</v>
      </c>
      <c r="C101" s="2">
        <v>-797.0</v>
      </c>
      <c r="D101" s="2">
        <v>1043.0</v>
      </c>
      <c r="E101" s="2">
        <v>-537.8</v>
      </c>
    </row>
    <row r="102" spans="1:5" x14ac:dyDescent="0.15">
      <c r="A102" s="2" t="s">
        <f>"093000920164"</f>
        <v>205</v>
      </c>
      <c r="B102" s="2" t="s">
        <f>"刘双燕"</f>
        <v>206</v>
      </c>
      <c r="C102" s="2">
        <v>-2501.0</v>
      </c>
      <c r="D102" s="2">
        <v>5498.0</v>
      </c>
      <c r="E102" s="2">
        <v>-1631.67</v>
      </c>
    </row>
    <row r="103" spans="1:5" x14ac:dyDescent="0.15">
      <c r="A103" s="2" t="s">
        <f>"093000920167"</f>
        <v>207</v>
      </c>
      <c r="B103" s="2" t="s">
        <f>"常斌乐"</f>
        <v>208</v>
      </c>
      <c r="C103" s="2">
        <v>0.0</v>
      </c>
      <c r="D103" s="2">
        <v>0.0</v>
      </c>
      <c r="E103" s="2">
        <v>0.0</v>
      </c>
    </row>
    <row r="104" spans="1:5" x14ac:dyDescent="0.15">
      <c r="A104" s="2" t="s">
        <f>"093000920170"</f>
        <v>209</v>
      </c>
      <c r="B104" s="2" t="s">
        <f>"柳玉兰"</f>
        <v>210</v>
      </c>
      <c r="C104" s="2">
        <v>0.0</v>
      </c>
      <c r="D104" s="2">
        <v>-1163.0</v>
      </c>
      <c r="E104" s="2">
        <v>-1528.64</v>
      </c>
    </row>
    <row r="105" spans="1:5" x14ac:dyDescent="0.15">
      <c r="A105" s="2" t="s">
        <f>"093000920171"</f>
        <v>211</v>
      </c>
      <c r="B105" s="2" t="s">
        <f>"毛松玉"</f>
        <v>212</v>
      </c>
      <c r="C105" s="2">
        <v>-1518.0</v>
      </c>
      <c r="D105" s="2">
        <v>-2979.0</v>
      </c>
      <c r="E105" s="2">
        <v>-1049.54</v>
      </c>
    </row>
    <row r="106" spans="1:5" x14ac:dyDescent="0.15">
      <c r="A106" s="2" t="s">
        <f>"093000920172"</f>
        <v>213</v>
      </c>
      <c r="B106" s="2" t="s">
        <f>"付大帝"</f>
        <v>214</v>
      </c>
      <c r="C106" s="2">
        <v>-303.0</v>
      </c>
      <c r="D106" s="2">
        <v>-819.0</v>
      </c>
      <c r="E106" s="2">
        <v>-2114.81</v>
      </c>
    </row>
    <row r="107" spans="1:5" x14ac:dyDescent="0.15">
      <c r="A107" s="2" t="s">
        <f>"093000920173"</f>
        <v>215</v>
      </c>
      <c r="B107" s="2" t="s">
        <f>"王浩东"</f>
        <v>216</v>
      </c>
      <c r="C107" s="2">
        <v>0.0</v>
      </c>
      <c r="D107" s="2">
        <v>1460.0</v>
      </c>
      <c r="E107" s="2">
        <v>-495.77</v>
      </c>
    </row>
    <row r="108" spans="1:5" x14ac:dyDescent="0.15">
      <c r="A108" s="2" t="s">
        <f>"093000920174"</f>
        <v>217</v>
      </c>
      <c r="B108" s="2" t="s">
        <f>"段东阳"</f>
        <v>218</v>
      </c>
      <c r="C108" s="2">
        <v>0.0</v>
      </c>
      <c r="D108" s="2">
        <v>-400.0</v>
      </c>
      <c r="E108" s="2">
        <v>-164.74</v>
      </c>
    </row>
    <row r="109" spans="1:5" x14ac:dyDescent="0.15">
      <c r="A109" s="2" t="s">
        <f>"093000920175"</f>
        <v>219</v>
      </c>
      <c r="B109" s="2" t="s">
        <f>"王瑞范"</f>
        <v>220</v>
      </c>
      <c r="C109" s="2">
        <v>-685.0</v>
      </c>
      <c r="D109" s="2">
        <v>184.0</v>
      </c>
      <c r="E109" s="2">
        <v>-1389.06</v>
      </c>
    </row>
    <row r="110" spans="1:5" x14ac:dyDescent="0.15">
      <c r="A110" s="2" t="s">
        <f>"093000037920007"</f>
        <v>221</v>
      </c>
      <c r="B110" s="2" t="s">
        <f>"程圳"</f>
        <v>222</v>
      </c>
      <c r="C110" s="2">
        <v>-29.0</v>
      </c>
      <c r="D110" s="2">
        <v>-31.0</v>
      </c>
      <c r="E110" s="2">
        <v>-5.45</v>
      </c>
    </row>
    <row r="111" spans="1:5" x14ac:dyDescent="0.15">
      <c r="A111" s="2" t="s">
        <f>"093000920176"</f>
        <v>223</v>
      </c>
      <c r="B111" s="2" t="s">
        <f>"唐义花"</f>
        <v>224</v>
      </c>
      <c r="C111" s="2">
        <v>-269.0</v>
      </c>
      <c r="D111" s="2">
        <v>-21.0</v>
      </c>
      <c r="E111" s="2">
        <v>-61.24</v>
      </c>
    </row>
    <row r="112" spans="1:5" x14ac:dyDescent="0.15">
      <c r="A112" s="2" t="s">
        <f>"093000037920008"</f>
        <v>225</v>
      </c>
      <c r="B112" s="2" t="s">
        <f>"程爱萍"</f>
        <v>226</v>
      </c>
      <c r="C112" s="2">
        <v>-58.0</v>
      </c>
      <c r="D112" s="2">
        <v>26.0</v>
      </c>
      <c r="E112" s="2">
        <v>-5.48</v>
      </c>
    </row>
    <row r="113" spans="1:5" x14ac:dyDescent="0.15">
      <c r="A113" s="2" t="s">
        <f>"093000037920009"</f>
        <v>227</v>
      </c>
      <c r="B113" s="2" t="s">
        <f>"程爱华"</f>
        <v>228</v>
      </c>
      <c r="C113" s="2">
        <v>-27.0</v>
      </c>
      <c r="D113" s="2">
        <v>-96.0</v>
      </c>
      <c r="E113" s="2">
        <v>-25.11</v>
      </c>
    </row>
    <row r="114" spans="1:5" x14ac:dyDescent="0.15">
      <c r="A114" s="2" t="s">
        <f>"093000920178"</f>
        <v>229</v>
      </c>
      <c r="B114" s="2" t="s">
        <f>"简景雷"</f>
        <v>230</v>
      </c>
      <c r="C114" s="2">
        <v>-737.0</v>
      </c>
      <c r="D114" s="2">
        <v>-8523.0</v>
      </c>
      <c r="E114" s="2">
        <v>-3654.76</v>
      </c>
    </row>
    <row r="115" spans="1:5" x14ac:dyDescent="0.15">
      <c r="A115" s="2" t="s">
        <f>"093000920186"</f>
        <v>231</v>
      </c>
      <c r="B115" s="2" t="s">
        <f>"苏东奇"</f>
        <v>232</v>
      </c>
      <c r="C115" s="2">
        <v>-158.0</v>
      </c>
      <c r="D115" s="2">
        <v>341.0</v>
      </c>
      <c r="E115" s="2">
        <v>-1223.25</v>
      </c>
    </row>
    <row r="116" spans="1:5" x14ac:dyDescent="0.15">
      <c r="A116" s="2" t="s">
        <f>"093000037920012"</f>
        <v>233</v>
      </c>
      <c r="B116" s="2" t="s">
        <f>"方明亮"</f>
        <v>234</v>
      </c>
      <c r="C116" s="2">
        <v>0.0</v>
      </c>
      <c r="D116" s="2">
        <v>18.0</v>
      </c>
      <c r="E116" s="2">
        <v>-5.4</v>
      </c>
    </row>
    <row r="117" spans="1:5" x14ac:dyDescent="0.15">
      <c r="A117" s="2" t="s">
        <f>"093000920184"</f>
        <v>235</v>
      </c>
      <c r="B117" s="2" t="s">
        <f>"奚大力"</f>
        <v>236</v>
      </c>
      <c r="C117" s="2">
        <v>0.0</v>
      </c>
      <c r="D117" s="2">
        <v>0.0</v>
      </c>
      <c r="E117" s="2">
        <v>0.0</v>
      </c>
    </row>
    <row r="118" spans="1:5" x14ac:dyDescent="0.15">
      <c r="A118" s="2" t="s">
        <f>"093000037920011"</f>
        <v>237</v>
      </c>
      <c r="B118" s="2" t="s">
        <f>"李洁"</f>
        <v>238</v>
      </c>
      <c r="C118" s="2">
        <v>0.0</v>
      </c>
      <c r="D118" s="2">
        <v>19.0</v>
      </c>
      <c r="E118" s="2">
        <v>-5.4</v>
      </c>
    </row>
    <row r="119" spans="1:5" x14ac:dyDescent="0.15">
      <c r="A119" s="2" t="s">
        <f>"093000037920010"</f>
        <v>239</v>
      </c>
      <c r="B119" s="2" t="s">
        <f>"时战群"</f>
        <v>240</v>
      </c>
      <c r="C119" s="2">
        <v>0.0</v>
      </c>
      <c r="D119" s="2">
        <v>18.0</v>
      </c>
      <c r="E119" s="2">
        <v>-5.43</v>
      </c>
    </row>
    <row r="120" spans="1:5" x14ac:dyDescent="0.15">
      <c r="A120" s="2" t="s">
        <f>"093000920181"</f>
        <v>241</v>
      </c>
      <c r="B120" s="2" t="s">
        <f>"郁林楠"</f>
        <v>242</v>
      </c>
      <c r="C120" s="2">
        <v>-404.0</v>
      </c>
      <c r="D120" s="2">
        <v>-233.0</v>
      </c>
      <c r="E120" s="2">
        <v>-714.58</v>
      </c>
    </row>
    <row r="121" spans="1:5" x14ac:dyDescent="0.15">
      <c r="A121" s="2" t="s">
        <f>"093000920182"</f>
        <v>243</v>
      </c>
      <c r="B121" s="2" t="s">
        <f>"刘春华"</f>
        <v>244</v>
      </c>
      <c r="C121" s="2">
        <v>0.0</v>
      </c>
      <c r="D121" s="2">
        <v>-1890.0</v>
      </c>
      <c r="E121" s="2">
        <v>-468.88</v>
      </c>
    </row>
    <row r="122" spans="1:5" x14ac:dyDescent="0.15">
      <c r="A122" s="2" t="s">
        <f>"093000040920018"</f>
        <v>245</v>
      </c>
      <c r="B122" s="2" t="s">
        <f>"杨建红"</f>
        <v>246</v>
      </c>
      <c r="C122" s="2">
        <v>0.0</v>
      </c>
      <c r="D122" s="2">
        <v>0.0</v>
      </c>
      <c r="E122" s="2">
        <v>0.0</v>
      </c>
    </row>
    <row r="123" spans="1:5" x14ac:dyDescent="0.15">
      <c r="A123" s="2" t="s">
        <f>"093000920191"</f>
        <v>247</v>
      </c>
      <c r="B123" s="2" t="s">
        <f>"雷书青"</f>
        <v>248</v>
      </c>
      <c r="C123" s="2">
        <v>-553.0</v>
      </c>
      <c r="D123" s="2">
        <v>-194.0</v>
      </c>
      <c r="E123" s="2">
        <v>-624.7</v>
      </c>
    </row>
    <row r="124" spans="1:5" x14ac:dyDescent="0.15">
      <c r="A124" s="2" t="s">
        <f>"093000920192"</f>
        <v>249</v>
      </c>
      <c r="B124" s="2" t="s">
        <f>"周兴豪"</f>
        <v>250</v>
      </c>
      <c r="C124" s="2">
        <v>0.0</v>
      </c>
      <c r="D124" s="2">
        <v>-277.0</v>
      </c>
      <c r="E124" s="2">
        <v>-69.71</v>
      </c>
    </row>
    <row r="125" spans="1:5" x14ac:dyDescent="0.15">
      <c r="A125" s="2" t="s">
        <f>"093000920193"</f>
        <v>251</v>
      </c>
      <c r="B125" s="2" t="s">
        <f>"张颖"</f>
        <v>252</v>
      </c>
      <c r="C125" s="2">
        <v>-46.0</v>
      </c>
      <c r="D125" s="2">
        <v>112.0</v>
      </c>
      <c r="E125" s="2">
        <v>-20.73</v>
      </c>
    </row>
    <row r="126" spans="1:5" x14ac:dyDescent="0.15">
      <c r="A126" s="2" t="s">
        <f>"093000920194"</f>
        <v>253</v>
      </c>
      <c r="B126" s="2" t="s">
        <f>"韩红乾"</f>
        <v>254</v>
      </c>
      <c r="C126" s="2">
        <v>0.0</v>
      </c>
      <c r="D126" s="2">
        <v>0.0</v>
      </c>
      <c r="E126" s="2">
        <v>0.0</v>
      </c>
    </row>
    <row r="127" spans="1:5" x14ac:dyDescent="0.15">
      <c r="A127" s="2" t="s">
        <f>"093000037920013"</f>
        <v>255</v>
      </c>
      <c r="B127" s="2" t="s">
        <f>"方玉伟"</f>
        <v>256</v>
      </c>
      <c r="C127" s="2">
        <v>-336.0</v>
      </c>
      <c r="D127" s="2">
        <v>-925.0</v>
      </c>
      <c r="E127" s="2">
        <v>-1096.04</v>
      </c>
    </row>
    <row r="128" spans="1:5" x14ac:dyDescent="0.15">
      <c r="A128" s="2" t="s">
        <f>"093000920196"</f>
        <v>257</v>
      </c>
      <c r="B128" s="2" t="s">
        <f>"马仲秋"</f>
        <v>258</v>
      </c>
      <c r="C128" s="2">
        <v>-252.0</v>
      </c>
      <c r="D128" s="2">
        <v>-1590.0</v>
      </c>
      <c r="E128" s="2">
        <v>-293.55</v>
      </c>
    </row>
    <row r="129" spans="1:5" x14ac:dyDescent="0.15">
      <c r="A129" s="2" t="s">
        <f>"093000920197"</f>
        <v>259</v>
      </c>
      <c r="B129" s="2" t="s">
        <f>"胡钦"</f>
        <v>260</v>
      </c>
      <c r="C129" s="2">
        <v>0.0</v>
      </c>
      <c r="D129" s="2">
        <v>0.0</v>
      </c>
      <c r="E129" s="2">
        <v>0.0</v>
      </c>
    </row>
    <row r="130" spans="1:5" x14ac:dyDescent="0.15">
      <c r="A130" s="2" t="s">
        <f>"093000037920014"</f>
        <v>261</v>
      </c>
      <c r="B130" s="2" t="s">
        <f>"程俊丽"</f>
        <v>262</v>
      </c>
      <c r="C130" s="2">
        <v>0.0</v>
      </c>
      <c r="D130" s="2">
        <v>9.0</v>
      </c>
      <c r="E130" s="2">
        <v>-5.41</v>
      </c>
    </row>
    <row r="131" spans="1:5" x14ac:dyDescent="0.15">
      <c r="A131" s="2" t="s">
        <f>"093000040920019"</f>
        <v>263</v>
      </c>
      <c r="B131" s="2" t="s">
        <f>"崔亚阁"</f>
        <v>264</v>
      </c>
      <c r="C131" s="2">
        <v>0.0</v>
      </c>
      <c r="D131" s="2">
        <v>-158.0</v>
      </c>
      <c r="E131" s="2">
        <v>-57.92</v>
      </c>
    </row>
    <row r="132" spans="1:5" x14ac:dyDescent="0.15">
      <c r="A132" s="2" t="s">
        <f>"093000920202"</f>
        <v>265</v>
      </c>
      <c r="B132" s="2" t="s">
        <f>"王一冰"</f>
        <v>8</v>
      </c>
      <c r="C132" s="2">
        <v>0.0</v>
      </c>
      <c r="D132" s="2">
        <v>0.0</v>
      </c>
      <c r="E132" s="2">
        <v>0.0</v>
      </c>
    </row>
    <row r="133" spans="1:5" x14ac:dyDescent="0.15">
      <c r="A133" s="2" t="s">
        <f>"093000920203"</f>
        <v>266</v>
      </c>
      <c r="B133" s="2" t="s">
        <f>"李庆华"</f>
        <v>267</v>
      </c>
      <c r="C133" s="2">
        <v>0.0</v>
      </c>
      <c r="D133" s="2">
        <v>-604.0</v>
      </c>
      <c r="E133" s="2">
        <v>-114.22</v>
      </c>
    </row>
    <row r="134" spans="1:5" x14ac:dyDescent="0.15">
      <c r="A134" s="2" t="s">
        <f>"093000920204"</f>
        <v>268</v>
      </c>
      <c r="B134" s="2" t="s">
        <f>"刘玉明"</f>
        <v>269</v>
      </c>
      <c r="C134" s="2">
        <v>0.0</v>
      </c>
      <c r="D134" s="2">
        <v>0.0</v>
      </c>
      <c r="E134" s="2">
        <v>0.0</v>
      </c>
    </row>
    <row r="135" spans="1:5" x14ac:dyDescent="0.15">
      <c r="A135" s="2" t="s">
        <f>"093000920206"</f>
        <v>270</v>
      </c>
      <c r="B135" s="2" t="s">
        <f>"史西娜"</f>
        <v>271</v>
      </c>
      <c r="C135" s="2">
        <v>0.0</v>
      </c>
      <c r="D135" s="2">
        <v>0.0</v>
      </c>
      <c r="E135" s="2">
        <v>0.0</v>
      </c>
    </row>
    <row r="136" spans="1:5" x14ac:dyDescent="0.15">
      <c r="A136" s="2" t="s">
        <f>"093000920207"</f>
        <v>272</v>
      </c>
      <c r="B136" s="2" t="s">
        <f>"王黎明"</f>
        <v>273</v>
      </c>
      <c r="C136" s="2">
        <v>0.0</v>
      </c>
      <c r="D136" s="2">
        <v>-1463.0</v>
      </c>
      <c r="E136" s="2">
        <v>-231.71</v>
      </c>
    </row>
    <row r="137" spans="1:5" x14ac:dyDescent="0.15">
      <c r="A137" s="2" t="s">
        <f>"093000920208"</f>
        <v>274</v>
      </c>
      <c r="B137" s="2" t="s">
        <f>"周清坡"</f>
        <v>275</v>
      </c>
      <c r="C137" s="2">
        <v>-780.0</v>
      </c>
      <c r="D137" s="2">
        <v>400.0</v>
      </c>
      <c r="E137" s="2">
        <v>-749.43</v>
      </c>
    </row>
    <row r="138" spans="1:5" x14ac:dyDescent="0.15">
      <c r="A138" s="2" t="s">
        <f>"093000920209"</f>
        <v>276</v>
      </c>
      <c r="B138" s="2" t="s">
        <f>"雷书红"</f>
        <v>277</v>
      </c>
      <c r="C138" s="2">
        <v>-1545.0</v>
      </c>
      <c r="D138" s="2">
        <v>-2353.0</v>
      </c>
      <c r="E138" s="2">
        <v>-2225.47</v>
      </c>
    </row>
    <row r="139" spans="1:5" x14ac:dyDescent="0.15">
      <c r="A139" s="2" t="s">
        <f>"093000037920015"</f>
        <v>278</v>
      </c>
      <c r="B139" s="2" t="s">
        <f>"张二涛"</f>
        <v>279</v>
      </c>
      <c r="C139" s="2">
        <v>24.0</v>
      </c>
      <c r="D139" s="2">
        <v>-74.0</v>
      </c>
      <c r="E139" s="2">
        <v>-10.89</v>
      </c>
    </row>
    <row r="140" spans="1:5" x14ac:dyDescent="0.15">
      <c r="A140" s="2" t="s">
        <f>"093000920211"</f>
        <v>280</v>
      </c>
      <c r="B140" s="2" t="s">
        <f>"宋德全"</f>
        <v>281</v>
      </c>
      <c r="C140" s="2">
        <v>0.0</v>
      </c>
      <c r="D140" s="2">
        <v>3114.0</v>
      </c>
      <c r="E140" s="2">
        <v>-816.48</v>
      </c>
    </row>
    <row r="141" spans="1:5" x14ac:dyDescent="0.15">
      <c r="A141" s="2" t="s">
        <f>"093000920212"</f>
        <v>282</v>
      </c>
      <c r="B141" s="2" t="s">
        <f>"程传旭"</f>
        <v>283</v>
      </c>
      <c r="C141" s="2">
        <v>-58.0</v>
      </c>
      <c r="D141" s="2">
        <v>-525.0</v>
      </c>
      <c r="E141" s="2">
        <v>-171.93</v>
      </c>
    </row>
    <row r="142" spans="1:5" x14ac:dyDescent="0.15">
      <c r="A142" s="2" t="s">
        <f>"093000920213"</f>
        <v>284</v>
      </c>
      <c r="B142" s="2" t="s">
        <f>"黄学涛"</f>
        <v>285</v>
      </c>
      <c r="C142" s="2">
        <v>-1213.0</v>
      </c>
      <c r="D142" s="2">
        <v>-58.0</v>
      </c>
      <c r="E142" s="2">
        <v>-175.07</v>
      </c>
    </row>
    <row r="143" spans="1:5" x14ac:dyDescent="0.15">
      <c r="A143" s="2" t="s">
        <f>"093000920216"</f>
        <v>286</v>
      </c>
      <c r="B143" s="2" t="s">
        <f>"周婉莹"</f>
        <v>287</v>
      </c>
      <c r="C143" s="2">
        <v>0.0</v>
      </c>
      <c r="D143" s="2">
        <v>-415.0</v>
      </c>
      <c r="E143" s="2">
        <v>-1944.45</v>
      </c>
    </row>
    <row r="144" spans="1:5" x14ac:dyDescent="0.15">
      <c r="A144" s="2" t="s">
        <f>"093000920217"</f>
        <v>288</v>
      </c>
      <c r="B144" s="2" t="s">
        <f>"陆燕芹"</f>
        <v>289</v>
      </c>
      <c r="C144" s="2">
        <v>0.0</v>
      </c>
      <c r="D144" s="2">
        <v>0.0</v>
      </c>
      <c r="E144" s="2">
        <v>0.0</v>
      </c>
    </row>
    <row r="145" spans="1:5" x14ac:dyDescent="0.15">
      <c r="A145" s="2" t="s">
        <f>"093000920219"</f>
        <v>290</v>
      </c>
      <c r="B145" s="2" t="s">
        <f>"刘静"</f>
        <v>291</v>
      </c>
      <c r="C145" s="2">
        <v>-1151.0</v>
      </c>
      <c r="D145" s="2">
        <v>-1022.0</v>
      </c>
      <c r="E145" s="2">
        <v>-547.31</v>
      </c>
    </row>
    <row r="146" spans="1:5" x14ac:dyDescent="0.15">
      <c r="A146" s="2" t="s">
        <f>"093000920220"</f>
        <v>292</v>
      </c>
      <c r="B146" s="2" t="s">
        <f>"李丁"</f>
        <v>293</v>
      </c>
      <c r="C146" s="2">
        <v>155.0</v>
      </c>
      <c r="D146" s="2">
        <v>-2170.0</v>
      </c>
      <c r="E146" s="2">
        <v>-677.89</v>
      </c>
    </row>
    <row r="147" spans="1:5" x14ac:dyDescent="0.15">
      <c r="A147" s="2" t="s">
        <f>"093000920221"</f>
        <v>294</v>
      </c>
      <c r="B147" s="2" t="s">
        <f>"古恬"</f>
        <v>295</v>
      </c>
      <c r="C147" s="2">
        <v>627.0</v>
      </c>
      <c r="D147" s="2">
        <v>-1118.0</v>
      </c>
      <c r="E147" s="2">
        <v>-626.18</v>
      </c>
    </row>
    <row r="148" spans="1:5" x14ac:dyDescent="0.15">
      <c r="A148" s="2" t="s">
        <f>"093000049920001"</f>
        <v>296</v>
      </c>
      <c r="B148" s="2" t="s">
        <f>"苗壮壮"</f>
        <v>297</v>
      </c>
      <c r="C148" s="2">
        <v>0.0</v>
      </c>
      <c r="D148" s="2">
        <v>-900.0</v>
      </c>
      <c r="E148" s="2">
        <v>-82.12</v>
      </c>
    </row>
    <row r="149" spans="1:5" x14ac:dyDescent="0.15">
      <c r="A149" s="2" t="s">
        <f>"093000920223"</f>
        <v>298</v>
      </c>
      <c r="B149" s="2" t="s">
        <f>"张涛"</f>
        <v>299</v>
      </c>
      <c r="C149" s="2">
        <v>840.0</v>
      </c>
      <c r="D149" s="2">
        <v>1880.0</v>
      </c>
      <c r="E149" s="2">
        <v>-317.57</v>
      </c>
    </row>
    <row r="150" spans="1:5" x14ac:dyDescent="0.15">
      <c r="A150" s="2" t="s">
        <f>"093000920224"</f>
        <v>300</v>
      </c>
      <c r="B150" s="2" t="s">
        <f>"魏星垒"</f>
        <v>301</v>
      </c>
      <c r="C150" s="2">
        <v>0.0</v>
      </c>
      <c r="D150" s="2">
        <v>0.0</v>
      </c>
      <c r="E150" s="2">
        <v>0.0</v>
      </c>
    </row>
    <row r="151" spans="1:5" x14ac:dyDescent="0.15">
      <c r="A151" s="2" t="s">
        <f>"093000920225"</f>
        <v>302</v>
      </c>
      <c r="B151" s="2" t="s">
        <f>"雷书俊"</f>
        <v>303</v>
      </c>
      <c r="C151" s="2">
        <v>-927.0</v>
      </c>
      <c r="D151" s="2">
        <v>-2284.0</v>
      </c>
      <c r="E151" s="2">
        <v>-1116.56</v>
      </c>
    </row>
    <row r="152" spans="1:5" x14ac:dyDescent="0.15">
      <c r="A152" s="2" t="s">
        <f>"093000920226"</f>
        <v>304</v>
      </c>
      <c r="B152" s="2" t="s">
        <f>"刘源"</f>
        <v>305</v>
      </c>
      <c r="C152" s="2">
        <v>0.0</v>
      </c>
      <c r="D152" s="2">
        <v>-63.0</v>
      </c>
      <c r="E152" s="2">
        <v>-310.8</v>
      </c>
    </row>
    <row r="153" spans="1:5" x14ac:dyDescent="0.15">
      <c r="A153" s="2" t="s">
        <f>"093000041920009"</f>
        <v>306</v>
      </c>
      <c r="B153" s="2" t="s">
        <f>"王宏章"</f>
        <v>307</v>
      </c>
      <c r="C153" s="2">
        <v>0.0</v>
      </c>
      <c r="D153" s="2">
        <v>920.0</v>
      </c>
      <c r="E153" s="2">
        <v>-115.07</v>
      </c>
    </row>
    <row r="154" spans="1:5" x14ac:dyDescent="0.15">
      <c r="A154" s="2" t="s">
        <f>"093000920227"</f>
        <v>308</v>
      </c>
      <c r="B154" s="2" t="s">
        <f>"李梦"</f>
        <v>309</v>
      </c>
      <c r="C154" s="2">
        <v>0.0</v>
      </c>
      <c r="D154" s="2">
        <v>0.0</v>
      </c>
      <c r="E154" s="2">
        <v>0.0</v>
      </c>
    </row>
    <row r="155" spans="1:5" x14ac:dyDescent="0.15">
      <c r="A155" s="2" t="s">
        <f>"093000037920017"</f>
        <v>310</v>
      </c>
      <c r="B155" s="2" t="s">
        <f>"杨美勤"</f>
        <v>311</v>
      </c>
      <c r="C155" s="2">
        <v>0.0</v>
      </c>
      <c r="D155" s="2">
        <v>-12.0</v>
      </c>
      <c r="E155" s="2">
        <v>-5.43</v>
      </c>
    </row>
    <row r="156" spans="1:5" x14ac:dyDescent="0.15">
      <c r="A156" s="2" t="s">
        <f>"093000051920001"</f>
        <v>312</v>
      </c>
      <c r="B156" s="2" t="s">
        <f>"艾亚楠"</f>
        <v>313</v>
      </c>
      <c r="C156" s="2">
        <v>0.0</v>
      </c>
      <c r="D156" s="2">
        <v>0.0</v>
      </c>
      <c r="E156" s="2">
        <v>0.0</v>
      </c>
    </row>
    <row r="157" spans="1:5" x14ac:dyDescent="0.15">
      <c r="A157" s="2" t="s">
        <f>"093000920233"</f>
        <v>314</v>
      </c>
      <c r="B157" s="2" t="s">
        <f>"程建国"</f>
        <v>315</v>
      </c>
      <c r="C157" s="2">
        <v>0.0</v>
      </c>
      <c r="D157" s="2">
        <v>740.0</v>
      </c>
      <c r="E157" s="2">
        <v>-81.97</v>
      </c>
    </row>
    <row r="158" spans="1:5" x14ac:dyDescent="0.15">
      <c r="A158" s="2" t="s">
        <f>"093000920232"</f>
        <v>316</v>
      </c>
      <c r="B158" s="2" t="s">
        <f>"邓聪聪"</f>
        <v>317</v>
      </c>
      <c r="C158" s="2">
        <v>0.0</v>
      </c>
      <c r="D158" s="2">
        <v>330.0</v>
      </c>
      <c r="E158" s="2">
        <v>-114.48</v>
      </c>
    </row>
    <row r="159" spans="1:5" x14ac:dyDescent="0.15">
      <c r="A159" s="2" t="s">
        <f>"093000920234"</f>
        <v>318</v>
      </c>
      <c r="B159" s="2" t="s">
        <f>"贾建军"</f>
        <v>319</v>
      </c>
      <c r="C159" s="2">
        <v>-1544.0</v>
      </c>
      <c r="D159" s="2">
        <v>-6743.0</v>
      </c>
      <c r="E159" s="2">
        <v>-2393.53</v>
      </c>
    </row>
    <row r="160" spans="1:5" x14ac:dyDescent="0.15">
      <c r="A160" s="2" t="s">
        <f>"093000920235"</f>
        <v>320</v>
      </c>
      <c r="B160" s="2" t="s">
        <f>"杨桂花"</f>
        <v>321</v>
      </c>
      <c r="C160" s="2">
        <v>0.0</v>
      </c>
      <c r="D160" s="2">
        <v>320.0</v>
      </c>
      <c r="E160" s="2">
        <v>-81.54</v>
      </c>
    </row>
    <row r="161" spans="1:5" x14ac:dyDescent="0.15">
      <c r="A161" s="2" t="s">
        <f>"093000920238"</f>
        <v>322</v>
      </c>
      <c r="B161" s="2" t="s">
        <f>"陈尹娟"</f>
        <v>323</v>
      </c>
      <c r="C161" s="2">
        <v>-368.0</v>
      </c>
      <c r="D161" s="2">
        <v>-197.0</v>
      </c>
      <c r="E161" s="2">
        <v>-777.35</v>
      </c>
    </row>
    <row r="162" spans="1:5" x14ac:dyDescent="0.15">
      <c r="A162" s="2" t="s">
        <f>"093000041920010"</f>
        <v>324</v>
      </c>
      <c r="B162" s="2" t="s">
        <f>"周俊男"</f>
        <v>325</v>
      </c>
      <c r="C162" s="2">
        <v>-210.0</v>
      </c>
      <c r="D162" s="2">
        <v>1186.0</v>
      </c>
      <c r="E162" s="2">
        <v>-116.84</v>
      </c>
    </row>
    <row r="163" spans="1:5" x14ac:dyDescent="0.15">
      <c r="A163" s="2" t="s">
        <f>"093000920240"</f>
        <v>326</v>
      </c>
      <c r="B163" s="2" t="s">
        <f>"李贝贝"</f>
        <v>327</v>
      </c>
      <c r="C163" s="2">
        <v>0.0</v>
      </c>
      <c r="D163" s="2">
        <v>0.0</v>
      </c>
      <c r="E163" s="2">
        <v>0.0</v>
      </c>
    </row>
    <row r="164" spans="1:5" x14ac:dyDescent="0.15">
      <c r="A164" s="2" t="s">
        <f>"093000920241"</f>
        <v>328</v>
      </c>
      <c r="B164" s="2" t="s">
        <f>"刘俊"</f>
        <v>329</v>
      </c>
      <c r="C164" s="2">
        <v>0.0</v>
      </c>
      <c r="D164" s="2">
        <v>0.0</v>
      </c>
      <c r="E164" s="2">
        <v>0.0</v>
      </c>
    </row>
    <row r="165" spans="1:5" x14ac:dyDescent="0.15">
      <c r="A165" s="2" t="s">
        <f>"093000049920003"</f>
        <v>330</v>
      </c>
      <c r="B165" s="2" t="s">
        <f>"李明"</f>
        <v>331</v>
      </c>
      <c r="C165" s="2">
        <v>0.0</v>
      </c>
      <c r="D165" s="2">
        <v>-880.0</v>
      </c>
      <c r="E165" s="2">
        <v>-82.24</v>
      </c>
    </row>
    <row r="166" spans="1:5" x14ac:dyDescent="0.15">
      <c r="A166" s="2" t="s">
        <f>"093000920244"</f>
        <v>332</v>
      </c>
      <c r="B166" s="2" t="s">
        <f>"何亚锦"</f>
        <v>333</v>
      </c>
      <c r="C166" s="2">
        <v>-240.0</v>
      </c>
      <c r="D166" s="2">
        <v>-3120.0</v>
      </c>
      <c r="E166" s="2">
        <v>-867.79</v>
      </c>
    </row>
    <row r="167" spans="1:5" x14ac:dyDescent="0.15">
      <c r="A167" s="2" t="s">
        <f>"093000920245"</f>
        <v>334</v>
      </c>
      <c r="B167" s="2" t="s">
        <f>"王二勇"</f>
        <v>335</v>
      </c>
      <c r="C167" s="2">
        <v>0.0</v>
      </c>
      <c r="D167" s="2">
        <v>-1022.0</v>
      </c>
      <c r="E167" s="2">
        <v>-58.52</v>
      </c>
    </row>
    <row r="168" spans="1:5" x14ac:dyDescent="0.15">
      <c r="A168" s="2" t="s">
        <f>"093000041920011"</f>
        <v>336</v>
      </c>
      <c r="B168" s="2" t="s">
        <f>"贾繁"</f>
        <v>337</v>
      </c>
      <c r="C168" s="2">
        <v>144.0</v>
      </c>
      <c r="D168" s="2">
        <v>-1224.0</v>
      </c>
      <c r="E168" s="2">
        <v>-116.81</v>
      </c>
    </row>
    <row r="169" spans="1:5" x14ac:dyDescent="0.15">
      <c r="A169" s="2" t="s">
        <f>"093000920246"</f>
        <v>338</v>
      </c>
      <c r="B169" s="2" t="s">
        <f>"徐沛"</f>
        <v>339</v>
      </c>
      <c r="C169" s="2">
        <v>-2954.0</v>
      </c>
      <c r="D169" s="2">
        <v>1384.0</v>
      </c>
      <c r="E169" s="2">
        <v>-1076.31</v>
      </c>
    </row>
    <row r="170" spans="1:5" x14ac:dyDescent="0.15">
      <c r="A170" s="2" t="s">
        <f>"093000920247"</f>
        <v>340</v>
      </c>
      <c r="B170" s="2" t="s">
        <f>"张兴第"</f>
        <v>341</v>
      </c>
      <c r="C170" s="2">
        <v>-1204.0</v>
      </c>
      <c r="D170" s="2">
        <v>495.0</v>
      </c>
      <c r="E170" s="2">
        <v>-949.94</v>
      </c>
    </row>
    <row r="171" spans="1:5" x14ac:dyDescent="0.15">
      <c r="A171" s="2" t="s">
        <f>"093000920250"</f>
        <v>342</v>
      </c>
      <c r="B171" s="2" t="s">
        <f>"钱猛"</f>
        <v>343</v>
      </c>
      <c r="C171" s="2">
        <v>0.0</v>
      </c>
      <c r="D171" s="2">
        <v>40.0</v>
      </c>
      <c r="E171" s="2">
        <v>-166.13</v>
      </c>
    </row>
    <row r="172" spans="1:5" x14ac:dyDescent="0.15">
      <c r="A172" s="2" t="s">
        <f>"093000920252"</f>
        <v>344</v>
      </c>
      <c r="B172" s="2" t="s">
        <f>"杨祥义"</f>
        <v>345</v>
      </c>
      <c r="C172" s="2">
        <v>0.0</v>
      </c>
      <c r="D172" s="2">
        <v>0.0</v>
      </c>
      <c r="E172" s="2">
        <v>0.0</v>
      </c>
    </row>
    <row r="173" spans="1:5" x14ac:dyDescent="0.15">
      <c r="A173" s="2" t="s">
        <f>"093000049920004"</f>
        <v>346</v>
      </c>
      <c r="B173" s="2" t="s">
        <f>"万龙"</f>
        <v>347</v>
      </c>
      <c r="C173" s="2">
        <v>10.0</v>
      </c>
      <c r="D173" s="2">
        <v>-2062.0</v>
      </c>
      <c r="E173" s="2">
        <v>-687.19</v>
      </c>
    </row>
    <row r="174" spans="1:5" x14ac:dyDescent="0.15">
      <c r="A174" s="2" t="s">
        <f>"093000920251"</f>
        <v>348</v>
      </c>
      <c r="B174" s="2" t="s">
        <f>"户小方"</f>
        <v>349</v>
      </c>
      <c r="C174" s="2">
        <v>-324.0</v>
      </c>
      <c r="D174" s="2">
        <v>562.0</v>
      </c>
      <c r="E174" s="2">
        <v>-961.77</v>
      </c>
    </row>
    <row r="175" spans="1:5" x14ac:dyDescent="0.15">
      <c r="A175" s="2" t="s">
        <f>"093000049920005"</f>
        <v>350</v>
      </c>
      <c r="B175" s="2" t="s">
        <f>"刘银"</f>
        <v>351</v>
      </c>
      <c r="C175" s="2">
        <v>0.0</v>
      </c>
      <c r="D175" s="2">
        <v>-860.0</v>
      </c>
      <c r="E175" s="2">
        <v>-82.32</v>
      </c>
    </row>
    <row r="176" spans="1:5" x14ac:dyDescent="0.15">
      <c r="A176" s="2" t="s">
        <f>"093000920253"</f>
        <v>352</v>
      </c>
      <c r="B176" s="2" t="s">
        <f>"王大林"</f>
        <v>353</v>
      </c>
      <c r="C176" s="2">
        <v>-292.0</v>
      </c>
      <c r="D176" s="2">
        <v>-822.0</v>
      </c>
      <c r="E176" s="2">
        <v>-611.19</v>
      </c>
    </row>
    <row r="177" spans="1:5" x14ac:dyDescent="0.15">
      <c r="A177" s="2" t="s">
        <f>"093000920254"</f>
        <v>354</v>
      </c>
      <c r="B177" s="2" t="s">
        <f>"刘蕾"</f>
        <v>355</v>
      </c>
      <c r="C177" s="2">
        <v>0.0</v>
      </c>
      <c r="D177" s="2">
        <v>0.0</v>
      </c>
      <c r="E177" s="2">
        <v>0.0</v>
      </c>
    </row>
    <row r="178" spans="1:5" x14ac:dyDescent="0.15">
      <c r="A178" s="2" t="s">
        <f>"093000049920006"</f>
        <v>356</v>
      </c>
      <c r="B178" s="2" t="s">
        <f>"张帅"</f>
        <v>357</v>
      </c>
      <c r="C178" s="2">
        <v>-580.0</v>
      </c>
      <c r="D178" s="2">
        <v>451.0</v>
      </c>
      <c r="E178" s="2">
        <v>-1048.59</v>
      </c>
    </row>
    <row r="179" spans="1:5" x14ac:dyDescent="0.15">
      <c r="A179" s="2" t="s">
        <f>"093000920255"</f>
        <v>358</v>
      </c>
      <c r="B179" s="2" t="s">
        <f>"王航"</f>
        <v>359</v>
      </c>
      <c r="C179" s="2">
        <v>-192.0</v>
      </c>
      <c r="D179" s="2">
        <v>-465.0</v>
      </c>
      <c r="E179" s="2">
        <v>-634.58</v>
      </c>
    </row>
    <row r="180" spans="1:5" x14ac:dyDescent="0.15">
      <c r="A180" s="2" t="s">
        <f>"093000040920020"</f>
        <v>360</v>
      </c>
      <c r="B180" s="2" t="s">
        <f>"高宇飞"</f>
        <v>361</v>
      </c>
      <c r="C180" s="2">
        <v>0.0</v>
      </c>
      <c r="D180" s="2">
        <v>0.0</v>
      </c>
      <c r="E180" s="2">
        <v>0.0</v>
      </c>
    </row>
    <row r="181" spans="1:5" x14ac:dyDescent="0.15">
      <c r="A181" s="2" t="s">
        <f>"093000920256"</f>
        <v>362</v>
      </c>
      <c r="B181" s="2" t="s">
        <f>"冯强"</f>
        <v>363</v>
      </c>
      <c r="C181" s="2">
        <v>0.0</v>
      </c>
      <c r="D181" s="2">
        <v>-599.0</v>
      </c>
      <c r="E181" s="2">
        <v>-290.95</v>
      </c>
    </row>
    <row r="182" spans="1:5" x14ac:dyDescent="0.15">
      <c r="A182" s="2" t="s">
        <f>"093000920258"</f>
        <v>364</v>
      </c>
      <c r="B182" s="2" t="s">
        <f>"周玉平"</f>
        <v>365</v>
      </c>
      <c r="C182" s="2">
        <v>0.0</v>
      </c>
      <c r="D182" s="2">
        <v>-860.0</v>
      </c>
      <c r="E182" s="2">
        <v>-83.92</v>
      </c>
    </row>
    <row r="183" spans="1:5" x14ac:dyDescent="0.15">
      <c r="A183" s="2" t="s">
        <f>"093000041920012"</f>
        <v>366</v>
      </c>
      <c r="B183" s="2" t="s">
        <f>"张志宇"</f>
        <v>367</v>
      </c>
      <c r="C183" s="2">
        <v>0.0</v>
      </c>
      <c r="D183" s="2">
        <v>984.0</v>
      </c>
      <c r="E183" s="2">
        <v>-115.65</v>
      </c>
    </row>
    <row r="184" spans="1:5" x14ac:dyDescent="0.15">
      <c r="A184" s="2" t="s">
        <f>"093000920262"</f>
        <v>368</v>
      </c>
      <c r="B184" s="2" t="s">
        <f>"黄吉云"</f>
        <v>369</v>
      </c>
      <c r="C184" s="2">
        <v>-180.0</v>
      </c>
      <c r="D184" s="2">
        <v>-2480.0</v>
      </c>
      <c r="E184" s="2">
        <v>-1227.38</v>
      </c>
    </row>
    <row r="185" spans="1:5" x14ac:dyDescent="0.15">
      <c r="A185" s="2" t="s">
        <f>"093000920260"</f>
        <v>370</v>
      </c>
      <c r="B185" s="2" t="s">
        <f>"王天秀"</f>
        <v>371</v>
      </c>
      <c r="C185" s="2">
        <v>-400.0</v>
      </c>
      <c r="D185" s="2">
        <v>-1480.0</v>
      </c>
      <c r="E185" s="2">
        <v>-1477.35</v>
      </c>
    </row>
    <row r="186" spans="1:5" x14ac:dyDescent="0.15">
      <c r="A186" s="2" t="s">
        <f>"093000920259"</f>
        <v>372</v>
      </c>
      <c r="B186" s="2" t="s">
        <f>"胡秀丽"</f>
        <v>373</v>
      </c>
      <c r="C186" s="2">
        <v>-92.0</v>
      </c>
      <c r="D186" s="2">
        <v>-1242.0</v>
      </c>
      <c r="E186" s="2">
        <v>-243.21</v>
      </c>
    </row>
    <row r="187" spans="1:5" x14ac:dyDescent="0.15">
      <c r="A187" s="2" t="s">
        <f>"093000037920018"</f>
        <v>374</v>
      </c>
      <c r="B187" s="2" t="s">
        <f>"杨可欣"</f>
        <v>375</v>
      </c>
      <c r="C187" s="2">
        <v>-183.0</v>
      </c>
      <c r="D187" s="2">
        <v>-867.0</v>
      </c>
      <c r="E187" s="2">
        <v>-257.53</v>
      </c>
    </row>
    <row r="188" spans="1:5" x14ac:dyDescent="0.15">
      <c r="A188" s="2" t="s">
        <f>"093000037920019"</f>
        <v>376</v>
      </c>
      <c r="B188" s="2" t="s">
        <f>"李建永"</f>
        <v>377</v>
      </c>
      <c r="C188" s="2">
        <v>-869.0</v>
      </c>
      <c r="D188" s="2">
        <v>-3322.0</v>
      </c>
      <c r="E188" s="2">
        <v>-3048.21</v>
      </c>
    </row>
    <row r="189" spans="1:5" x14ac:dyDescent="0.15">
      <c r="A189" s="2" t="s">
        <f>"093000037920020"</f>
        <v>378</v>
      </c>
      <c r="B189" s="2" t="s">
        <f>"伍萍"</f>
        <v>379</v>
      </c>
      <c r="C189" s="2">
        <v>-163.0</v>
      </c>
      <c r="D189" s="2">
        <v>-1113.0</v>
      </c>
      <c r="E189" s="2">
        <v>-3692.3</v>
      </c>
    </row>
    <row r="190" spans="1:5" x14ac:dyDescent="0.15">
      <c r="A190" s="2" t="s">
        <f>"093000920263"</f>
        <v>380</v>
      </c>
      <c r="B190" s="2" t="s">
        <f>"叶涛"</f>
        <v>381</v>
      </c>
      <c r="C190" s="2">
        <v>0.0</v>
      </c>
      <c r="D190" s="2">
        <v>0.0</v>
      </c>
      <c r="E190" s="2">
        <v>0.0</v>
      </c>
    </row>
    <row r="191" spans="1:5" x14ac:dyDescent="0.15">
      <c r="A191" s="2" t="s">
        <f>"093000920264"</f>
        <v>382</v>
      </c>
      <c r="B191" s="2" t="s">
        <f>"牛彬"</f>
        <v>383</v>
      </c>
      <c r="C191" s="2">
        <v>-102.0</v>
      </c>
      <c r="D191" s="2">
        <v>-2190.0</v>
      </c>
      <c r="E191" s="2">
        <v>-1422.65</v>
      </c>
    </row>
    <row r="192" spans="1:5" x14ac:dyDescent="0.15">
      <c r="A192" s="2" t="s">
        <f>"093000049920008"</f>
        <v>384</v>
      </c>
      <c r="B192" s="2" t="s">
        <f>"张夏梦"</f>
        <v>385</v>
      </c>
      <c r="C192" s="2">
        <v>0.0</v>
      </c>
      <c r="D192" s="2">
        <v>-700.0</v>
      </c>
      <c r="E192" s="2">
        <v>-171.12</v>
      </c>
    </row>
    <row r="193" spans="1:5" x14ac:dyDescent="0.15">
      <c r="A193" s="2" t="s">
        <f>"093000920266"</f>
        <v>386</v>
      </c>
      <c r="B193" s="2" t="s">
        <f>"朱玉卫"</f>
        <v>387</v>
      </c>
      <c r="C193" s="2">
        <v>-840.0</v>
      </c>
      <c r="D193" s="2">
        <v>-200.0</v>
      </c>
      <c r="E193" s="2">
        <v>-84.29</v>
      </c>
    </row>
    <row r="194" spans="1:5" x14ac:dyDescent="0.15">
      <c r="A194" s="2" t="s">
        <f>"093000920265"</f>
        <v>388</v>
      </c>
      <c r="B194" s="2" t="s">
        <f>"刘娜"</f>
        <v>389</v>
      </c>
      <c r="C194" s="2">
        <v>-515.0</v>
      </c>
      <c r="D194" s="2">
        <v>-1203.0</v>
      </c>
      <c r="E194" s="2">
        <v>-535.48</v>
      </c>
    </row>
    <row r="195" spans="1:5" x14ac:dyDescent="0.15">
      <c r="A195" s="2" t="s">
        <f>"093000037920021"</f>
        <v>390</v>
      </c>
      <c r="B195" s="2" t="s">
        <f>"王贝贝"</f>
        <v>391</v>
      </c>
      <c r="C195" s="2">
        <v>0.0</v>
      </c>
      <c r="D195" s="2">
        <v>0.0</v>
      </c>
      <c r="E195" s="2">
        <v>0.0</v>
      </c>
    </row>
    <row r="196" spans="1:5" x14ac:dyDescent="0.15">
      <c r="A196" s="2" t="s">
        <f>"093000920268"</f>
        <v>392</v>
      </c>
      <c r="B196" s="2" t="s">
        <f>"张柱"</f>
        <v>393</v>
      </c>
      <c r="C196" s="2">
        <v>0.0</v>
      </c>
      <c r="D196" s="2">
        <v>0.0</v>
      </c>
      <c r="E196" s="2">
        <v>0.0</v>
      </c>
    </row>
    <row r="197" spans="1:5" x14ac:dyDescent="0.15">
      <c r="A197" s="2" t="s">
        <f>"093000920270"</f>
        <v>394</v>
      </c>
      <c r="B197" s="2" t="s">
        <f>"付中原"</f>
        <v>395</v>
      </c>
      <c r="C197" s="2">
        <v>-1758.0</v>
      </c>
      <c r="D197" s="2">
        <v>-10811.0</v>
      </c>
      <c r="E197" s="2">
        <v>-2102.17</v>
      </c>
    </row>
    <row r="198" spans="1:5" x14ac:dyDescent="0.15">
      <c r="A198" s="2" t="s">
        <f>"0930000001"</f>
        <v>396</v>
      </c>
      <c r="B198" s="2" t="s">
        <f>"岳林林"</f>
        <v>397</v>
      </c>
      <c r="C198" s="2">
        <v>0.0</v>
      </c>
      <c r="D198" s="2">
        <v>0.0</v>
      </c>
      <c r="E198" s="2">
        <v>0.0</v>
      </c>
    </row>
    <row r="199" spans="1:5" x14ac:dyDescent="0.15">
      <c r="A199" s="2" t="s">
        <f>"0930000000100"</f>
        <v>398</v>
      </c>
      <c r="B199" s="2" t="s">
        <f>"张恩"</f>
        <v>399</v>
      </c>
      <c r="C199" s="2">
        <v>0.0</v>
      </c>
      <c r="D199" s="2">
        <v>0.0</v>
      </c>
      <c r="E199" s="2">
        <v>0.0</v>
      </c>
    </row>
    <row r="200" spans="1:5" x14ac:dyDescent="0.15">
      <c r="A200" s="2" t="s">
        <f>"093000920274"</f>
        <v>400</v>
      </c>
      <c r="B200" s="2" t="s">
        <f>"郜坡"</f>
        <v>401</v>
      </c>
      <c r="C200" s="2">
        <v>-487.0</v>
      </c>
      <c r="D200" s="2">
        <v>-1147.0</v>
      </c>
      <c r="E200" s="2">
        <v>-386.86</v>
      </c>
    </row>
    <row r="201" spans="1:5" x14ac:dyDescent="0.15">
      <c r="A201" s="2" t="s">
        <f>"093000920275"</f>
        <v>402</v>
      </c>
      <c r="B201" s="2" t="s">
        <f>"毛培梅"</f>
        <v>403</v>
      </c>
      <c r="C201" s="2">
        <v>0.0</v>
      </c>
      <c r="D201" s="2">
        <v>-740.0</v>
      </c>
      <c r="E201" s="2">
        <v>-172.27</v>
      </c>
    </row>
    <row r="202" spans="1:5" x14ac:dyDescent="0.15">
      <c r="A202" s="2" t="s">
        <f>"0930000413400"</f>
        <v>404</v>
      </c>
      <c r="B202" s="2" t="s">
        <f>"陈娟"</f>
        <v>405</v>
      </c>
      <c r="C202" s="2">
        <v>0.0</v>
      </c>
      <c r="D202" s="2">
        <v>0.0</v>
      </c>
      <c r="E202" s="2">
        <v>0.0</v>
      </c>
    </row>
    <row r="203" spans="1:5" x14ac:dyDescent="0.15">
      <c r="A203" s="2" t="s">
        <f>"093000920276"</f>
        <v>406</v>
      </c>
      <c r="B203" s="2" t="s">
        <f>"王芳"</f>
        <v>407</v>
      </c>
      <c r="C203" s="2">
        <v>0.0</v>
      </c>
      <c r="D203" s="2">
        <v>0.0</v>
      </c>
      <c r="E203" s="2">
        <v>0.0</v>
      </c>
    </row>
    <row r="204" spans="1:5" x14ac:dyDescent="0.15">
      <c r="A204" s="2" t="s">
        <f>"0930000400900"</f>
        <v>408</v>
      </c>
      <c r="B204" s="2" t="s">
        <f>"郭洁连"</f>
        <v>409</v>
      </c>
      <c r="C204" s="2">
        <v>220.0</v>
      </c>
      <c r="D204" s="2">
        <v>580.0</v>
      </c>
      <c r="E204" s="2">
        <v>-117.96</v>
      </c>
    </row>
    <row r="205" spans="1:5" x14ac:dyDescent="0.15">
      <c r="A205" s="2" t="s">
        <f>"0930000000200"</f>
        <v>410</v>
      </c>
      <c r="B205" s="2" t="s">
        <f>"李帅伟"</f>
        <v>411</v>
      </c>
      <c r="C205" s="2">
        <v>-1064.0</v>
      </c>
      <c r="D205" s="2">
        <v>101.0</v>
      </c>
      <c r="E205" s="2">
        <v>-55.01</v>
      </c>
    </row>
    <row r="206" spans="1:5" x14ac:dyDescent="0.15">
      <c r="A206" s="2" t="s">
        <f>"093000041920013"</f>
        <v>412</v>
      </c>
      <c r="B206" s="2" t="s">
        <f>"汤慧"</f>
        <v>413</v>
      </c>
      <c r="C206" s="2">
        <v>0.0</v>
      </c>
      <c r="D206" s="2">
        <v>0.0</v>
      </c>
      <c r="E206" s="2">
        <v>0.0</v>
      </c>
    </row>
    <row r="207" spans="1:5" x14ac:dyDescent="0.15">
      <c r="A207" s="2" t="s">
        <f>"093000920288"</f>
        <v>414</v>
      </c>
      <c r="B207" s="2" t="s">
        <f>"刘辉"</f>
        <v>415</v>
      </c>
      <c r="C207" s="2">
        <v>0.0</v>
      </c>
      <c r="D207" s="2">
        <v>157.0</v>
      </c>
      <c r="E207" s="2">
        <v>-53.48</v>
      </c>
    </row>
    <row r="208" spans="1:5" x14ac:dyDescent="0.15">
      <c r="A208" s="2" t="s">
        <f>"093000920287"</f>
        <v>416</v>
      </c>
      <c r="B208" s="2" t="s">
        <f>"乔峰"</f>
        <v>417</v>
      </c>
      <c r="C208" s="2">
        <v>0.0</v>
      </c>
      <c r="D208" s="2">
        <v>384.0</v>
      </c>
      <c r="E208" s="2">
        <v>-54.94</v>
      </c>
    </row>
    <row r="209" spans="1:5" x14ac:dyDescent="0.15">
      <c r="A209" s="2" t="s">
        <f>"093000920286"</f>
        <v>418</v>
      </c>
      <c r="B209" s="2" t="s">
        <f>"孙月阳"</f>
        <v>419</v>
      </c>
      <c r="C209" s="2">
        <v>0.0</v>
      </c>
      <c r="D209" s="2">
        <v>0.0</v>
      </c>
      <c r="E209" s="2">
        <v>0.0</v>
      </c>
    </row>
    <row r="210" spans="1:5" x14ac:dyDescent="0.15">
      <c r="A210" s="2" t="s">
        <f>"093000920284"</f>
        <v>420</v>
      </c>
      <c r="B210" s="2" t="s">
        <f>"郭清义"</f>
        <v>421</v>
      </c>
      <c r="C210" s="2">
        <v>0.0</v>
      </c>
      <c r="D210" s="2">
        <v>-572.0</v>
      </c>
      <c r="E210" s="2">
        <v>-119.97</v>
      </c>
    </row>
    <row r="211" spans="1:5" x14ac:dyDescent="0.15">
      <c r="A211" s="2" t="s">
        <f>"093000920282"</f>
        <v>422</v>
      </c>
      <c r="B211" s="2" t="s">
        <f>"户方方"</f>
        <v>423</v>
      </c>
      <c r="C211" s="2">
        <v>-1088.0</v>
      </c>
      <c r="D211" s="2">
        <v>-460.0</v>
      </c>
      <c r="E211" s="2">
        <v>-682.26</v>
      </c>
    </row>
    <row r="212" spans="1:5" x14ac:dyDescent="0.15">
      <c r="A212" s="2" t="s">
        <f>"093000920281"</f>
        <v>424</v>
      </c>
      <c r="B212" s="2" t="s">
        <f>"全丽"</f>
        <v>425</v>
      </c>
      <c r="C212" s="2">
        <v>0.0</v>
      </c>
      <c r="D212" s="2">
        <v>0.0</v>
      </c>
      <c r="E212" s="2">
        <v>0.0</v>
      </c>
    </row>
    <row r="213" spans="1:5" x14ac:dyDescent="0.15">
      <c r="A213" s="2" t="s">
        <f>"093000920280"</f>
        <v>426</v>
      </c>
      <c r="B213" s="2" t="s">
        <f>"张全德"</f>
        <v>427</v>
      </c>
      <c r="C213" s="2">
        <v>-1906.0</v>
      </c>
      <c r="D213" s="2">
        <v>439.0</v>
      </c>
      <c r="E213" s="2">
        <v>-2616.45</v>
      </c>
    </row>
    <row r="214" spans="1:5" x14ac:dyDescent="0.15">
      <c r="A214" s="2" t="s">
        <f>"093000920278"</f>
        <v>428</v>
      </c>
      <c r="B214" s="2" t="s">
        <f>"岳林林"</f>
        <v>397</v>
      </c>
      <c r="C214" s="2">
        <v>-1852.0</v>
      </c>
      <c r="D214" s="2">
        <v>219.0</v>
      </c>
      <c r="E214" s="2">
        <v>-455.39</v>
      </c>
    </row>
    <row r="215" spans="1:5" x14ac:dyDescent="0.15">
      <c r="A215" s="2" t="s">
        <f>"093000920294"</f>
        <v>429</v>
      </c>
      <c r="B215" s="2" t="s">
        <f>"蒋祖盛"</f>
        <v>430</v>
      </c>
      <c r="C215" s="2">
        <v>0.0</v>
      </c>
      <c r="D215" s="2">
        <v>0.0</v>
      </c>
      <c r="E215" s="2">
        <v>0.0</v>
      </c>
    </row>
    <row r="216" spans="1:5" x14ac:dyDescent="0.15">
      <c r="A216" s="2" t="s">
        <f>"093000920297"</f>
        <v>431</v>
      </c>
      <c r="B216" s="2" t="s">
        <f>"侯冰"</f>
        <v>432</v>
      </c>
      <c r="C216" s="2">
        <v>0.0</v>
      </c>
      <c r="D216" s="2">
        <v>-732.0</v>
      </c>
      <c r="E216" s="2">
        <v>-172.02</v>
      </c>
    </row>
    <row r="217" spans="1:5" x14ac:dyDescent="0.15">
      <c r="A217" s="2" t="s">
        <f>"093000920299"</f>
        <v>433</v>
      </c>
      <c r="B217" s="2" t="s">
        <f>"王磊"</f>
        <v>126</v>
      </c>
      <c r="C217" s="2">
        <v>-3393.0</v>
      </c>
      <c r="D217" s="2">
        <v>1506.0</v>
      </c>
      <c r="E217" s="2">
        <v>-2506.83</v>
      </c>
    </row>
    <row r="218" spans="1:5" x14ac:dyDescent="0.15">
      <c r="A218" s="2" t="s">
        <f>"093000920298"</f>
        <v>434</v>
      </c>
      <c r="B218" s="2" t="s">
        <f>"王斌"</f>
        <v>435</v>
      </c>
      <c r="C218" s="2">
        <v>-24.0</v>
      </c>
      <c r="D218" s="2">
        <v>-669.0</v>
      </c>
      <c r="E218" s="2">
        <v>-1094.2</v>
      </c>
    </row>
    <row r="219" spans="1:5" x14ac:dyDescent="0.15">
      <c r="A219" s="2" t="s">
        <f>"093000920302"</f>
        <v>436</v>
      </c>
      <c r="B219" s="2" t="s">
        <f>"王群锋"</f>
        <v>437</v>
      </c>
      <c r="C219" s="2">
        <v>0.0</v>
      </c>
      <c r="D219" s="2">
        <v>240.0</v>
      </c>
      <c r="E219" s="2">
        <v>-67.76</v>
      </c>
    </row>
    <row r="220" spans="1:5" x14ac:dyDescent="0.15">
      <c r="A220" s="2" t="s">
        <f>"093000920303"</f>
        <v>438</v>
      </c>
      <c r="B220" s="2" t="s">
        <f>"欧阳勇平"</f>
        <v>439</v>
      </c>
      <c r="C220" s="2">
        <v>896.0</v>
      </c>
      <c r="D220" s="2">
        <v>-2059.0</v>
      </c>
      <c r="E220" s="2">
        <v>-2411.0</v>
      </c>
    </row>
    <row r="221" spans="1:5" x14ac:dyDescent="0.15">
      <c r="A221" s="2" t="s">
        <f>"093000037920022"</f>
        <v>440</v>
      </c>
      <c r="B221" s="2" t="s">
        <f>"孙海平"</f>
        <v>441</v>
      </c>
      <c r="C221" s="2">
        <v>0.0</v>
      </c>
      <c r="D221" s="2">
        <v>-6.0</v>
      </c>
      <c r="E221" s="2">
        <v>-5.86</v>
      </c>
    </row>
    <row r="222" spans="1:5" x14ac:dyDescent="0.15">
      <c r="A222" s="2" t="s">
        <f>"093000920304"</f>
        <v>442</v>
      </c>
      <c r="B222" s="2" t="s">
        <f>"王玉丹"</f>
        <v>443</v>
      </c>
      <c r="C222" s="2">
        <v>0.0</v>
      </c>
      <c r="D222" s="2">
        <v>482.0</v>
      </c>
      <c r="E222" s="2">
        <v>-516.1</v>
      </c>
    </row>
    <row r="223" spans="1:5" x14ac:dyDescent="0.15">
      <c r="A223" s="2" t="s">
        <f>"093000920305"</f>
        <v>444</v>
      </c>
      <c r="B223" s="2" t="s">
        <f>"赵亚茹"</f>
        <v>445</v>
      </c>
      <c r="C223" s="2">
        <v>0.0</v>
      </c>
      <c r="D223" s="2">
        <v>552.0</v>
      </c>
      <c r="E223" s="2">
        <v>-609.22</v>
      </c>
    </row>
    <row r="224" spans="1:5" x14ac:dyDescent="0.15">
      <c r="A224" s="2" t="s">
        <f>"093000920306"</f>
        <v>446</v>
      </c>
      <c r="B224" s="2" t="s">
        <f>"全合平"</f>
        <v>447</v>
      </c>
      <c r="C224" s="2">
        <v>-1388.0</v>
      </c>
      <c r="D224" s="2">
        <v>2765.0</v>
      </c>
      <c r="E224" s="2">
        <v>-1183.84</v>
      </c>
    </row>
    <row r="225" spans="1:5" x14ac:dyDescent="0.15">
      <c r="A225" s="2" t="s">
        <f>"093000051920002"</f>
        <v>448</v>
      </c>
      <c r="B225" s="2" t="s">
        <f>"张腾飞"</f>
        <v>449</v>
      </c>
      <c r="C225" s="2">
        <v>0.0</v>
      </c>
      <c r="D225" s="2">
        <v>0.0</v>
      </c>
      <c r="E225" s="2">
        <v>0.0</v>
      </c>
    </row>
    <row r="226" spans="1:5" x14ac:dyDescent="0.15">
      <c r="A226" s="2" t="s">
        <f>"093000920307"</f>
        <v>450</v>
      </c>
      <c r="B226" s="2" t="s">
        <f>"陈丽芹"</f>
        <v>451</v>
      </c>
      <c r="C226" s="2">
        <v>-20718.0</v>
      </c>
      <c r="D226" s="2">
        <v>1976.0</v>
      </c>
      <c r="E226" s="2">
        <v>-6288.18</v>
      </c>
    </row>
    <row r="227" spans="1:5" x14ac:dyDescent="0.15">
      <c r="A227" s="2" t="s">
        <f>"093000920308"</f>
        <v>452</v>
      </c>
      <c r="B227" s="2" t="s">
        <f>"陈振慧"</f>
        <v>453</v>
      </c>
      <c r="C227" s="2">
        <v>0.0</v>
      </c>
      <c r="D227" s="2">
        <v>0.0</v>
      </c>
      <c r="E227" s="2">
        <v>0.0</v>
      </c>
    </row>
    <row r="228" spans="1:5" x14ac:dyDescent="0.15">
      <c r="A228" s="2" t="s">
        <f>"093000000000"</f>
        <v>454</v>
      </c>
      <c r="B228" s="2" t="s">
        <f>"雪东东"</f>
        <v>455</v>
      </c>
      <c r="C228" s="2">
        <v>0.0</v>
      </c>
      <c r="D228" s="2">
        <v>-639.0</v>
      </c>
      <c r="E228" s="2">
        <v>-57.32</v>
      </c>
    </row>
    <row r="229" spans="1:5" x14ac:dyDescent="0.15">
      <c r="A229" s="2" t="s">
        <f>"093000037920023"</f>
        <v>456</v>
      </c>
      <c r="B229" s="2" t="s">
        <f>"于方方"</f>
        <v>457</v>
      </c>
      <c r="C229" s="2">
        <v>-16.0</v>
      </c>
      <c r="D229" s="2">
        <v>84.0</v>
      </c>
      <c r="E229" s="2">
        <v>-5.93</v>
      </c>
    </row>
    <row r="230" spans="1:5" x14ac:dyDescent="0.15">
      <c r="A230" s="2" t="s">
        <f>"093000059920001"</f>
        <v>458</v>
      </c>
      <c r="B230" s="2" t="s">
        <f>"杨鹏"</f>
        <v>459</v>
      </c>
      <c r="C230" s="2">
        <v>-1259.0</v>
      </c>
      <c r="D230" s="2">
        <v>-173.0</v>
      </c>
      <c r="E230" s="2">
        <v>-740.5</v>
      </c>
    </row>
    <row r="231" spans="1:5" x14ac:dyDescent="0.15">
      <c r="A231" s="2" t="s">
        <f>"093000920313"</f>
        <v>460</v>
      </c>
      <c r="B231" s="2" t="s">
        <f>"杨慧"</f>
        <v>461</v>
      </c>
      <c r="C231" s="2">
        <v>0.0</v>
      </c>
      <c r="D231" s="2">
        <v>-523.0</v>
      </c>
      <c r="E231" s="2">
        <v>-140.33</v>
      </c>
    </row>
    <row r="232" spans="1:5" x14ac:dyDescent="0.15">
      <c r="A232" s="2" t="s">
        <f>"093000049920010"</f>
        <v>462</v>
      </c>
      <c r="B232" s="2" t="s">
        <f>"潘士林"</f>
        <v>463</v>
      </c>
      <c r="C232" s="2">
        <v>0.0</v>
      </c>
      <c r="D232" s="2">
        <v>-860.0</v>
      </c>
      <c r="E232" s="2">
        <v>-82.32</v>
      </c>
    </row>
    <row r="233" spans="1:5" x14ac:dyDescent="0.15">
      <c r="A233" s="2" t="s">
        <f>"093000049920011"</f>
        <v>464</v>
      </c>
      <c r="B233" s="2" t="s">
        <f>"夏有志"</f>
        <v>465</v>
      </c>
      <c r="C233" s="2">
        <v>0.0</v>
      </c>
      <c r="D233" s="2">
        <v>-663.0</v>
      </c>
      <c r="E233" s="2">
        <v>-401.79</v>
      </c>
    </row>
    <row r="234" spans="1:5" x14ac:dyDescent="0.15">
      <c r="A234" s="2" t="s">
        <f>"093000920314"</f>
        <v>466</v>
      </c>
      <c r="B234" s="2" t="s">
        <f>"赵玉玲"</f>
        <v>467</v>
      </c>
      <c r="C234" s="2">
        <v>0.0</v>
      </c>
      <c r="D234" s="2">
        <v>-586.0</v>
      </c>
      <c r="E234" s="2">
        <v>-157.82</v>
      </c>
    </row>
    <row r="235" spans="1:5" x14ac:dyDescent="0.15">
      <c r="A235" s="2" t="s">
        <f>"093000049920012"</f>
        <v>468</v>
      </c>
      <c r="B235" s="2" t="s">
        <f>"程世俊"</f>
        <v>469</v>
      </c>
      <c r="C235" s="2">
        <v>0.0</v>
      </c>
      <c r="D235" s="2">
        <v>400.0</v>
      </c>
      <c r="E235" s="2">
        <v>-81.72</v>
      </c>
    </row>
    <row r="236" spans="1:5" x14ac:dyDescent="0.15">
      <c r="A236" s="2" t="s">
        <f>"093000049920013"</f>
        <v>470</v>
      </c>
      <c r="B236" s="2" t="s">
        <f>"蔡培育"</f>
        <v>471</v>
      </c>
      <c r="C236" s="2">
        <v>0.0</v>
      </c>
      <c r="D236" s="2">
        <v>-900.0</v>
      </c>
      <c r="E236" s="2">
        <v>-81.96</v>
      </c>
    </row>
    <row r="237" spans="1:5" x14ac:dyDescent="0.15">
      <c r="A237" s="2" t="s">
        <f>"093000049920014"</f>
        <v>472</v>
      </c>
      <c r="B237" s="2" t="s">
        <f>"刘欢"</f>
        <v>473</v>
      </c>
      <c r="C237" s="2">
        <v>0.0</v>
      </c>
      <c r="D237" s="2">
        <v>520.0</v>
      </c>
      <c r="E237" s="2">
        <v>-82.11</v>
      </c>
    </row>
    <row r="238" spans="1:5" x14ac:dyDescent="0.15">
      <c r="A238" s="2" t="s">
        <f>"0930000000001"</f>
        <v>474</v>
      </c>
      <c r="B238" s="2" t="s">
        <f>"吴钊铭"</f>
        <v>475</v>
      </c>
      <c r="C238" s="2">
        <v>0.0</v>
      </c>
      <c r="D238" s="2">
        <v>-1100.0</v>
      </c>
      <c r="E238" s="2">
        <v>-80.08</v>
      </c>
    </row>
    <row r="239" spans="1:5" x14ac:dyDescent="0.15">
      <c r="A239" s="2" t="s">
        <f>"093000041920016"</f>
        <v>476</v>
      </c>
      <c r="B239" s="2" t="s">
        <f>"彭新玉"</f>
        <v>477</v>
      </c>
      <c r="C239" s="2">
        <v>0.0</v>
      </c>
      <c r="D239" s="2">
        <v>-1088.0</v>
      </c>
      <c r="E239" s="2">
        <v>-115.64</v>
      </c>
    </row>
    <row r="240" spans="1:5" x14ac:dyDescent="0.15">
      <c r="A240" s="2" t="s">
        <f>"093000920316"</f>
        <v>478</v>
      </c>
      <c r="B240" s="2" t="s">
        <f>"董雪"</f>
        <v>479</v>
      </c>
      <c r="C240" s="2">
        <v>42.0</v>
      </c>
      <c r="D240" s="2">
        <v>-1377.0</v>
      </c>
      <c r="E240" s="2">
        <v>-1087.11</v>
      </c>
    </row>
    <row r="241" spans="1:5" x14ac:dyDescent="0.15">
      <c r="A241" s="2" t="s">
        <f>"093000046920002"</f>
        <v>480</v>
      </c>
      <c r="B241" s="2" t="s">
        <f>"张雄"</f>
        <v>481</v>
      </c>
      <c r="C241" s="2">
        <v>0.0</v>
      </c>
      <c r="D241" s="2">
        <v>0.0</v>
      </c>
      <c r="E241" s="2">
        <v>0.0</v>
      </c>
    </row>
    <row r="242" spans="1:5" x14ac:dyDescent="0.15">
      <c r="A242" s="2" t="s">
        <f>"093000048920001"</f>
        <v>482</v>
      </c>
      <c r="B242" s="2" t="s">
        <f>"贺耀"</f>
        <v>483</v>
      </c>
      <c r="C242" s="2">
        <v>0.0</v>
      </c>
      <c r="D242" s="2">
        <v>0.0</v>
      </c>
      <c r="E242" s="2">
        <v>0.0</v>
      </c>
    </row>
    <row r="243" spans="1:5" x14ac:dyDescent="0.15">
      <c r="A243" s="2" t="s">
        <f>"093000040920024"</f>
        <v>484</v>
      </c>
      <c r="B243" s="2" t="s">
        <f>"王盼娜"</f>
        <v>485</v>
      </c>
      <c r="C243" s="2">
        <v>0.0</v>
      </c>
      <c r="D243" s="2">
        <v>-973.0</v>
      </c>
      <c r="E243" s="2">
        <v>-175.91</v>
      </c>
    </row>
    <row r="244" spans="1:5" x14ac:dyDescent="0.15">
      <c r="A244" s="2" t="s">
        <f>"093000049920015"</f>
        <v>486</v>
      </c>
      <c r="B244" s="2" t="s">
        <f>"耿恒鑫"</f>
        <v>487</v>
      </c>
      <c r="C244" s="2">
        <v>0.0</v>
      </c>
      <c r="D244" s="2">
        <v>-920.0</v>
      </c>
      <c r="E244" s="2">
        <v>-81.06</v>
      </c>
    </row>
    <row r="245" spans="1:5" x14ac:dyDescent="0.15">
      <c r="A245" s="2" t="s">
        <f>"093000920319"</f>
        <v>488</v>
      </c>
      <c r="B245" s="2" t="s">
        <f>"崔栋栋"</f>
        <v>489</v>
      </c>
      <c r="C245" s="2">
        <v>0.0</v>
      </c>
      <c r="D245" s="2">
        <v>9.0</v>
      </c>
      <c r="E245" s="2">
        <v>-7.03</v>
      </c>
    </row>
    <row r="246" spans="1:5" x14ac:dyDescent="0.15">
      <c r="A246" s="2" t="s">
        <f>"0930000000002"</f>
        <v>490</v>
      </c>
      <c r="B246" s="2" t="s">
        <f>"邓连顺"</f>
        <v>491</v>
      </c>
      <c r="C246" s="2">
        <v>0.0</v>
      </c>
      <c r="D246" s="2">
        <v>0.0</v>
      </c>
      <c r="E246" s="2">
        <v>0.0</v>
      </c>
    </row>
    <row r="247" spans="1:5" x14ac:dyDescent="0.15">
      <c r="A247" s="2" t="s">
        <f>"093000920321"</f>
        <v>492</v>
      </c>
      <c r="B247" s="2" t="s">
        <f>"牛阳"</f>
        <v>493</v>
      </c>
      <c r="C247" s="2">
        <v>-134.0</v>
      </c>
      <c r="D247" s="2">
        <v>206.0</v>
      </c>
      <c r="E247" s="2">
        <v>-677.65</v>
      </c>
    </row>
    <row r="248" spans="1:5" x14ac:dyDescent="0.15">
      <c r="A248" s="2" t="s">
        <f>"0930000000003"</f>
        <v>494</v>
      </c>
      <c r="B248" s="2" t="s">
        <f>"李松芳"</f>
        <v>495</v>
      </c>
      <c r="C248" s="2">
        <v>0.0</v>
      </c>
      <c r="D248" s="2">
        <v>0.0</v>
      </c>
      <c r="E248" s="2">
        <v>0.0</v>
      </c>
    </row>
    <row r="249" spans="1:5" x14ac:dyDescent="0.15">
      <c r="A249" s="2" t="s">
        <f>"0930000000004"</f>
        <v>496</v>
      </c>
      <c r="B249" s="2" t="s">
        <f>"郭洪材"</f>
        <v>497</v>
      </c>
      <c r="C249" s="2">
        <v>-24.0</v>
      </c>
      <c r="D249" s="2">
        <v>-1116.0</v>
      </c>
      <c r="E249" s="2">
        <v>-96.01</v>
      </c>
    </row>
    <row r="250" spans="1:5" x14ac:dyDescent="0.15">
      <c r="A250" s="2" t="s">
        <f>"0930000000005"</f>
        <v>498</v>
      </c>
      <c r="B250" s="2" t="s">
        <f>"赵培龙"</f>
        <v>499</v>
      </c>
      <c r="C250" s="2">
        <v>0.0</v>
      </c>
      <c r="D250" s="2">
        <v>0.0</v>
      </c>
      <c r="E250" s="2">
        <v>0.0</v>
      </c>
    </row>
    <row r="251" spans="1:5" x14ac:dyDescent="0.15">
      <c r="A251" s="2" t="s">
        <f>"0930000000006"</f>
        <v>500</v>
      </c>
      <c r="B251" s="2" t="s">
        <f>"魏立国"</f>
        <v>501</v>
      </c>
      <c r="C251" s="2">
        <v>0.0</v>
      </c>
      <c r="D251" s="2">
        <v>0.0</v>
      </c>
      <c r="E251" s="2">
        <v>0.0</v>
      </c>
    </row>
    <row r="252" spans="1:5" x14ac:dyDescent="0.15">
      <c r="A252" s="2" t="s">
        <f>"093000059920002"</f>
        <v>502</v>
      </c>
      <c r="B252" s="2" t="s">
        <f>"冯彬"</f>
        <v>503</v>
      </c>
      <c r="C252" s="2">
        <v>0.0</v>
      </c>
      <c r="D252" s="2">
        <v>0.0</v>
      </c>
      <c r="E252" s="2">
        <v>0.0</v>
      </c>
    </row>
    <row r="253" spans="1:5" x14ac:dyDescent="0.15">
      <c r="A253" s="2" t="s">
        <f>"093000920322"</f>
        <v>504</v>
      </c>
      <c r="B253" s="2" t="s">
        <f>"朱祥中"</f>
        <v>505</v>
      </c>
      <c r="C253" s="2">
        <v>0.0</v>
      </c>
      <c r="D253" s="2">
        <v>-739.0</v>
      </c>
      <c r="E253" s="2">
        <v>-167.71</v>
      </c>
    </row>
    <row r="254" spans="1:5" x14ac:dyDescent="0.15">
      <c r="A254" s="2" t="s">
        <f>"093000920323"</f>
        <v>506</v>
      </c>
      <c r="B254" s="2" t="s">
        <f>"董方芳"</f>
        <v>507</v>
      </c>
      <c r="C254" s="2">
        <v>30.0</v>
      </c>
      <c r="D254" s="2">
        <v>-1298.0</v>
      </c>
      <c r="E254" s="2">
        <v>-848.27</v>
      </c>
    </row>
    <row r="255" spans="1:5" x14ac:dyDescent="0.15">
      <c r="A255" s="2" t="s">
        <f>"093000920324"</f>
        <v>508</v>
      </c>
      <c r="B255" s="2" t="s">
        <f>"袁媛"</f>
        <v>509</v>
      </c>
      <c r="C255" s="2">
        <v>0.0</v>
      </c>
      <c r="D255" s="2">
        <v>-1367.0</v>
      </c>
      <c r="E255" s="2">
        <v>-283.99</v>
      </c>
    </row>
    <row r="256" spans="1:5" x14ac:dyDescent="0.15">
      <c r="A256" s="2" t="s">
        <f>"093000041920017"</f>
        <v>510</v>
      </c>
      <c r="B256" s="2" t="s">
        <f>"曾孝正"</f>
        <v>511</v>
      </c>
      <c r="C256" s="2">
        <v>0.0</v>
      </c>
      <c r="D256" s="2">
        <v>0.0</v>
      </c>
      <c r="E256" s="2">
        <v>0.0</v>
      </c>
    </row>
    <row r="257" spans="1:5" x14ac:dyDescent="0.15">
      <c r="A257" s="2" t="s">
        <f>"093000056920002"</f>
        <v>512</v>
      </c>
      <c r="B257" s="2" t="s">
        <f>"王淑娟"</f>
        <v>513</v>
      </c>
      <c r="C257" s="2">
        <v>-5952.0</v>
      </c>
      <c r="D257" s="2">
        <v>3914.0</v>
      </c>
      <c r="E257" s="2">
        <v>-2325.84</v>
      </c>
    </row>
    <row r="258" spans="1:5" x14ac:dyDescent="0.15">
      <c r="A258" s="2" t="s">
        <f>"093000049920016"</f>
        <v>514</v>
      </c>
      <c r="B258" s="2" t="s">
        <f>"刘新果"</f>
        <v>515</v>
      </c>
      <c r="C258" s="2">
        <v>0.0</v>
      </c>
      <c r="D258" s="2">
        <v>480.0</v>
      </c>
      <c r="E258" s="2">
        <v>-82.05</v>
      </c>
    </row>
    <row r="259" spans="1:5" x14ac:dyDescent="0.15">
      <c r="A259" s="2" t="s">
        <f>"093000920326"</f>
        <v>516</v>
      </c>
      <c r="B259" s="2" t="s">
        <f>"杜珂"</f>
        <v>517</v>
      </c>
      <c r="C259" s="2">
        <v>-1453.0</v>
      </c>
      <c r="D259" s="2">
        <v>5478.0</v>
      </c>
      <c r="E259" s="2">
        <v>-1937.46</v>
      </c>
    </row>
    <row r="260" spans="1:5" x14ac:dyDescent="0.15">
      <c r="A260" s="2" t="s">
        <f>"093000920327"</f>
        <v>518</v>
      </c>
      <c r="B260" s="2" t="s">
        <f>"王丹玉"</f>
        <v>519</v>
      </c>
      <c r="C260" s="2">
        <v>0.0</v>
      </c>
      <c r="D260" s="2">
        <v>0.0</v>
      </c>
      <c r="E260" s="2">
        <v>0.0</v>
      </c>
    </row>
    <row r="261" spans="1:5" x14ac:dyDescent="0.15">
      <c r="A261" s="2" t="s">
        <f>"0930000000007"</f>
        <v>520</v>
      </c>
      <c r="B261" s="2" t="s">
        <f>"黄建华"</f>
        <v>521</v>
      </c>
      <c r="C261" s="2">
        <v>0.0</v>
      </c>
      <c r="D261" s="2">
        <v>0.0</v>
      </c>
      <c r="E261" s="2">
        <v>0.0</v>
      </c>
    </row>
    <row r="262" spans="1:5" x14ac:dyDescent="0.15">
      <c r="A262" s="2" t="s">
        <f>"0930000000008"</f>
        <v>522</v>
      </c>
      <c r="B262" s="2" t="s">
        <f>"邓菊花"</f>
        <v>523</v>
      </c>
      <c r="C262" s="2">
        <v>0.0</v>
      </c>
      <c r="D262" s="2">
        <v>0.0</v>
      </c>
      <c r="E262" s="2">
        <v>0.0</v>
      </c>
    </row>
    <row r="263" spans="1:5" x14ac:dyDescent="0.15">
      <c r="A263" s="2" t="s">
        <f>"0930000000009"</f>
        <v>524</v>
      </c>
      <c r="B263" s="2" t="s">
        <f>"王桂霞"</f>
        <v>525</v>
      </c>
      <c r="C263" s="2">
        <v>0.0</v>
      </c>
      <c r="D263" s="2">
        <v>-970.0</v>
      </c>
      <c r="E263" s="2">
        <v>-117.61</v>
      </c>
    </row>
    <row r="264" spans="1:5" x14ac:dyDescent="0.15">
      <c r="A264" s="2" t="s">
        <f>"093000049920020"</f>
        <v>526</v>
      </c>
      <c r="B264" s="2" t="s">
        <f>"禹业玲"</f>
        <v>527</v>
      </c>
      <c r="C264" s="2">
        <v>0.0</v>
      </c>
      <c r="D264" s="2">
        <v>-860.0</v>
      </c>
      <c r="E264" s="2">
        <v>-83.95</v>
      </c>
    </row>
    <row r="265" spans="1:5" x14ac:dyDescent="0.15">
      <c r="A265" s="2" t="s">
        <f>"093000043920002"</f>
        <v>528</v>
      </c>
      <c r="B265" s="2" t="s">
        <f>"宋选杰"</f>
        <v>529</v>
      </c>
      <c r="C265" s="2">
        <v>0.0</v>
      </c>
      <c r="D265" s="2">
        <v>-1107.0</v>
      </c>
      <c r="E265" s="2">
        <v>-743.93</v>
      </c>
    </row>
    <row r="266" spans="1:5" x14ac:dyDescent="0.15">
      <c r="A266" s="2" t="s">
        <f>"093000043920003"</f>
        <v>530</v>
      </c>
      <c r="B266" s="2" t="s">
        <f>"叶晶晶"</f>
        <v>531</v>
      </c>
      <c r="C266" s="2">
        <v>-399.0</v>
      </c>
      <c r="D266" s="2">
        <v>-579.0</v>
      </c>
      <c r="E266" s="2">
        <v>-396.33</v>
      </c>
    </row>
    <row r="267" spans="1:5" x14ac:dyDescent="0.15">
      <c r="A267" s="2" t="s">
        <f>"093000040920028"</f>
        <v>532</v>
      </c>
      <c r="B267" s="2" t="s">
        <f>"林柏全"</f>
        <v>533</v>
      </c>
      <c r="C267" s="2">
        <v>0.0</v>
      </c>
      <c r="D267" s="2">
        <v>-1098.0</v>
      </c>
      <c r="E267" s="2">
        <v>-104.77</v>
      </c>
    </row>
    <row r="268" spans="1:5" x14ac:dyDescent="0.15">
      <c r="A268" s="2" t="s">
        <f>"093000064920002"</f>
        <v>534</v>
      </c>
      <c r="B268" s="2" t="s">
        <f>"赵玉阳"</f>
        <v>535</v>
      </c>
      <c r="C268" s="2">
        <v>-4.0</v>
      </c>
      <c r="D268" s="2">
        <v>-1741.0</v>
      </c>
      <c r="E268" s="2">
        <v>-645.09</v>
      </c>
    </row>
    <row r="269" spans="1:5" x14ac:dyDescent="0.15">
      <c r="A269" s="2" t="s">
        <f>"0930000000010"</f>
        <v>536</v>
      </c>
      <c r="B269" s="2" t="s">
        <f>"靳成俊"</f>
        <v>537</v>
      </c>
      <c r="C269" s="2">
        <v>0.0</v>
      </c>
      <c r="D269" s="2">
        <v>0.0</v>
      </c>
      <c r="E269" s="2">
        <v>0.0</v>
      </c>
    </row>
    <row r="270" spans="1:5" x14ac:dyDescent="0.15">
      <c r="A270" s="2" t="s">
        <f>"0930000000011"</f>
        <v>538</v>
      </c>
      <c r="B270" s="2" t="s">
        <f>"李玉奇"</f>
        <v>539</v>
      </c>
      <c r="C270" s="2">
        <v>0.0</v>
      </c>
      <c r="D270" s="2">
        <v>0.0</v>
      </c>
      <c r="E270" s="2">
        <v>0.0</v>
      </c>
    </row>
    <row r="271" spans="1:5" x14ac:dyDescent="0.15">
      <c r="A271" s="2" t="s">
        <f>"093000064920003"</f>
        <v>540</v>
      </c>
      <c r="B271" s="2" t="s">
        <f>"李金平"</f>
        <v>541</v>
      </c>
      <c r="C271" s="2">
        <v>-1698.0</v>
      </c>
      <c r="D271" s="2">
        <v>477.0</v>
      </c>
      <c r="E271" s="2">
        <v>-1263.06</v>
      </c>
    </row>
    <row r="272" spans="1:5" x14ac:dyDescent="0.15">
      <c r="A272" s="2" t="s">
        <f>"0930000000012"</f>
        <v>542</v>
      </c>
      <c r="B272" s="2" t="s">
        <f>"陆敏德"</f>
        <v>543</v>
      </c>
      <c r="C272" s="2">
        <v>0.0</v>
      </c>
      <c r="D272" s="2">
        <v>-920.0</v>
      </c>
      <c r="E272" s="2">
        <v>-70.46</v>
      </c>
    </row>
    <row r="273" spans="1:5" x14ac:dyDescent="0.15">
      <c r="A273" s="2" t="s">
        <f>"093000064920004"</f>
        <v>544</v>
      </c>
      <c r="B273" s="2" t="s">
        <f>"张国云"</f>
        <v>545</v>
      </c>
      <c r="C273" s="2">
        <v>-492.0</v>
      </c>
      <c r="D273" s="2">
        <v>-1126.0</v>
      </c>
      <c r="E273" s="2">
        <v>-232.41</v>
      </c>
    </row>
    <row r="274" spans="1:5" x14ac:dyDescent="0.15">
      <c r="A274" s="2" t="s">
        <f>"093000920333"</f>
        <v>546</v>
      </c>
      <c r="B274" s="2" t="s">
        <f>"安卫华"</f>
        <v>547</v>
      </c>
      <c r="C274" s="2">
        <v>0.0</v>
      </c>
      <c r="D274" s="2">
        <v>0.0</v>
      </c>
      <c r="E274" s="2">
        <v>0.0</v>
      </c>
    </row>
    <row r="275" spans="1:5" x14ac:dyDescent="0.15">
      <c r="A275" s="2" t="s">
        <f>"093000920334"</f>
        <v>548</v>
      </c>
      <c r="B275" s="2" t="s">
        <f>"张营"</f>
        <v>549</v>
      </c>
      <c r="C275" s="2">
        <v>-121.0</v>
      </c>
      <c r="D275" s="2">
        <v>-1182.0</v>
      </c>
      <c r="E275" s="2">
        <v>-577.07</v>
      </c>
    </row>
    <row r="276" spans="1:5" x14ac:dyDescent="0.15">
      <c r="A276" s="2" t="s">
        <f>"0930000000013"</f>
        <v>550</v>
      </c>
      <c r="B276" s="2" t="s">
        <f>"黄彩云"</f>
        <v>551</v>
      </c>
      <c r="C276" s="2">
        <v>0.0</v>
      </c>
      <c r="D276" s="2">
        <v>0.0</v>
      </c>
      <c r="E276" s="2">
        <v>0.0</v>
      </c>
    </row>
    <row r="277" spans="1:5" x14ac:dyDescent="0.15">
      <c r="A277" s="2" t="s">
        <f>"093000064920005"</f>
        <v>552</v>
      </c>
      <c r="B277" s="2" t="s">
        <f>"魏贝贝"</f>
        <v>553</v>
      </c>
      <c r="C277" s="2">
        <v>592.0</v>
      </c>
      <c r="D277" s="2">
        <v>-2596.0</v>
      </c>
      <c r="E277" s="2">
        <v>-213.99</v>
      </c>
    </row>
    <row r="278" spans="1:5" x14ac:dyDescent="0.15">
      <c r="A278" s="2" t="s">
        <f>"0930000000014"</f>
        <v>554</v>
      </c>
      <c r="B278" s="2" t="s">
        <f>"申团"</f>
        <v>555</v>
      </c>
      <c r="C278" s="2">
        <v>0.0</v>
      </c>
      <c r="D278" s="2">
        <v>0.0</v>
      </c>
      <c r="E278" s="2">
        <v>0.0</v>
      </c>
    </row>
    <row r="279" spans="1:5" x14ac:dyDescent="0.15">
      <c r="A279" s="2" t="s">
        <f>"093000064920006"</f>
        <v>556</v>
      </c>
      <c r="B279" s="2" t="s">
        <f>"李俊玲"</f>
        <v>557</v>
      </c>
      <c r="C279" s="2">
        <v>-540.0</v>
      </c>
      <c r="D279" s="2">
        <v>-249.0</v>
      </c>
      <c r="E279" s="2">
        <v>-851.82</v>
      </c>
    </row>
    <row r="280" spans="1:5" x14ac:dyDescent="0.15">
      <c r="A280" s="2" t="s">
        <f>"093000920335"</f>
        <v>558</v>
      </c>
      <c r="B280" s="2" t="s">
        <f>"苏安峰"</f>
        <v>559</v>
      </c>
      <c r="C280" s="2">
        <v>-1040.0</v>
      </c>
      <c r="D280" s="2">
        <v>-5815.0</v>
      </c>
      <c r="E280" s="2">
        <v>-4257.04</v>
      </c>
    </row>
    <row r="281" spans="1:5" x14ac:dyDescent="0.15">
      <c r="A281" s="2" t="s">
        <f>"093000064920007"</f>
        <v>560</v>
      </c>
      <c r="B281" s="2" t="s">
        <f>"朱西措"</f>
        <v>561</v>
      </c>
      <c r="C281" s="2">
        <v>-138.0</v>
      </c>
      <c r="D281" s="2">
        <v>-1344.0</v>
      </c>
      <c r="E281" s="2">
        <v>-672.19</v>
      </c>
    </row>
    <row r="282" spans="1:5" x14ac:dyDescent="0.15">
      <c r="A282" s="2" t="s">
        <f>"093000037920024"</f>
        <v>562</v>
      </c>
      <c r="B282" s="2" t="s">
        <f>"张永立"</f>
        <v>563</v>
      </c>
      <c r="C282" s="2">
        <v>-79.0</v>
      </c>
      <c r="D282" s="2">
        <v>138.0</v>
      </c>
      <c r="E282" s="2">
        <v>-48.37</v>
      </c>
    </row>
    <row r="283" spans="1:5" x14ac:dyDescent="0.15">
      <c r="A283" s="2" t="s">
        <f>"093000920336"</f>
        <v>564</v>
      </c>
      <c r="B283" s="2" t="s">
        <f>"孔庚"</f>
        <v>565</v>
      </c>
      <c r="C283" s="2">
        <v>-800.0</v>
      </c>
      <c r="D283" s="2">
        <v>-300.0</v>
      </c>
      <c r="E283" s="2">
        <v>-100.0</v>
      </c>
    </row>
    <row r="284" spans="1:5" x14ac:dyDescent="0.15">
      <c r="A284" s="2" t="s">
        <f>"0930000513900"</f>
        <v>566</v>
      </c>
      <c r="B284" s="2" t="s">
        <f>"李学周 "</f>
        <v>567</v>
      </c>
      <c r="C284" s="2">
        <v>0.0</v>
      </c>
      <c r="D284" s="2">
        <v>0.0</v>
      </c>
      <c r="E284" s="2">
        <v>0.0</v>
      </c>
    </row>
    <row r="285" spans="1:5" x14ac:dyDescent="0.15">
      <c r="A285" s="2" t="s">
        <f>"093000037920025"</f>
        <v>568</v>
      </c>
      <c r="B285" s="2" t="s">
        <f>"张秋生"</f>
        <v>569</v>
      </c>
      <c r="C285" s="2">
        <v>0.0</v>
      </c>
      <c r="D285" s="2">
        <v>0.0</v>
      </c>
      <c r="E285" s="2">
        <v>0.0</v>
      </c>
    </row>
    <row r="286" spans="1:5" x14ac:dyDescent="0.15">
      <c r="A286" s="2" t="s">
        <f>"093000059920003"</f>
        <v>570</v>
      </c>
      <c r="B286" s="2" t="s">
        <f>"吴明明"</f>
        <v>571</v>
      </c>
      <c r="C286" s="2">
        <v>118.0</v>
      </c>
      <c r="D286" s="2">
        <v>-192.0</v>
      </c>
      <c r="E286" s="2">
        <v>-816.58</v>
      </c>
    </row>
    <row r="287" spans="1:5" x14ac:dyDescent="0.15">
      <c r="A287" s="2" t="s">
        <f>"093000040920031"</f>
        <v>572</v>
      </c>
      <c r="B287" s="2" t="s">
        <f>"李静静"</f>
        <v>573</v>
      </c>
      <c r="C287" s="2">
        <v>0.0</v>
      </c>
      <c r="D287" s="2">
        <v>-901.0</v>
      </c>
      <c r="E287" s="2">
        <v>-164.76</v>
      </c>
    </row>
    <row r="288" spans="1:5" x14ac:dyDescent="0.15">
      <c r="A288" s="2" t="s">
        <f>"0930000513901"</f>
        <v>574</v>
      </c>
      <c r="B288" s="2" t="s">
        <f>"司艳光"</f>
        <v>575</v>
      </c>
      <c r="C288" s="2">
        <v>0.0</v>
      </c>
      <c r="D288" s="2">
        <v>0.0</v>
      </c>
      <c r="E288" s="2">
        <v>0.0</v>
      </c>
    </row>
    <row r="289" spans="1:5" x14ac:dyDescent="0.15">
      <c r="A289" s="2" t="s">
        <f>"0930000000015"</f>
        <v>576</v>
      </c>
      <c r="B289" s="2" t="s">
        <f>"姚海洋"</f>
        <v>577</v>
      </c>
      <c r="C289" s="2">
        <v>-170.0</v>
      </c>
      <c r="D289" s="2">
        <v>-231.0</v>
      </c>
      <c r="E289" s="2">
        <v>-428.49</v>
      </c>
    </row>
    <row r="290" spans="1:5" x14ac:dyDescent="0.15">
      <c r="A290" s="2" t="s">
        <f>"093000920337"</f>
        <v>578</v>
      </c>
      <c r="B290" s="2" t="s">
        <f>"尹增超"</f>
        <v>579</v>
      </c>
      <c r="C290" s="2">
        <v>0.0</v>
      </c>
      <c r="D290" s="2">
        <v>-1053.0</v>
      </c>
      <c r="E290" s="2">
        <v>-58.46</v>
      </c>
    </row>
    <row r="291" spans="1:5" x14ac:dyDescent="0.15">
      <c r="A291" s="2" t="s">
        <f>"0930000000016"</f>
        <v>580</v>
      </c>
      <c r="B291" s="2" t="s">
        <f>"张智鹏"</f>
        <v>581</v>
      </c>
      <c r="C291" s="2">
        <v>0.0</v>
      </c>
      <c r="D291" s="2">
        <v>-887.0</v>
      </c>
      <c r="E291" s="2">
        <v>-126.91</v>
      </c>
    </row>
    <row r="292" spans="1:5" x14ac:dyDescent="0.15">
      <c r="A292" s="2" t="s">
        <f>"093000920339"</f>
        <v>582</v>
      </c>
      <c r="B292" s="2" t="s">
        <f>"周进"</f>
        <v>583</v>
      </c>
      <c r="C292" s="2">
        <v>0.0</v>
      </c>
      <c r="D292" s="2">
        <v>0.0</v>
      </c>
      <c r="E292" s="2">
        <v>0.0</v>
      </c>
    </row>
    <row r="293" spans="1:5" x14ac:dyDescent="0.15">
      <c r="A293" s="2" t="s">
        <f>"093000049920021"</f>
        <v>584</v>
      </c>
      <c r="B293" s="2" t="s">
        <f>"周凡博"</f>
        <v>585</v>
      </c>
      <c r="C293" s="2">
        <v>0.0</v>
      </c>
      <c r="D293" s="2">
        <v>-416.0</v>
      </c>
      <c r="E293" s="2">
        <v>-140.0</v>
      </c>
    </row>
    <row r="294" spans="1:5" x14ac:dyDescent="0.15">
      <c r="A294" s="2" t="s">
        <f>"093000920342"</f>
        <v>586</v>
      </c>
      <c r="B294" s="2" t="s">
        <f>"郭娜"</f>
        <v>587</v>
      </c>
      <c r="C294" s="2">
        <v>-296.0</v>
      </c>
      <c r="D294" s="2">
        <v>-1060.0</v>
      </c>
      <c r="E294" s="2">
        <v>-394.66</v>
      </c>
    </row>
    <row r="295" spans="1:5" x14ac:dyDescent="0.15">
      <c r="A295" s="2" t="s">
        <f>"0930000000017"</f>
        <v>588</v>
      </c>
      <c r="B295" s="2" t="s">
        <f>"覃敏佳"</f>
        <v>589</v>
      </c>
      <c r="C295" s="2">
        <v>0.0</v>
      </c>
      <c r="D295" s="2">
        <v>0.0</v>
      </c>
      <c r="E295" s="2">
        <v>0.0</v>
      </c>
    </row>
    <row r="296" spans="1:5" x14ac:dyDescent="0.15">
      <c r="A296" s="2" t="s">
        <f>"0930000000018"</f>
        <v>590</v>
      </c>
      <c r="B296" s="2" t="s">
        <f>"许欢世"</f>
        <v>591</v>
      </c>
      <c r="C296" s="2">
        <v>0.0</v>
      </c>
      <c r="D296" s="2">
        <v>-910.0</v>
      </c>
      <c r="E296" s="2">
        <v>-147.87</v>
      </c>
    </row>
    <row r="297" spans="1:5" x14ac:dyDescent="0.15">
      <c r="A297" s="2" t="s">
        <f>"093000037920026"</f>
        <v>592</v>
      </c>
      <c r="B297" s="2" t="s">
        <f>"杨德霞"</f>
        <v>593</v>
      </c>
      <c r="C297" s="2">
        <v>0.0</v>
      </c>
      <c r="D297" s="2">
        <v>-3.0</v>
      </c>
      <c r="E297" s="2">
        <v>-5.86</v>
      </c>
    </row>
    <row r="298" spans="1:5" x14ac:dyDescent="0.15">
      <c r="A298" s="2" t="s">
        <f>"0930000000019"</f>
        <v>594</v>
      </c>
      <c r="B298" s="2" t="s">
        <f>"刘少敏"</f>
        <v>595</v>
      </c>
      <c r="C298" s="2">
        <v>-400.0</v>
      </c>
      <c r="D298" s="2">
        <v>-700.0</v>
      </c>
      <c r="E298" s="2">
        <v>-77.26</v>
      </c>
    </row>
    <row r="299" spans="1:5" x14ac:dyDescent="0.15">
      <c r="A299" s="2" t="s">
        <f>"093000064920009"</f>
        <v>596</v>
      </c>
      <c r="B299" s="2" t="s">
        <f>"岳玉青"</f>
        <v>597</v>
      </c>
      <c r="C299" s="2">
        <v>896.0</v>
      </c>
      <c r="D299" s="2">
        <v>187.0</v>
      </c>
      <c r="E299" s="2">
        <v>-462.52</v>
      </c>
    </row>
    <row r="300" spans="1:5" x14ac:dyDescent="0.15">
      <c r="A300" s="2" t="s">
        <f>"093000920349"</f>
        <v>598</v>
      </c>
      <c r="B300" s="2" t="s">
        <f>"张晓会"</f>
        <v>599</v>
      </c>
      <c r="C300" s="2">
        <v>-536.0</v>
      </c>
      <c r="D300" s="2">
        <v>-568.0</v>
      </c>
      <c r="E300" s="2">
        <v>-372.71</v>
      </c>
    </row>
    <row r="301" spans="1:5" x14ac:dyDescent="0.15">
      <c r="A301" s="2" t="s">
        <f>"093000037920027"</f>
        <v>600</v>
      </c>
      <c r="B301" s="2" t="s">
        <f>"王宁昌"</f>
        <v>601</v>
      </c>
      <c r="C301" s="2">
        <v>-373.0</v>
      </c>
      <c r="D301" s="2">
        <v>193.0</v>
      </c>
      <c r="E301" s="2">
        <v>-298.52</v>
      </c>
    </row>
    <row r="302" spans="1:5" x14ac:dyDescent="0.15">
      <c r="A302" s="2" t="s">
        <f>"093000043920004"</f>
        <v>602</v>
      </c>
      <c r="B302" s="2" t="s">
        <f>"张啸冲"</f>
        <v>603</v>
      </c>
      <c r="C302" s="2">
        <v>0.0</v>
      </c>
      <c r="D302" s="2">
        <v>-554.0</v>
      </c>
      <c r="E302" s="2">
        <v>-619.57</v>
      </c>
    </row>
    <row r="303" spans="1:5" x14ac:dyDescent="0.15">
      <c r="A303" s="2" t="s">
        <f>"093000920350"</f>
        <v>604</v>
      </c>
      <c r="B303" s="2" t="s">
        <f>"杨方"</f>
        <v>605</v>
      </c>
      <c r="C303" s="2">
        <v>0.0</v>
      </c>
      <c r="D303" s="2">
        <v>0.0</v>
      </c>
      <c r="E303" s="2">
        <v>0.0</v>
      </c>
    </row>
    <row r="304" spans="1:5" x14ac:dyDescent="0.15">
      <c r="A304" s="2" t="s">
        <f>"093000920352"</f>
        <v>606</v>
      </c>
      <c r="B304" s="2" t="s">
        <f>"张玉国"</f>
        <v>607</v>
      </c>
      <c r="C304" s="2">
        <v>-3152.0</v>
      </c>
      <c r="D304" s="2">
        <v>2434.0</v>
      </c>
      <c r="E304" s="2">
        <v>-3319.93</v>
      </c>
    </row>
    <row r="305" spans="1:5" x14ac:dyDescent="0.15">
      <c r="A305" s="2" t="s">
        <f>"093000920351"</f>
        <v>608</v>
      </c>
      <c r="B305" s="2" t="s">
        <f>"张彦丽"</f>
        <v>609</v>
      </c>
      <c r="C305" s="2">
        <v>-150.0</v>
      </c>
      <c r="D305" s="2">
        <v>-2978.0</v>
      </c>
      <c r="E305" s="2">
        <v>-1004.1</v>
      </c>
    </row>
    <row r="306" spans="1:5" x14ac:dyDescent="0.15">
      <c r="A306" s="2" t="s">
        <f>"093000920353"</f>
        <v>610</v>
      </c>
      <c r="B306" s="2" t="s">
        <f>"黄金成"</f>
        <v>611</v>
      </c>
      <c r="C306" s="2">
        <v>0.0</v>
      </c>
      <c r="D306" s="2">
        <v>0.0</v>
      </c>
      <c r="E306" s="2">
        <v>0.0</v>
      </c>
    </row>
    <row r="307" spans="1:5" x14ac:dyDescent="0.15">
      <c r="A307" s="2" t="s">
        <f>"093000040920033"</f>
        <v>612</v>
      </c>
      <c r="B307" s="2" t="s">
        <f>"刘翠昌"</f>
        <v>613</v>
      </c>
      <c r="C307" s="2">
        <v>-83.0</v>
      </c>
      <c r="D307" s="2">
        <v>1432.0</v>
      </c>
      <c r="E307" s="2">
        <v>-1230.58</v>
      </c>
    </row>
    <row r="308" spans="1:5" x14ac:dyDescent="0.15">
      <c r="A308" s="2" t="s">
        <f>"093000049920025"</f>
        <v>614</v>
      </c>
      <c r="B308" s="2" t="s">
        <f>"马秀梅"</f>
        <v>615</v>
      </c>
      <c r="C308" s="2">
        <v>0.0</v>
      </c>
      <c r="D308" s="2">
        <v>760.0</v>
      </c>
      <c r="E308" s="2">
        <v>-81.41</v>
      </c>
    </row>
    <row r="309" spans="1:5" x14ac:dyDescent="0.15">
      <c r="A309" s="2" t="s">
        <f>"093000037920029"</f>
        <v>616</v>
      </c>
      <c r="B309" s="2" t="s">
        <f>"李传涛"</f>
        <v>617</v>
      </c>
      <c r="C309" s="2">
        <v>0.0</v>
      </c>
      <c r="D309" s="2">
        <v>-5.0</v>
      </c>
      <c r="E309" s="2">
        <v>-6.01</v>
      </c>
    </row>
    <row r="310" spans="1:5" x14ac:dyDescent="0.15">
      <c r="A310" s="2" t="s">
        <f>"093000037920028"</f>
        <v>618</v>
      </c>
      <c r="B310" s="2" t="s">
        <f>"杨文明"</f>
        <v>619</v>
      </c>
      <c r="C310" s="2">
        <v>0.0</v>
      </c>
      <c r="D310" s="2">
        <v>0.0</v>
      </c>
      <c r="E310" s="2">
        <v>0.0</v>
      </c>
    </row>
    <row r="311" spans="1:5" x14ac:dyDescent="0.15">
      <c r="A311" s="2" t="s">
        <f>"093000049920026"</f>
        <v>620</v>
      </c>
      <c r="B311" s="2" t="s">
        <f>"杨玉焕"</f>
        <v>621</v>
      </c>
      <c r="C311" s="2">
        <v>0.0</v>
      </c>
      <c r="D311" s="2">
        <v>0.0</v>
      </c>
      <c r="E311" s="2">
        <v>0.0</v>
      </c>
    </row>
    <row r="312" spans="1:5" x14ac:dyDescent="0.15">
      <c r="A312" s="2" t="s">
        <f>"093000049920027"</f>
        <v>622</v>
      </c>
      <c r="B312" s="2" t="s">
        <f>"麻闯"</f>
        <v>623</v>
      </c>
      <c r="C312" s="2">
        <v>0.0</v>
      </c>
      <c r="D312" s="2">
        <v>-712.0</v>
      </c>
      <c r="E312" s="2">
        <v>-108.32</v>
      </c>
    </row>
    <row r="313" spans="1:5" x14ac:dyDescent="0.15">
      <c r="A313" s="2" t="s">
        <f>"093000920354"</f>
        <v>624</v>
      </c>
      <c r="B313" s="2" t="s">
        <f>"薛海"</f>
        <v>625</v>
      </c>
      <c r="C313" s="2">
        <v>0.0</v>
      </c>
      <c r="D313" s="2">
        <v>0.0</v>
      </c>
      <c r="E313" s="2">
        <v>0.0</v>
      </c>
    </row>
    <row r="314" spans="1:5" x14ac:dyDescent="0.15">
      <c r="A314" s="2" t="s">
        <f>"093000051920003"</f>
        <v>626</v>
      </c>
      <c r="B314" s="2" t="s">
        <f>"王欣"</f>
        <v>627</v>
      </c>
      <c r="C314" s="2">
        <v>0.0</v>
      </c>
      <c r="D314" s="2">
        <v>55.0</v>
      </c>
      <c r="E314" s="2">
        <v>-55.63</v>
      </c>
    </row>
    <row r="315" spans="1:5" x14ac:dyDescent="0.15">
      <c r="A315" s="2" t="s">
        <f>"093000048920003"</f>
        <v>628</v>
      </c>
      <c r="B315" s="2" t="s">
        <f>"秦艳丽"</f>
        <v>629</v>
      </c>
      <c r="C315" s="2">
        <v>-2752.0</v>
      </c>
      <c r="D315" s="2">
        <v>17.0</v>
      </c>
      <c r="E315" s="2">
        <v>-691.5</v>
      </c>
    </row>
    <row r="316" spans="1:5" x14ac:dyDescent="0.15">
      <c r="A316" s="2" t="s">
        <f>"093000920359"</f>
        <v>630</v>
      </c>
      <c r="B316" s="2" t="s">
        <f>"王丽红"</f>
        <v>631</v>
      </c>
      <c r="C316" s="2">
        <v>0.0</v>
      </c>
      <c r="D316" s="2">
        <v>-693.0</v>
      </c>
      <c r="E316" s="2">
        <v>-778.06</v>
      </c>
    </row>
    <row r="317" spans="1:5" x14ac:dyDescent="0.15">
      <c r="A317" s="2" t="s">
        <f>"093000920358"</f>
        <v>632</v>
      </c>
      <c r="B317" s="2" t="s">
        <f>"郭兴炎"</f>
        <v>633</v>
      </c>
      <c r="C317" s="2">
        <v>0.0</v>
      </c>
      <c r="D317" s="2">
        <v>-1097.0</v>
      </c>
      <c r="E317" s="2">
        <v>-88.26</v>
      </c>
    </row>
    <row r="318" spans="1:5" x14ac:dyDescent="0.15">
      <c r="A318" s="2" t="s">
        <f>"093000920360"</f>
        <v>634</v>
      </c>
      <c r="B318" s="2" t="s">
        <f>"王宏江"</f>
        <v>635</v>
      </c>
      <c r="C318" s="2">
        <v>0.0</v>
      </c>
      <c r="D318" s="2">
        <v>0.0</v>
      </c>
      <c r="E318" s="2">
        <v>0.0</v>
      </c>
    </row>
    <row r="319" spans="1:5" x14ac:dyDescent="0.15">
      <c r="A319" s="2" t="s">
        <f>"093000920362"</f>
        <v>636</v>
      </c>
      <c r="B319" s="2" t="s">
        <f>"谢建功"</f>
        <v>637</v>
      </c>
      <c r="C319" s="2">
        <v>-1578.0</v>
      </c>
      <c r="D319" s="2">
        <v>690.0</v>
      </c>
      <c r="E319" s="2">
        <v>-745.58</v>
      </c>
    </row>
    <row r="320" spans="1:5" x14ac:dyDescent="0.15">
      <c r="A320" s="2" t="s">
        <f>"093000920361"</f>
        <v>638</v>
      </c>
      <c r="B320" s="2" t="s">
        <f>"郑龙"</f>
        <v>639</v>
      </c>
      <c r="C320" s="2">
        <v>-1338.0</v>
      </c>
      <c r="D320" s="2">
        <v>-1011.0</v>
      </c>
      <c r="E320" s="2">
        <v>-459.91</v>
      </c>
    </row>
    <row r="321" spans="1:5" x14ac:dyDescent="0.15">
      <c r="A321" s="2" t="s">
        <f>"093000062920003"</f>
        <v>640</v>
      </c>
      <c r="B321" s="2" t="s">
        <f>"余世恒"</f>
        <v>641</v>
      </c>
      <c r="C321" s="2">
        <v>14.0</v>
      </c>
      <c r="D321" s="2">
        <v>-634.0</v>
      </c>
      <c r="E321" s="2">
        <v>-323.81</v>
      </c>
    </row>
    <row r="322" spans="1:5" x14ac:dyDescent="0.15">
      <c r="A322" s="2" t="s">
        <f>"093000920366"</f>
        <v>642</v>
      </c>
      <c r="B322" s="2" t="s">
        <f>"姚荣新"</f>
        <v>643</v>
      </c>
      <c r="C322" s="2">
        <v>-14555.0</v>
      </c>
      <c r="D322" s="2">
        <v>-28964.0</v>
      </c>
      <c r="E322" s="2">
        <v>-2662.65</v>
      </c>
    </row>
    <row r="323" spans="1:5" x14ac:dyDescent="0.15">
      <c r="A323" s="2" t="s">
        <f>"093000067920003"</f>
        <v>644</v>
      </c>
      <c r="B323" s="2" t="s">
        <f>"韩超超"</f>
        <v>645</v>
      </c>
      <c r="C323" s="2">
        <v>0.0</v>
      </c>
      <c r="D323" s="2">
        <v>-960.0</v>
      </c>
      <c r="E323" s="2">
        <v>-442.37</v>
      </c>
    </row>
    <row r="324" spans="1:5" x14ac:dyDescent="0.15">
      <c r="A324" s="2" t="s">
        <f>"093000920371"</f>
        <v>646</v>
      </c>
      <c r="B324" s="2" t="s">
        <f>"张向恒"</f>
        <v>647</v>
      </c>
      <c r="C324" s="2">
        <v>0.0</v>
      </c>
      <c r="D324" s="2">
        <v>-112.0</v>
      </c>
      <c r="E324" s="2">
        <v>-999.17</v>
      </c>
    </row>
    <row r="325" spans="1:5" x14ac:dyDescent="0.15">
      <c r="A325" s="2" t="s">
        <f>"093000067920004"</f>
        <v>648</v>
      </c>
      <c r="B325" s="2" t="s">
        <f>"刘天松"</f>
        <v>649</v>
      </c>
      <c r="C325" s="2">
        <v>0.0</v>
      </c>
      <c r="D325" s="2">
        <v>-671.0</v>
      </c>
      <c r="E325" s="2">
        <v>-663.85</v>
      </c>
    </row>
    <row r="326" spans="1:5" x14ac:dyDescent="0.15">
      <c r="A326" s="2" t="s">
        <f>"093000059920004"</f>
        <v>650</v>
      </c>
      <c r="B326" s="2" t="s">
        <f>"陈东"</f>
        <v>651</v>
      </c>
      <c r="C326" s="2">
        <v>-572.0</v>
      </c>
      <c r="D326" s="2">
        <v>-1651.0</v>
      </c>
      <c r="E326" s="2">
        <v>-813.74</v>
      </c>
    </row>
    <row r="327" spans="1:5" x14ac:dyDescent="0.15">
      <c r="A327" s="2" t="s">
        <f>"093000041920018"</f>
        <v>652</v>
      </c>
      <c r="B327" s="2" t="s">
        <f>"马已成"</f>
        <v>653</v>
      </c>
      <c r="C327" s="2">
        <v>0.0</v>
      </c>
      <c r="D327" s="2">
        <v>1038.0</v>
      </c>
      <c r="E327" s="2">
        <v>-111.43</v>
      </c>
    </row>
    <row r="328" spans="1:5" x14ac:dyDescent="0.15">
      <c r="A328" s="2" t="s">
        <f>"093000037920030"</f>
        <v>654</v>
      </c>
      <c r="B328" s="2" t="s">
        <f>"杨义成"</f>
        <v>655</v>
      </c>
      <c r="C328" s="2">
        <v>28.0</v>
      </c>
      <c r="D328" s="2">
        <v>-495.0</v>
      </c>
      <c r="E328" s="2">
        <v>-261.52</v>
      </c>
    </row>
    <row r="329" spans="1:5" x14ac:dyDescent="0.15">
      <c r="A329" s="2" t="s">
        <f>"093000049920029"</f>
        <v>656</v>
      </c>
      <c r="B329" s="2" t="s">
        <f>"张艳芬"</f>
        <v>657</v>
      </c>
      <c r="C329" s="2">
        <v>0.0</v>
      </c>
      <c r="D329" s="2">
        <v>400.0</v>
      </c>
      <c r="E329" s="2">
        <v>-82.56</v>
      </c>
    </row>
    <row r="330" spans="1:5" x14ac:dyDescent="0.15">
      <c r="A330" s="2" t="s">
        <f>"093000049920030"</f>
        <v>658</v>
      </c>
      <c r="B330" s="2" t="s">
        <f>"刘爱英"</f>
        <v>659</v>
      </c>
      <c r="C330" s="2">
        <v>0.0</v>
      </c>
      <c r="D330" s="2">
        <v>400.0</v>
      </c>
      <c r="E330" s="2">
        <v>-82.98</v>
      </c>
    </row>
    <row r="331" spans="1:5" x14ac:dyDescent="0.15">
      <c r="A331" s="2" t="s">
        <f>"093000059920005"</f>
        <v>660</v>
      </c>
      <c r="B331" s="2" t="s">
        <f>"全静波"</f>
        <v>661</v>
      </c>
      <c r="C331" s="2">
        <v>0.0</v>
      </c>
      <c r="D331" s="2">
        <v>-903.0</v>
      </c>
      <c r="E331" s="2">
        <v>-232.35</v>
      </c>
    </row>
    <row r="332" spans="1:5" x14ac:dyDescent="0.15">
      <c r="A332" s="2" t="s">
        <f>"0930000483000"</f>
        <v>662</v>
      </c>
      <c r="B332" s="2" t="s">
        <f>"刘建基"</f>
        <v>663</v>
      </c>
      <c r="C332" s="2">
        <v>0.0</v>
      </c>
      <c r="D332" s="2">
        <v>0.0</v>
      </c>
      <c r="E332" s="2">
        <v>0.0</v>
      </c>
    </row>
    <row r="333" spans="1:5" x14ac:dyDescent="0.15">
      <c r="A333" s="2" t="s">
        <f>"093000040920034"</f>
        <v>664</v>
      </c>
      <c r="B333" s="2" t="s">
        <f>"赖胜基"</f>
        <v>665</v>
      </c>
      <c r="C333" s="2">
        <v>0.0</v>
      </c>
      <c r="D333" s="2">
        <v>0.0</v>
      </c>
      <c r="E333" s="2">
        <v>0.0</v>
      </c>
    </row>
    <row r="334" spans="1:5" x14ac:dyDescent="0.15">
      <c r="A334" s="2" t="s">
        <f>"093000068920001"</f>
        <v>666</v>
      </c>
      <c r="B334" s="2" t="s">
        <f>"吴国斌"</f>
        <v>667</v>
      </c>
      <c r="C334" s="2">
        <v>0.0</v>
      </c>
      <c r="D334" s="2">
        <v>-1324.0</v>
      </c>
      <c r="E334" s="2">
        <v>-386.93</v>
      </c>
    </row>
    <row r="335" spans="1:5" x14ac:dyDescent="0.15">
      <c r="A335" s="2" t="s">
        <f>"093000051920004"</f>
        <v>668</v>
      </c>
      <c r="B335" s="2" t="s">
        <f>"王新"</f>
        <v>669</v>
      </c>
      <c r="C335" s="2">
        <v>0.0</v>
      </c>
      <c r="D335" s="2">
        <v>-909.0</v>
      </c>
      <c r="E335" s="2">
        <v>-276.85</v>
      </c>
    </row>
    <row r="336" spans="1:5" x14ac:dyDescent="0.15">
      <c r="A336" s="2" t="s">
        <f>"093000067920007"</f>
        <v>670</v>
      </c>
      <c r="B336" s="2" t="s">
        <f>"张彦奎"</f>
        <v>671</v>
      </c>
      <c r="C336" s="2">
        <v>0.0</v>
      </c>
      <c r="D336" s="2">
        <v>-10.0</v>
      </c>
      <c r="E336" s="2">
        <v>-6.91</v>
      </c>
    </row>
    <row r="337" spans="1:5" x14ac:dyDescent="0.15">
      <c r="A337" s="2" t="s">
        <f>"093000067920006"</f>
        <v>672</v>
      </c>
      <c r="B337" s="2" t="s">
        <f>"庞永帅"</f>
        <v>673</v>
      </c>
      <c r="C337" s="2">
        <v>0.0</v>
      </c>
      <c r="D337" s="2">
        <v>-79.0</v>
      </c>
      <c r="E337" s="2">
        <v>-55.55</v>
      </c>
    </row>
    <row r="338" spans="1:5" x14ac:dyDescent="0.15">
      <c r="A338" s="2" t="s">
        <f>"093000067920005"</f>
        <v>674</v>
      </c>
      <c r="B338" s="2" t="s">
        <f>"张倡寅"</f>
        <v>675</v>
      </c>
      <c r="C338" s="2">
        <v>0.0</v>
      </c>
      <c r="D338" s="2">
        <v>-13.0</v>
      </c>
      <c r="E338" s="2">
        <v>-6.97</v>
      </c>
    </row>
    <row r="339" spans="1:5" x14ac:dyDescent="0.15">
      <c r="A339" s="2" t="s">
        <f>"093000055920001"</f>
        <v>676</v>
      </c>
      <c r="B339" s="2" t="s">
        <f>"樊园园"</f>
        <v>677</v>
      </c>
      <c r="C339" s="2">
        <v>-2777.0</v>
      </c>
      <c r="D339" s="2">
        <v>-1801.0</v>
      </c>
      <c r="E339" s="2">
        <v>-436.18</v>
      </c>
    </row>
    <row r="340" spans="1:5" x14ac:dyDescent="0.15">
      <c r="A340" s="2" t="s">
        <f>"093000067920011"</f>
        <v>678</v>
      </c>
      <c r="B340" s="2" t="s">
        <f>"翟珊珊"</f>
        <v>679</v>
      </c>
      <c r="C340" s="2">
        <v>0.0</v>
      </c>
      <c r="D340" s="2">
        <v>-40.0</v>
      </c>
      <c r="E340" s="2">
        <v>-20.25</v>
      </c>
    </row>
    <row r="341" spans="1:5" x14ac:dyDescent="0.15">
      <c r="A341" s="2" t="s">
        <f>"093000067920013"</f>
        <v>680</v>
      </c>
      <c r="B341" s="2" t="s">
        <f>"吴艳艳"</f>
        <v>681</v>
      </c>
      <c r="C341" s="2">
        <v>0.0</v>
      </c>
      <c r="D341" s="2">
        <v>-7.0</v>
      </c>
      <c r="E341" s="2">
        <v>-6.77</v>
      </c>
    </row>
    <row r="342" spans="1:5" x14ac:dyDescent="0.15">
      <c r="A342" s="2" t="s">
        <f>"093000067920015"</f>
        <v>682</v>
      </c>
      <c r="B342" s="2" t="s">
        <f>"宋浩"</f>
        <v>683</v>
      </c>
      <c r="C342" s="2">
        <v>0.0</v>
      </c>
      <c r="D342" s="2">
        <v>1.0</v>
      </c>
      <c r="E342" s="2">
        <v>-6.92</v>
      </c>
    </row>
    <row r="343" spans="1:5" x14ac:dyDescent="0.15">
      <c r="A343" s="2" t="s">
        <f>"093000040001920001"</f>
        <v>684</v>
      </c>
      <c r="B343" s="2" t="s">
        <f>"赵丽珍"</f>
        <v>685</v>
      </c>
      <c r="C343" s="2">
        <v>0.0</v>
      </c>
      <c r="D343" s="2">
        <v>-1100.0</v>
      </c>
      <c r="E343" s="2">
        <v>-104.79</v>
      </c>
    </row>
    <row r="344" spans="1:5" x14ac:dyDescent="0.15">
      <c r="A344" s="2" t="s">
        <f>"093000040001920002"</f>
        <v>686</v>
      </c>
      <c r="B344" s="2" t="s">
        <f>"莫汝林"</f>
        <v>687</v>
      </c>
      <c r="C344" s="2">
        <v>0.0</v>
      </c>
      <c r="D344" s="2">
        <v>-1100.0</v>
      </c>
      <c r="E344" s="2">
        <v>-104.73</v>
      </c>
    </row>
    <row r="345" spans="1:5" x14ac:dyDescent="0.15">
      <c r="A345" s="2" t="s">
        <f>"093000040920035"</f>
        <v>688</v>
      </c>
      <c r="B345" s="2" t="s">
        <f>"李永刚"</f>
        <v>689</v>
      </c>
      <c r="C345" s="2">
        <v>0.0</v>
      </c>
      <c r="D345" s="2">
        <v>0.0</v>
      </c>
      <c r="E345" s="2">
        <v>0.0</v>
      </c>
    </row>
    <row r="346" spans="1:5" x14ac:dyDescent="0.15">
      <c r="A346" s="2" t="s">
        <f>"093000067920016"</f>
        <v>690</v>
      </c>
      <c r="B346" s="2" t="s">
        <f>"王浩毅"</f>
        <v>691</v>
      </c>
      <c r="C346" s="2">
        <v>0.0</v>
      </c>
      <c r="D346" s="2">
        <v>-5.0</v>
      </c>
      <c r="E346" s="2">
        <v>-6.92</v>
      </c>
    </row>
    <row r="347" spans="1:5" x14ac:dyDescent="0.15">
      <c r="A347" s="2" t="s">
        <f>"093000037920031"</f>
        <v>692</v>
      </c>
      <c r="B347" s="2" t="s">
        <f>"董江峰"</f>
        <v>693</v>
      </c>
      <c r="C347" s="2">
        <v>0.0</v>
      </c>
      <c r="D347" s="2">
        <v>0.0</v>
      </c>
      <c r="E347" s="2">
        <v>0.0</v>
      </c>
    </row>
    <row r="348" spans="1:5" x14ac:dyDescent="0.15">
      <c r="A348" s="2" t="s">
        <f>"0930000400010001"</f>
        <v>694</v>
      </c>
      <c r="B348" s="2" t="s">
        <f>"赵春林"</f>
        <v>695</v>
      </c>
      <c r="C348" s="2">
        <v>699.0</v>
      </c>
      <c r="D348" s="2">
        <v>307.0</v>
      </c>
      <c r="E348" s="2">
        <v>-547.55</v>
      </c>
    </row>
    <row r="349" spans="1:5" x14ac:dyDescent="0.15">
      <c r="A349" s="2" t="s">
        <f>"093000920377"</f>
        <v>696</v>
      </c>
      <c r="B349" s="2" t="s">
        <f>"宋元斌"</f>
        <v>697</v>
      </c>
      <c r="C349" s="2">
        <v>0.0</v>
      </c>
      <c r="D349" s="2">
        <v>4.0</v>
      </c>
      <c r="E349" s="2">
        <v>-6.94</v>
      </c>
    </row>
    <row r="350" spans="1:5" x14ac:dyDescent="0.15">
      <c r="A350" s="2" t="s">
        <f>"0930000000021"</f>
        <v>698</v>
      </c>
      <c r="B350" s="2" t="s">
        <f>"赵信文"</f>
        <v>699</v>
      </c>
      <c r="C350" s="2">
        <v>0.0</v>
      </c>
      <c r="D350" s="2">
        <v>0.0</v>
      </c>
      <c r="E350" s="2">
        <v>0.0</v>
      </c>
    </row>
    <row r="351" spans="1:5" x14ac:dyDescent="0.15">
      <c r="A351" s="2" t="s">
        <f>"093000037920032"</f>
        <v>700</v>
      </c>
      <c r="B351" s="2" t="s">
        <f>"吴运枝"</f>
        <v>701</v>
      </c>
      <c r="C351" s="2">
        <v>-11.0</v>
      </c>
      <c r="D351" s="2">
        <v>30.0</v>
      </c>
      <c r="E351" s="2">
        <v>-104.53</v>
      </c>
    </row>
    <row r="352" spans="1:5" x14ac:dyDescent="0.15">
      <c r="A352" s="2" t="s">
        <f>"093000037920033"</f>
        <v>702</v>
      </c>
      <c r="B352" s="2" t="s">
        <f>"周倩倩"</f>
        <v>703</v>
      </c>
      <c r="C352" s="2">
        <v>0.0</v>
      </c>
      <c r="D352" s="2">
        <v>-17.0</v>
      </c>
      <c r="E352" s="2">
        <v>-34.05</v>
      </c>
    </row>
    <row r="353" spans="1:5" x14ac:dyDescent="0.15">
      <c r="A353" s="2" t="s">
        <f>"0930000483001"</f>
        <v>704</v>
      </c>
      <c r="B353" s="2" t="s">
        <f>"高书荣"</f>
        <v>705</v>
      </c>
      <c r="C353" s="2">
        <v>0.0</v>
      </c>
      <c r="D353" s="2">
        <v>0.0</v>
      </c>
      <c r="E353" s="2">
        <v>0.0</v>
      </c>
    </row>
    <row r="354" spans="1:5" x14ac:dyDescent="0.15">
      <c r="A354" s="2" t="s">
        <f>"093000040001920009"</f>
        <v>706</v>
      </c>
      <c r="B354" s="2" t="s">
        <f>"彭敏荣"</f>
        <v>707</v>
      </c>
      <c r="C354" s="2">
        <v>0.0</v>
      </c>
      <c r="D354" s="2">
        <v>-1098.0</v>
      </c>
      <c r="E354" s="2">
        <v>-104.69</v>
      </c>
    </row>
    <row r="355" spans="1:5" x14ac:dyDescent="0.15">
      <c r="A355" s="2" t="s">
        <f>"093000037920034"</f>
        <v>708</v>
      </c>
      <c r="B355" s="2" t="s">
        <f>"张永涛"</f>
        <v>709</v>
      </c>
      <c r="C355" s="2">
        <v>-367.0</v>
      </c>
      <c r="D355" s="2">
        <v>-313.0</v>
      </c>
      <c r="E355" s="2">
        <v>-375.38</v>
      </c>
    </row>
    <row r="356" spans="1:5" x14ac:dyDescent="0.15">
      <c r="A356" s="2" t="s">
        <f>"093000040001920010"</f>
        <v>710</v>
      </c>
      <c r="B356" s="2" t="s">
        <f>"赵超强"</f>
        <v>711</v>
      </c>
      <c r="C356" s="2">
        <v>0.0</v>
      </c>
      <c r="D356" s="2">
        <v>0.0</v>
      </c>
      <c r="E356" s="2">
        <v>0.0</v>
      </c>
    </row>
    <row r="357" spans="1:5" x14ac:dyDescent="0.15">
      <c r="A357" s="2" t="s">
        <f>"093000040001920011"</f>
        <v>712</v>
      </c>
      <c r="B357" s="2" t="s">
        <f>"柳静媚"</f>
        <v>713</v>
      </c>
      <c r="C357" s="2">
        <v>0.0</v>
      </c>
      <c r="D357" s="2">
        <v>0.0</v>
      </c>
      <c r="E357" s="2">
        <v>0.0</v>
      </c>
    </row>
    <row r="358" spans="1:5" x14ac:dyDescent="0.15">
      <c r="A358" s="2" t="s">
        <f>"093000040001920012"</f>
        <v>714</v>
      </c>
      <c r="B358" s="2" t="s">
        <f>"刘宁"</f>
        <v>715</v>
      </c>
      <c r="C358" s="2">
        <v>0.0</v>
      </c>
      <c r="D358" s="2">
        <v>0.0</v>
      </c>
      <c r="E358" s="2">
        <v>0.0</v>
      </c>
    </row>
    <row r="359" spans="1:5" x14ac:dyDescent="0.15">
      <c r="A359" s="2" t="s">
        <f>"093000040001920014"</f>
        <v>716</v>
      </c>
      <c r="B359" s="2" t="s">
        <f>"覃月松"</f>
        <v>717</v>
      </c>
      <c r="C359" s="2">
        <v>-254.0</v>
      </c>
      <c r="D359" s="2">
        <v>3010.0</v>
      </c>
      <c r="E359" s="2">
        <v>-293.88</v>
      </c>
    </row>
    <row r="360" spans="1:5" x14ac:dyDescent="0.15">
      <c r="A360" s="2" t="s">
        <f>"093000040001920021"</f>
        <v>718</v>
      </c>
      <c r="B360" s="2" t="s">
        <f>"赵晓清"</f>
        <v>719</v>
      </c>
      <c r="C360" s="2">
        <v>160.0</v>
      </c>
      <c r="D360" s="2">
        <v>-809.0</v>
      </c>
      <c r="E360" s="2">
        <v>-532.32</v>
      </c>
    </row>
    <row r="361" spans="1:5" x14ac:dyDescent="0.15">
      <c r="A361" s="2" t="s">
        <f>"093000040001920022"</f>
        <v>720</v>
      </c>
      <c r="B361" s="2" t="s">
        <f>"柳胜斌"</f>
        <v>721</v>
      </c>
      <c r="C361" s="2">
        <v>0.0</v>
      </c>
      <c r="D361" s="2">
        <v>-1098.0</v>
      </c>
      <c r="E361" s="2">
        <v>-104.77</v>
      </c>
    </row>
    <row r="362" spans="1:5" x14ac:dyDescent="0.15">
      <c r="A362" s="2" t="s">
        <f>"093000040001920024"</f>
        <v>722</v>
      </c>
      <c r="B362" s="2" t="s">
        <f>"刘海金"</f>
        <v>723</v>
      </c>
      <c r="C362" s="2">
        <v>0.0</v>
      </c>
      <c r="D362" s="2">
        <v>0.0</v>
      </c>
      <c r="E362" s="2">
        <v>0.0</v>
      </c>
    </row>
    <row r="363" spans="1:5" x14ac:dyDescent="0.15">
      <c r="A363" s="2" t="s">
        <f>"093000040001920024"</f>
        <v>722</v>
      </c>
      <c r="B363" s="2" t="s">
        <f>"柳海金"</f>
        <v>724</v>
      </c>
      <c r="C363" s="2">
        <v>-651.0</v>
      </c>
      <c r="D363" s="2">
        <v>-292.0</v>
      </c>
      <c r="E363" s="2">
        <v>-295.91</v>
      </c>
    </row>
    <row r="364" spans="1:5" x14ac:dyDescent="0.15">
      <c r="A364" s="2" t="s">
        <f>"093000040001920025"</f>
        <v>725</v>
      </c>
      <c r="B364" s="2" t="s">
        <f>"梁用超"</f>
        <v>726</v>
      </c>
      <c r="C364" s="2">
        <v>0.0</v>
      </c>
      <c r="D364" s="2">
        <v>0.0</v>
      </c>
      <c r="E364" s="2">
        <v>0.0</v>
      </c>
    </row>
    <row r="365" spans="1:5" x14ac:dyDescent="0.15">
      <c r="A365" s="2" t="s">
        <f>"093000040001920026"</f>
        <v>727</v>
      </c>
      <c r="B365" s="2" t="s">
        <f>"林葵华"</f>
        <v>728</v>
      </c>
      <c r="C365" s="2">
        <v>-632.0</v>
      </c>
      <c r="D365" s="2">
        <v>-274.0</v>
      </c>
      <c r="E365" s="2">
        <v>-217.71</v>
      </c>
    </row>
    <row r="366" spans="1:5" x14ac:dyDescent="0.15">
      <c r="A366" s="2" t="s">
        <f>"093000040001920031"</f>
        <v>729</v>
      </c>
      <c r="B366" s="2" t="s">
        <f>"陈官源"</f>
        <v>730</v>
      </c>
      <c r="C366" s="2">
        <v>0.0</v>
      </c>
      <c r="D366" s="2">
        <v>0.0</v>
      </c>
      <c r="E366" s="2">
        <v>0.0</v>
      </c>
    </row>
    <row r="367" spans="1:5" x14ac:dyDescent="0.15">
      <c r="A367" s="2" t="s">
        <f>"093000040001920030"</f>
        <v>731</v>
      </c>
      <c r="B367" s="2" t="s">
        <f>"陈绪董"</f>
        <v>732</v>
      </c>
      <c r="C367" s="2">
        <v>0.0</v>
      </c>
      <c r="D367" s="2">
        <v>0.0</v>
      </c>
      <c r="E367" s="2">
        <v>0.0</v>
      </c>
    </row>
    <row r="368" spans="1:5" x14ac:dyDescent="0.15">
      <c r="A368" s="2" t="s">
        <f>"093000040001920028"</f>
        <v>733</v>
      </c>
      <c r="B368" s="2" t="s">
        <f>"覃成彪"</f>
        <v>734</v>
      </c>
      <c r="C368" s="2">
        <v>0.0</v>
      </c>
      <c r="D368" s="2">
        <v>0.0</v>
      </c>
      <c r="E368" s="2">
        <v>0.0</v>
      </c>
    </row>
    <row r="369" spans="1:5" x14ac:dyDescent="0.15">
      <c r="A369" s="2" t="s">
        <f>"093000040001920027"</f>
        <v>735</v>
      </c>
      <c r="B369" s="2" t="s">
        <f>"李耀坚"</f>
        <v>736</v>
      </c>
      <c r="C369" s="2">
        <v>0.0</v>
      </c>
      <c r="D369" s="2">
        <v>-1098.0</v>
      </c>
      <c r="E369" s="2">
        <v>-104.81</v>
      </c>
    </row>
    <row r="370" spans="1:5" x14ac:dyDescent="0.15">
      <c r="A370" s="2" t="s">
        <f>"093000070920001"</f>
        <v>737</v>
      </c>
      <c r="B370" s="2" t="s">
        <f>"李银弟"</f>
        <v>738</v>
      </c>
      <c r="C370" s="2">
        <v>0.0</v>
      </c>
      <c r="D370" s="2">
        <v>-528.0</v>
      </c>
      <c r="E370" s="2">
        <v>-177.94</v>
      </c>
    </row>
    <row r="371" spans="1:5" x14ac:dyDescent="0.15">
      <c r="A371" s="2" t="s">
        <f>"093000059920006"</f>
        <v>739</v>
      </c>
      <c r="B371" s="2" t="s">
        <f>"李涛"</f>
        <v>740</v>
      </c>
      <c r="C371" s="2">
        <v>-132.0</v>
      </c>
      <c r="D371" s="2">
        <v>-1659.0</v>
      </c>
      <c r="E371" s="2">
        <v>-720.7</v>
      </c>
    </row>
    <row r="372" spans="1:5" x14ac:dyDescent="0.15">
      <c r="A372" s="2" t="s">
        <f>"0930000620000"</f>
        <v>741</v>
      </c>
      <c r="B372" s="2" t="s">
        <f>"黄榕"</f>
        <v>742</v>
      </c>
      <c r="C372" s="2">
        <v>-285.0</v>
      </c>
      <c r="D372" s="2">
        <v>138.0</v>
      </c>
      <c r="E372" s="2">
        <v>-373.47</v>
      </c>
    </row>
    <row r="373" spans="1:5" x14ac:dyDescent="0.15">
      <c r="A373" s="2" t="s">
        <f>"093000040001920033"</f>
        <v>743</v>
      </c>
      <c r="B373" s="2" t="s">
        <f>"杨钦朝"</f>
        <v>744</v>
      </c>
      <c r="C373" s="2">
        <v>-292.0</v>
      </c>
      <c r="D373" s="2">
        <v>-1135.0</v>
      </c>
      <c r="E373" s="2">
        <v>-549.66</v>
      </c>
    </row>
    <row r="374" spans="1:5" x14ac:dyDescent="0.15">
      <c r="A374" s="2" t="s">
        <f>"093000040920036"</f>
        <v>745</v>
      </c>
      <c r="B374" s="2" t="s">
        <f>"李军刚"</f>
        <v>746</v>
      </c>
      <c r="C374" s="2">
        <v>0.0</v>
      </c>
      <c r="D374" s="2">
        <v>0.0</v>
      </c>
      <c r="E374" s="2">
        <v>0.0</v>
      </c>
    </row>
    <row r="375" spans="1:5" x14ac:dyDescent="0.15">
      <c r="A375" s="2" t="s">
        <f>"093000071920001"</f>
        <v>747</v>
      </c>
      <c r="B375" s="2" t="s">
        <f>"苏小慧"</f>
        <v>748</v>
      </c>
      <c r="C375" s="2">
        <v>-157.0</v>
      </c>
      <c r="D375" s="2">
        <v>-3575.0</v>
      </c>
      <c r="E375" s="2">
        <v>-1351.61</v>
      </c>
    </row>
    <row r="376" spans="1:5" x14ac:dyDescent="0.15">
      <c r="A376" s="2" t="s">
        <f>"093000059920007"</f>
        <v>749</v>
      </c>
      <c r="B376" s="2" t="s">
        <f>"全光辉"</f>
        <v>750</v>
      </c>
      <c r="C376" s="2">
        <v>0.0</v>
      </c>
      <c r="D376" s="2">
        <v>-812.0</v>
      </c>
      <c r="E376" s="2">
        <v>-528.19</v>
      </c>
    </row>
    <row r="377" spans="1:5" x14ac:dyDescent="0.15">
      <c r="A377" s="2" t="s">
        <f>"0930000620001"</f>
        <v>751</v>
      </c>
      <c r="B377" s="2" t="s">
        <f>"陈家琪"</f>
        <v>752</v>
      </c>
      <c r="C377" s="2">
        <v>0.0</v>
      </c>
      <c r="D377" s="2">
        <v>872.0</v>
      </c>
      <c r="E377" s="2">
        <v>-55.23</v>
      </c>
    </row>
    <row r="378" spans="1:5" x14ac:dyDescent="0.15">
      <c r="A378" s="2" t="s">
        <f>"093000048920006"</f>
        <v>753</v>
      </c>
      <c r="B378" s="2" t="s">
        <f>"杨霞"</f>
        <v>754</v>
      </c>
      <c r="C378" s="2">
        <v>-9.0</v>
      </c>
      <c r="D378" s="2">
        <v>-1154.0</v>
      </c>
      <c r="E378" s="2">
        <v>-651.66</v>
      </c>
    </row>
    <row r="379" spans="1:5" x14ac:dyDescent="0.15">
      <c r="A379" s="2" t="s">
        <f>"0930000000022"</f>
        <v>755</v>
      </c>
      <c r="B379" s="2" t="s">
        <f>"张宁"</f>
        <v>756</v>
      </c>
      <c r="C379" s="2">
        <v>-429.0</v>
      </c>
      <c r="D379" s="2">
        <v>-667.0</v>
      </c>
      <c r="E379" s="2">
        <v>-368.96</v>
      </c>
    </row>
    <row r="380" spans="1:5" x14ac:dyDescent="0.15">
      <c r="A380" s="2" t="s">
        <f>"093000040001920034"</f>
        <v>757</v>
      </c>
      <c r="B380" s="2" t="s">
        <f>"姚学清"</f>
        <v>758</v>
      </c>
      <c r="C380" s="2">
        <v>0.0</v>
      </c>
      <c r="D380" s="2">
        <v>2010.0</v>
      </c>
      <c r="E380" s="2">
        <v>-887.55</v>
      </c>
    </row>
    <row r="381" spans="1:5" x14ac:dyDescent="0.15">
      <c r="A381" s="2" t="s">
        <f>"0930000000023"</f>
        <v>759</v>
      </c>
      <c r="B381" s="2" t="s">
        <f>"黄肇强"</f>
        <v>760</v>
      </c>
      <c r="C381" s="2">
        <v>0.0</v>
      </c>
      <c r="D381" s="2">
        <v>0.0</v>
      </c>
      <c r="E381" s="2">
        <v>0.0</v>
      </c>
    </row>
    <row r="382" spans="1:5" x14ac:dyDescent="0.15">
      <c r="A382" s="2" t="s">
        <f>"093000920384"</f>
        <v>761</v>
      </c>
      <c r="B382" s="2" t="s">
        <f>"刘凡"</f>
        <v>762</v>
      </c>
      <c r="C382" s="2">
        <v>0.0</v>
      </c>
      <c r="D382" s="2">
        <v>0.0</v>
      </c>
      <c r="E382" s="2">
        <v>0.0</v>
      </c>
    </row>
    <row r="383" spans="1:5" x14ac:dyDescent="0.15">
      <c r="A383" s="2" t="s">
        <f>"093000046920005"</f>
        <v>763</v>
      </c>
      <c r="B383" s="2" t="s">
        <f>"姚海焘"</f>
        <v>764</v>
      </c>
      <c r="C383" s="2">
        <v>0.0</v>
      </c>
      <c r="D383" s="2">
        <v>0.0</v>
      </c>
      <c r="E383" s="2">
        <v>0.0</v>
      </c>
    </row>
    <row r="384" spans="1:5" x14ac:dyDescent="0.15">
      <c r="A384" s="2" t="s">
        <f>"093000040001920035"</f>
        <v>765</v>
      </c>
      <c r="B384" s="2" t="s">
        <f>"黄耀湘"</f>
        <v>766</v>
      </c>
      <c r="C384" s="2">
        <v>0.0</v>
      </c>
      <c r="D384" s="2">
        <v>-1265.0</v>
      </c>
      <c r="E384" s="2">
        <v>-238.98</v>
      </c>
    </row>
    <row r="385" spans="1:5" x14ac:dyDescent="0.15">
      <c r="A385" s="2" t="s">
        <f>"093000920387"</f>
        <v>767</v>
      </c>
      <c r="B385" s="2" t="s">
        <f>"任龙飞"</f>
        <v>768</v>
      </c>
      <c r="C385" s="2">
        <v>0.0</v>
      </c>
      <c r="D385" s="2">
        <v>109.0</v>
      </c>
      <c r="E385" s="2">
        <v>-57.66</v>
      </c>
    </row>
    <row r="386" spans="1:5" x14ac:dyDescent="0.15">
      <c r="A386" s="2" t="s">
        <f>"093000040001920036"</f>
        <v>769</v>
      </c>
      <c r="B386" s="2" t="s">
        <f>" 林桦通"</f>
        <v>770</v>
      </c>
      <c r="C386" s="2">
        <v>26.0</v>
      </c>
      <c r="D386" s="2">
        <v>3282.0</v>
      </c>
      <c r="E386" s="2">
        <v>-293.92</v>
      </c>
    </row>
    <row r="387" spans="1:5" x14ac:dyDescent="0.15">
      <c r="A387" s="2" t="s">
        <f>"093000920389"</f>
        <v>771</v>
      </c>
      <c r="B387" s="2" t="s">
        <f>"冯书华"</f>
        <v>772</v>
      </c>
      <c r="C387" s="2">
        <v>0.0</v>
      </c>
      <c r="D387" s="2">
        <v>17.0</v>
      </c>
      <c r="E387" s="2">
        <v>-263.21</v>
      </c>
    </row>
    <row r="388" spans="1:5" x14ac:dyDescent="0.15">
      <c r="A388" s="2" t="s">
        <f>"093000048920007"</f>
        <v>773</v>
      </c>
      <c r="B388" s="2" t="s">
        <f>"岳文滔"</f>
        <v>774</v>
      </c>
      <c r="C388" s="2">
        <v>-3263.0</v>
      </c>
      <c r="D388" s="2">
        <v>-2200.0</v>
      </c>
      <c r="E388" s="2">
        <v>-2633.57</v>
      </c>
    </row>
    <row r="389" spans="1:5" x14ac:dyDescent="0.15">
      <c r="A389" s="2" t="s">
        <f>"093000040001920038"</f>
        <v>775</v>
      </c>
      <c r="B389" s="2" t="s">
        <f>"马伟峰"</f>
        <v>776</v>
      </c>
      <c r="C389" s="2">
        <v>0.0</v>
      </c>
      <c r="D389" s="2">
        <v>0.0</v>
      </c>
      <c r="E389" s="2">
        <v>0.0</v>
      </c>
    </row>
    <row r="390" spans="1:5" x14ac:dyDescent="0.15">
      <c r="A390" s="2" t="s">
        <f>"093000040001920037"</f>
        <v>777</v>
      </c>
      <c r="B390" s="2" t="s">
        <f>"姚海林"</f>
        <v>778</v>
      </c>
      <c r="C390" s="2">
        <v>0.0</v>
      </c>
      <c r="D390" s="2">
        <v>0.0</v>
      </c>
      <c r="E390" s="2">
        <v>0.0</v>
      </c>
    </row>
    <row r="391" spans="1:5" x14ac:dyDescent="0.15">
      <c r="A391" s="2" t="s">
        <f>"093000037920035"</f>
        <v>779</v>
      </c>
      <c r="B391" s="2" t="s">
        <f>"周小委"</f>
        <v>780</v>
      </c>
      <c r="C391" s="2">
        <v>0.0</v>
      </c>
      <c r="D391" s="2">
        <v>0.0</v>
      </c>
      <c r="E391" s="2">
        <v>0.0</v>
      </c>
    </row>
    <row r="392" spans="1:5" x14ac:dyDescent="0.15">
      <c r="A392" s="2" t="s">
        <f>"093000040001920039"</f>
        <v>781</v>
      </c>
      <c r="B392" s="2" t="s">
        <f>"覃业毅"</f>
        <v>782</v>
      </c>
      <c r="C392" s="2">
        <v>-254.0</v>
      </c>
      <c r="D392" s="2">
        <v>2932.0</v>
      </c>
      <c r="E392" s="2">
        <v>-325.99</v>
      </c>
    </row>
    <row r="393" spans="1:5" x14ac:dyDescent="0.15">
      <c r="A393" s="2" t="s">
        <f>"093000040001920040"</f>
        <v>783</v>
      </c>
      <c r="B393" s="2" t="s">
        <f>"覃业叙"</f>
        <v>784</v>
      </c>
      <c r="C393" s="2">
        <v>0.0</v>
      </c>
      <c r="D393" s="2">
        <v>-1098.0</v>
      </c>
      <c r="E393" s="2">
        <v>-99.73</v>
      </c>
    </row>
    <row r="394" spans="1:5" x14ac:dyDescent="0.15">
      <c r="A394" s="2" t="s">
        <f>"0930000000024"</f>
        <v>785</v>
      </c>
      <c r="B394" s="2" t="s">
        <v>786</v>
      </c>
      <c r="C394" s="2">
        <v>0.0</v>
      </c>
      <c r="D394" s="2">
        <v>0.0</v>
      </c>
      <c r="E394" s="2">
        <v>0.0</v>
      </c>
    </row>
    <row r="395" spans="1:5" x14ac:dyDescent="0.15">
      <c r="A395" s="2" t="s">
        <f>"09300000000025"</f>
        <v>787</v>
      </c>
      <c r="B395" s="2" t="s">
        <f>"徐高梁"</f>
        <v>788</v>
      </c>
      <c r="C395" s="2">
        <v>0.0</v>
      </c>
      <c r="D395" s="2">
        <v>9.0</v>
      </c>
      <c r="E395" s="2">
        <v>-6.86</v>
      </c>
    </row>
    <row r="396" spans="1:5" x14ac:dyDescent="0.15">
      <c r="A396" s="2" t="s">
        <f>"093000040001920041"</f>
        <v>789</v>
      </c>
      <c r="B396" s="2" t="s">
        <f>"杨坤丽"</f>
        <v>790</v>
      </c>
      <c r="C396" s="2">
        <v>0.0</v>
      </c>
      <c r="D396" s="2">
        <v>-1112.0</v>
      </c>
      <c r="E396" s="2">
        <v>-102.6</v>
      </c>
    </row>
    <row r="397" spans="1:5" x14ac:dyDescent="0.15">
      <c r="A397" s="2" t="s">
        <f>"093000037920036"</f>
        <v>791</v>
      </c>
      <c r="B397" s="2" t="s">
        <f>"刘学科"</f>
        <v>792</v>
      </c>
      <c r="C397" s="2">
        <v>-397.0</v>
      </c>
      <c r="D397" s="2">
        <v>113.0</v>
      </c>
      <c r="E397" s="2">
        <v>-449.97</v>
      </c>
    </row>
    <row r="398" spans="1:5" x14ac:dyDescent="0.15">
      <c r="A398" s="2" t="s">
        <f>"0930000620002"</f>
        <v>793</v>
      </c>
      <c r="B398" s="2" t="s">
        <f>"李心简"</f>
        <v>794</v>
      </c>
      <c r="C398" s="2">
        <v>310.0</v>
      </c>
      <c r="D398" s="2">
        <v>-3110.0</v>
      </c>
      <c r="E398" s="2">
        <v>-1942.42</v>
      </c>
    </row>
    <row r="399" spans="1:5" x14ac:dyDescent="0.15">
      <c r="A399" s="2" t="s">
        <f>"093000037920037"</f>
        <v>795</v>
      </c>
      <c r="B399" s="2" t="s">
        <f>"杨文龙"</f>
        <v>796</v>
      </c>
      <c r="C399" s="2">
        <v>45.0</v>
      </c>
      <c r="D399" s="2">
        <v>-2105.0</v>
      </c>
      <c r="E399" s="2">
        <v>-2378.52</v>
      </c>
    </row>
    <row r="400" spans="1:5" x14ac:dyDescent="0.15">
      <c r="A400" s="2" t="s">
        <f>"093000062920006"</f>
        <v>797</v>
      </c>
      <c r="B400" s="2" t="s">
        <f>"何世玉"</f>
        <v>798</v>
      </c>
      <c r="C400" s="2">
        <v>-173.0</v>
      </c>
      <c r="D400" s="2">
        <v>-639.0</v>
      </c>
      <c r="E400" s="2">
        <v>-204.81</v>
      </c>
    </row>
    <row r="401" spans="1:5" x14ac:dyDescent="0.15">
      <c r="A401" s="2" t="s">
        <f>"093000040001920042"</f>
        <v>799</v>
      </c>
      <c r="B401" s="2" t="s">
        <f>"黄上宾"</f>
        <v>800</v>
      </c>
      <c r="C401" s="2">
        <v>0.0</v>
      </c>
      <c r="D401" s="2">
        <v>-1100.0</v>
      </c>
      <c r="E401" s="2">
        <v>-108.59</v>
      </c>
    </row>
    <row r="402" spans="1:5" x14ac:dyDescent="0.15">
      <c r="A402" s="2" t="s">
        <f>"0930000000025"</f>
        <v>801</v>
      </c>
      <c r="B402" s="2" t="s">
        <f>"刘彦萍"</f>
        <v>802</v>
      </c>
      <c r="C402" s="2">
        <v>0.0</v>
      </c>
      <c r="D402" s="2">
        <v>0.0</v>
      </c>
      <c r="E402" s="2">
        <v>0.0</v>
      </c>
    </row>
    <row r="403" spans="1:5" x14ac:dyDescent="0.15">
      <c r="A403" s="2" t="s">
        <f>"093000040001920044"</f>
        <v>803</v>
      </c>
      <c r="B403" s="2" t="s">
        <f>"李崇源"</f>
        <v>804</v>
      </c>
      <c r="C403" s="2">
        <v>-134.0</v>
      </c>
      <c r="D403" s="2">
        <v>2470.0</v>
      </c>
      <c r="E403" s="2">
        <v>-326.09</v>
      </c>
    </row>
    <row r="404" spans="1:5" x14ac:dyDescent="0.15">
      <c r="A404" s="2" t="s">
        <f>"093000040001920045"</f>
        <v>805</v>
      </c>
      <c r="B404" s="2" t="s">
        <f>"吴昌伟"</f>
        <v>806</v>
      </c>
      <c r="C404" s="2">
        <v>0.0</v>
      </c>
      <c r="D404" s="2">
        <v>0.0</v>
      </c>
      <c r="E404" s="2">
        <v>0.0</v>
      </c>
    </row>
    <row r="405" spans="1:5" x14ac:dyDescent="0.15">
      <c r="A405" s="2" t="s">
        <f>"093000067920019"</f>
        <v>807</v>
      </c>
      <c r="B405" s="2" t="s">
        <f>"马付林"</f>
        <v>808</v>
      </c>
      <c r="C405" s="2">
        <v>0.0</v>
      </c>
      <c r="D405" s="2">
        <v>-566.0</v>
      </c>
      <c r="E405" s="2">
        <v>-117.72</v>
      </c>
    </row>
    <row r="406" spans="1:5" x14ac:dyDescent="0.15">
      <c r="A406" s="2" t="s">
        <f>"093000040001920046"</f>
        <v>809</v>
      </c>
      <c r="B406" s="2" t="s">
        <f>"陈琴芬"</f>
        <v>810</v>
      </c>
      <c r="C406" s="2">
        <v>0.0</v>
      </c>
      <c r="D406" s="2">
        <v>0.0</v>
      </c>
      <c r="E406" s="2">
        <v>0.0</v>
      </c>
    </row>
    <row r="407" spans="1:5" x14ac:dyDescent="0.15">
      <c r="A407" s="2" t="s">
        <f>"093000040001920051"</f>
        <v>811</v>
      </c>
      <c r="B407" s="2" t="s">
        <f>"林旭南"</f>
        <v>812</v>
      </c>
      <c r="C407" s="2">
        <v>-990.0</v>
      </c>
      <c r="D407" s="2">
        <v>-90.0</v>
      </c>
      <c r="E407" s="2">
        <v>-99.33</v>
      </c>
    </row>
    <row r="408" spans="1:5" x14ac:dyDescent="0.15">
      <c r="A408" s="2" t="s">
        <f>"093000040001920050"</f>
        <v>813</v>
      </c>
      <c r="B408" s="2" t="s">
        <f>"莫宗钧"</f>
        <v>814</v>
      </c>
      <c r="C408" s="2">
        <v>53.0</v>
      </c>
      <c r="D408" s="2">
        <v>2526.0</v>
      </c>
      <c r="E408" s="2">
        <v>-327.64</v>
      </c>
    </row>
    <row r="409" spans="1:5" x14ac:dyDescent="0.15">
      <c r="A409" s="2" t="s">
        <f>"093000040001920049"</f>
        <v>815</v>
      </c>
      <c r="B409" s="2" t="s">
        <f>"莫日胜"</f>
        <v>816</v>
      </c>
      <c r="C409" s="2">
        <v>-896.0</v>
      </c>
      <c r="D409" s="2">
        <v>-68.0</v>
      </c>
      <c r="E409" s="2">
        <v>-99.26</v>
      </c>
    </row>
    <row r="410" spans="1:5" x14ac:dyDescent="0.15">
      <c r="A410" s="2" t="s">
        <f>"093000040001920048"</f>
        <v>817</v>
      </c>
      <c r="B410" s="2" t="s">
        <f>"莫伟强"</f>
        <v>818</v>
      </c>
      <c r="C410" s="2">
        <v>-950.0</v>
      </c>
      <c r="D410" s="2">
        <v>-110.0</v>
      </c>
      <c r="E410" s="2">
        <v>-99.27</v>
      </c>
    </row>
    <row r="411" spans="1:5" x14ac:dyDescent="0.15">
      <c r="A411" s="2" t="s">
        <f>"093000040001920047"</f>
        <v>819</v>
      </c>
      <c r="B411" s="2" t="s">
        <f>"郭兆恒"</f>
        <v>820</v>
      </c>
      <c r="C411" s="2">
        <v>185.0</v>
      </c>
      <c r="D411" s="2">
        <v>-10.0</v>
      </c>
      <c r="E411" s="2">
        <v>-514.57</v>
      </c>
    </row>
    <row r="412" spans="1:5" x14ac:dyDescent="0.15">
      <c r="A412" s="2" t="s">
        <f>"093000040001920052"</f>
        <v>821</v>
      </c>
      <c r="B412" s="2" t="s">
        <f>"莫训武"</f>
        <v>822</v>
      </c>
      <c r="C412" s="2">
        <v>-94.0</v>
      </c>
      <c r="D412" s="2">
        <v>2578.0</v>
      </c>
      <c r="E412" s="2">
        <v>-327.5</v>
      </c>
    </row>
    <row r="413" spans="1:5" x14ac:dyDescent="0.15">
      <c r="A413" s="2" t="s">
        <f>"093000040001920054"</f>
        <v>823</v>
      </c>
      <c r="B413" s="2" t="s">
        <f>"王达初"</f>
        <v>824</v>
      </c>
      <c r="C413" s="2">
        <v>0.0</v>
      </c>
      <c r="D413" s="2">
        <v>0.0</v>
      </c>
      <c r="E413" s="2">
        <v>0.0</v>
      </c>
    </row>
    <row r="414" spans="1:5" x14ac:dyDescent="0.15">
      <c r="A414" s="2" t="s">
        <f>"093000040001920053"</f>
        <v>825</v>
      </c>
      <c r="B414" s="2" t="s">
        <f>"莫德森"</f>
        <v>826</v>
      </c>
      <c r="C414" s="2">
        <v>-962.0</v>
      </c>
      <c r="D414" s="2">
        <v>-90.0</v>
      </c>
      <c r="E414" s="2">
        <v>-99.3</v>
      </c>
    </row>
    <row r="415" spans="1:5" x14ac:dyDescent="0.15">
      <c r="A415" s="2" t="s">
        <f>"093000070920002"</f>
        <v>827</v>
      </c>
      <c r="B415" s="2" t="s">
        <f>"黄莹"</f>
        <v>828</v>
      </c>
      <c r="C415" s="2">
        <v>0.0</v>
      </c>
      <c r="D415" s="2">
        <v>0.0</v>
      </c>
      <c r="E415" s="2">
        <v>0.0</v>
      </c>
    </row>
    <row r="416" spans="1:5" x14ac:dyDescent="0.15">
      <c r="A416" s="2" t="s">
        <f>"093000040001920055"</f>
        <v>829</v>
      </c>
      <c r="B416" s="2" t="s">
        <f>"易子洢"</f>
        <v>830</v>
      </c>
      <c r="C416" s="2">
        <v>1060.0</v>
      </c>
      <c r="D416" s="2">
        <v>-2090.0</v>
      </c>
      <c r="E416" s="2">
        <v>-286.85</v>
      </c>
    </row>
    <row r="417" spans="1:5" x14ac:dyDescent="0.15">
      <c r="A417" s="2" t="s">
        <f>"093000043920005"</f>
        <v>831</v>
      </c>
      <c r="B417" s="2" t="s">
        <f>"訾玉中"</f>
        <v>832</v>
      </c>
      <c r="C417" s="2">
        <v>0.0</v>
      </c>
      <c r="D417" s="2">
        <v>-917.0</v>
      </c>
      <c r="E417" s="2">
        <v>-338.57</v>
      </c>
    </row>
    <row r="418" spans="1:5" x14ac:dyDescent="0.15">
      <c r="A418" s="2" t="s">
        <f>"093000067920020"</f>
        <v>833</v>
      </c>
      <c r="B418" s="2" t="s">
        <f>"廖世兵"</f>
        <v>834</v>
      </c>
      <c r="C418" s="2">
        <v>103.0</v>
      </c>
      <c r="D418" s="2">
        <v>-561.0</v>
      </c>
      <c r="E418" s="2">
        <v>-1456.11</v>
      </c>
    </row>
    <row r="419" spans="1:5" x14ac:dyDescent="0.15">
      <c r="A419" s="2" t="s">
        <f>"093000067920021"</f>
        <v>835</v>
      </c>
      <c r="B419" s="2" t="s">
        <f>"陈梦云"</f>
        <v>836</v>
      </c>
      <c r="C419" s="2">
        <v>0.0</v>
      </c>
      <c r="D419" s="2">
        <v>-683.0</v>
      </c>
      <c r="E419" s="2">
        <v>-511.45</v>
      </c>
    </row>
    <row r="420" spans="1:5" x14ac:dyDescent="0.15">
      <c r="A420" s="2" t="s">
        <f>"093000920396"</f>
        <v>837</v>
      </c>
      <c r="B420" s="2" t="s">
        <f>"欧阳盼平"</f>
        <v>838</v>
      </c>
      <c r="C420" s="2">
        <v>-901.0</v>
      </c>
      <c r="D420" s="2">
        <v>324.0</v>
      </c>
      <c r="E420" s="2">
        <v>-353.48</v>
      </c>
    </row>
    <row r="421" spans="1:5" x14ac:dyDescent="0.15">
      <c r="A421" s="2" t="s">
        <f>"093000040001920056"</f>
        <v>839</v>
      </c>
      <c r="B421" s="2" t="s">
        <f>"何伦英"</f>
        <v>840</v>
      </c>
      <c r="C421" s="2">
        <v>0.0</v>
      </c>
      <c r="D421" s="2">
        <v>-946.0</v>
      </c>
      <c r="E421" s="2">
        <v>-99.42</v>
      </c>
    </row>
    <row r="422" spans="1:5" x14ac:dyDescent="0.15">
      <c r="A422" s="2" t="s">
        <f>"093000070920003"</f>
        <v>841</v>
      </c>
      <c r="B422" s="2" t="s">
        <f>"陈洁"</f>
        <v>842</v>
      </c>
      <c r="C422" s="2">
        <v>0.0</v>
      </c>
      <c r="D422" s="2">
        <v>-566.0</v>
      </c>
      <c r="E422" s="2">
        <v>-342.81</v>
      </c>
    </row>
    <row r="423" spans="1:5" x14ac:dyDescent="0.15">
      <c r="A423" s="2" t="s">
        <f>"093000040001920057"</f>
        <v>843</v>
      </c>
      <c r="B423" s="2" t="s">
        <f>"莫胜森"</f>
        <v>844</v>
      </c>
      <c r="C423" s="2">
        <v>0.0</v>
      </c>
      <c r="D423" s="2">
        <v>0.0</v>
      </c>
      <c r="E423" s="2">
        <v>0.0</v>
      </c>
    </row>
    <row r="424" spans="1:5" x14ac:dyDescent="0.15">
      <c r="A424" s="2" t="s">
        <f>"093000070920004"</f>
        <v>845</v>
      </c>
      <c r="B424" s="2" t="s">
        <f>"郭大洋"</f>
        <v>846</v>
      </c>
      <c r="C424" s="2">
        <v>0.0</v>
      </c>
      <c r="D424" s="2">
        <v>-886.0</v>
      </c>
      <c r="E424" s="2">
        <v>-199.53</v>
      </c>
    </row>
    <row r="425" spans="1:5" x14ac:dyDescent="0.15">
      <c r="A425" s="2" t="s">
        <f>"093000920394"</f>
        <v>847</v>
      </c>
      <c r="B425" s="2" t="s">
        <f>"马鑫隆"</f>
        <v>848</v>
      </c>
      <c r="C425" s="2">
        <v>0.0</v>
      </c>
      <c r="D425" s="2">
        <v>0.0</v>
      </c>
      <c r="E425" s="2">
        <v>0.0</v>
      </c>
    </row>
    <row r="426" spans="1:5" x14ac:dyDescent="0.15">
      <c r="A426" s="2" t="s">
        <f>"093000067920025"</f>
        <v>849</v>
      </c>
      <c r="B426" s="2" t="s">
        <f>"陈仁良"</f>
        <v>850</v>
      </c>
      <c r="C426" s="2">
        <v>0.0</v>
      </c>
      <c r="D426" s="2">
        <v>-60.0</v>
      </c>
      <c r="E426" s="2">
        <v>-495.39</v>
      </c>
    </row>
    <row r="427" spans="1:5" x14ac:dyDescent="0.15">
      <c r="A427" s="2" t="s">
        <f>"093000920399"</f>
        <v>851</v>
      </c>
      <c r="B427" s="2" t="s">
        <f>"张旭"</f>
        <v>852</v>
      </c>
      <c r="C427" s="2">
        <v>-65.0</v>
      </c>
      <c r="D427" s="2">
        <v>-1436.0</v>
      </c>
      <c r="E427" s="2">
        <v>-372.36</v>
      </c>
    </row>
    <row r="428" spans="1:5" x14ac:dyDescent="0.15">
      <c r="A428" s="2" t="s">
        <f>"093000063920003"</f>
        <v>853</v>
      </c>
      <c r="B428" s="2" t="s">
        <f>"郭彬"</f>
        <v>854</v>
      </c>
      <c r="C428" s="2">
        <v>0.0</v>
      </c>
      <c r="D428" s="2">
        <v>0.0</v>
      </c>
      <c r="E428" s="2">
        <v>0.0</v>
      </c>
    </row>
    <row r="429" spans="1:5" x14ac:dyDescent="0.15">
      <c r="A429" s="2" t="s">
        <f>"093000063920004"</f>
        <v>855</v>
      </c>
      <c r="B429" s="2" t="s">
        <f>"郭建强"</f>
        <v>856</v>
      </c>
      <c r="C429" s="2">
        <v>0.0</v>
      </c>
      <c r="D429" s="2">
        <v>0.0</v>
      </c>
      <c r="E429" s="2">
        <v>0.0</v>
      </c>
    </row>
    <row r="430" spans="1:5" x14ac:dyDescent="0.15">
      <c r="A430" s="2" t="s">
        <f>"093000067920027"</f>
        <v>857</v>
      </c>
      <c r="B430" s="2" t="s">
        <f>"程英"</f>
        <v>858</v>
      </c>
      <c r="C430" s="2">
        <v>0.0</v>
      </c>
      <c r="D430" s="2">
        <v>-6.0</v>
      </c>
      <c r="E430" s="2">
        <v>-6.98</v>
      </c>
    </row>
    <row r="431" spans="1:5" x14ac:dyDescent="0.15">
      <c r="A431" s="2" t="s">
        <f>"093000049920033"</f>
        <v>859</v>
      </c>
      <c r="B431" s="2" t="s">
        <f>"杨卫东"</f>
        <v>860</v>
      </c>
      <c r="C431" s="2">
        <v>0.0</v>
      </c>
      <c r="D431" s="2">
        <v>-940.0</v>
      </c>
      <c r="E431" s="2">
        <v>-555.11</v>
      </c>
    </row>
    <row r="432" spans="1:5" x14ac:dyDescent="0.15">
      <c r="A432" s="2" t="s">
        <f>"093000040001920059"</f>
        <v>861</v>
      </c>
      <c r="B432" s="2" t="s">
        <f>"胡朝伟"</f>
        <v>862</v>
      </c>
      <c r="C432" s="2">
        <v>0.0</v>
      </c>
      <c r="D432" s="2">
        <v>920.0</v>
      </c>
      <c r="E432" s="2">
        <v>-81.31</v>
      </c>
    </row>
    <row r="433" spans="1:5" x14ac:dyDescent="0.15">
      <c r="A433" s="2" t="s">
        <f>"093000041920019"</f>
        <v>863</v>
      </c>
      <c r="B433" s="2" t="s">
        <f>"路晨"</f>
        <v>864</v>
      </c>
      <c r="C433" s="2">
        <v>0.0</v>
      </c>
      <c r="D433" s="2">
        <v>-1088.0</v>
      </c>
      <c r="E433" s="2">
        <v>-109.02</v>
      </c>
    </row>
    <row r="434" spans="1:5" x14ac:dyDescent="0.15">
      <c r="A434" s="2" t="s">
        <f>"093000041920020"</f>
        <v>865</v>
      </c>
      <c r="B434" s="2" t="s">
        <f>"龙涛"</f>
        <v>866</v>
      </c>
      <c r="C434" s="2">
        <v>0.0</v>
      </c>
      <c r="D434" s="2">
        <v>998.0</v>
      </c>
      <c r="E434" s="2">
        <v>-109.02</v>
      </c>
    </row>
    <row r="435" spans="1:5" x14ac:dyDescent="0.15">
      <c r="A435" s="2" t="s">
        <f>"093000059920008"</f>
        <v>867</v>
      </c>
      <c r="B435" s="2" t="s">
        <f>"马自瑞"</f>
        <v>868</v>
      </c>
      <c r="C435" s="2">
        <v>-13143.0</v>
      </c>
      <c r="D435" s="2">
        <v>-4129.0</v>
      </c>
      <c r="E435" s="2">
        <v>-13611.18</v>
      </c>
    </row>
    <row r="436" spans="1:5" x14ac:dyDescent="0.15">
      <c r="A436" s="2" t="s">
        <f>"093000063920005"</f>
        <v>869</v>
      </c>
      <c r="B436" s="2" t="s">
        <f>"潘浩毅"</f>
        <v>870</v>
      </c>
      <c r="C436" s="2">
        <v>-300.0</v>
      </c>
      <c r="D436" s="2">
        <v>-600.0</v>
      </c>
      <c r="E436" s="2">
        <v>-78.9</v>
      </c>
    </row>
    <row r="437" spans="1:5" x14ac:dyDescent="0.15">
      <c r="A437" s="2" t="s">
        <f>"093000040001920061"</f>
        <v>871</v>
      </c>
      <c r="B437" s="2" t="s">
        <f>"韦炳艺"</f>
        <v>872</v>
      </c>
      <c r="C437" s="2">
        <v>0.0</v>
      </c>
      <c r="D437" s="2">
        <v>0.0</v>
      </c>
      <c r="E437" s="2">
        <v>0.0</v>
      </c>
    </row>
    <row r="438" spans="1:5" x14ac:dyDescent="0.15">
      <c r="A438" s="2" t="s">
        <f>"093000048920008"</f>
        <v>873</v>
      </c>
      <c r="B438" s="2" t="s">
        <f>"贾小平"</f>
        <v>874</v>
      </c>
      <c r="C438" s="2">
        <v>-2050.0</v>
      </c>
      <c r="D438" s="2">
        <v>-1436.0</v>
      </c>
      <c r="E438" s="2">
        <v>-1247.23</v>
      </c>
    </row>
    <row r="439" spans="1:5" x14ac:dyDescent="0.15">
      <c r="A439" s="2" t="s">
        <f>"093000049920034"</f>
        <v>875</v>
      </c>
      <c r="B439" s="2" t="s">
        <f>"毛爽"</f>
        <v>876</v>
      </c>
      <c r="C439" s="2">
        <v>0.0</v>
      </c>
      <c r="D439" s="2">
        <v>-880.0</v>
      </c>
      <c r="E439" s="2">
        <v>-81.6</v>
      </c>
    </row>
    <row r="440" spans="1:5" x14ac:dyDescent="0.15">
      <c r="A440" s="2" t="s">
        <f>"093000040001920062"</f>
        <v>877</v>
      </c>
      <c r="B440" s="2" t="s">
        <f>"杨雪"</f>
        <v>878</v>
      </c>
      <c r="C440" s="2">
        <v>0.0</v>
      </c>
      <c r="D440" s="2">
        <v>0.0</v>
      </c>
      <c r="E440" s="2">
        <v>0.0</v>
      </c>
    </row>
    <row r="441" spans="1:5" x14ac:dyDescent="0.15">
      <c r="A441" s="2" t="s">
        <f>"093000048920010"</f>
        <v>879</v>
      </c>
      <c r="B441" s="2" t="s">
        <f>"秦艳凡"</f>
        <v>880</v>
      </c>
      <c r="C441" s="2">
        <v>-880.0</v>
      </c>
      <c r="D441" s="2">
        <v>-374.0</v>
      </c>
      <c r="E441" s="2">
        <v>-178.73</v>
      </c>
    </row>
    <row r="442" spans="1:5" x14ac:dyDescent="0.15">
      <c r="A442" s="2" t="s">
        <f>"093000047920001"</f>
        <v>881</v>
      </c>
      <c r="B442" s="2" t="s">
        <f>"付国景"</f>
        <v>882</v>
      </c>
      <c r="C442" s="2">
        <v>0.0</v>
      </c>
      <c r="D442" s="2">
        <v>500.0</v>
      </c>
      <c r="E442" s="2">
        <v>-107.77</v>
      </c>
    </row>
    <row r="443" spans="1:5" x14ac:dyDescent="0.15">
      <c r="A443" s="2" t="s">
        <f>"093000047920002"</f>
        <v>883</v>
      </c>
      <c r="B443" s="2" t="s">
        <f>"和成栓"</f>
        <v>884</v>
      </c>
      <c r="C443" s="2">
        <v>0.0</v>
      </c>
      <c r="D443" s="2">
        <v>0.0</v>
      </c>
      <c r="E443" s="2">
        <v>0.0</v>
      </c>
    </row>
    <row r="444" spans="1:5" x14ac:dyDescent="0.15">
      <c r="A444" s="2" t="s">
        <f>"093000059920009"</f>
        <v>885</v>
      </c>
      <c r="B444" s="2" t="s">
        <f>"申康佳"</f>
        <v>886</v>
      </c>
      <c r="C444" s="2">
        <v>0.0</v>
      </c>
      <c r="D444" s="2">
        <v>0.0</v>
      </c>
      <c r="E444" s="2">
        <v>0.0</v>
      </c>
    </row>
    <row r="445" spans="1:5" x14ac:dyDescent="0.15">
      <c r="A445" s="2" t="s">
        <f>"093000040001920064"</f>
        <v>887</v>
      </c>
      <c r="B445" s="2" t="s">
        <f>"郭金玲"</f>
        <v>888</v>
      </c>
      <c r="C445" s="2">
        <v>0.0</v>
      </c>
      <c r="D445" s="2">
        <v>1658.0</v>
      </c>
      <c r="E445" s="2">
        <v>-362.87</v>
      </c>
    </row>
    <row r="446" spans="1:5" x14ac:dyDescent="0.15">
      <c r="A446" s="2" t="s">
        <f>"093000040001920065"</f>
        <v>889</v>
      </c>
      <c r="B446" s="2" t="s">
        <f>"梁照练"</f>
        <v>890</v>
      </c>
      <c r="C446" s="2">
        <v>0.0</v>
      </c>
      <c r="D446" s="2">
        <v>0.0</v>
      </c>
      <c r="E446" s="2">
        <v>0.0</v>
      </c>
    </row>
    <row r="447" spans="1:5" x14ac:dyDescent="0.15">
      <c r="A447" s="2" t="s">
        <f>"093000037920038"</f>
        <v>891</v>
      </c>
      <c r="B447" s="2" t="s">
        <f>"马灵灵"</f>
        <v>892</v>
      </c>
      <c r="C447" s="2">
        <v>-300.0</v>
      </c>
      <c r="D447" s="2">
        <v>-893.0</v>
      </c>
      <c r="E447" s="2">
        <v>-871.08</v>
      </c>
    </row>
    <row r="448" spans="1:5" x14ac:dyDescent="0.15">
      <c r="A448" s="2" t="s">
        <f>"0930000000020"</f>
        <v>893</v>
      </c>
      <c r="B448" s="2" t="s">
        <f>"郭还还"</f>
        <v>894</v>
      </c>
      <c r="C448" s="2">
        <v>0.0</v>
      </c>
      <c r="D448" s="2">
        <v>0.0</v>
      </c>
      <c r="E448" s="2">
        <v>0.0</v>
      </c>
    </row>
    <row r="449" spans="1:5" x14ac:dyDescent="0.15">
      <c r="A449" s="2" t="s">
        <f>"0930000000026"</f>
        <v>895</v>
      </c>
      <c r="B449" s="2" t="s">
        <f>"黄星"</f>
        <v>896</v>
      </c>
      <c r="C449" s="2">
        <v>-228.0</v>
      </c>
      <c r="D449" s="2">
        <v>-3179.0</v>
      </c>
      <c r="E449" s="2">
        <v>-1512.18</v>
      </c>
    </row>
    <row r="450" spans="1:5" x14ac:dyDescent="0.15">
      <c r="A450" s="2" t="s">
        <f>"0930000000027"</f>
        <v>897</v>
      </c>
      <c r="B450" s="2" t="s">
        <f>"郭宗良"</f>
        <v>898</v>
      </c>
      <c r="C450" s="2">
        <v>0.0</v>
      </c>
      <c r="D450" s="2">
        <v>0.0</v>
      </c>
      <c r="E450" s="2">
        <v>0.0</v>
      </c>
    </row>
    <row r="451" spans="1:5" x14ac:dyDescent="0.15">
      <c r="A451" s="2" t="s">
        <f>"093000047920003"</f>
        <v>899</v>
      </c>
      <c r="B451" s="2" t="s">
        <f>"宋克铎"</f>
        <v>900</v>
      </c>
      <c r="C451" s="2">
        <v>0.0</v>
      </c>
      <c r="D451" s="2">
        <v>0.0</v>
      </c>
      <c r="E451" s="2">
        <v>0.0</v>
      </c>
    </row>
    <row r="452" spans="1:5" x14ac:dyDescent="0.15">
      <c r="A452" s="2" t="s">
        <f>"093000920402"</f>
        <v>901</v>
      </c>
      <c r="B452" s="2" t="s">
        <f>"宋冲冲"</f>
        <v>902</v>
      </c>
      <c r="C452" s="2">
        <v>0.0</v>
      </c>
      <c r="D452" s="2">
        <v>0.0</v>
      </c>
      <c r="E452" s="2">
        <v>0.0</v>
      </c>
    </row>
    <row r="453" spans="1:5" x14ac:dyDescent="0.15">
      <c r="A453" s="2" t="s">
        <f>"093000049920035"</f>
        <v>903</v>
      </c>
      <c r="B453" s="2" t="s">
        <f>"魏元章"</f>
        <v>904</v>
      </c>
      <c r="C453" s="2">
        <v>0.0</v>
      </c>
      <c r="D453" s="2">
        <v>-562.0</v>
      </c>
      <c r="E453" s="2">
        <v>-187.88</v>
      </c>
    </row>
    <row r="454" spans="1:5" x14ac:dyDescent="0.15">
      <c r="A454" s="2" t="s">
        <f>"093000063920006"</f>
        <v>905</v>
      </c>
      <c r="B454" s="2" t="s">
        <f>"应帅"</f>
        <v>906</v>
      </c>
      <c r="C454" s="2">
        <v>0.0</v>
      </c>
      <c r="D454" s="2">
        <v>-1020.0</v>
      </c>
      <c r="E454" s="2">
        <v>-79.22</v>
      </c>
    </row>
    <row r="455" spans="1:5" x14ac:dyDescent="0.15">
      <c r="A455" s="2" t="s">
        <f>"093000040920037"</f>
        <v>907</v>
      </c>
      <c r="B455" s="2" t="s">
        <f>"邓江艳"</f>
        <v>908</v>
      </c>
      <c r="C455" s="2">
        <v>-486.0</v>
      </c>
      <c r="D455" s="2">
        <v>-618.0</v>
      </c>
      <c r="E455" s="2">
        <v>-806.46</v>
      </c>
    </row>
    <row r="456" spans="1:5" x14ac:dyDescent="0.15">
      <c r="A456" s="2" t="s">
        <f>"093000068920005"</f>
        <v>909</v>
      </c>
      <c r="B456" s="2" t="s">
        <f>"何珏"</f>
        <v>910</v>
      </c>
      <c r="C456" s="2">
        <v>0.0</v>
      </c>
      <c r="D456" s="2">
        <v>0.0</v>
      </c>
      <c r="E456" s="2">
        <v>0.0</v>
      </c>
    </row>
    <row r="457" spans="1:5" x14ac:dyDescent="0.15">
      <c r="A457" s="2" t="s">
        <f>"093000059920010"</f>
        <v>911</v>
      </c>
      <c r="B457" s="2" t="s">
        <f>"蒋海涛"</f>
        <v>912</v>
      </c>
      <c r="C457" s="2">
        <v>0.0</v>
      </c>
      <c r="D457" s="2">
        <v>0.0</v>
      </c>
      <c r="E457" s="2">
        <v>0.0</v>
      </c>
    </row>
    <row r="458" spans="1:5" x14ac:dyDescent="0.15">
      <c r="A458" s="2" t="s">
        <f>"0930000000028"</f>
        <v>913</v>
      </c>
      <c r="B458" s="2" t="s">
        <f>"吴桂霞"</f>
        <v>914</v>
      </c>
      <c r="C458" s="2">
        <v>195.0</v>
      </c>
      <c r="D458" s="2">
        <v>-1709.0</v>
      </c>
      <c r="E458" s="2">
        <v>-579.99</v>
      </c>
    </row>
    <row r="459" spans="1:5" x14ac:dyDescent="0.15">
      <c r="A459" s="2" t="s">
        <f>"093000049920036"</f>
        <v>915</v>
      </c>
      <c r="B459" s="2" t="s">
        <f>"张静"</f>
        <v>916</v>
      </c>
      <c r="C459" s="2">
        <v>0.0</v>
      </c>
      <c r="D459" s="2">
        <v>-920.0</v>
      </c>
      <c r="E459" s="2">
        <v>-77.54</v>
      </c>
    </row>
    <row r="460" spans="1:5" x14ac:dyDescent="0.15">
      <c r="A460" s="2" t="s">
        <f>"093000037920039"</f>
        <v>917</v>
      </c>
      <c r="B460" s="2" t="s">
        <f>"杨帅"</f>
        <v>918</v>
      </c>
      <c r="C460" s="2">
        <v>0.0</v>
      </c>
      <c r="D460" s="2">
        <v>0.0</v>
      </c>
      <c r="E460" s="2">
        <v>0.0</v>
      </c>
    </row>
    <row r="461" spans="1:5" x14ac:dyDescent="0.15">
      <c r="A461" s="2" t="s">
        <f>"093000040001920067"</f>
        <v>919</v>
      </c>
      <c r="B461" s="2" t="s">
        <f>"卢艺"</f>
        <v>920</v>
      </c>
      <c r="C461" s="2">
        <v>0.0</v>
      </c>
      <c r="D461" s="2">
        <v>-1280.0</v>
      </c>
      <c r="E461" s="2">
        <v>-159.04</v>
      </c>
    </row>
    <row r="462" spans="1:5" x14ac:dyDescent="0.15">
      <c r="A462" s="2" t="s">
        <f>"093000040920039"</f>
        <v>921</v>
      </c>
      <c r="B462" s="2" t="s">
        <f>"郭晓辉"</f>
        <v>922</v>
      </c>
      <c r="C462" s="2">
        <v>0.0</v>
      </c>
      <c r="D462" s="2">
        <v>104.0</v>
      </c>
      <c r="E462" s="2">
        <v>-110.81</v>
      </c>
    </row>
    <row r="463" spans="1:5" x14ac:dyDescent="0.15">
      <c r="A463" s="2" t="s">
        <f>"093000040920038"</f>
        <v>923</v>
      </c>
      <c r="B463" s="2" t="s">
        <f>"张继存"</f>
        <v>924</v>
      </c>
      <c r="C463" s="2">
        <v>0.0</v>
      </c>
      <c r="D463" s="2">
        <v>0.0</v>
      </c>
      <c r="E463" s="2">
        <v>0.0</v>
      </c>
    </row>
    <row r="464" spans="1:5" x14ac:dyDescent="0.15">
      <c r="A464" s="2" t="s">
        <f>"093000041920021"</f>
        <v>925</v>
      </c>
      <c r="B464" s="2" t="s">
        <f>"邬振"</f>
        <v>926</v>
      </c>
      <c r="C464" s="2">
        <v>0.0</v>
      </c>
      <c r="D464" s="2">
        <v>-1138.0</v>
      </c>
      <c r="E464" s="2">
        <v>-111.42</v>
      </c>
    </row>
    <row r="465" spans="1:5" x14ac:dyDescent="0.15">
      <c r="A465" s="2" t="s">
        <f>"093000037920040"</f>
        <v>927</v>
      </c>
      <c r="B465" s="2" t="s">
        <f>"冯锦辉"</f>
        <v>928</v>
      </c>
      <c r="C465" s="2">
        <v>-158.0</v>
      </c>
      <c r="D465" s="2">
        <v>1319.0</v>
      </c>
      <c r="E465" s="2">
        <v>-1121.75</v>
      </c>
    </row>
    <row r="466" spans="1:5" x14ac:dyDescent="0.15">
      <c r="A466" s="2" t="s">
        <f>"093000067920033"</f>
        <v>929</v>
      </c>
      <c r="B466" s="2" t="s">
        <f>"刘九平"</f>
        <v>930</v>
      </c>
      <c r="C466" s="2">
        <v>0.0</v>
      </c>
      <c r="D466" s="2">
        <v>0.0</v>
      </c>
      <c r="E466" s="2">
        <v>0.0</v>
      </c>
    </row>
    <row r="467" spans="1:5" x14ac:dyDescent="0.15">
      <c r="A467" s="2" t="s">
        <f>"0930000000029"</f>
        <v>931</v>
      </c>
      <c r="B467" s="2" t="s">
        <f>"代世文"</f>
        <v>932</v>
      </c>
      <c r="C467" s="2">
        <v>0.0</v>
      </c>
      <c r="D467" s="2">
        <v>0.0</v>
      </c>
      <c r="E467" s="2">
        <v>0.0</v>
      </c>
    </row>
    <row r="468" spans="1:5" x14ac:dyDescent="0.15">
      <c r="A468" s="2" t="s">
        <f>"093000037920041"</f>
        <v>933</v>
      </c>
      <c r="B468" s="2" t="s">
        <f>"韩玉坤"</f>
        <v>934</v>
      </c>
      <c r="C468" s="2">
        <v>0.0</v>
      </c>
      <c r="D468" s="2">
        <v>-172.0</v>
      </c>
      <c r="E468" s="2">
        <v>-48.75</v>
      </c>
    </row>
    <row r="469" spans="1:5" x14ac:dyDescent="0.15">
      <c r="A469" s="2" t="s">
        <f>"093000040001920068"</f>
        <v>935</v>
      </c>
      <c r="B469" s="2" t="s">
        <f>"邱明铭"</f>
        <v>936</v>
      </c>
      <c r="C469" s="2">
        <v>0.0</v>
      </c>
      <c r="D469" s="2">
        <v>-1134.0</v>
      </c>
      <c r="E469" s="2">
        <v>-119.66</v>
      </c>
    </row>
    <row r="470" spans="1:5" x14ac:dyDescent="0.15">
      <c r="A470" s="2" t="s">
        <f>"093000046920006"</f>
        <v>937</v>
      </c>
      <c r="B470" s="2" t="s">
        <f>"杨文辉"</f>
        <v>938</v>
      </c>
      <c r="C470" s="2">
        <v>-60.0</v>
      </c>
      <c r="D470" s="2">
        <v>-3907.0</v>
      </c>
      <c r="E470" s="2">
        <v>-4082.07</v>
      </c>
    </row>
    <row r="471" spans="1:5" x14ac:dyDescent="0.15">
      <c r="A471" s="2" t="s">
        <f>"093000040920040"</f>
        <v>939</v>
      </c>
      <c r="B471" s="2" t="s">
        <f>"毛延涛"</f>
        <v>940</v>
      </c>
      <c r="C471" s="2">
        <v>0.0</v>
      </c>
      <c r="D471" s="2">
        <v>0.0</v>
      </c>
      <c r="E471" s="2">
        <v>0.0</v>
      </c>
    </row>
    <row r="472" spans="1:5" x14ac:dyDescent="0.15">
      <c r="A472" s="2" t="s">
        <f>"0930000000030"</f>
        <v>941</v>
      </c>
      <c r="B472" s="2" t="s">
        <f>"丘文发"</f>
        <v>942</v>
      </c>
      <c r="C472" s="2">
        <v>0.0</v>
      </c>
      <c r="D472" s="2">
        <v>-980.0</v>
      </c>
      <c r="E472" s="2">
        <v>-78.58</v>
      </c>
    </row>
    <row r="473" spans="1:5" x14ac:dyDescent="0.15">
      <c r="A473" s="2" t="s">
        <f>"0930000740000"</f>
        <v>943</v>
      </c>
      <c r="B473" s="2" t="s">
        <f>"林锦荣"</f>
        <v>944</v>
      </c>
      <c r="C473" s="2">
        <v>0.0</v>
      </c>
      <c r="D473" s="2">
        <v>588.0</v>
      </c>
      <c r="E473" s="2">
        <v>-320.64</v>
      </c>
    </row>
    <row r="474" spans="1:5" x14ac:dyDescent="0.15">
      <c r="A474" s="2" t="s">
        <f>"0930000000031"</f>
        <v>945</v>
      </c>
      <c r="B474" s="2" t="s">
        <f>"任亚迪"</f>
        <v>946</v>
      </c>
      <c r="C474" s="2">
        <v>0.0</v>
      </c>
      <c r="D474" s="2">
        <v>-83.0</v>
      </c>
      <c r="E474" s="2">
        <v>-14.08</v>
      </c>
    </row>
    <row r="475" spans="1:5" x14ac:dyDescent="0.15">
      <c r="A475" s="2" t="s">
        <f>"093000067920035"</f>
        <v>947</v>
      </c>
      <c r="B475" s="2" t="s">
        <f>"周浩"</f>
        <v>948</v>
      </c>
      <c r="C475" s="2">
        <v>0.0</v>
      </c>
      <c r="D475" s="2">
        <v>0.0</v>
      </c>
      <c r="E475" s="2">
        <v>0.0</v>
      </c>
    </row>
    <row r="476" spans="1:5" x14ac:dyDescent="0.15">
      <c r="A476" s="2" t="s">
        <f>"0930000000032"</f>
        <v>949</v>
      </c>
      <c r="B476" s="2" t="s">
        <f>"王立"</f>
        <v>950</v>
      </c>
      <c r="C476" s="2">
        <v>49.0</v>
      </c>
      <c r="D476" s="2">
        <v>634.0</v>
      </c>
      <c r="E476" s="2">
        <v>-487.24</v>
      </c>
    </row>
    <row r="477" spans="1:5" x14ac:dyDescent="0.15">
      <c r="A477" s="2" t="s">
        <f>"0930000000033"</f>
        <v>951</v>
      </c>
      <c r="B477" s="2" t="s">
        <f>"魏乾卫"</f>
        <v>952</v>
      </c>
      <c r="C477" s="2">
        <v>0.0</v>
      </c>
      <c r="D477" s="2">
        <v>-18.0</v>
      </c>
      <c r="E477" s="2">
        <v>-7.06</v>
      </c>
    </row>
    <row r="478" spans="1:5" x14ac:dyDescent="0.15">
      <c r="A478" s="2" t="s">
        <f>"093000920410"</f>
        <v>953</v>
      </c>
      <c r="B478" s="2" t="s">
        <f>"朱树果"</f>
        <v>954</v>
      </c>
      <c r="C478" s="2">
        <v>-309.0</v>
      </c>
      <c r="D478" s="2">
        <v>-1105.0</v>
      </c>
      <c r="E478" s="2">
        <v>-275.87</v>
      </c>
    </row>
    <row r="479" spans="1:5" x14ac:dyDescent="0.15">
      <c r="A479" s="2" t="s">
        <f>"093000040001920070"</f>
        <v>955</v>
      </c>
      <c r="B479" s="2" t="s">
        <f>"宁淑梅"</f>
        <v>956</v>
      </c>
      <c r="C479" s="2">
        <v>0.0</v>
      </c>
      <c r="D479" s="2">
        <v>0.0</v>
      </c>
      <c r="E479" s="2">
        <v>0.0</v>
      </c>
    </row>
    <row r="480" spans="1:5" x14ac:dyDescent="0.15">
      <c r="A480" s="2" t="s">
        <f>"093000068920007"</f>
        <v>957</v>
      </c>
      <c r="B480" s="2" t="s">
        <f>"蔡桁"</f>
        <v>958</v>
      </c>
      <c r="C480" s="2">
        <v>0.0</v>
      </c>
      <c r="D480" s="2">
        <v>-954.0</v>
      </c>
      <c r="E480" s="2">
        <v>-110.86</v>
      </c>
    </row>
    <row r="481" spans="1:5" x14ac:dyDescent="0.15">
      <c r="A481" s="2" t="s">
        <f>"093000046920007"</f>
        <v>959</v>
      </c>
      <c r="B481" s="2" t="s">
        <f>"李树先"</f>
        <v>960</v>
      </c>
      <c r="C481" s="2">
        <v>-650.0</v>
      </c>
      <c r="D481" s="2">
        <v>-543.0</v>
      </c>
      <c r="E481" s="2">
        <v>-899.44</v>
      </c>
    </row>
    <row r="482" spans="1:5" x14ac:dyDescent="0.15">
      <c r="A482" s="2" t="s">
        <f>"093000067920037"</f>
        <v>961</v>
      </c>
      <c r="B482" s="2" t="s">
        <f>"王华涛"</f>
        <v>962</v>
      </c>
      <c r="C482" s="2">
        <v>0.0</v>
      </c>
      <c r="D482" s="2">
        <v>-8.0</v>
      </c>
      <c r="E482" s="2">
        <v>-7.05</v>
      </c>
    </row>
    <row r="483" spans="1:5" x14ac:dyDescent="0.15">
      <c r="A483" s="2" t="s">
        <f>"093000040001920069"</f>
        <v>963</v>
      </c>
      <c r="B483" s="2" t="s">
        <f>"邱丽妮"</f>
        <v>964</v>
      </c>
      <c r="C483" s="2">
        <v>2443.0</v>
      </c>
      <c r="D483" s="2">
        <v>-612.0</v>
      </c>
      <c r="E483" s="2">
        <v>-173.27</v>
      </c>
    </row>
    <row r="484" spans="1:5" x14ac:dyDescent="0.15">
      <c r="A484" s="2" t="s">
        <f>"093000064920014"</f>
        <v>965</v>
      </c>
      <c r="B484" s="2" t="s">
        <f>"庞金龙"</f>
        <v>966</v>
      </c>
      <c r="C484" s="2">
        <v>-246.0</v>
      </c>
      <c r="D484" s="2">
        <v>-207.0</v>
      </c>
      <c r="E484" s="2">
        <v>-1388.59</v>
      </c>
    </row>
    <row r="485" spans="1:5" x14ac:dyDescent="0.15">
      <c r="A485" s="2" t="s">
        <f>"0930000000034"</f>
        <v>967</v>
      </c>
      <c r="B485" s="2" t="s">
        <f>"陈赞汝"</f>
        <v>968</v>
      </c>
      <c r="C485" s="2">
        <v>0.0</v>
      </c>
      <c r="D485" s="2">
        <v>1000.0</v>
      </c>
      <c r="E485" s="2">
        <v>-79.1</v>
      </c>
    </row>
    <row r="486" spans="1:5" x14ac:dyDescent="0.15">
      <c r="A486" s="2" t="s">
        <f>"0930000000035"</f>
        <v>969</v>
      </c>
      <c r="B486" s="2" t="s">
        <f>"郭君蒙"</f>
        <v>970</v>
      </c>
      <c r="C486" s="2">
        <v>0.0</v>
      </c>
      <c r="D486" s="2">
        <v>0.0</v>
      </c>
      <c r="E486" s="2">
        <v>0.0</v>
      </c>
    </row>
    <row r="487" spans="1:5" x14ac:dyDescent="0.15">
      <c r="A487" s="2" t="s">
        <f>"093000064920016"</f>
        <v>971</v>
      </c>
      <c r="B487" s="2" t="s">
        <f>"潘志远"</f>
        <v>972</v>
      </c>
      <c r="C487" s="2">
        <v>-215.0</v>
      </c>
      <c r="D487" s="2">
        <v>1088.0</v>
      </c>
      <c r="E487" s="2">
        <v>-510.2</v>
      </c>
    </row>
    <row r="488" spans="1:5" x14ac:dyDescent="0.15">
      <c r="A488" s="2" t="s">
        <f>"093000064920017"</f>
        <v>973</v>
      </c>
      <c r="B488" s="2" t="s">
        <f>"闫振强"</f>
        <v>974</v>
      </c>
      <c r="C488" s="2">
        <v>-1648.0</v>
      </c>
      <c r="D488" s="2">
        <v>-1711.0</v>
      </c>
      <c r="E488" s="2">
        <v>-1010.0</v>
      </c>
    </row>
    <row r="489" spans="1:5" x14ac:dyDescent="0.15">
      <c r="A489" s="2" t="s">
        <f>"093000067920039"</f>
        <v>975</v>
      </c>
      <c r="B489" s="2" t="s">
        <f>" 刘俊"</f>
        <v>976</v>
      </c>
      <c r="C489" s="2">
        <v>0.0</v>
      </c>
      <c r="D489" s="2">
        <v>0.0</v>
      </c>
      <c r="E489" s="2">
        <v>0.0</v>
      </c>
    </row>
    <row r="490" spans="1:5" x14ac:dyDescent="0.15">
      <c r="A490" s="2" t="s">
        <f>"093000067920039"</f>
        <v>975</v>
      </c>
      <c r="B490" s="2" t="s">
        <f>"刘俊"</f>
        <v>329</v>
      </c>
      <c r="C490" s="2">
        <v>0.0</v>
      </c>
      <c r="D490" s="2">
        <v>0.0</v>
      </c>
      <c r="E490" s="2">
        <v>0.0</v>
      </c>
    </row>
    <row r="491" spans="1:5" x14ac:dyDescent="0.15">
      <c r="A491" s="2" t="s">
        <f>"093000059920011"</f>
        <v>977</v>
      </c>
      <c r="B491" s="2" t="s">
        <f>"张洁"</f>
        <v>978</v>
      </c>
      <c r="C491" s="2">
        <v>-420.0</v>
      </c>
      <c r="D491" s="2">
        <v>-529.0</v>
      </c>
      <c r="E491" s="2">
        <v>-2120.02</v>
      </c>
    </row>
    <row r="492" spans="1:5" x14ac:dyDescent="0.15">
      <c r="A492" s="2" t="s">
        <f>"093000071920002"</f>
        <v>979</v>
      </c>
      <c r="B492" s="2" t="s">
        <f>"郑长江"</f>
        <v>980</v>
      </c>
      <c r="C492" s="2">
        <v>0.0</v>
      </c>
      <c r="D492" s="2">
        <v>0.0</v>
      </c>
      <c r="E492" s="2">
        <v>0.0</v>
      </c>
    </row>
    <row r="493" spans="1:5" x14ac:dyDescent="0.15">
      <c r="A493" s="2" t="s">
        <f>"093000040920041"</f>
        <v>981</v>
      </c>
      <c r="B493" s="2" t="s">
        <f>"张延军"</f>
        <v>982</v>
      </c>
      <c r="C493" s="2">
        <v>0.0</v>
      </c>
      <c r="D493" s="2">
        <v>0.0</v>
      </c>
      <c r="E493" s="2">
        <v>0.0</v>
      </c>
    </row>
    <row r="494" spans="1:5" x14ac:dyDescent="0.15">
      <c r="A494" s="2" t="s">
        <f>"093000040920042"</f>
        <v>983</v>
      </c>
      <c r="B494" s="2" t="s">
        <f>"肖洒"</f>
        <v>984</v>
      </c>
      <c r="C494" s="2">
        <v>-411.0</v>
      </c>
      <c r="D494" s="2">
        <v>-854.0</v>
      </c>
      <c r="E494" s="2">
        <v>-113.77</v>
      </c>
    </row>
    <row r="495" spans="1:5" x14ac:dyDescent="0.15">
      <c r="A495" s="2" t="s">
        <f>"093000920413"</f>
        <v>985</v>
      </c>
      <c r="B495" s="2" t="s">
        <f>"胡娟"</f>
        <v>986</v>
      </c>
      <c r="C495" s="2">
        <v>0.0</v>
      </c>
      <c r="D495" s="2">
        <v>0.0</v>
      </c>
      <c r="E495" s="2">
        <v>0.0</v>
      </c>
    </row>
    <row r="496" spans="1:5" x14ac:dyDescent="0.15">
      <c r="A496" s="2" t="s">
        <f>"0930000740002"</f>
        <v>987</v>
      </c>
      <c r="B496" s="2" t="s">
        <v>988</v>
      </c>
      <c r="C496" s="2">
        <v>-829.0</v>
      </c>
      <c r="D496" s="2">
        <v>-244.0</v>
      </c>
      <c r="E496" s="2">
        <v>-88.19</v>
      </c>
    </row>
    <row r="497" spans="1:5" x14ac:dyDescent="0.15">
      <c r="A497" s="2" t="s">
        <f>"0930000740002"</f>
        <v>987</v>
      </c>
      <c r="B497" s="2" t="s">
        <f>"彭志恒 "</f>
        <v>989</v>
      </c>
      <c r="C497" s="2">
        <v>0.0</v>
      </c>
      <c r="D497" s="2">
        <v>-288.0</v>
      </c>
      <c r="E497" s="2">
        <v>-47.75</v>
      </c>
    </row>
    <row r="498" spans="1:5" x14ac:dyDescent="0.15">
      <c r="A498" s="2" t="s">
        <f>"0930000740003"</f>
        <v>990</v>
      </c>
      <c r="B498" s="2" t="s">
        <f>"孟家才"</f>
        <v>991</v>
      </c>
      <c r="C498" s="2">
        <v>0.0</v>
      </c>
      <c r="D498" s="2">
        <v>0.0</v>
      </c>
      <c r="E498" s="2">
        <v>0.0</v>
      </c>
    </row>
    <row r="499" spans="1:5" x14ac:dyDescent="0.15">
      <c r="A499" s="2" t="s">
        <f>"093000920415"</f>
        <v>992</v>
      </c>
      <c r="B499" s="2" t="s">
        <f>"任颖俊"</f>
        <v>993</v>
      </c>
      <c r="C499" s="2">
        <v>0.0</v>
      </c>
      <c r="D499" s="2">
        <v>0.0</v>
      </c>
      <c r="E499" s="2">
        <v>0.0</v>
      </c>
    </row>
    <row r="500" spans="1:5" x14ac:dyDescent="0.15">
      <c r="A500" s="2" t="s">
        <f>"093000920414"</f>
        <v>994</v>
      </c>
      <c r="B500" s="2" t="s">
        <f>"张恒"</f>
        <v>995</v>
      </c>
      <c r="C500" s="2">
        <v>0.0</v>
      </c>
      <c r="D500" s="2">
        <v>354.0</v>
      </c>
      <c r="E500" s="2">
        <v>-112.32</v>
      </c>
    </row>
    <row r="501" spans="1:5" x14ac:dyDescent="0.15">
      <c r="A501" s="2" t="s">
        <f>"093000041920022"</f>
        <v>996</v>
      </c>
      <c r="B501" s="2" t="s">
        <f>"谭观峰"</f>
        <v>997</v>
      </c>
      <c r="C501" s="2">
        <v>0.0</v>
      </c>
      <c r="D501" s="2">
        <v>-1088.0</v>
      </c>
      <c r="E501" s="2">
        <v>-109.4</v>
      </c>
    </row>
    <row r="502" spans="1:5" x14ac:dyDescent="0.15">
      <c r="A502" s="2" t="s">
        <f>"093000044920002"</f>
        <v>998</v>
      </c>
      <c r="B502" s="2" t="s">
        <f>"吕淅淅"</f>
        <v>999</v>
      </c>
      <c r="C502" s="2">
        <v>0.0</v>
      </c>
      <c r="D502" s="2">
        <v>0.0</v>
      </c>
      <c r="E502" s="2">
        <v>0.0</v>
      </c>
    </row>
    <row r="503" spans="1:5" x14ac:dyDescent="0.15">
      <c r="A503" s="2" t="s">
        <f>"093000920419"</f>
        <v>1000</v>
      </c>
      <c r="B503" s="2" t="s">
        <f>"郑翔宇"</f>
        <v>1001</v>
      </c>
      <c r="C503" s="2">
        <v>0.0</v>
      </c>
      <c r="D503" s="2">
        <v>-3.0</v>
      </c>
      <c r="E503" s="2">
        <v>-6.96</v>
      </c>
    </row>
    <row r="504" spans="1:5" x14ac:dyDescent="0.15">
      <c r="A504" s="2" t="s">
        <f>"093000064920020"</f>
        <v>1002</v>
      </c>
      <c r="B504" s="2" t="s">
        <f>"李华敏"</f>
        <v>1003</v>
      </c>
      <c r="C504" s="2">
        <v>0.0</v>
      </c>
      <c r="D504" s="2">
        <v>-1096.0</v>
      </c>
      <c r="E504" s="2">
        <v>-217.19</v>
      </c>
    </row>
    <row r="505" spans="1:5" x14ac:dyDescent="0.15">
      <c r="A505" s="2" t="s">
        <f>"093000066920003"</f>
        <v>1004</v>
      </c>
      <c r="B505" s="2" t="s">
        <f>"杨寒超"</f>
        <v>1005</v>
      </c>
      <c r="C505" s="2">
        <v>0.0</v>
      </c>
      <c r="D505" s="2">
        <v>0.0</v>
      </c>
      <c r="E505" s="2">
        <v>0.0</v>
      </c>
    </row>
    <row r="506" spans="1:5" x14ac:dyDescent="0.15">
      <c r="A506" s="2" t="s">
        <f>"093000920420"</f>
        <v>1006</v>
      </c>
      <c r="B506" s="2" t="s">
        <f>"樊首品"</f>
        <v>1007</v>
      </c>
      <c r="C506" s="2">
        <v>-11939.0</v>
      </c>
      <c r="D506" s="2">
        <v>5341.0</v>
      </c>
      <c r="E506" s="2">
        <v>-2809.71</v>
      </c>
    </row>
    <row r="507" spans="1:5" x14ac:dyDescent="0.15">
      <c r="A507" s="2" t="s">
        <f>"0930000740001"</f>
        <v>1008</v>
      </c>
      <c r="B507" s="2" t="s">
        <f>"杨昌优"</f>
        <v>1009</v>
      </c>
      <c r="C507" s="2">
        <v>0.0</v>
      </c>
      <c r="D507" s="2">
        <v>0.0</v>
      </c>
      <c r="E507" s="2">
        <v>0.0</v>
      </c>
    </row>
    <row r="508" spans="1:5" x14ac:dyDescent="0.15">
      <c r="A508" s="2" t="s">
        <f>"093000920423"</f>
        <v>1010</v>
      </c>
      <c r="B508" s="2" t="s">
        <f>"罗玮"</f>
        <v>1011</v>
      </c>
      <c r="C508" s="2">
        <v>0.0</v>
      </c>
      <c r="D508" s="2">
        <v>0.0</v>
      </c>
      <c r="E508" s="2">
        <v>0.0</v>
      </c>
    </row>
    <row r="509" spans="1:5" x14ac:dyDescent="0.15">
      <c r="A509" s="2" t="s">
        <f>"093000059920012"</f>
        <v>1012</v>
      </c>
      <c r="B509" s="2" t="s">
        <f>"李军伟"</f>
        <v>1013</v>
      </c>
      <c r="C509" s="2">
        <v>-896.0</v>
      </c>
      <c r="D509" s="2">
        <v>-5724.0</v>
      </c>
      <c r="E509" s="2">
        <v>-3278.86</v>
      </c>
    </row>
    <row r="510" spans="1:5" x14ac:dyDescent="0.15">
      <c r="A510" s="2" t="s">
        <f>"093000046920008"</f>
        <v>1014</v>
      </c>
      <c r="B510" s="2" t="s">
        <f>"李玉勤"</f>
        <v>1015</v>
      </c>
      <c r="C510" s="2">
        <v>0.0</v>
      </c>
      <c r="D510" s="2">
        <v>-753.0</v>
      </c>
      <c r="E510" s="2">
        <v>-234.77</v>
      </c>
    </row>
    <row r="511" spans="1:5" x14ac:dyDescent="0.15">
      <c r="A511" s="2" t="s">
        <f>"093000066920008"</f>
        <v>1016</v>
      </c>
      <c r="B511" s="2" t="s">
        <f>"杨帅"</f>
        <v>918</v>
      </c>
      <c r="C511" s="2">
        <v>0.0</v>
      </c>
      <c r="D511" s="2">
        <v>0.0</v>
      </c>
      <c r="E511" s="2">
        <v>0.0</v>
      </c>
    </row>
    <row r="512" spans="1:5" x14ac:dyDescent="0.15">
      <c r="A512" s="2" t="s">
        <f>"093000063920010"</f>
        <v>1017</v>
      </c>
      <c r="B512" s="2" t="s">
        <f>"  罗小娟"</f>
        <v>1018</v>
      </c>
      <c r="C512" s="2">
        <v>0.0</v>
      </c>
      <c r="D512" s="2">
        <v>0.0</v>
      </c>
      <c r="E512" s="2">
        <v>0.0</v>
      </c>
    </row>
    <row r="513" spans="1:5" x14ac:dyDescent="0.15">
      <c r="A513" s="2" t="s">
        <f>"093000063920010"</f>
        <v>1017</v>
      </c>
      <c r="B513" s="2" t="s">
        <f>"罗小娟"</f>
        <v>1019</v>
      </c>
      <c r="C513" s="2">
        <v>0.0</v>
      </c>
      <c r="D513" s="2">
        <v>0.0</v>
      </c>
      <c r="E513" s="2">
        <v>0.0</v>
      </c>
    </row>
    <row r="514" spans="1:5" x14ac:dyDescent="0.15">
      <c r="A514" s="2" t="s">
        <f>"093000051920006"</f>
        <v>1020</v>
      </c>
      <c r="B514" s="2" t="s">
        <f>"郑志辉"</f>
        <v>1021</v>
      </c>
      <c r="C514" s="2">
        <v>0.0</v>
      </c>
      <c r="D514" s="2">
        <v>-649.0</v>
      </c>
      <c r="E514" s="2">
        <v>-396.52</v>
      </c>
    </row>
    <row r="515" spans="1:5" x14ac:dyDescent="0.15">
      <c r="A515" s="2" t="s">
        <f>"093000040001002"</f>
        <v>1022</v>
      </c>
      <c r="B515" s="2" t="s">
        <f>"肖健"</f>
        <v>1023</v>
      </c>
      <c r="C515" s="2">
        <v>0.0</v>
      </c>
      <c r="D515" s="2">
        <v>3049.0</v>
      </c>
      <c r="E515" s="2">
        <v>-576.71</v>
      </c>
    </row>
    <row r="516" spans="1:5" x14ac:dyDescent="0.15">
      <c r="A516" s="2" t="s">
        <f>"093000040001920071"</f>
        <v>1024</v>
      </c>
      <c r="B516" s="2" t="s">
        <f>"吕桂贞"</f>
        <v>1025</v>
      </c>
      <c r="C516" s="2">
        <v>0.0</v>
      </c>
      <c r="D516" s="2">
        <v>1000.0</v>
      </c>
      <c r="E516" s="2">
        <v>-79.0</v>
      </c>
    </row>
    <row r="517" spans="1:5" x14ac:dyDescent="0.15">
      <c r="A517" s="2" t="s">
        <f>"093000040001920073"</f>
        <v>1026</v>
      </c>
      <c r="B517" s="2" t="s">
        <f>"梁兴勇"</f>
        <v>1027</v>
      </c>
      <c r="C517" s="2">
        <v>-500.0</v>
      </c>
      <c r="D517" s="2">
        <v>-540.0</v>
      </c>
      <c r="E517" s="2">
        <v>-77.95</v>
      </c>
    </row>
    <row r="518" spans="1:5" x14ac:dyDescent="0.15">
      <c r="A518" s="2" t="s">
        <f>"093000040001920072"</f>
        <v>1028</v>
      </c>
      <c r="B518" s="2" t="s">
        <f>"林圣容"</f>
        <v>1029</v>
      </c>
      <c r="C518" s="2">
        <v>0.0</v>
      </c>
      <c r="D518" s="2">
        <v>0.0</v>
      </c>
      <c r="E518" s="2">
        <v>0.0</v>
      </c>
    </row>
    <row r="519" spans="1:5" x14ac:dyDescent="0.15">
      <c r="A519" s="2" t="s">
        <f>"093000040001920074"</f>
        <v>1030</v>
      </c>
      <c r="B519" s="2" t="s">
        <f>"余霞"</f>
        <v>1031</v>
      </c>
      <c r="C519" s="2">
        <v>0.0</v>
      </c>
      <c r="D519" s="2">
        <v>0.0</v>
      </c>
      <c r="E519" s="2">
        <v>0.0</v>
      </c>
    </row>
    <row r="520" spans="1:5" x14ac:dyDescent="0.15">
      <c r="A520" s="2" t="s">
        <f>"093000059920013"</f>
        <v>1032</v>
      </c>
      <c r="B520" s="2" t="s">
        <f>"李军良"</f>
        <v>1033</v>
      </c>
      <c r="C520" s="2">
        <v>-2952.0</v>
      </c>
      <c r="D520" s="2">
        <v>1686.0</v>
      </c>
      <c r="E520" s="2">
        <v>-3320.51</v>
      </c>
    </row>
    <row r="521" spans="1:5" x14ac:dyDescent="0.15">
      <c r="A521" s="2" t="s">
        <f>"093000068920008"</f>
        <v>1034</v>
      </c>
      <c r="B521" s="2" t="s">
        <f>"黄彩金"</f>
        <v>1035</v>
      </c>
      <c r="C521" s="2">
        <v>0.0</v>
      </c>
      <c r="D521" s="2">
        <v>-16.0</v>
      </c>
      <c r="E521" s="2">
        <v>-6.69</v>
      </c>
    </row>
    <row r="522" spans="1:5" x14ac:dyDescent="0.15">
      <c r="A522" s="2" t="s">
        <f>"093000049920037"</f>
        <v>1036</v>
      </c>
      <c r="B522" s="2" t="s">
        <f>"李佩"</f>
        <v>1037</v>
      </c>
      <c r="C522" s="2">
        <v>0.0</v>
      </c>
      <c r="D522" s="2">
        <v>70.0</v>
      </c>
      <c r="E522" s="2">
        <v>-110.87</v>
      </c>
    </row>
    <row r="523" spans="1:5" x14ac:dyDescent="0.15">
      <c r="A523" s="2" t="s">
        <f>"093000040920043"</f>
        <v>1038</v>
      </c>
      <c r="B523" s="2" t="s">
        <f>"杨兆金"</f>
        <v>1039</v>
      </c>
      <c r="C523" s="2">
        <v>0.0</v>
      </c>
      <c r="D523" s="2">
        <v>0.0</v>
      </c>
      <c r="E523" s="2">
        <v>0.0</v>
      </c>
    </row>
    <row r="524" spans="1:5" x14ac:dyDescent="0.15">
      <c r="A524" s="2" t="s">
        <f>"093000047920004"</f>
        <v>1040</v>
      </c>
      <c r="B524" s="2" t="s">
        <f>"付保玺"</f>
        <v>1041</v>
      </c>
      <c r="C524" s="2">
        <v>-659.0</v>
      </c>
      <c r="D524" s="2">
        <v>217.0</v>
      </c>
      <c r="E524" s="2">
        <v>-943.97</v>
      </c>
    </row>
    <row r="525" spans="1:5" x14ac:dyDescent="0.15">
      <c r="A525" s="2" t="s">
        <f>"093000064920021"</f>
        <v>1042</v>
      </c>
      <c r="B525" s="2" t="s">
        <f>"吴长建"</f>
        <v>1043</v>
      </c>
      <c r="C525" s="2">
        <v>0.0</v>
      </c>
      <c r="D525" s="2">
        <v>1455.0</v>
      </c>
      <c r="E525" s="2">
        <v>-111.09</v>
      </c>
    </row>
    <row r="526" spans="1:5" x14ac:dyDescent="0.15">
      <c r="A526" s="2" t="s">
        <f>"093000044920004"</f>
        <v>1044</v>
      </c>
      <c r="B526" s="2" t="s">
        <f>"贾西闯"</f>
        <v>1045</v>
      </c>
      <c r="C526" s="2">
        <v>0.0</v>
      </c>
      <c r="D526" s="2">
        <v>180.0</v>
      </c>
      <c r="E526" s="2">
        <v>-89.08</v>
      </c>
    </row>
    <row r="527" spans="1:5" x14ac:dyDescent="0.15">
      <c r="A527" s="2" t="s">
        <f>"093000047920005"</f>
        <v>1046</v>
      </c>
      <c r="B527" s="2" t="s">
        <f>"邢文勤"</f>
        <v>1047</v>
      </c>
      <c r="C527" s="2">
        <v>-2911.0</v>
      </c>
      <c r="D527" s="2">
        <v>564.0</v>
      </c>
      <c r="E527" s="2">
        <v>-2079.06</v>
      </c>
    </row>
    <row r="528" spans="1:5" x14ac:dyDescent="0.15">
      <c r="A528" s="2" t="s">
        <f>"093000040001920075"</f>
        <v>1048</v>
      </c>
      <c r="B528" s="2" t="s">
        <f>"林满章"</f>
        <v>1049</v>
      </c>
      <c r="C528" s="2">
        <v>320.0</v>
      </c>
      <c r="D528" s="2">
        <v>1560.0</v>
      </c>
      <c r="E528" s="2">
        <v>-219.51</v>
      </c>
    </row>
    <row r="529" spans="1:5" x14ac:dyDescent="0.15">
      <c r="A529" s="2" t="s">
        <f>"093000037920042"</f>
        <v>1050</v>
      </c>
      <c r="B529" s="2" t="s">
        <f>"张清明"</f>
        <v>1051</v>
      </c>
      <c r="C529" s="2">
        <v>0.0</v>
      </c>
      <c r="D529" s="2">
        <v>-1018.0</v>
      </c>
      <c r="E529" s="2">
        <v>-1127.41</v>
      </c>
    </row>
    <row r="530" spans="1:5" x14ac:dyDescent="0.15">
      <c r="A530" s="2" t="s">
        <f>"093000046920009"</f>
        <v>1052</v>
      </c>
      <c r="B530" s="2" t="s">
        <f>"侯林强"</f>
        <v>1053</v>
      </c>
      <c r="C530" s="2">
        <v>0.0</v>
      </c>
      <c r="D530" s="2">
        <v>0.0</v>
      </c>
      <c r="E530" s="2">
        <v>0.0</v>
      </c>
    </row>
    <row r="531" spans="1:5" x14ac:dyDescent="0.15">
      <c r="A531" s="2" t="s">
        <f>"093000920430"</f>
        <v>1054</v>
      </c>
      <c r="B531" s="2" t="s">
        <f>"方思玉"</f>
        <v>1055</v>
      </c>
      <c r="C531" s="2">
        <v>0.0</v>
      </c>
      <c r="D531" s="2">
        <v>114.0</v>
      </c>
      <c r="E531" s="2">
        <v>-56.12</v>
      </c>
    </row>
    <row r="532" spans="1:5" x14ac:dyDescent="0.15">
      <c r="A532" s="2" t="s">
        <f>"093000064920022"</f>
        <v>1056</v>
      </c>
      <c r="B532" s="2" t="s">
        <f>"王攀玄"</f>
        <v>1057</v>
      </c>
      <c r="C532" s="2">
        <v>-733.0</v>
      </c>
      <c r="D532" s="2">
        <v>-533.0</v>
      </c>
      <c r="E532" s="2">
        <v>-403.8</v>
      </c>
    </row>
    <row r="533" spans="1:5" x14ac:dyDescent="0.15">
      <c r="A533" s="2" t="s">
        <f>"0930000740004"</f>
        <v>1058</v>
      </c>
      <c r="B533" s="2" t="s">
        <f>"覃永扬"</f>
        <v>1059</v>
      </c>
      <c r="C533" s="2">
        <v>0.0</v>
      </c>
      <c r="D533" s="2">
        <v>974.0</v>
      </c>
      <c r="E533" s="2">
        <v>-108.88</v>
      </c>
    </row>
    <row r="534" spans="1:5" x14ac:dyDescent="0.15">
      <c r="A534" s="2" t="s">
        <f>"0930000000036"</f>
        <v>1060</v>
      </c>
      <c r="B534" s="2" t="s">
        <f>"祝洋洋"</f>
        <v>1061</v>
      </c>
      <c r="C534" s="2">
        <v>0.0</v>
      </c>
      <c r="D534" s="2">
        <v>0.0</v>
      </c>
      <c r="E534" s="2">
        <v>0.0</v>
      </c>
    </row>
    <row r="535" spans="1:5" x14ac:dyDescent="0.15">
      <c r="A535" s="2" t="s">
        <f>"093000070920006"</f>
        <v>1062</v>
      </c>
      <c r="B535" s="2" t="s">
        <f>"魏新杰"</f>
        <v>1063</v>
      </c>
      <c r="C535" s="2">
        <v>-588.0</v>
      </c>
      <c r="D535" s="2">
        <v>-292.0</v>
      </c>
      <c r="E535" s="2">
        <v>-221.78</v>
      </c>
    </row>
    <row r="536" spans="1:5" x14ac:dyDescent="0.15">
      <c r="A536" s="2" t="s">
        <f>"093000064920024"</f>
        <v>1064</v>
      </c>
      <c r="B536" s="2" t="s">
        <f>"杨帅"</f>
        <v>918</v>
      </c>
      <c r="C536" s="2">
        <v>-48.0</v>
      </c>
      <c r="D536" s="2">
        <v>1178.0</v>
      </c>
      <c r="E536" s="2">
        <v>-111.73</v>
      </c>
    </row>
    <row r="537" spans="1:5" x14ac:dyDescent="0.15">
      <c r="A537" s="2" t="s">
        <f>"093000070920007"</f>
        <v>1065</v>
      </c>
      <c r="B537" s="2" t="s">
        <f>"张爔木"</f>
        <v>1066</v>
      </c>
      <c r="C537" s="2">
        <v>7.0</v>
      </c>
      <c r="D537" s="2">
        <v>228.0</v>
      </c>
      <c r="E537" s="2">
        <v>-716.23</v>
      </c>
    </row>
    <row r="538" spans="1:5" x14ac:dyDescent="0.15">
      <c r="A538" s="2" t="s">
        <f>"093000040001920077"</f>
        <v>1067</v>
      </c>
      <c r="B538" s="2" t="s">
        <f>"周定均"</f>
        <v>1068</v>
      </c>
      <c r="C538" s="2">
        <v>0.0</v>
      </c>
      <c r="D538" s="2">
        <v>0.0</v>
      </c>
      <c r="E538" s="2">
        <v>0.0</v>
      </c>
    </row>
    <row r="539" spans="1:5" x14ac:dyDescent="0.15">
      <c r="A539" s="2" t="s">
        <f>"093000920433"</f>
        <v>1069</v>
      </c>
      <c r="B539" s="2" t="s">
        <f>"李海龙"</f>
        <v>1070</v>
      </c>
      <c r="C539" s="2">
        <v>-1360.0</v>
      </c>
      <c r="D539" s="2">
        <v>-4320.0</v>
      </c>
      <c r="E539" s="2">
        <v>-1559.25</v>
      </c>
    </row>
    <row r="540" spans="1:5" x14ac:dyDescent="0.15">
      <c r="A540" s="2" t="s">
        <f>"093000046920010"</f>
        <v>1071</v>
      </c>
      <c r="B540" s="2" t="s">
        <f>"姚海萍"</f>
        <v>1072</v>
      </c>
      <c r="C540" s="2">
        <v>0.0</v>
      </c>
      <c r="D540" s="2">
        <v>757.0</v>
      </c>
      <c r="E540" s="2">
        <v>-248.83</v>
      </c>
    </row>
    <row r="541" spans="1:5" x14ac:dyDescent="0.15">
      <c r="A541" s="2" t="s">
        <f>"093000043920009"</f>
        <v>1073</v>
      </c>
      <c r="B541" s="2" t="s">
        <f>"杨慧"</f>
        <v>461</v>
      </c>
      <c r="C541" s="2">
        <v>18.0</v>
      </c>
      <c r="D541" s="2">
        <v>-783.0</v>
      </c>
      <c r="E541" s="2">
        <v>-1813.09</v>
      </c>
    </row>
    <row r="542" spans="1:5" x14ac:dyDescent="0.15">
      <c r="A542" s="2" t="s">
        <f>"093000064920025"</f>
        <v>1074</v>
      </c>
      <c r="B542" s="2" t="s">
        <f>"候会乾"</f>
        <v>1075</v>
      </c>
      <c r="C542" s="2">
        <v>-795.0</v>
      </c>
      <c r="D542" s="2">
        <v>-1365.0</v>
      </c>
      <c r="E542" s="2">
        <v>-165.11</v>
      </c>
    </row>
    <row r="543" spans="1:5" x14ac:dyDescent="0.15">
      <c r="A543" s="2" t="s">
        <f>"093000920431"</f>
        <v>1076</v>
      </c>
      <c r="B543" s="2" t="s">
        <f>"马红飞"</f>
        <v>1077</v>
      </c>
      <c r="C543" s="2">
        <v>-1068.0</v>
      </c>
      <c r="D543" s="2">
        <v>-444.0</v>
      </c>
      <c r="E543" s="2">
        <v>-304.66</v>
      </c>
    </row>
    <row r="544" spans="1:5" x14ac:dyDescent="0.15">
      <c r="A544" s="2" t="s">
        <f>"093000067920051"</f>
        <v>1078</v>
      </c>
      <c r="B544" s="2" t="s">
        <f>"宋敏"</f>
        <v>1079</v>
      </c>
      <c r="C544" s="2">
        <v>0.0</v>
      </c>
      <c r="D544" s="2">
        <v>0.0</v>
      </c>
      <c r="E544" s="2">
        <v>0.0</v>
      </c>
    </row>
    <row r="545" spans="1:5" x14ac:dyDescent="0.15">
      <c r="A545" s="2" t="s">
        <f>"093000040001920078"</f>
        <v>1080</v>
      </c>
      <c r="B545" s="2" t="s">
        <f>"何达庆"</f>
        <v>1081</v>
      </c>
      <c r="C545" s="2">
        <v>0.0</v>
      </c>
      <c r="D545" s="2">
        <v>-1080.0</v>
      </c>
      <c r="E545" s="2">
        <v>-98.37</v>
      </c>
    </row>
    <row r="546" spans="1:5" x14ac:dyDescent="0.15">
      <c r="A546" s="2" t="s">
        <f>"093000046920011"</f>
        <v>1082</v>
      </c>
      <c r="B546" s="2" t="s">
        <f>"王攀瑞"</f>
        <v>1083</v>
      </c>
      <c r="C546" s="2">
        <v>0.0</v>
      </c>
      <c r="D546" s="2">
        <v>0.0</v>
      </c>
      <c r="E546" s="2">
        <v>0.0</v>
      </c>
    </row>
    <row r="547" spans="1:5" x14ac:dyDescent="0.15">
      <c r="A547" s="2" t="s">
        <f>"093000040001920079"</f>
        <v>1084</v>
      </c>
      <c r="B547" s="2" t="s">
        <f>"蔡深壮"</f>
        <v>1085</v>
      </c>
      <c r="C547" s="2">
        <v>0.0</v>
      </c>
      <c r="D547" s="2">
        <v>-1020.0</v>
      </c>
      <c r="E547" s="2">
        <v>-98.73</v>
      </c>
    </row>
    <row r="548" spans="1:5" x14ac:dyDescent="0.15">
      <c r="A548" s="2" t="s">
        <f>"0930000000038"</f>
        <v>1086</v>
      </c>
      <c r="B548" s="2" t="s">
        <f>"覃举扬"</f>
        <v>1087</v>
      </c>
      <c r="C548" s="2">
        <v>0.0</v>
      </c>
      <c r="D548" s="2">
        <v>688.0</v>
      </c>
      <c r="E548" s="2">
        <v>-101.1</v>
      </c>
    </row>
    <row r="549" spans="1:5" x14ac:dyDescent="0.15">
      <c r="A549" s="2" t="s">
        <f>"0930000000039"</f>
        <v>1088</v>
      </c>
      <c r="B549" s="2" t="s">
        <f>"黄迪"</f>
        <v>1089</v>
      </c>
      <c r="C549" s="2">
        <v>0.0</v>
      </c>
      <c r="D549" s="2">
        <v>960.0</v>
      </c>
      <c r="E549" s="2">
        <v>-108.86</v>
      </c>
    </row>
    <row r="550" spans="1:5" x14ac:dyDescent="0.15">
      <c r="A550" s="2" t="s">
        <f>"093000047920006"</f>
        <v>1090</v>
      </c>
      <c r="B550" s="2" t="s">
        <f>"郭子路"</f>
        <v>1091</v>
      </c>
      <c r="C550" s="2">
        <v>0.0</v>
      </c>
      <c r="D550" s="2">
        <v>761.0</v>
      </c>
      <c r="E550" s="2">
        <v>-411.44</v>
      </c>
    </row>
    <row r="551" spans="1:5" x14ac:dyDescent="0.15">
      <c r="A551" s="2" t="s">
        <f>"0930000680000"</f>
        <v>1092</v>
      </c>
      <c r="B551" s="2" t="s">
        <f>"卢滨滨"</f>
        <v>1093</v>
      </c>
      <c r="C551" s="2">
        <v>-1635.0</v>
      </c>
      <c r="D551" s="2">
        <v>478.0</v>
      </c>
      <c r="E551" s="2">
        <v>-545.76</v>
      </c>
    </row>
    <row r="552" spans="1:5" x14ac:dyDescent="0.15">
      <c r="A552" s="2" t="s">
        <f>"0930000680001"</f>
        <v>1094</v>
      </c>
      <c r="B552" s="2" t="s">
        <f>"杨冬旭"</f>
        <v>1095</v>
      </c>
      <c r="C552" s="2">
        <v>-221.0</v>
      </c>
      <c r="D552" s="2">
        <v>-346.0</v>
      </c>
      <c r="E552" s="2">
        <v>-155.51</v>
      </c>
    </row>
    <row r="553" spans="1:5" x14ac:dyDescent="0.15">
      <c r="A553" s="2" t="s">
        <f>"093000064920026"</f>
        <v>1096</v>
      </c>
      <c r="B553" s="2" t="s">
        <f>"闫金柱"</f>
        <v>1097</v>
      </c>
      <c r="C553" s="2">
        <v>-163.0</v>
      </c>
      <c r="D553" s="2">
        <v>-5827.0</v>
      </c>
      <c r="E553" s="2">
        <v>-2083.66</v>
      </c>
    </row>
    <row r="554" spans="1:5" x14ac:dyDescent="0.15">
      <c r="A554" s="2" t="s">
        <f>"093000040001920080"</f>
        <v>1098</v>
      </c>
      <c r="B554" s="2" t="s">
        <f>"邱振勇"</f>
        <v>1099</v>
      </c>
      <c r="C554" s="2">
        <v>0.0</v>
      </c>
      <c r="D554" s="2">
        <v>0.0</v>
      </c>
      <c r="E554" s="2">
        <v>0.0</v>
      </c>
    </row>
    <row r="555" spans="1:5" x14ac:dyDescent="0.15">
      <c r="A555" s="2" t="s">
        <f>"093000043920010"</f>
        <v>1100</v>
      </c>
      <c r="B555" s="2" t="s">
        <f>"王连秀"</f>
        <v>1101</v>
      </c>
      <c r="C555" s="2">
        <v>-853.0</v>
      </c>
      <c r="D555" s="2">
        <v>-104.0</v>
      </c>
      <c r="E555" s="2">
        <v>-929.8</v>
      </c>
    </row>
    <row r="556" spans="1:5" x14ac:dyDescent="0.15">
      <c r="A556" s="2" t="s">
        <f>"093000043920011"</f>
        <v>1102</v>
      </c>
      <c r="B556" s="2" t="s">
        <f>"柳霞"</f>
        <v>1103</v>
      </c>
      <c r="C556" s="2">
        <v>-344.0</v>
      </c>
      <c r="D556" s="2">
        <v>-404.0</v>
      </c>
      <c r="E556" s="2">
        <v>-1039.23</v>
      </c>
    </row>
    <row r="557" spans="1:5" x14ac:dyDescent="0.15">
      <c r="A557" s="2" t="s">
        <f>"093000040001920081"</f>
        <v>1104</v>
      </c>
      <c r="B557" s="2" t="s">
        <f>"刘奎英"</f>
        <v>1105</v>
      </c>
      <c r="C557" s="2">
        <v>94.0</v>
      </c>
      <c r="D557" s="2">
        <v>186.0</v>
      </c>
      <c r="E557" s="2">
        <v>-489.46</v>
      </c>
    </row>
    <row r="558" spans="1:5" x14ac:dyDescent="0.15">
      <c r="A558" s="2" t="s">
        <f>"093000068920011"</f>
        <v>1106</v>
      </c>
      <c r="B558" s="2" t="s">
        <f>"周富"</f>
        <v>1107</v>
      </c>
      <c r="C558" s="2">
        <v>0.0</v>
      </c>
      <c r="D558" s="2">
        <v>0.0</v>
      </c>
      <c r="E558" s="2">
        <v>0.0</v>
      </c>
    </row>
    <row r="559" spans="1:5" x14ac:dyDescent="0.15">
      <c r="A559" s="2" t="s">
        <f>"093000068920009"</f>
        <v>1108</v>
      </c>
      <c r="B559" s="2" t="s">
        <f>"李奇峰"</f>
        <v>1109</v>
      </c>
      <c r="C559" s="2">
        <v>0.0</v>
      </c>
      <c r="D559" s="2">
        <v>316.0</v>
      </c>
      <c r="E559" s="2">
        <v>-458.7</v>
      </c>
    </row>
    <row r="560" spans="1:5" x14ac:dyDescent="0.15">
      <c r="A560" s="2" t="s">
        <f>"093000068920013"</f>
        <v>1110</v>
      </c>
      <c r="B560" s="2" t="s">
        <f>"陈燕"</f>
        <v>1111</v>
      </c>
      <c r="C560" s="2">
        <v>0.0</v>
      </c>
      <c r="D560" s="2">
        <v>9.0</v>
      </c>
      <c r="E560" s="2">
        <v>-6.7</v>
      </c>
    </row>
    <row r="561" spans="1:5" x14ac:dyDescent="0.15">
      <c r="A561" s="2" t="s">
        <f>"093000068920012"</f>
        <v>1112</v>
      </c>
      <c r="B561" s="2" t="s">
        <f>"唐碧莎"</f>
        <v>1113</v>
      </c>
      <c r="C561" s="2">
        <v>0.0</v>
      </c>
      <c r="D561" s="2">
        <v>1.0</v>
      </c>
      <c r="E561" s="2">
        <v>-6.68</v>
      </c>
    </row>
    <row r="562" spans="1:5" x14ac:dyDescent="0.15">
      <c r="A562" s="2" t="s">
        <f>"093000068920010"</f>
        <v>1114</v>
      </c>
      <c r="B562" s="2" t="s">
        <f>"莫院兰"</f>
        <v>1115</v>
      </c>
      <c r="C562" s="2">
        <v>12.0</v>
      </c>
      <c r="D562" s="2">
        <v>14.0</v>
      </c>
      <c r="E562" s="2">
        <v>-26.87</v>
      </c>
    </row>
    <row r="563" spans="1:5" x14ac:dyDescent="0.15">
      <c r="A563" s="2" t="s">
        <f>"093000046920012"</f>
        <v>1116</v>
      </c>
      <c r="B563" s="2" t="s">
        <f>"冉少雅"</f>
        <v>1117</v>
      </c>
      <c r="C563" s="2">
        <v>-203.0</v>
      </c>
      <c r="D563" s="2">
        <v>-993.0</v>
      </c>
      <c r="E563" s="2">
        <v>-684.17</v>
      </c>
    </row>
    <row r="564" spans="1:5" x14ac:dyDescent="0.15">
      <c r="A564" s="2" t="s">
        <f>"093000040920044"</f>
        <v>1118</v>
      </c>
      <c r="B564" s="2" t="s">
        <f>"张翠娜"</f>
        <v>1119</v>
      </c>
      <c r="C564" s="2">
        <v>-27.0</v>
      </c>
      <c r="D564" s="2">
        <v>-256.0</v>
      </c>
      <c r="E564" s="2">
        <v>-1107.31</v>
      </c>
    </row>
    <row r="565" spans="1:5" x14ac:dyDescent="0.15">
      <c r="A565" s="2" t="s">
        <f>"093000041920023"</f>
        <v>1120</v>
      </c>
      <c r="B565" s="2" t="s">
        <f>"王昭"</f>
        <v>1121</v>
      </c>
      <c r="C565" s="2">
        <v>0.0</v>
      </c>
      <c r="D565" s="2">
        <v>976.0</v>
      </c>
      <c r="E565" s="2">
        <v>-109.42</v>
      </c>
    </row>
    <row r="566" spans="1:5" x14ac:dyDescent="0.15">
      <c r="A566" s="2" t="s">
        <f>"093000064920029"</f>
        <v>1122</v>
      </c>
      <c r="B566" s="2" t="s">
        <f>"陈遇三"</f>
        <v>1123</v>
      </c>
      <c r="C566" s="2">
        <v>-936.0</v>
      </c>
      <c r="D566" s="2">
        <v>-410.0</v>
      </c>
      <c r="E566" s="2">
        <v>-379.16</v>
      </c>
    </row>
    <row r="567" spans="1:5" x14ac:dyDescent="0.15">
      <c r="A567" s="2" t="s">
        <f>"093000064920030"</f>
        <v>1124</v>
      </c>
      <c r="B567" s="2" t="s">
        <f>"郑绍爱"</f>
        <v>1125</v>
      </c>
      <c r="C567" s="2">
        <v>0.0</v>
      </c>
      <c r="D567" s="2">
        <v>1292.0</v>
      </c>
      <c r="E567" s="2">
        <v>-221.51</v>
      </c>
    </row>
    <row r="568" spans="1:5" x14ac:dyDescent="0.15">
      <c r="A568" s="2" t="s">
        <f>"093000037920043"</f>
        <v>1126</v>
      </c>
      <c r="B568" s="2" t="s">
        <f>"叶海燕"</f>
        <v>1127</v>
      </c>
      <c r="C568" s="2">
        <v>35.0</v>
      </c>
      <c r="D568" s="2">
        <v>3541.0</v>
      </c>
      <c r="E568" s="2">
        <v>-3049.54</v>
      </c>
    </row>
    <row r="569" spans="1:5" x14ac:dyDescent="0.15">
      <c r="A569" s="2" t="s">
        <f>"093000051920007"</f>
        <v>1128</v>
      </c>
      <c r="B569" s="2" t="s">
        <f>"郑志霞"</f>
        <v>1129</v>
      </c>
      <c r="C569" s="2">
        <v>0.0</v>
      </c>
      <c r="D569" s="2">
        <v>0.0</v>
      </c>
      <c r="E569" s="2">
        <v>0.0</v>
      </c>
    </row>
    <row r="570" spans="1:5" x14ac:dyDescent="0.15">
      <c r="A570" s="2" t="s">
        <f>"0930000000040"</f>
        <v>1130</v>
      </c>
      <c r="B570" s="2" t="s">
        <f>"朱子建"</f>
        <v>1131</v>
      </c>
      <c r="C570" s="2">
        <v>-700.0</v>
      </c>
      <c r="D570" s="2">
        <v>4530.0</v>
      </c>
      <c r="E570" s="2">
        <v>-925.23</v>
      </c>
    </row>
    <row r="571" spans="1:5" x14ac:dyDescent="0.15">
      <c r="A571" s="2" t="s">
        <f>"0930000000041"</f>
        <v>1132</v>
      </c>
      <c r="B571" s="2" t="s">
        <f>"付宏英"</f>
        <v>1133</v>
      </c>
      <c r="C571" s="2">
        <v>0.0</v>
      </c>
      <c r="D571" s="2">
        <v>0.0</v>
      </c>
      <c r="E571" s="2">
        <v>0.0</v>
      </c>
    </row>
    <row r="572" spans="1:5" x14ac:dyDescent="0.15">
      <c r="A572" s="2" t="s">
        <f>"093000046920013"</f>
        <v>1134</v>
      </c>
      <c r="B572" s="2" t="s">
        <f>"申征"</f>
        <v>1135</v>
      </c>
      <c r="C572" s="2">
        <v>-2795.0</v>
      </c>
      <c r="D572" s="2">
        <v>-879.0</v>
      </c>
      <c r="E572" s="2">
        <v>-1857.98</v>
      </c>
    </row>
    <row r="573" spans="1:5" x14ac:dyDescent="0.15">
      <c r="A573" s="2" t="s">
        <f>"093000046920014"</f>
        <v>1136</v>
      </c>
      <c r="B573" s="2" t="s">
        <f>"白中宇"</f>
        <v>1137</v>
      </c>
      <c r="C573" s="2">
        <v>-301.0</v>
      </c>
      <c r="D573" s="2">
        <v>-19539.0</v>
      </c>
      <c r="E573" s="2">
        <v>-15070.9</v>
      </c>
    </row>
    <row r="574" spans="1:5" x14ac:dyDescent="0.15">
      <c r="A574" s="2" t="s">
        <f>"093000046920015"</f>
        <v>1138</v>
      </c>
      <c r="B574" s="2" t="s">
        <f>"王少锋"</f>
        <v>1139</v>
      </c>
      <c r="C574" s="2">
        <v>0.0</v>
      </c>
      <c r="D574" s="2">
        <v>0.0</v>
      </c>
      <c r="E574" s="2">
        <v>0.0</v>
      </c>
    </row>
    <row r="575" spans="1:5" x14ac:dyDescent="0.15">
      <c r="A575" s="2" t="s">
        <f>"093000044920006"</f>
        <v>1140</v>
      </c>
      <c r="B575" s="2" t="s">
        <f>"金志业"</f>
        <v>1141</v>
      </c>
      <c r="C575" s="2">
        <v>0.0</v>
      </c>
      <c r="D575" s="2">
        <v>59.0</v>
      </c>
      <c r="E575" s="2">
        <v>-46.7</v>
      </c>
    </row>
    <row r="576" spans="1:5" x14ac:dyDescent="0.15">
      <c r="A576" s="2" t="s">
        <f>"0930000730001"</f>
        <v>1142</v>
      </c>
      <c r="B576" s="2" t="s">
        <f>"张杰"</f>
        <v>1143</v>
      </c>
      <c r="C576" s="2">
        <v>0.0</v>
      </c>
      <c r="D576" s="2">
        <v>962.0</v>
      </c>
      <c r="E576" s="2">
        <v>-108.7</v>
      </c>
    </row>
    <row r="577" spans="1:5" x14ac:dyDescent="0.15">
      <c r="A577" s="2" t="s">
        <f>"0930000620005"</f>
        <v>1144</v>
      </c>
      <c r="B577" s="2" t="s">
        <f>"陈志艺"</f>
        <v>1145</v>
      </c>
      <c r="C577" s="2">
        <v>0.0</v>
      </c>
      <c r="D577" s="2">
        <v>516.0</v>
      </c>
      <c r="E577" s="2">
        <v>-53.19</v>
      </c>
    </row>
    <row r="578" spans="1:5" x14ac:dyDescent="0.15">
      <c r="A578" s="2" t="s">
        <f>"093000070920008"</f>
        <v>1146</v>
      </c>
      <c r="B578" s="2" t="s">
        <f>"许德朝"</f>
        <v>1147</v>
      </c>
      <c r="C578" s="2">
        <v>0.0</v>
      </c>
      <c r="D578" s="2">
        <v>203.0</v>
      </c>
      <c r="E578" s="2">
        <v>-339.09</v>
      </c>
    </row>
    <row r="579" spans="1:5" x14ac:dyDescent="0.15">
      <c r="A579" s="2" t="s">
        <f>"093000920441"</f>
        <v>1148</v>
      </c>
      <c r="B579" s="2" t="s">
        <f>"林杏州"</f>
        <v>1149</v>
      </c>
      <c r="C579" s="2">
        <v>0.0</v>
      </c>
      <c r="D579" s="2">
        <v>0.0</v>
      </c>
      <c r="E579" s="2">
        <v>0.0</v>
      </c>
    </row>
    <row r="580" spans="1:5" x14ac:dyDescent="0.15">
      <c r="A580" s="2" t="s">
        <f>"093000040920045"</f>
        <v>1150</v>
      </c>
      <c r="B580" s="2" t="s">
        <f>"郝运波"</f>
        <v>1151</v>
      </c>
      <c r="C580" s="2">
        <v>0.0</v>
      </c>
      <c r="D580" s="2">
        <v>0.0</v>
      </c>
      <c r="E580" s="2">
        <v>0.0</v>
      </c>
    </row>
    <row r="581" spans="1:5" x14ac:dyDescent="0.15">
      <c r="A581" s="2" t="s">
        <f>"093000043920012"</f>
        <v>1152</v>
      </c>
      <c r="B581" s="2" t="s">
        <f>"訾玉蛟"</f>
        <v>1153</v>
      </c>
      <c r="C581" s="2">
        <v>0.0</v>
      </c>
      <c r="D581" s="2">
        <v>-854.0</v>
      </c>
      <c r="E581" s="2">
        <v>-220.7</v>
      </c>
    </row>
    <row r="582" spans="1:5" x14ac:dyDescent="0.15">
      <c r="A582" s="2" t="s">
        <f>"0930000620006"</f>
        <v>1154</v>
      </c>
      <c r="B582" s="2" t="s">
        <f>"刘岳锋"</f>
        <v>1155</v>
      </c>
      <c r="C582" s="2">
        <v>-762.0</v>
      </c>
      <c r="D582" s="2">
        <v>-338.0</v>
      </c>
      <c r="E582" s="2">
        <v>-445.81</v>
      </c>
    </row>
    <row r="583" spans="1:5" x14ac:dyDescent="0.15">
      <c r="A583" s="2" t="s">
        <f>"0930000000042"</f>
        <v>1156</v>
      </c>
      <c r="B583" s="2" t="s">
        <f>"肖良兵"</f>
        <v>1157</v>
      </c>
      <c r="C583" s="2">
        <v>0.0</v>
      </c>
      <c r="D583" s="2">
        <v>347.0</v>
      </c>
      <c r="E583" s="2">
        <v>-347.55</v>
      </c>
    </row>
    <row r="584" spans="1:5" x14ac:dyDescent="0.15">
      <c r="A584" s="2" t="s">
        <f>"0930000000043"</f>
        <v>1158</v>
      </c>
      <c r="B584" s="2" t="s">
        <f>"张可良"</f>
        <v>1159</v>
      </c>
      <c r="C584" s="2">
        <v>-30.0</v>
      </c>
      <c r="D584" s="2">
        <v>-875.0</v>
      </c>
      <c r="E584" s="2">
        <v>-733.75</v>
      </c>
    </row>
    <row r="585" spans="1:5" x14ac:dyDescent="0.15">
      <c r="A585" s="2" t="s">
        <f>"093000055920002"</f>
        <v>1160</v>
      </c>
      <c r="B585" s="2" t="s">
        <f>"王远"</f>
        <v>1161</v>
      </c>
      <c r="C585" s="2">
        <v>0.0</v>
      </c>
      <c r="D585" s="2">
        <v>0.0</v>
      </c>
      <c r="E585" s="2">
        <v>0.0</v>
      </c>
    </row>
    <row r="586" spans="1:5" x14ac:dyDescent="0.15">
      <c r="A586" s="2" t="s">
        <f>"093000068920018"</f>
        <v>1162</v>
      </c>
      <c r="B586" s="2" t="s">
        <f>"邓婷丹"</f>
        <v>1163</v>
      </c>
      <c r="C586" s="2">
        <v>0.0</v>
      </c>
      <c r="D586" s="2">
        <v>18.0</v>
      </c>
      <c r="E586" s="2">
        <v>-13.42</v>
      </c>
    </row>
    <row r="587" spans="1:5" x14ac:dyDescent="0.15">
      <c r="A587" s="2" t="s">
        <f>"093000046920016"</f>
        <v>1164</v>
      </c>
      <c r="B587" s="2" t="s">
        <f>"全建茹"</f>
        <v>1165</v>
      </c>
      <c r="C587" s="2">
        <v>0.0</v>
      </c>
      <c r="D587" s="2">
        <v>0.0</v>
      </c>
      <c r="E587" s="2">
        <v>0.0</v>
      </c>
    </row>
    <row r="588" spans="1:5" x14ac:dyDescent="0.15">
      <c r="A588" s="2" t="s">
        <f>"093000920443"</f>
        <v>1166</v>
      </c>
      <c r="B588" s="2" t="s">
        <f>"程倩倩"</f>
        <v>1167</v>
      </c>
      <c r="C588" s="2">
        <v>0.0</v>
      </c>
      <c r="D588" s="2">
        <v>-1233.0</v>
      </c>
      <c r="E588" s="2">
        <v>-515.71</v>
      </c>
    </row>
    <row r="589" spans="1:5" x14ac:dyDescent="0.15">
      <c r="A589" s="2" t="s">
        <f>"093000044920007"</f>
        <v>1168</v>
      </c>
      <c r="B589" s="2" t="s">
        <f>"王善涛"</f>
        <v>1169</v>
      </c>
      <c r="C589" s="2">
        <v>0.0</v>
      </c>
      <c r="D589" s="2">
        <v>-567.0</v>
      </c>
      <c r="E589" s="2">
        <v>-209.29</v>
      </c>
    </row>
    <row r="590" spans="1:5" x14ac:dyDescent="0.15">
      <c r="A590" s="2" t="s">
        <f>"093000055920003"</f>
        <v>1170</v>
      </c>
      <c r="B590" s="2" t="s">
        <f>"夏闪"</f>
        <v>1171</v>
      </c>
      <c r="C590" s="2">
        <v>0.0</v>
      </c>
      <c r="D590" s="2">
        <v>0.0</v>
      </c>
      <c r="E590" s="2">
        <v>0.0</v>
      </c>
    </row>
    <row r="591" spans="1:5" x14ac:dyDescent="0.15">
      <c r="A591" s="2" t="s">
        <f>"093000068920020"</f>
        <v>1172</v>
      </c>
      <c r="B591" s="2" t="s">
        <f>"谢暧荣"</f>
        <v>1173</v>
      </c>
      <c r="C591" s="2">
        <v>0.0</v>
      </c>
      <c r="D591" s="2">
        <v>15.0</v>
      </c>
      <c r="E591" s="2">
        <v>-6.74</v>
      </c>
    </row>
    <row r="592" spans="1:5" x14ac:dyDescent="0.15">
      <c r="A592" s="2" t="s">
        <f>"093000068920019"</f>
        <v>1174</v>
      </c>
      <c r="B592" s="2" t="s">
        <f>"覃良意"</f>
        <v>1175</v>
      </c>
      <c r="C592" s="2">
        <v>12.0</v>
      </c>
      <c r="D592" s="2">
        <v>-224.0</v>
      </c>
      <c r="E592" s="2">
        <v>-76.92</v>
      </c>
    </row>
    <row r="593" spans="1:5" x14ac:dyDescent="0.15">
      <c r="A593" s="2" t="s">
        <f>"093000068920021"</f>
        <v>1176</v>
      </c>
      <c r="B593" s="2" t="s">
        <f>"邹美婷"</f>
        <v>1177</v>
      </c>
      <c r="C593" s="2">
        <v>0.0</v>
      </c>
      <c r="D593" s="2">
        <v>0.0</v>
      </c>
      <c r="E593" s="2">
        <v>0.0</v>
      </c>
    </row>
    <row r="594" spans="1:5" x14ac:dyDescent="0.15">
      <c r="A594" s="2" t="s">
        <f>"093000068920025"</f>
        <v>1178</v>
      </c>
      <c r="B594" s="2" t="s">
        <f>"区梦云"</f>
        <v>1179</v>
      </c>
      <c r="C594" s="2">
        <v>0.0</v>
      </c>
      <c r="D594" s="2">
        <v>0.0</v>
      </c>
      <c r="E594" s="2">
        <v>0.0</v>
      </c>
    </row>
    <row r="595" spans="1:5" x14ac:dyDescent="0.15">
      <c r="A595" s="2" t="s">
        <f>"093000037920044"</f>
        <v>1180</v>
      </c>
      <c r="B595" s="2" t="s">
        <f>"李威锋"</f>
        <v>1181</v>
      </c>
      <c r="C595" s="2">
        <v>-117.0</v>
      </c>
      <c r="D595" s="2">
        <v>-1150.0</v>
      </c>
      <c r="E595" s="2">
        <v>-1414.37</v>
      </c>
    </row>
    <row r="596" spans="1:5" x14ac:dyDescent="0.15">
      <c r="A596" s="2" t="s">
        <f>"093000920445"</f>
        <v>1182</v>
      </c>
      <c r="B596" s="2" t="s">
        <f>"周树忠"</f>
        <v>1183</v>
      </c>
      <c r="C596" s="2">
        <v>0.0</v>
      </c>
      <c r="D596" s="2">
        <v>0.0</v>
      </c>
      <c r="E596" s="2">
        <v>0.0</v>
      </c>
    </row>
    <row r="597" spans="1:5" x14ac:dyDescent="0.15">
      <c r="A597" s="2" t="s">
        <f>"093000048920011"</f>
        <v>1184</v>
      </c>
      <c r="B597" s="2" t="s">
        <f>"唐春江"</f>
        <v>1185</v>
      </c>
      <c r="C597" s="2">
        <v>-717.0</v>
      </c>
      <c r="D597" s="2">
        <v>-113.0</v>
      </c>
      <c r="E597" s="2">
        <v>-101.39</v>
      </c>
    </row>
    <row r="598" spans="1:5" x14ac:dyDescent="0.15">
      <c r="A598" s="2" t="s">
        <f>"093000067920059"</f>
        <v>1186</v>
      </c>
      <c r="B598" s="2" t="s">
        <f>"王嘉恒"</f>
        <v>1187</v>
      </c>
      <c r="C598" s="2">
        <v>0.0</v>
      </c>
      <c r="D598" s="2">
        <v>0.0</v>
      </c>
      <c r="E598" s="2">
        <v>0.0</v>
      </c>
    </row>
    <row r="599" spans="1:5" x14ac:dyDescent="0.15">
      <c r="A599" s="2" t="s">
        <f>"093000040001920082"</f>
        <v>1188</v>
      </c>
      <c r="B599" s="2" t="s">
        <f>"吴伟杰"</f>
        <v>1189</v>
      </c>
      <c r="C599" s="2">
        <v>-306.0</v>
      </c>
      <c r="D599" s="2">
        <v>1214.0</v>
      </c>
      <c r="E599" s="2">
        <v>-104.84</v>
      </c>
    </row>
    <row r="600" spans="1:5" x14ac:dyDescent="0.15">
      <c r="A600" s="2" t="s">
        <f>"093000067920063"</f>
        <v>1190</v>
      </c>
      <c r="B600" s="2" t="s">
        <f>"叶乙宏"</f>
        <v>1191</v>
      </c>
      <c r="C600" s="2">
        <v>0.0</v>
      </c>
      <c r="D600" s="2">
        <v>0.0</v>
      </c>
      <c r="E600" s="2">
        <v>0.0</v>
      </c>
    </row>
    <row r="601" spans="1:5" x14ac:dyDescent="0.15">
      <c r="A601" s="2" t="s">
        <f>"093000066920010"</f>
        <v>1192</v>
      </c>
      <c r="B601" s="2" t="s">
        <f>"唐爱民"</f>
        <v>1193</v>
      </c>
      <c r="C601" s="2">
        <v>0.0</v>
      </c>
      <c r="D601" s="2">
        <v>0.0</v>
      </c>
      <c r="E601" s="2">
        <v>0.0</v>
      </c>
    </row>
    <row r="602" spans="1:5" x14ac:dyDescent="0.15">
      <c r="A602" s="2" t="s">
        <f>"0930000000044"</f>
        <v>1194</v>
      </c>
      <c r="B602" s="2" t="s">
        <f>"罗少明"</f>
        <v>1195</v>
      </c>
      <c r="C602" s="2">
        <v>0.0</v>
      </c>
      <c r="D602" s="2">
        <v>-1050.0</v>
      </c>
      <c r="E602" s="2">
        <v>-177.3</v>
      </c>
    </row>
    <row r="603" spans="1:5" x14ac:dyDescent="0.15">
      <c r="A603" s="2" t="s">
        <f>"0930000000045"</f>
        <v>1196</v>
      </c>
      <c r="B603" s="2" t="s">
        <f>"李巧敏"</f>
        <v>1197</v>
      </c>
      <c r="C603" s="2">
        <v>0.0</v>
      </c>
      <c r="D603" s="2">
        <v>662.0</v>
      </c>
      <c r="E603" s="2">
        <v>-176.18</v>
      </c>
    </row>
    <row r="604" spans="1:5" x14ac:dyDescent="0.15">
      <c r="A604" s="2" t="s">
        <f>"093000037920045"</f>
        <v>1198</v>
      </c>
      <c r="B604" s="2" t="s">
        <f>"闫俊红"</f>
        <v>1199</v>
      </c>
      <c r="C604" s="2">
        <v>0.0</v>
      </c>
      <c r="D604" s="2">
        <v>0.0</v>
      </c>
      <c r="E604" s="2">
        <v>0.0</v>
      </c>
    </row>
    <row r="605" spans="1:5" x14ac:dyDescent="0.15">
      <c r="A605" s="2" t="s">
        <f>"093000040920046"</f>
        <v>1200</v>
      </c>
      <c r="B605" s="2" t="s">
        <f>"覃宝安"</f>
        <v>1201</v>
      </c>
      <c r="C605" s="2">
        <v>-318.0</v>
      </c>
      <c r="D605" s="2">
        <v>-462.0</v>
      </c>
      <c r="E605" s="2">
        <v>-56.56</v>
      </c>
    </row>
    <row r="606" spans="1:5" x14ac:dyDescent="0.15">
      <c r="A606" s="2" t="s">
        <f>"093000059920014"</f>
        <v>1202</v>
      </c>
      <c r="B606" s="2" t="s">
        <f>"毛淅萌"</f>
        <v>1203</v>
      </c>
      <c r="C606" s="2">
        <v>-220.0</v>
      </c>
      <c r="D606" s="2">
        <v>-4169.0</v>
      </c>
      <c r="E606" s="2">
        <v>-2451.62</v>
      </c>
    </row>
    <row r="607" spans="1:5" x14ac:dyDescent="0.15">
      <c r="A607" s="2" t="s">
        <f>"093000071920004"</f>
        <v>1204</v>
      </c>
      <c r="B607" s="2" t="s">
        <f>"杨会梅"</f>
        <v>1205</v>
      </c>
      <c r="C607" s="2">
        <v>0.0</v>
      </c>
      <c r="D607" s="2">
        <v>0.0</v>
      </c>
      <c r="E607" s="2">
        <v>0.0</v>
      </c>
    </row>
    <row r="608" spans="1:5" x14ac:dyDescent="0.15">
      <c r="A608" s="2" t="s">
        <f>"093000071920005"</f>
        <v>1206</v>
      </c>
      <c r="B608" s="2" t="s">
        <f>"张杭"</f>
        <v>1207</v>
      </c>
      <c r="C608" s="2">
        <v>0.0</v>
      </c>
      <c r="D608" s="2">
        <v>0.0</v>
      </c>
      <c r="E608" s="2">
        <v>0.0</v>
      </c>
    </row>
    <row r="609" spans="1:5" x14ac:dyDescent="0.15">
      <c r="A609" s="2" t="s">
        <f>"093000043920013"</f>
        <v>1208</v>
      </c>
      <c r="B609" s="2" t="s">
        <f>"马红艳"</f>
        <v>1209</v>
      </c>
      <c r="C609" s="2">
        <v>10.0</v>
      </c>
      <c r="D609" s="2">
        <v>-604.0</v>
      </c>
      <c r="E609" s="2">
        <v>-1483.76</v>
      </c>
    </row>
    <row r="610" spans="1:5" x14ac:dyDescent="0.15">
      <c r="A610" s="2" t="s">
        <f>"0930000000046"</f>
        <v>1210</v>
      </c>
      <c r="B610" s="2" t="s">
        <f>"钟娟萍"</f>
        <v>1211</v>
      </c>
      <c r="C610" s="2">
        <v>0.0</v>
      </c>
      <c r="D610" s="2">
        <v>0.0</v>
      </c>
      <c r="E610" s="2">
        <v>0.0</v>
      </c>
    </row>
    <row r="611" spans="1:5" x14ac:dyDescent="0.15">
      <c r="A611" s="2" t="s">
        <f>"093000068920026"</f>
        <v>1212</v>
      </c>
      <c r="B611" s="2" t="s">
        <f>"周国泉"</f>
        <v>1213</v>
      </c>
      <c r="C611" s="2">
        <v>0.0</v>
      </c>
      <c r="D611" s="2">
        <v>0.0</v>
      </c>
      <c r="E611" s="2">
        <v>0.0</v>
      </c>
    </row>
    <row r="612" spans="1:5" x14ac:dyDescent="0.15">
      <c r="A612" s="2" t="s">
        <f>"093000044920008"</f>
        <v>1214</v>
      </c>
      <c r="B612" s="2" t="s">
        <f>"郭保国"</f>
        <v>1215</v>
      </c>
      <c r="C612" s="2">
        <v>-17515.0</v>
      </c>
      <c r="D612" s="2">
        <v>-535.0</v>
      </c>
      <c r="E612" s="2">
        <v>-12069.98</v>
      </c>
    </row>
    <row r="613" spans="1:5" x14ac:dyDescent="0.15">
      <c r="A613" s="2" t="s">
        <f>"093000068920027"</f>
        <v>1216</v>
      </c>
      <c r="B613" s="2" t="s">
        <f>"黄建习"</f>
        <v>1217</v>
      </c>
      <c r="C613" s="2">
        <v>0.0</v>
      </c>
      <c r="D613" s="2">
        <v>0.0</v>
      </c>
      <c r="E613" s="2">
        <v>0.0</v>
      </c>
    </row>
    <row r="614" spans="1:5" x14ac:dyDescent="0.15">
      <c r="A614" s="2" t="s">
        <f>"0930000000047"</f>
        <v>1218</v>
      </c>
      <c r="B614" s="2" t="s">
        <f>"左有志"</f>
        <v>1219</v>
      </c>
      <c r="C614" s="2">
        <v>0.0</v>
      </c>
      <c r="D614" s="2">
        <v>-1171.0</v>
      </c>
      <c r="E614" s="2">
        <v>-307.03</v>
      </c>
    </row>
    <row r="615" spans="1:5" x14ac:dyDescent="0.15">
      <c r="A615" s="2" t="s">
        <f>"093000041920024"</f>
        <v>1220</v>
      </c>
      <c r="B615" s="2" t="s">
        <f>"冼业富"</f>
        <v>1221</v>
      </c>
      <c r="C615" s="2">
        <v>0.0</v>
      </c>
      <c r="D615" s="2">
        <v>1002.0</v>
      </c>
      <c r="E615" s="2">
        <v>-102.42</v>
      </c>
    </row>
    <row r="616" spans="1:5" x14ac:dyDescent="0.15">
      <c r="A616" s="2" t="s">
        <f>"093000044920009"</f>
        <v>1222</v>
      </c>
      <c r="B616" s="2" t="s">
        <f>"杜雷"</f>
        <v>1223</v>
      </c>
      <c r="C616" s="2">
        <v>0.0</v>
      </c>
      <c r="D616" s="2">
        <v>-30.0</v>
      </c>
      <c r="E616" s="2">
        <v>-6.75</v>
      </c>
    </row>
    <row r="617" spans="1:5" x14ac:dyDescent="0.15">
      <c r="A617" s="2" t="s">
        <f>"093000064920031"</f>
        <v>1224</v>
      </c>
      <c r="B617" s="2" t="s">
        <f>"邓强"</f>
        <v>1225</v>
      </c>
      <c r="C617" s="2">
        <v>-588.0</v>
      </c>
      <c r="D617" s="2">
        <v>-393.0</v>
      </c>
      <c r="E617" s="2">
        <v>-110.9</v>
      </c>
    </row>
    <row r="618" spans="1:5" x14ac:dyDescent="0.15">
      <c r="A618" s="2" t="s">
        <f>"093000064920034"</f>
        <v>1226</v>
      </c>
      <c r="B618" s="2" t="s">
        <f>"闻豪"</f>
        <v>1227</v>
      </c>
      <c r="C618" s="2">
        <v>-158.0</v>
      </c>
      <c r="D618" s="2">
        <v>1452.0</v>
      </c>
      <c r="E618" s="2">
        <v>-221.04</v>
      </c>
    </row>
    <row r="619" spans="1:5" x14ac:dyDescent="0.15">
      <c r="A619" s="2" t="s">
        <f>"093000088920001"</f>
        <v>1228</v>
      </c>
      <c r="B619" s="2" t="s">
        <f>"魏长玉"</f>
        <v>1229</v>
      </c>
      <c r="C619" s="2">
        <v>-2616.0</v>
      </c>
      <c r="D619" s="2">
        <v>1682.0</v>
      </c>
      <c r="E619" s="2">
        <v>-2579.2</v>
      </c>
    </row>
    <row r="620" spans="1:5" x14ac:dyDescent="0.15">
      <c r="A620" s="2" t="s">
        <f>"0930000730002"</f>
        <v>1230</v>
      </c>
      <c r="B620" s="2" t="s">
        <f>"秦水娟"</f>
        <v>1231</v>
      </c>
      <c r="C620" s="2">
        <v>0.0</v>
      </c>
      <c r="D620" s="2">
        <v>-1031.0</v>
      </c>
      <c r="E620" s="2">
        <v>-108.74</v>
      </c>
    </row>
    <row r="621" spans="1:5" x14ac:dyDescent="0.15">
      <c r="A621" s="2" t="s">
        <f>"093000059920015"</f>
        <v>1232</v>
      </c>
      <c r="B621" s="2" t="s">
        <f>"马慧"</f>
        <v>1233</v>
      </c>
      <c r="C621" s="2">
        <v>-546.0</v>
      </c>
      <c r="D621" s="2">
        <v>361.0</v>
      </c>
      <c r="E621" s="2">
        <v>-2695.66</v>
      </c>
    </row>
    <row r="622" spans="1:5" x14ac:dyDescent="0.15">
      <c r="A622" s="2" t="s">
        <f>"093000040920049"</f>
        <v>1234</v>
      </c>
      <c r="B622" s="2" t="s">
        <f>"马祝才"</f>
        <v>1235</v>
      </c>
      <c r="C622" s="2">
        <v>0.0</v>
      </c>
      <c r="D622" s="2">
        <v>0.0</v>
      </c>
      <c r="E622" s="2">
        <v>0.0</v>
      </c>
    </row>
    <row r="623" spans="1:5" x14ac:dyDescent="0.15">
      <c r="A623" s="2" t="s">
        <f>"093000040001920084"</f>
        <v>1236</v>
      </c>
      <c r="B623" s="2" t="s">
        <f>"何丽红"</f>
        <v>1237</v>
      </c>
      <c r="C623" s="2">
        <v>0.0</v>
      </c>
      <c r="D623" s="2">
        <v>0.0</v>
      </c>
      <c r="E623" s="2">
        <v>0.0</v>
      </c>
    </row>
    <row r="624" spans="1:5" x14ac:dyDescent="0.15">
      <c r="A624" s="2" t="s">
        <f>"093000044920010"</f>
        <v>1238</v>
      </c>
      <c r="B624" s="2" t="s">
        <f>"何明"</f>
        <v>1239</v>
      </c>
      <c r="C624" s="2">
        <v>0.0</v>
      </c>
      <c r="D624" s="2">
        <v>0.0</v>
      </c>
      <c r="E624" s="2">
        <v>0.0</v>
      </c>
    </row>
    <row r="625" spans="1:5" x14ac:dyDescent="0.15">
      <c r="A625" s="2" t="s">
        <f>"0930000000049"</f>
        <v>1240</v>
      </c>
      <c r="B625" s="2" t="s">
        <f>"耿明栓"</f>
        <v>1241</v>
      </c>
      <c r="C625" s="2">
        <v>0.0</v>
      </c>
      <c r="D625" s="2">
        <v>-12.0</v>
      </c>
      <c r="E625" s="2">
        <v>-6.91</v>
      </c>
    </row>
    <row r="626" spans="1:5" x14ac:dyDescent="0.15">
      <c r="A626" s="2" t="s">
        <f>"0930000000050"</f>
        <v>1242</v>
      </c>
      <c r="B626" s="2" t="s">
        <f>"仵玉华"</f>
        <v>1243</v>
      </c>
      <c r="C626" s="2">
        <v>-614.0</v>
      </c>
      <c r="D626" s="2">
        <v>-621.0</v>
      </c>
      <c r="E626" s="2">
        <v>-198.95</v>
      </c>
    </row>
    <row r="627" spans="1:5" x14ac:dyDescent="0.15">
      <c r="A627" s="2" t="s">
        <f>"093000920460"</f>
        <v>1244</v>
      </c>
      <c r="B627" s="2" t="s">
        <f>"张俊文"</f>
        <v>1245</v>
      </c>
      <c r="C627" s="2">
        <v>0.0</v>
      </c>
      <c r="D627" s="2">
        <v>0.0</v>
      </c>
      <c r="E627" s="2">
        <v>0.0</v>
      </c>
    </row>
    <row r="628" spans="1:5" x14ac:dyDescent="0.15">
      <c r="A628" s="2" t="s">
        <f>"093000067920064"</f>
        <v>1246</v>
      </c>
      <c r="B628" s="2" t="s">
        <f>"杨清岩 "</f>
        <v>1247</v>
      </c>
      <c r="C628" s="2">
        <v>0.0</v>
      </c>
      <c r="D628" s="2">
        <v>0.0</v>
      </c>
      <c r="E628" s="2">
        <v>0.0</v>
      </c>
    </row>
    <row r="629" spans="1:5" x14ac:dyDescent="0.15">
      <c r="A629" s="2" t="s">
        <f>"0930000620007"</f>
        <v>1248</v>
      </c>
      <c r="B629" s="2" t="s">
        <f>"刘成新"</f>
        <v>1249</v>
      </c>
      <c r="C629" s="2">
        <v>0.0</v>
      </c>
      <c r="D629" s="2">
        <v>0.0</v>
      </c>
      <c r="E629" s="2">
        <v>0.0</v>
      </c>
    </row>
    <row r="630" spans="1:5" x14ac:dyDescent="0.15">
      <c r="A630" s="2" t="s">
        <f>"093000064920035"</f>
        <v>1250</v>
      </c>
      <c r="B630" s="2" t="s">
        <f>"李志聪"</f>
        <v>1251</v>
      </c>
      <c r="C630" s="2">
        <v>65.0</v>
      </c>
      <c r="D630" s="2">
        <v>1226.0</v>
      </c>
      <c r="E630" s="2">
        <v>-143.17</v>
      </c>
    </row>
    <row r="631" spans="1:5" x14ac:dyDescent="0.15">
      <c r="A631" s="2" t="s">
        <f>"093000044920011"</f>
        <v>1252</v>
      </c>
      <c r="B631" s="2" t="s">
        <f>"赵斌"</f>
        <v>1253</v>
      </c>
      <c r="C631" s="2">
        <v>0.0</v>
      </c>
      <c r="D631" s="2">
        <v>0.0</v>
      </c>
      <c r="E631" s="2">
        <v>0.0</v>
      </c>
    </row>
    <row r="632" spans="1:5" x14ac:dyDescent="0.15">
      <c r="A632" s="2" t="s">
        <f>"093000070920010"</f>
        <v>1254</v>
      </c>
      <c r="B632" s="2" t="s">
        <f>"刘荫"</f>
        <v>1255</v>
      </c>
      <c r="C632" s="2">
        <v>0.0</v>
      </c>
      <c r="D632" s="2">
        <v>-733.0</v>
      </c>
      <c r="E632" s="2">
        <v>-685.95</v>
      </c>
    </row>
    <row r="633" spans="1:5" x14ac:dyDescent="0.15">
      <c r="A633" s="2" t="s">
        <f>"093000049920038"</f>
        <v>1256</v>
      </c>
      <c r="B633" s="2" t="s">
        <f>"王洁杰"</f>
        <v>1257</v>
      </c>
      <c r="C633" s="2">
        <v>0.0</v>
      </c>
      <c r="D633" s="2">
        <v>-960.0</v>
      </c>
      <c r="E633" s="2">
        <v>-79.61</v>
      </c>
    </row>
    <row r="634" spans="1:5" x14ac:dyDescent="0.15">
      <c r="A634" s="2" t="s">
        <f>"0930000000051"</f>
        <v>1258</v>
      </c>
      <c r="B634" s="2" t="s">
        <f>"葛军发"</f>
        <v>1259</v>
      </c>
      <c r="C634" s="2">
        <v>-390.0</v>
      </c>
      <c r="D634" s="2">
        <v>-37.0</v>
      </c>
      <c r="E634" s="2">
        <v>-861.12</v>
      </c>
    </row>
    <row r="635" spans="1:5" x14ac:dyDescent="0.15">
      <c r="A635" s="2" t="s">
        <f>"0930000620008"</f>
        <v>1260</v>
      </c>
      <c r="B635" s="2" t="s">
        <f>"罗冲"</f>
        <v>1261</v>
      </c>
      <c r="C635" s="2">
        <v>0.0</v>
      </c>
      <c r="D635" s="2">
        <v>0.0</v>
      </c>
      <c r="E635" s="2">
        <v>0.0</v>
      </c>
    </row>
    <row r="636" spans="1:5" x14ac:dyDescent="0.15">
      <c r="A636" s="2" t="s">
        <f>"093000040001920085"</f>
        <v>1262</v>
      </c>
      <c r="B636" s="2" t="s">
        <f>"陈枷澈"</f>
        <v>1263</v>
      </c>
      <c r="C636" s="2">
        <v>0.0</v>
      </c>
      <c r="D636" s="2">
        <v>-1040.0</v>
      </c>
      <c r="E636" s="2">
        <v>-290.42</v>
      </c>
    </row>
    <row r="637" spans="1:5" x14ac:dyDescent="0.15">
      <c r="A637" s="2" t="s">
        <f>"093000048920012"</f>
        <v>1264</v>
      </c>
      <c r="B637" s="2" t="s">
        <f>"马青"</f>
        <v>1265</v>
      </c>
      <c r="C637" s="2">
        <v>12.0</v>
      </c>
      <c r="D637" s="2">
        <v>-685.0</v>
      </c>
      <c r="E637" s="2">
        <v>-957.82</v>
      </c>
    </row>
    <row r="638" spans="1:5" x14ac:dyDescent="0.15">
      <c r="A638" s="2" t="s">
        <f>"093000059920016"</f>
        <v>1266</v>
      </c>
      <c r="B638" s="2" t="s">
        <f>"王思倩"</f>
        <v>1267</v>
      </c>
      <c r="C638" s="2">
        <v>-2114.0</v>
      </c>
      <c r="D638" s="2">
        <v>98.0</v>
      </c>
      <c r="E638" s="2">
        <v>-1148.38</v>
      </c>
    </row>
    <row r="639" spans="1:5" x14ac:dyDescent="0.15">
      <c r="A639" s="2" t="s">
        <f>"093000059920017"</f>
        <v>1268</v>
      </c>
      <c r="B639" s="2" t="s">
        <f>"陈浩"</f>
        <v>1269</v>
      </c>
      <c r="C639" s="2">
        <v>0.0</v>
      </c>
      <c r="D639" s="2">
        <v>0.0</v>
      </c>
      <c r="E639" s="2">
        <v>0.0</v>
      </c>
    </row>
    <row r="640" spans="1:5" x14ac:dyDescent="0.15">
      <c r="A640" s="2" t="s">
        <f>"093000068920032"</f>
        <v>1270</v>
      </c>
      <c r="B640" s="2" t="s">
        <f>"陈禾灵"</f>
        <v>1271</v>
      </c>
      <c r="C640" s="2">
        <v>0.0</v>
      </c>
      <c r="D640" s="2">
        <v>-689.0</v>
      </c>
      <c r="E640" s="2">
        <v>-107.85</v>
      </c>
    </row>
    <row r="641" spans="1:5" x14ac:dyDescent="0.15">
      <c r="A641" s="2" t="s">
        <f>"093000068920031"</f>
        <v>1272</v>
      </c>
      <c r="B641" s="2" t="s">
        <f>"王华东"</f>
        <v>1273</v>
      </c>
      <c r="C641" s="2">
        <v>-2117.0</v>
      </c>
      <c r="D641" s="2">
        <v>-2703.0</v>
      </c>
      <c r="E641" s="2">
        <v>-7448.9</v>
      </c>
    </row>
    <row r="642" spans="1:5" x14ac:dyDescent="0.15">
      <c r="A642" s="2" t="s">
        <f>"093000068920033"</f>
        <v>1274</v>
      </c>
      <c r="B642" s="2" t="s">
        <f>"潘敬奎"</f>
        <v>1275</v>
      </c>
      <c r="C642" s="2">
        <v>0.0</v>
      </c>
      <c r="D642" s="2">
        <v>-375.0</v>
      </c>
      <c r="E642" s="2">
        <v>-148.32</v>
      </c>
    </row>
    <row r="643" spans="1:5" x14ac:dyDescent="0.15">
      <c r="A643" s="2" t="s">
        <f>"093000920465"</f>
        <v>1276</v>
      </c>
      <c r="B643" s="2" t="s">
        <f>"陈月阳"</f>
        <v>1277</v>
      </c>
      <c r="C643" s="2">
        <v>-203.0</v>
      </c>
      <c r="D643" s="2">
        <v>887.0</v>
      </c>
      <c r="E643" s="2">
        <v>-552.2</v>
      </c>
    </row>
    <row r="644" spans="1:5" x14ac:dyDescent="0.15">
      <c r="A644" s="2" t="s">
        <f>"093000064920036"</f>
        <v>1278</v>
      </c>
      <c r="B644" s="2" t="s">
        <f>"王维"</f>
        <v>1279</v>
      </c>
      <c r="C644" s="2">
        <v>1237.0</v>
      </c>
      <c r="D644" s="2">
        <v>1989.0</v>
      </c>
      <c r="E644" s="2">
        <v>-476.58</v>
      </c>
    </row>
    <row r="645" spans="1:5" x14ac:dyDescent="0.15">
      <c r="A645" s="2" t="s">
        <f>"0930000000052"</f>
        <v>1280</v>
      </c>
      <c r="B645" s="2" t="s">
        <f>"韦欢华"</f>
        <v>1281</v>
      </c>
      <c r="C645" s="2">
        <v>-333.0</v>
      </c>
      <c r="D645" s="2">
        <v>494.0</v>
      </c>
      <c r="E645" s="2">
        <v>-2854.06</v>
      </c>
    </row>
    <row r="646" spans="1:5" x14ac:dyDescent="0.15">
      <c r="A646" s="2" t="s">
        <f>"093000043920014"</f>
        <v>1282</v>
      </c>
      <c r="B646" s="2" t="s">
        <f>"张军乾"</f>
        <v>1283</v>
      </c>
      <c r="C646" s="2">
        <v>0.0</v>
      </c>
      <c r="D646" s="2">
        <v>0.0</v>
      </c>
      <c r="E646" s="2">
        <v>0.0</v>
      </c>
    </row>
    <row r="647" spans="1:5" x14ac:dyDescent="0.15">
      <c r="A647" s="2" t="s">
        <f>"093000043920014"</f>
        <v>1282</v>
      </c>
      <c r="B647" s="2" t="s">
        <f>"赵军乾"</f>
        <v>1284</v>
      </c>
      <c r="C647" s="2">
        <v>-922.0</v>
      </c>
      <c r="D647" s="2">
        <v>517.0</v>
      </c>
      <c r="E647" s="2">
        <v>-338.6</v>
      </c>
    </row>
    <row r="648" spans="1:5" x14ac:dyDescent="0.15">
      <c r="A648" s="2" t="s">
        <f>"0930000620009"</f>
        <v>1285</v>
      </c>
      <c r="B648" s="2" t="s">
        <f>"刘银锋"</f>
        <v>1286</v>
      </c>
      <c r="C648" s="2">
        <v>0.0</v>
      </c>
      <c r="D648" s="2">
        <v>0.0</v>
      </c>
      <c r="E648" s="2">
        <v>0.0</v>
      </c>
    </row>
    <row r="649" spans="1:5" x14ac:dyDescent="0.15">
      <c r="A649" s="2" t="s">
        <f>"093000043920015"</f>
        <v>1287</v>
      </c>
      <c r="B649" s="2" t="s">
        <f>"赵倩"</f>
        <v>1288</v>
      </c>
      <c r="C649" s="2">
        <v>-3182.0</v>
      </c>
      <c r="D649" s="2">
        <v>102.0</v>
      </c>
      <c r="E649" s="2">
        <v>-114.72</v>
      </c>
    </row>
    <row r="650" spans="1:5" x14ac:dyDescent="0.15">
      <c r="A650" s="2" t="s">
        <f>"093000068920034"</f>
        <v>1289</v>
      </c>
      <c r="B650" s="2" t="s">
        <f>"雷晴"</f>
        <v>1290</v>
      </c>
      <c r="C650" s="2">
        <v>-117.0</v>
      </c>
      <c r="D650" s="2">
        <v>-60.0</v>
      </c>
      <c r="E650" s="2">
        <v>-131.64</v>
      </c>
    </row>
    <row r="651" spans="1:5" x14ac:dyDescent="0.15">
      <c r="A651" s="2" t="s">
        <f>"0930000620010"</f>
        <v>1291</v>
      </c>
      <c r="B651" s="2" t="s">
        <f>"付鹏飞"</f>
        <v>1292</v>
      </c>
      <c r="C651" s="2">
        <v>-186.0</v>
      </c>
      <c r="D651" s="2">
        <v>-763.0</v>
      </c>
      <c r="E651" s="2">
        <v>-207.7</v>
      </c>
    </row>
    <row r="652" spans="1:5" x14ac:dyDescent="0.15">
      <c r="A652" s="2" t="s">
        <f>"093000064920037"</f>
        <v>1293</v>
      </c>
      <c r="B652" s="2" t="s">
        <f>"焦晓静"</f>
        <v>1294</v>
      </c>
      <c r="C652" s="2">
        <v>-1023.0</v>
      </c>
      <c r="D652" s="2">
        <v>-1174.0</v>
      </c>
      <c r="E652" s="2">
        <v>-213.33</v>
      </c>
    </row>
    <row r="653" spans="1:5" x14ac:dyDescent="0.15">
      <c r="A653" s="2" t="s">
        <f>"093000067920066"</f>
        <v>1295</v>
      </c>
      <c r="B653" s="2" t="s">
        <f>"梁建国"</f>
        <v>1296</v>
      </c>
      <c r="C653" s="2">
        <v>0.0</v>
      </c>
      <c r="D653" s="2">
        <v>0.0</v>
      </c>
      <c r="E653" s="2">
        <v>0.0</v>
      </c>
    </row>
    <row r="654" spans="1:5" x14ac:dyDescent="0.15">
      <c r="A654" s="2" t="s">
        <f>"093000040001920086"</f>
        <v>1297</v>
      </c>
      <c r="B654" s="2" t="s">
        <f>"郭隆龙"</f>
        <v>1298</v>
      </c>
      <c r="C654" s="2">
        <v>244.0</v>
      </c>
      <c r="D654" s="2">
        <v>-1331.0</v>
      </c>
      <c r="E654" s="2">
        <v>-111.55</v>
      </c>
    </row>
    <row r="655" spans="1:5" x14ac:dyDescent="0.15">
      <c r="A655" s="2" t="s">
        <f>"093000920466"</f>
        <v>1299</v>
      </c>
      <c r="B655" s="2" t="s">
        <f>"周立来"</f>
        <v>1300</v>
      </c>
      <c r="C655" s="2">
        <v>0.0</v>
      </c>
      <c r="D655" s="2">
        <v>-121.0</v>
      </c>
      <c r="E655" s="2">
        <v>-380.62</v>
      </c>
    </row>
    <row r="656" spans="1:5" x14ac:dyDescent="0.15">
      <c r="A656" s="2" t="s">
        <f>"093000070920011"</f>
        <v>1301</v>
      </c>
      <c r="B656" s="2" t="s">
        <f>"孙小芳"</f>
        <v>1302</v>
      </c>
      <c r="C656" s="2">
        <v>0.0</v>
      </c>
      <c r="D656" s="2">
        <v>-706.0</v>
      </c>
      <c r="E656" s="2">
        <v>-208.93</v>
      </c>
    </row>
    <row r="657" spans="1:5" x14ac:dyDescent="0.15">
      <c r="A657" s="2" t="s">
        <f>"093000040001920088"</f>
        <v>1303</v>
      </c>
      <c r="B657" s="2" t="s">
        <f>"麦杰波"</f>
        <v>1304</v>
      </c>
      <c r="C657" s="2">
        <v>0.0</v>
      </c>
      <c r="D657" s="2">
        <v>0.0</v>
      </c>
      <c r="E657" s="2">
        <v>0.0</v>
      </c>
    </row>
    <row r="658" spans="1:5" x14ac:dyDescent="0.15">
      <c r="A658" s="2" t="s">
        <f>"093000068920035"</f>
        <v>1305</v>
      </c>
      <c r="B658" s="2" t="s">
        <f>"陆乙玮"</f>
        <v>1306</v>
      </c>
      <c r="C658" s="2">
        <v>-263.0</v>
      </c>
      <c r="D658" s="2">
        <v>93.0</v>
      </c>
      <c r="E658" s="2">
        <v>-20.39</v>
      </c>
    </row>
    <row r="659" spans="1:5" x14ac:dyDescent="0.15">
      <c r="A659" s="2" t="s">
        <f>"0930000730003"</f>
        <v>1307</v>
      </c>
      <c r="B659" s="2" t="s">
        <f>"龙晓霞"</f>
        <v>1308</v>
      </c>
      <c r="C659" s="2">
        <v>0.0</v>
      </c>
      <c r="D659" s="2">
        <v>200.0</v>
      </c>
      <c r="E659" s="2">
        <v>-79.88</v>
      </c>
    </row>
    <row r="660" spans="1:5" x14ac:dyDescent="0.15">
      <c r="A660" s="2" t="s">
        <f>"093000071920007"</f>
        <v>1309</v>
      </c>
      <c r="B660" s="2" t="s">
        <f>"郑朝东"</f>
        <v>1310</v>
      </c>
      <c r="C660" s="2">
        <v>0.0</v>
      </c>
      <c r="D660" s="2">
        <v>-979.0</v>
      </c>
      <c r="E660" s="2">
        <v>-48.74</v>
      </c>
    </row>
    <row r="661" spans="1:5" x14ac:dyDescent="0.15">
      <c r="A661" s="2" t="s">
        <f>"093000068920036"</f>
        <v>1311</v>
      </c>
      <c r="B661" s="2" t="s">
        <f>"肖婉婕"</f>
        <v>1312</v>
      </c>
      <c r="C661" s="2">
        <v>0.0</v>
      </c>
      <c r="D661" s="2">
        <v>0.0</v>
      </c>
      <c r="E661" s="2">
        <v>0.0</v>
      </c>
    </row>
    <row r="662" spans="1:5" x14ac:dyDescent="0.15">
      <c r="A662" s="2" t="s">
        <f>"093000070920012"</f>
        <v>1313</v>
      </c>
      <c r="B662" s="2" t="s">
        <f>"陈婷婷"</f>
        <v>1314</v>
      </c>
      <c r="C662" s="2">
        <v>0.0</v>
      </c>
      <c r="D662" s="2">
        <v>1903.0</v>
      </c>
      <c r="E662" s="2">
        <v>-937.31</v>
      </c>
    </row>
    <row r="663" spans="1:5" x14ac:dyDescent="0.15">
      <c r="A663" s="2" t="s">
        <f>"093000044920013"</f>
        <v>1315</v>
      </c>
      <c r="B663" s="2" t="s">
        <f>"胡云召"</f>
        <v>1316</v>
      </c>
      <c r="C663" s="2">
        <v>-1.0</v>
      </c>
      <c r="D663" s="2">
        <v>-745.0</v>
      </c>
      <c r="E663" s="2">
        <v>-304.81</v>
      </c>
    </row>
    <row r="664" spans="1:5" x14ac:dyDescent="0.15">
      <c r="A664" s="2" t="s">
        <f>"093000040001920089"</f>
        <v>1317</v>
      </c>
      <c r="B664" s="2" t="s">
        <f>"林伟华"</f>
        <v>1318</v>
      </c>
      <c r="C664" s="2">
        <v>0.0</v>
      </c>
      <c r="D664" s="2">
        <v>-960.0</v>
      </c>
      <c r="E664" s="2">
        <v>-99.62</v>
      </c>
    </row>
    <row r="665" spans="1:5" x14ac:dyDescent="0.15">
      <c r="A665" s="2" t="s">
        <f>"093000071920008"</f>
        <v>1319</v>
      </c>
      <c r="B665" s="2" t="s">
        <f>"刘大娃"</f>
        <v>1320</v>
      </c>
      <c r="C665" s="2">
        <v>0.0</v>
      </c>
      <c r="D665" s="2">
        <v>0.0</v>
      </c>
      <c r="E665" s="2">
        <v>0.0</v>
      </c>
    </row>
    <row r="666" spans="1:5" x14ac:dyDescent="0.15">
      <c r="A666" s="2" t="s">
        <f>"093000047920007"</f>
        <v>1321</v>
      </c>
      <c r="B666" s="2" t="s">
        <f>"孟祥太"</f>
        <v>1322</v>
      </c>
      <c r="C666" s="2">
        <v>0.0</v>
      </c>
      <c r="D666" s="2">
        <v>2210.0</v>
      </c>
      <c r="E666" s="2">
        <v>-210.85</v>
      </c>
    </row>
    <row r="667" spans="1:5" x14ac:dyDescent="0.15">
      <c r="A667" s="2" t="s">
        <f>"093000064920038"</f>
        <v>1323</v>
      </c>
      <c r="B667" s="2" t="s">
        <f>"王冰"</f>
        <v>1324</v>
      </c>
      <c r="C667" s="2">
        <v>-153.0</v>
      </c>
      <c r="D667" s="2">
        <v>-1350.0</v>
      </c>
      <c r="E667" s="2">
        <v>-899.09</v>
      </c>
    </row>
    <row r="668" spans="1:5" x14ac:dyDescent="0.15">
      <c r="A668" s="2" t="s">
        <f>"0930000470000"</f>
        <v>1325</v>
      </c>
      <c r="B668" s="2" t="s">
        <f>"李广"</f>
        <v>1326</v>
      </c>
      <c r="C668" s="2">
        <v>-247.0</v>
      </c>
      <c r="D668" s="2">
        <v>-480.0</v>
      </c>
      <c r="E668" s="2">
        <v>-395.75</v>
      </c>
    </row>
    <row r="669" spans="1:5" x14ac:dyDescent="0.15">
      <c r="A669" s="2" t="s">
        <f>"0930000620011"</f>
        <v>1327</v>
      </c>
      <c r="B669" s="2" t="s">
        <f>"麦爱萍"</f>
        <v>1328</v>
      </c>
      <c r="C669" s="2">
        <v>0.0</v>
      </c>
      <c r="D669" s="2">
        <v>818.0</v>
      </c>
      <c r="E669" s="2">
        <v>-50.98</v>
      </c>
    </row>
    <row r="670" spans="1:5" x14ac:dyDescent="0.15">
      <c r="A670" s="2" t="s">
        <f>"093000049920039"</f>
        <v>1329</v>
      </c>
      <c r="B670" s="2" t="s">
        <f>"黄克涛"</f>
        <v>1330</v>
      </c>
      <c r="C670" s="2">
        <v>0.0</v>
      </c>
      <c r="D670" s="2">
        <v>0.0</v>
      </c>
      <c r="E670" s="2">
        <v>0.0</v>
      </c>
    </row>
    <row r="671" spans="1:5" x14ac:dyDescent="0.15">
      <c r="A671" s="2" t="s">
        <f>"093000044920014"</f>
        <v>1331</v>
      </c>
      <c r="B671" s="2" t="s">
        <f>"刘国清"</f>
        <v>1332</v>
      </c>
      <c r="C671" s="2">
        <v>0.0</v>
      </c>
      <c r="D671" s="2">
        <v>0.0</v>
      </c>
      <c r="E671" s="2">
        <v>0.0</v>
      </c>
    </row>
    <row r="672" spans="1:5" x14ac:dyDescent="0.15">
      <c r="A672" s="2" t="s">
        <f>"093000047920009"</f>
        <v>1333</v>
      </c>
      <c r="B672" s="2" t="s">
        <f>"郭飞"</f>
        <v>1334</v>
      </c>
      <c r="C672" s="2">
        <v>-1121.0</v>
      </c>
      <c r="D672" s="2">
        <v>-181.0</v>
      </c>
      <c r="E672" s="2">
        <v>-3342.23</v>
      </c>
    </row>
    <row r="673" spans="1:5" x14ac:dyDescent="0.15">
      <c r="A673" s="2" t="s">
        <f>"093000040001920090"</f>
        <v>1335</v>
      </c>
      <c r="B673" s="2" t="s">
        <f>"郭月桂"</f>
        <v>1336</v>
      </c>
      <c r="C673" s="2">
        <v>-120.0</v>
      </c>
      <c r="D673" s="2">
        <v>992.0</v>
      </c>
      <c r="E673" s="2">
        <v>-101.89</v>
      </c>
    </row>
    <row r="674" spans="1:5" x14ac:dyDescent="0.15">
      <c r="A674" s="2" t="s">
        <f>"0930000000053"</f>
        <v>1337</v>
      </c>
      <c r="B674" s="2" t="s">
        <f>"胡兵兵"</f>
        <v>1338</v>
      </c>
      <c r="C674" s="2">
        <v>1.0</v>
      </c>
      <c r="D674" s="2">
        <v>-2270.0</v>
      </c>
      <c r="E674" s="2">
        <v>-701.05</v>
      </c>
    </row>
    <row r="675" spans="1:5" x14ac:dyDescent="0.15">
      <c r="A675" s="2" t="s">
        <f>"093000041920025"</f>
        <v>1339</v>
      </c>
      <c r="B675" s="2" t="s">
        <f>"陈相财"</f>
        <v>1340</v>
      </c>
      <c r="C675" s="2">
        <v>0.0</v>
      </c>
      <c r="D675" s="2">
        <v>-1220.0</v>
      </c>
      <c r="E675" s="2">
        <v>-102.5</v>
      </c>
    </row>
    <row r="676" spans="1:5" x14ac:dyDescent="0.15">
      <c r="A676" s="2" t="s">
        <f>"093000041920026"</f>
        <v>1341</v>
      </c>
      <c r="B676" s="2" t="s">
        <f>"欧艺"</f>
        <v>1342</v>
      </c>
      <c r="C676" s="2">
        <v>0.0</v>
      </c>
      <c r="D676" s="2">
        <v>1128.0</v>
      </c>
      <c r="E676" s="2">
        <v>-102.5</v>
      </c>
    </row>
    <row r="677" spans="1:5" x14ac:dyDescent="0.15">
      <c r="A677" s="2" t="s">
        <f>"093000067920071"</f>
        <v>1343</v>
      </c>
      <c r="B677" s="2" t="s">
        <f>"顾元广"</f>
        <v>1344</v>
      </c>
      <c r="C677" s="2">
        <v>0.0</v>
      </c>
      <c r="D677" s="2">
        <v>0.0</v>
      </c>
      <c r="E677" s="2">
        <v>0.0</v>
      </c>
    </row>
    <row r="678" spans="1:5" x14ac:dyDescent="0.15">
      <c r="A678" s="2" t="s">
        <f>"093000044920016"</f>
        <v>1345</v>
      </c>
      <c r="B678" s="2" t="s">
        <f>"曲东红"</f>
        <v>1346</v>
      </c>
      <c r="C678" s="2">
        <v>-5295.0</v>
      </c>
      <c r="D678" s="2">
        <v>1734.0</v>
      </c>
      <c r="E678" s="2">
        <v>-3056.16</v>
      </c>
    </row>
    <row r="679" spans="1:5" x14ac:dyDescent="0.15">
      <c r="A679" s="2" t="s">
        <f>"093000088920002"</f>
        <v>1347</v>
      </c>
      <c r="B679" s="2" t="s">
        <f>"秦文通"</f>
        <v>1348</v>
      </c>
      <c r="C679" s="2">
        <v>-1317.0</v>
      </c>
      <c r="D679" s="2">
        <v>146.0</v>
      </c>
      <c r="E679" s="2">
        <v>-256.74</v>
      </c>
    </row>
    <row r="680" spans="1:5" x14ac:dyDescent="0.15">
      <c r="A680" s="2" t="s">
        <f>"093000920473"</f>
        <v>1349</v>
      </c>
      <c r="B680" s="2" t="s">
        <f>"陈露露"</f>
        <v>1350</v>
      </c>
      <c r="C680" s="2">
        <v>-194.0</v>
      </c>
      <c r="D680" s="2">
        <v>-780.0</v>
      </c>
      <c r="E680" s="2">
        <v>-490.0</v>
      </c>
    </row>
    <row r="681" spans="1:5" x14ac:dyDescent="0.15">
      <c r="A681" s="2" t="s">
        <f>"093000066920011"</f>
        <v>1351</v>
      </c>
      <c r="B681" s="2" t="s">
        <f>"曹海营"</f>
        <v>1352</v>
      </c>
      <c r="C681" s="2">
        <v>0.0</v>
      </c>
      <c r="D681" s="2">
        <v>0.0</v>
      </c>
      <c r="E681" s="2">
        <v>0.0</v>
      </c>
    </row>
    <row r="682" spans="1:5" x14ac:dyDescent="0.15">
      <c r="A682" s="2" t="s">
        <f>"093000064920039"</f>
        <v>1353</v>
      </c>
      <c r="B682" s="2" t="s">
        <f>"李贺威"</f>
        <v>1354</v>
      </c>
      <c r="C682" s="2">
        <v>-76.0</v>
      </c>
      <c r="D682" s="2">
        <v>1670.0</v>
      </c>
      <c r="E682" s="2">
        <v>-951.29</v>
      </c>
    </row>
    <row r="683" spans="1:5" x14ac:dyDescent="0.15">
      <c r="A683" s="2" t="s">
        <f>"093000068920039"</f>
        <v>1355</v>
      </c>
      <c r="B683" s="2" t="s">
        <f>"黄恒福"</f>
        <v>1356</v>
      </c>
      <c r="C683" s="2">
        <v>0.0</v>
      </c>
      <c r="D683" s="2">
        <v>27.0</v>
      </c>
      <c r="E683" s="2">
        <v>-98.41</v>
      </c>
    </row>
    <row r="684" spans="1:5" x14ac:dyDescent="0.15">
      <c r="A684" s="2" t="s">
        <f>"093000088920003"</f>
        <v>1357</v>
      </c>
      <c r="B684" s="2" t="s">
        <f>"李书霞"</f>
        <v>1358</v>
      </c>
      <c r="C684" s="2">
        <v>-45.0</v>
      </c>
      <c r="D684" s="2">
        <v>-1351.0</v>
      </c>
      <c r="E684" s="2">
        <v>-1023.18</v>
      </c>
    </row>
    <row r="685" spans="1:5" x14ac:dyDescent="0.15">
      <c r="A685" s="2" t="s">
        <f>"093000068920040"</f>
        <v>1359</v>
      </c>
      <c r="B685" s="2" t="s">
        <f>"陈劲"</f>
        <v>1360</v>
      </c>
      <c r="C685" s="2">
        <v>0.0</v>
      </c>
      <c r="D685" s="2">
        <v>0.0</v>
      </c>
      <c r="E685" s="2">
        <v>0.0</v>
      </c>
    </row>
    <row r="686" spans="1:5" x14ac:dyDescent="0.15">
      <c r="A686" s="2" t="s">
        <f>"093000063920011"</f>
        <v>1361</v>
      </c>
      <c r="B686" s="2" t="s">
        <f>"周燕燕"</f>
        <v>1362</v>
      </c>
      <c r="C686" s="2">
        <v>0.0</v>
      </c>
      <c r="D686" s="2">
        <v>0.0</v>
      </c>
      <c r="E686" s="2">
        <v>0.0</v>
      </c>
    </row>
    <row r="687" spans="1:5" x14ac:dyDescent="0.15">
      <c r="A687" s="2" t="s">
        <f>"0930000620053"</f>
        <v>1363</v>
      </c>
      <c r="B687" s="2" t="s">
        <f>"文勇辉"</f>
        <v>1364</v>
      </c>
      <c r="C687" s="2">
        <v>-265.0</v>
      </c>
      <c r="D687" s="2">
        <v>-1997.0</v>
      </c>
      <c r="E687" s="2">
        <v>-192.23</v>
      </c>
    </row>
    <row r="688" spans="1:5" x14ac:dyDescent="0.15">
      <c r="A688" s="2" t="s">
        <f>"093000088920004"</f>
        <v>1365</v>
      </c>
      <c r="B688" s="2" t="s">
        <f>"陈淅江"</f>
        <v>1366</v>
      </c>
      <c r="C688" s="2">
        <v>-573.0</v>
      </c>
      <c r="D688" s="2">
        <v>1539.0</v>
      </c>
      <c r="E688" s="2">
        <v>-564.89</v>
      </c>
    </row>
    <row r="689" spans="1:5" x14ac:dyDescent="0.15">
      <c r="A689" s="2" t="s">
        <f>"0930000000054"</f>
        <v>1367</v>
      </c>
      <c r="B689" s="2" t="s">
        <f>"刘月同"</f>
        <v>1368</v>
      </c>
      <c r="C689" s="2">
        <v>-726.0</v>
      </c>
      <c r="D689" s="2">
        <v>-634.0</v>
      </c>
      <c r="E689" s="2">
        <v>-99.87</v>
      </c>
    </row>
    <row r="690" spans="1:5" x14ac:dyDescent="0.15">
      <c r="A690" s="2" t="s">
        <f>"093000040001920092"</f>
        <v>1369</v>
      </c>
      <c r="B690" s="2" t="s">
        <f>"扬梓玄"</f>
        <v>1370</v>
      </c>
      <c r="C690" s="2">
        <v>0.0</v>
      </c>
      <c r="D690" s="2">
        <v>0.0</v>
      </c>
      <c r="E690" s="2">
        <v>0.0</v>
      </c>
    </row>
    <row r="691" spans="1:5" x14ac:dyDescent="0.15">
      <c r="A691" s="2" t="s">
        <f>"093000068920041"</f>
        <v>1371</v>
      </c>
      <c r="B691" s="2" t="s">
        <f>"李承育"</f>
        <v>1372</v>
      </c>
      <c r="C691" s="2">
        <v>0.0</v>
      </c>
      <c r="D691" s="2">
        <v>0.0</v>
      </c>
      <c r="E691" s="2">
        <v>0.0</v>
      </c>
    </row>
    <row r="692" spans="1:5" x14ac:dyDescent="0.15">
      <c r="A692" s="2" t="s">
        <f>"093000920474"</f>
        <v>1373</v>
      </c>
      <c r="B692" s="2" t="s">
        <f>"司启航"</f>
        <v>1374</v>
      </c>
      <c r="C692" s="2">
        <v>408.0</v>
      </c>
      <c r="D692" s="2">
        <v>-1520.0</v>
      </c>
      <c r="E692" s="2">
        <v>-380.35</v>
      </c>
    </row>
    <row r="693" spans="1:5" x14ac:dyDescent="0.15">
      <c r="A693" s="2" t="s">
        <f>"093000040001920093"</f>
        <v>1375</v>
      </c>
      <c r="B693" s="2" t="s">
        <f>"郭远"</f>
        <v>1376</v>
      </c>
      <c r="C693" s="2">
        <v>-120.0</v>
      </c>
      <c r="D693" s="2">
        <v>-673.0</v>
      </c>
      <c r="E693" s="2">
        <v>-264.44</v>
      </c>
    </row>
    <row r="694" spans="1:5" x14ac:dyDescent="0.15">
      <c r="A694" s="2" t="s">
        <f>"093000040001920094"</f>
        <v>1377</v>
      </c>
      <c r="B694" s="2" t="s">
        <f>"黄静红"</f>
        <v>1378</v>
      </c>
      <c r="C694" s="2">
        <v>-702.0</v>
      </c>
      <c r="D694" s="2">
        <v>-382.0</v>
      </c>
      <c r="E694" s="2">
        <v>-98.96</v>
      </c>
    </row>
    <row r="695" spans="1:5" x14ac:dyDescent="0.15">
      <c r="A695" s="2" t="s">
        <f>"093000040001920095"</f>
        <v>1379</v>
      </c>
      <c r="B695" s="2" t="s">
        <f>"郑慧莲"</f>
        <v>1380</v>
      </c>
      <c r="C695" s="2">
        <v>0.0</v>
      </c>
      <c r="D695" s="2">
        <v>-1068.0</v>
      </c>
      <c r="E695" s="2">
        <v>-98.58</v>
      </c>
    </row>
    <row r="696" spans="1:5" x14ac:dyDescent="0.15">
      <c r="A696" s="2" t="s">
        <f>"093000040001920096"</f>
        <v>1381</v>
      </c>
      <c r="B696" s="2" t="s">
        <f>"陈华秀"</f>
        <v>1382</v>
      </c>
      <c r="C696" s="2">
        <v>0.0</v>
      </c>
      <c r="D696" s="2">
        <v>0.0</v>
      </c>
      <c r="E696" s="2">
        <v>0.0</v>
      </c>
    </row>
    <row r="697" spans="1:5" x14ac:dyDescent="0.15">
      <c r="A697" s="2" t="s">
        <f>"093000040920050"</f>
        <v>1383</v>
      </c>
      <c r="B697" s="2" t="s">
        <f>"冯林谦"</f>
        <v>1384</v>
      </c>
      <c r="C697" s="2">
        <v>-10857.0</v>
      </c>
      <c r="D697" s="2">
        <v>500.0</v>
      </c>
      <c r="E697" s="2">
        <v>-10254.12</v>
      </c>
    </row>
    <row r="698" spans="1:5" x14ac:dyDescent="0.15">
      <c r="A698" s="2" t="s">
        <f>"093000064920040"</f>
        <v>1385</v>
      </c>
      <c r="B698" s="2" t="s">
        <f>"崔爽"</f>
        <v>1386</v>
      </c>
      <c r="C698" s="2">
        <v>-5193.0</v>
      </c>
      <c r="D698" s="2">
        <v>801.0</v>
      </c>
      <c r="E698" s="2">
        <v>-10851.12</v>
      </c>
    </row>
    <row r="699" spans="1:5" x14ac:dyDescent="0.15">
      <c r="A699" s="2" t="s">
        <f>"0930000620054"</f>
        <v>1387</v>
      </c>
      <c r="B699" s="2" t="s">
        <f>"麦宁宁"</f>
        <v>1388</v>
      </c>
      <c r="C699" s="2">
        <v>0.0</v>
      </c>
      <c r="D699" s="2">
        <v>0.0</v>
      </c>
      <c r="E699" s="2">
        <v>0.0</v>
      </c>
    </row>
    <row r="700" spans="1:5" x14ac:dyDescent="0.15">
      <c r="A700" s="2" t="s">
        <f>"093000044920017"</f>
        <v>1389</v>
      </c>
      <c r="B700" s="2" t="s">
        <f>"乔楚"</f>
        <v>1390</v>
      </c>
      <c r="C700" s="2">
        <v>0.0</v>
      </c>
      <c r="D700" s="2">
        <v>-388.0</v>
      </c>
      <c r="E700" s="2">
        <v>-217.69</v>
      </c>
    </row>
    <row r="701" spans="1:5" x14ac:dyDescent="0.15">
      <c r="A701" s="2" t="s">
        <f>"093000920478"</f>
        <v>1391</v>
      </c>
      <c r="B701" s="2" t="s">
        <f>"王同贤"</f>
        <v>1392</v>
      </c>
      <c r="C701" s="2">
        <v>178.0</v>
      </c>
      <c r="D701" s="2">
        <v>1284.0</v>
      </c>
      <c r="E701" s="2">
        <v>-142.88</v>
      </c>
    </row>
    <row r="702" spans="1:5" x14ac:dyDescent="0.15">
      <c r="A702" s="2" t="s">
        <f>"093000067920074"</f>
        <v>1393</v>
      </c>
      <c r="B702" s="2" t="s">
        <f>"姚建明"</f>
        <v>1394</v>
      </c>
      <c r="C702" s="2">
        <v>0.0</v>
      </c>
      <c r="D702" s="2">
        <v>0.0</v>
      </c>
      <c r="E702" s="2">
        <v>0.0</v>
      </c>
    </row>
    <row r="703" spans="1:5" x14ac:dyDescent="0.15">
      <c r="A703" s="2" t="s">
        <f>"093000067920076"</f>
        <v>1395</v>
      </c>
      <c r="B703" s="2" t="s">
        <f>"宋柄威"</f>
        <v>1396</v>
      </c>
      <c r="C703" s="2">
        <v>0.0</v>
      </c>
      <c r="D703" s="2">
        <v>-10.0</v>
      </c>
      <c r="E703" s="2">
        <v>-6.72</v>
      </c>
    </row>
    <row r="704" spans="1:5" x14ac:dyDescent="0.15">
      <c r="A704" s="2" t="s">
        <f>"093000068920042"</f>
        <v>1397</v>
      </c>
      <c r="B704" s="2" t="s">
        <f>"吴施敏"</f>
        <v>1398</v>
      </c>
      <c r="C704" s="2">
        <v>0.0</v>
      </c>
      <c r="D704" s="2">
        <v>0.0</v>
      </c>
      <c r="E704" s="2">
        <v>0.0</v>
      </c>
    </row>
    <row r="705" spans="1:5" x14ac:dyDescent="0.15">
      <c r="A705" s="2" t="s">
        <f>"093000070920013"</f>
        <v>1399</v>
      </c>
      <c r="B705" s="2" t="s">
        <f>"王刚"</f>
        <v>1400</v>
      </c>
      <c r="C705" s="2">
        <v>0.0</v>
      </c>
      <c r="D705" s="2">
        <v>0.0</v>
      </c>
      <c r="E705" s="2">
        <v>0.0</v>
      </c>
    </row>
    <row r="706" spans="1:5" x14ac:dyDescent="0.15">
      <c r="A706" s="2" t="s">
        <f>"093000049920040"</f>
        <v>1401</v>
      </c>
      <c r="B706" s="2" t="s">
        <f>"高德泉"</f>
        <v>1402</v>
      </c>
      <c r="C706" s="2">
        <v>0.0</v>
      </c>
      <c r="D706" s="2">
        <v>517.0</v>
      </c>
      <c r="E706" s="2">
        <v>-51.33</v>
      </c>
    </row>
    <row r="707" spans="1:5" x14ac:dyDescent="0.15">
      <c r="A707" s="2" t="s">
        <f>"093000043920016"</f>
        <v>1403</v>
      </c>
      <c r="B707" s="2" t="s">
        <f>"王长春"</f>
        <v>1404</v>
      </c>
      <c r="C707" s="2">
        <v>0.0</v>
      </c>
      <c r="D707" s="2">
        <v>-219.0</v>
      </c>
      <c r="E707" s="2">
        <v>-158.41</v>
      </c>
    </row>
    <row r="708" spans="1:5" x14ac:dyDescent="0.15">
      <c r="A708" s="2" t="s">
        <f>"093000049920041"</f>
        <v>1405</v>
      </c>
      <c r="B708" s="2" t="s">
        <f>"张佩佩"</f>
        <v>1406</v>
      </c>
      <c r="C708" s="2">
        <v>0.0</v>
      </c>
      <c r="D708" s="2">
        <v>860.0</v>
      </c>
      <c r="E708" s="2">
        <v>-157.63</v>
      </c>
    </row>
    <row r="709" spans="1:5" x14ac:dyDescent="0.15">
      <c r="A709" s="2" t="s">
        <f>"093000043920017"</f>
        <v>1407</v>
      </c>
      <c r="B709" s="2" t="s">
        <f>"李晓"</f>
        <v>1408</v>
      </c>
      <c r="C709" s="2">
        <v>0.0</v>
      </c>
      <c r="D709" s="2">
        <v>-337.0</v>
      </c>
      <c r="E709" s="2">
        <v>-170.87</v>
      </c>
    </row>
    <row r="710" spans="1:5" x14ac:dyDescent="0.15">
      <c r="A710" s="2" t="s">
        <f>"093000040001920097"</f>
        <v>1409</v>
      </c>
      <c r="B710" s="2" t="s">
        <f>"麦丽燕"</f>
        <v>1410</v>
      </c>
      <c r="C710" s="2">
        <v>0.0</v>
      </c>
      <c r="D710" s="2">
        <v>-1086.0</v>
      </c>
      <c r="E710" s="2">
        <v>-99.44</v>
      </c>
    </row>
    <row r="711" spans="1:5" x14ac:dyDescent="0.15">
      <c r="A711" s="2" t="s">
        <f>"093000072920002"</f>
        <v>1411</v>
      </c>
      <c r="B711" s="2" t="s">
        <f>"卢居勇"</f>
        <v>1412</v>
      </c>
      <c r="C711" s="2">
        <v>-8655.0</v>
      </c>
      <c r="D711" s="2">
        <v>1853.0</v>
      </c>
      <c r="E711" s="2">
        <v>-3894.22</v>
      </c>
    </row>
    <row r="712" spans="1:5" x14ac:dyDescent="0.15">
      <c r="A712" s="2" t="s">
        <f>"093000070920014"</f>
        <v>1413</v>
      </c>
      <c r="B712" s="2" t="s">
        <f>"叶后山"</f>
        <v>1414</v>
      </c>
      <c r="C712" s="2">
        <v>0.0</v>
      </c>
      <c r="D712" s="2">
        <v>0.0</v>
      </c>
      <c r="E712" s="2">
        <v>0.0</v>
      </c>
    </row>
    <row r="713" spans="1:5" x14ac:dyDescent="0.15">
      <c r="A713" s="2" t="s">
        <f>"0930000370044"</f>
        <v>1415</v>
      </c>
      <c r="B713" s="2" t="s">
        <f>"乔世杰"</f>
        <v>1416</v>
      </c>
      <c r="C713" s="2">
        <v>108.0</v>
      </c>
      <c r="D713" s="2">
        <v>364.0</v>
      </c>
      <c r="E713" s="2">
        <v>-895.52</v>
      </c>
    </row>
    <row r="714" spans="1:5" x14ac:dyDescent="0.15">
      <c r="A714" s="2" t="s">
        <f>"093000040001920098"</f>
        <v>1417</v>
      </c>
      <c r="B714" s="2" t="s">
        <f>"邱启文"</f>
        <v>1418</v>
      </c>
      <c r="C714" s="2">
        <v>765.0</v>
      </c>
      <c r="D714" s="2">
        <v>840.0</v>
      </c>
      <c r="E714" s="2">
        <v>-217.47</v>
      </c>
    </row>
    <row r="715" spans="1:5" x14ac:dyDescent="0.15">
      <c r="A715" s="2" t="s">
        <f>"093000068920047"</f>
        <v>1419</v>
      </c>
      <c r="B715" s="2" t="s">
        <f>"陈明珊"</f>
        <v>1420</v>
      </c>
      <c r="C715" s="2">
        <v>0.0</v>
      </c>
      <c r="D715" s="2">
        <v>0.0</v>
      </c>
      <c r="E715" s="2">
        <v>0.0</v>
      </c>
    </row>
    <row r="716" spans="1:5" x14ac:dyDescent="0.15">
      <c r="A716" s="2" t="s">
        <f>"093000068920046"</f>
        <v>1421</v>
      </c>
      <c r="B716" s="2" t="s">
        <f>"武刚"</f>
        <v>1422</v>
      </c>
      <c r="C716" s="2">
        <v>0.0</v>
      </c>
      <c r="D716" s="2">
        <v>0.0</v>
      </c>
      <c r="E716" s="2">
        <v>0.0</v>
      </c>
    </row>
    <row r="717" spans="1:5" x14ac:dyDescent="0.15">
      <c r="A717" s="2" t="s">
        <f>"093000046920017"</f>
        <v>1423</v>
      </c>
      <c r="B717" s="2" t="s">
        <f>"全淅"</f>
        <v>1424</v>
      </c>
      <c r="C717" s="2">
        <v>0.0</v>
      </c>
      <c r="D717" s="2">
        <v>0.0</v>
      </c>
      <c r="E717" s="2">
        <v>0.0</v>
      </c>
    </row>
    <row r="718" spans="1:5" x14ac:dyDescent="0.15">
      <c r="A718" s="2" t="s">
        <f>"093000040001920099"</f>
        <v>1425</v>
      </c>
      <c r="B718" s="2" t="s">
        <f>"罗杰"</f>
        <v>1426</v>
      </c>
      <c r="C718" s="2">
        <v>0.0</v>
      </c>
      <c r="D718" s="2">
        <v>-1072.0</v>
      </c>
      <c r="E718" s="2">
        <v>-97.3</v>
      </c>
    </row>
    <row r="719" spans="1:5" x14ac:dyDescent="0.15">
      <c r="A719" s="2" t="s">
        <f>"093000040001920100"</f>
        <v>1427</v>
      </c>
      <c r="B719" s="2" t="s">
        <f>"郭日丽"</f>
        <v>1428</v>
      </c>
      <c r="C719" s="2">
        <v>0.0</v>
      </c>
      <c r="D719" s="2">
        <v>1966.0</v>
      </c>
      <c r="E719" s="2">
        <v>-193.76</v>
      </c>
    </row>
    <row r="720" spans="1:5" x14ac:dyDescent="0.15">
      <c r="A720" s="2" t="s">
        <f>"0930000620055"</f>
        <v>1429</v>
      </c>
      <c r="B720" s="2" t="s">
        <f>"罗焕"</f>
        <v>1430</v>
      </c>
      <c r="C720" s="2">
        <v>0.0</v>
      </c>
      <c r="D720" s="2">
        <v>0.0</v>
      </c>
      <c r="E720" s="2">
        <v>0.0</v>
      </c>
    </row>
    <row r="721" spans="1:5" x14ac:dyDescent="0.15">
      <c r="A721" s="2" t="s">
        <f>"0930000370045"</f>
        <v>1431</v>
      </c>
      <c r="B721" s="2" t="s">
        <f>"任丽莎"</f>
        <v>1432</v>
      </c>
      <c r="C721" s="2">
        <v>0.0</v>
      </c>
      <c r="D721" s="2">
        <v>-888.0</v>
      </c>
      <c r="E721" s="2">
        <v>-420.89</v>
      </c>
    </row>
    <row r="722" spans="1:5" x14ac:dyDescent="0.15">
      <c r="A722" s="2" t="s">
        <f>"093000043920018"</f>
        <v>1433</v>
      </c>
      <c r="B722" s="2" t="s">
        <f>"张松岑"</f>
        <v>1434</v>
      </c>
      <c r="C722" s="2">
        <v>0.0</v>
      </c>
      <c r="D722" s="2">
        <v>-1127.0</v>
      </c>
      <c r="E722" s="2">
        <v>-588.84</v>
      </c>
    </row>
    <row r="723" spans="1:5" x14ac:dyDescent="0.15">
      <c r="A723" s="2" t="s">
        <f>"093000040001920101"</f>
        <v>1435</v>
      </c>
      <c r="B723" s="2" t="s">
        <f>"李炳柱"</f>
        <v>1436</v>
      </c>
      <c r="C723" s="2">
        <v>0.0</v>
      </c>
      <c r="D723" s="2">
        <v>-1068.0</v>
      </c>
      <c r="E723" s="2">
        <v>-98.9</v>
      </c>
    </row>
    <row r="724" spans="1:5" x14ac:dyDescent="0.15">
      <c r="A724" s="2" t="s">
        <f>"0930000790001"</f>
        <v>1437</v>
      </c>
      <c r="B724" s="2" t="s">
        <f>"鲁月"</f>
        <v>1438</v>
      </c>
      <c r="C724" s="2">
        <v>0.0</v>
      </c>
      <c r="D724" s="2">
        <v>-1135.0</v>
      </c>
      <c r="E724" s="2">
        <v>-125.46</v>
      </c>
    </row>
    <row r="725" spans="1:5" x14ac:dyDescent="0.15">
      <c r="A725" s="2" t="s">
        <f>"093000040001920104"</f>
        <v>1439</v>
      </c>
      <c r="B725" s="2" t="s">
        <f>"文鑫"</f>
        <v>1440</v>
      </c>
      <c r="C725" s="2">
        <v>0.0</v>
      </c>
      <c r="D725" s="2">
        <v>-1068.0</v>
      </c>
      <c r="E725" s="2">
        <v>-98.7</v>
      </c>
    </row>
    <row r="726" spans="1:5" x14ac:dyDescent="0.15">
      <c r="A726" s="2" t="s">
        <f>"093000040001920105"</f>
        <v>1441</v>
      </c>
      <c r="B726" s="2" t="s">
        <f>"林星华"</f>
        <v>1442</v>
      </c>
      <c r="C726" s="2">
        <v>0.0</v>
      </c>
      <c r="D726" s="2">
        <v>848.0</v>
      </c>
      <c r="E726" s="2">
        <v>-99.64</v>
      </c>
    </row>
    <row r="727" spans="1:5" x14ac:dyDescent="0.15">
      <c r="A727" s="2" t="s">
        <f>"093000920480"</f>
        <v>1443</v>
      </c>
      <c r="B727" s="2" t="s">
        <f>"诸葛明威"</f>
        <v>1444</v>
      </c>
      <c r="C727" s="2">
        <v>0.0</v>
      </c>
      <c r="D727" s="2">
        <v>0.0</v>
      </c>
      <c r="E727" s="2">
        <v>0.0</v>
      </c>
    </row>
    <row r="728" spans="1:5" x14ac:dyDescent="0.15">
      <c r="A728" s="2" t="s">
        <f>"0930000400012"</f>
        <v>1445</v>
      </c>
      <c r="B728" s="2" t="s">
        <f>"张鑫旺"</f>
        <v>1446</v>
      </c>
      <c r="C728" s="2">
        <v>0.0</v>
      </c>
      <c r="D728" s="2">
        <v>0.0</v>
      </c>
      <c r="E728" s="2">
        <v>0.0</v>
      </c>
    </row>
    <row r="729" spans="1:5" x14ac:dyDescent="0.15">
      <c r="A729" s="2" t="s">
        <f>"093000040920052"</f>
        <v>1447</v>
      </c>
      <c r="B729" s="2" t="s">
        <f>"郭艳丽"</f>
        <v>1448</v>
      </c>
      <c r="C729" s="2">
        <v>-340.0</v>
      </c>
      <c r="D729" s="2">
        <v>-351.0</v>
      </c>
      <c r="E729" s="2">
        <v>-460.35</v>
      </c>
    </row>
    <row r="730" spans="1:5" x14ac:dyDescent="0.15">
      <c r="A730" s="2" t="s">
        <f>"093000037920046"</f>
        <v>1449</v>
      </c>
      <c r="B730" s="2" t="s">
        <f>"白公平"</f>
        <v>1450</v>
      </c>
      <c r="C730" s="2">
        <v>0.0</v>
      </c>
      <c r="D730" s="2">
        <v>-54.0</v>
      </c>
      <c r="E730" s="2">
        <v>-20.81</v>
      </c>
    </row>
    <row r="731" spans="1:5" x14ac:dyDescent="0.15">
      <c r="A731" s="2" t="s">
        <f>"0930000560003"</f>
        <v>1451</v>
      </c>
      <c r="B731" s="2" t="s">
        <f>"邹顺凯"</f>
        <v>1452</v>
      </c>
      <c r="C731" s="2">
        <v>-135.0</v>
      </c>
      <c r="D731" s="2">
        <v>-76.0</v>
      </c>
      <c r="E731" s="2">
        <v>-535.79</v>
      </c>
    </row>
    <row r="732" spans="1:5" x14ac:dyDescent="0.15">
      <c r="A732" s="2" t="s">
        <f>"093000043920019"</f>
        <v>1453</v>
      </c>
      <c r="B732" s="2" t="s">
        <f>"曲慧"</f>
        <v>1454</v>
      </c>
      <c r="C732" s="2">
        <v>0.0</v>
      </c>
      <c r="D732" s="2">
        <v>-146.0</v>
      </c>
      <c r="E732" s="2">
        <v>-48.91</v>
      </c>
    </row>
    <row r="733" spans="1:5" x14ac:dyDescent="0.15">
      <c r="A733" s="2" t="s">
        <f>"0930000790002"</f>
        <v>1455</v>
      </c>
      <c r="B733" s="2" t="s">
        <f>"方成伟"</f>
        <v>1456</v>
      </c>
      <c r="C733" s="2">
        <v>0.0</v>
      </c>
      <c r="D733" s="2">
        <v>0.0</v>
      </c>
      <c r="E733" s="2">
        <v>0.0</v>
      </c>
    </row>
    <row r="734" spans="1:5" x14ac:dyDescent="0.15">
      <c r="A734" s="2" t="s">
        <f>"093000039001920002"</f>
        <v>1457</v>
      </c>
      <c r="B734" s="2" t="s">
        <f>"焦丰锐"</f>
        <v>1458</v>
      </c>
      <c r="C734" s="2">
        <v>-705.0</v>
      </c>
      <c r="D734" s="2">
        <v>-8.0</v>
      </c>
      <c r="E734" s="2">
        <v>-650.56</v>
      </c>
    </row>
    <row r="735" spans="1:5" x14ac:dyDescent="0.15">
      <c r="A735" s="2" t="s">
        <f>"0930000620056"</f>
        <v>1459</v>
      </c>
      <c r="B735" s="2" t="s">
        <f>"陆艳慧"</f>
        <v>1460</v>
      </c>
      <c r="C735" s="2">
        <v>0.0</v>
      </c>
      <c r="D735" s="2">
        <v>-920.0</v>
      </c>
      <c r="E735" s="2">
        <v>-95.49</v>
      </c>
    </row>
    <row r="736" spans="1:5" x14ac:dyDescent="0.15">
      <c r="A736" s="2" t="s">
        <f>"093000044920019"</f>
        <v>1461</v>
      </c>
      <c r="B736" s="2" t="s">
        <f>"岳瑞霞"</f>
        <v>1462</v>
      </c>
      <c r="C736" s="2">
        <v>0.0</v>
      </c>
      <c r="D736" s="2">
        <v>0.0</v>
      </c>
      <c r="E736" s="2">
        <v>0.0</v>
      </c>
    </row>
    <row r="737" spans="1:5" x14ac:dyDescent="0.15">
      <c r="A737" s="2" t="s">
        <f>"093000040920053"</f>
        <v>1463</v>
      </c>
      <c r="B737" s="2" t="s">
        <f>"尚光华"</f>
        <v>1464</v>
      </c>
      <c r="C737" s="2">
        <v>-18.0</v>
      </c>
      <c r="D737" s="2">
        <v>-987.0</v>
      </c>
      <c r="E737" s="2">
        <v>-348.5</v>
      </c>
    </row>
    <row r="738" spans="1:5" x14ac:dyDescent="0.15">
      <c r="A738" s="2" t="s">
        <f>"0930000620057"</f>
        <v>1465</v>
      </c>
      <c r="B738" s="2" t="s">
        <f>"黄翠兰"</f>
        <v>1466</v>
      </c>
      <c r="C738" s="2">
        <v>0.0</v>
      </c>
      <c r="D738" s="2">
        <v>860.0</v>
      </c>
      <c r="E738" s="2">
        <v>-72.33</v>
      </c>
    </row>
    <row r="739" spans="1:5" x14ac:dyDescent="0.15">
      <c r="A739" s="2" t="s">
        <f>"093000040001920106"</f>
        <v>1467</v>
      </c>
      <c r="B739" s="2" t="s">
        <f>"杨金明"</f>
        <v>1468</v>
      </c>
      <c r="C739" s="2">
        <v>0.0</v>
      </c>
      <c r="D739" s="2">
        <v>0.0</v>
      </c>
      <c r="E739" s="2">
        <v>0.0</v>
      </c>
    </row>
    <row r="740" spans="1:5" x14ac:dyDescent="0.15">
      <c r="A740" s="2" t="s">
        <f>"093000043920020"</f>
        <v>1469</v>
      </c>
      <c r="B740" s="2" t="s">
        <f>"杜燕"</f>
        <v>1470</v>
      </c>
      <c r="C740" s="2">
        <v>-34.0</v>
      </c>
      <c r="D740" s="2">
        <v>-224.0</v>
      </c>
      <c r="E740" s="2">
        <v>-705.96</v>
      </c>
    </row>
    <row r="741" spans="1:5" x14ac:dyDescent="0.15">
      <c r="A741" s="2" t="s">
        <f>"093000067920079"</f>
        <v>1471</v>
      </c>
      <c r="B741" s="2" t="s">
        <f>"冯肖飞"</f>
        <v>1472</v>
      </c>
      <c r="C741" s="2">
        <v>0.0</v>
      </c>
      <c r="D741" s="2">
        <v>-6.0</v>
      </c>
      <c r="E741" s="2">
        <v>-6.51</v>
      </c>
    </row>
    <row r="742" spans="1:5" x14ac:dyDescent="0.15">
      <c r="A742" s="2" t="s">
        <f>"0930000670011"</f>
        <v>1473</v>
      </c>
      <c r="B742" s="2" t="s">
        <f>"胡林"</f>
        <v>1474</v>
      </c>
      <c r="C742" s="2">
        <v>-193.0</v>
      </c>
      <c r="D742" s="2">
        <v>366.0</v>
      </c>
      <c r="E742" s="2">
        <v>-1310.67</v>
      </c>
    </row>
    <row r="743" spans="1:5" x14ac:dyDescent="0.15">
      <c r="A743" s="2" t="s">
        <f>"093000040001920107"</f>
        <v>1475</v>
      </c>
      <c r="B743" s="2" t="s">
        <f>"温石杏"</f>
        <v>1476</v>
      </c>
      <c r="C743" s="2">
        <v>0.0</v>
      </c>
      <c r="D743" s="2">
        <v>150.0</v>
      </c>
      <c r="E743" s="2">
        <v>-517.79</v>
      </c>
    </row>
    <row r="744" spans="1:5" x14ac:dyDescent="0.15">
      <c r="A744" s="2" t="s">
        <f>"0930000790003"</f>
        <v>1477</v>
      </c>
      <c r="B744" s="2" t="s">
        <f>"曾坤"</f>
        <v>1478</v>
      </c>
      <c r="C744" s="2">
        <v>0.0</v>
      </c>
      <c r="D744" s="2">
        <v>-4.0</v>
      </c>
      <c r="E744" s="2">
        <v>-20.53</v>
      </c>
    </row>
    <row r="745" spans="1:5" x14ac:dyDescent="0.15">
      <c r="A745" s="2" t="s">
        <f>"093000043920021"</f>
        <v>1479</v>
      </c>
      <c r="B745" s="2" t="s">
        <f>"朱明丽"</f>
        <v>1480</v>
      </c>
      <c r="C745" s="2">
        <v>0.0</v>
      </c>
      <c r="D745" s="2">
        <v>-308.0</v>
      </c>
      <c r="E745" s="2">
        <v>-722.62</v>
      </c>
    </row>
    <row r="746" spans="1:5" x14ac:dyDescent="0.15">
      <c r="A746" s="2" t="s">
        <f>"093000920485"</f>
        <v>1481</v>
      </c>
      <c r="B746" s="2" t="s">
        <f>"陈秋凤"</f>
        <v>1482</v>
      </c>
      <c r="C746" s="2">
        <v>-337.0</v>
      </c>
      <c r="D746" s="2">
        <v>-261.0</v>
      </c>
      <c r="E746" s="2">
        <v>-386.84</v>
      </c>
    </row>
    <row r="747" spans="1:5" x14ac:dyDescent="0.15">
      <c r="A747" s="2" t="s">
        <f>"093000040001920109"</f>
        <v>1483</v>
      </c>
      <c r="B747" s="2" t="s">
        <f>"冯俊铭"</f>
        <v>1484</v>
      </c>
      <c r="C747" s="2">
        <v>0.0</v>
      </c>
      <c r="D747" s="2">
        <v>0.0</v>
      </c>
      <c r="E747" s="2">
        <v>0.0</v>
      </c>
    </row>
    <row r="748" spans="1:5" x14ac:dyDescent="0.15">
      <c r="A748" s="2" t="s">
        <f>"093000040920054"</f>
        <v>1485</v>
      </c>
      <c r="B748" s="2" t="s">
        <f>"张彦存"</f>
        <v>1486</v>
      </c>
      <c r="C748" s="2">
        <v>0.0</v>
      </c>
      <c r="D748" s="2">
        <v>256.0</v>
      </c>
      <c r="E748" s="2">
        <v>-370.08</v>
      </c>
    </row>
    <row r="749" spans="1:5" x14ac:dyDescent="0.15">
      <c r="A749" s="2" t="s">
        <f>"093000040001920110"</f>
        <v>1487</v>
      </c>
      <c r="B749" s="2" t="s">
        <f>"柳艺春"</f>
        <v>1488</v>
      </c>
      <c r="C749" s="2">
        <v>0.0</v>
      </c>
      <c r="D749" s="2">
        <v>-707.0</v>
      </c>
      <c r="E749" s="2">
        <v>-335.07</v>
      </c>
    </row>
    <row r="750" spans="1:5" x14ac:dyDescent="0.15">
      <c r="A750" s="2" t="s">
        <f>"093000040001920111"</f>
        <v>1489</v>
      </c>
      <c r="B750" s="2" t="s">
        <f>"胡桂绪"</f>
        <v>1490</v>
      </c>
      <c r="C750" s="2">
        <v>0.0</v>
      </c>
      <c r="D750" s="2">
        <v>910.0</v>
      </c>
      <c r="E750" s="2">
        <v>-97.32</v>
      </c>
    </row>
    <row r="751" spans="1:5" x14ac:dyDescent="0.15">
      <c r="A751" s="2" t="s">
        <f>"093000043920022"</f>
        <v>1491</v>
      </c>
      <c r="B751" s="2" t="s">
        <f>"任超奇"</f>
        <v>1492</v>
      </c>
      <c r="C751" s="2">
        <v>0.0</v>
      </c>
      <c r="D751" s="2">
        <v>-288.0</v>
      </c>
      <c r="E751" s="2">
        <v>-233.0</v>
      </c>
    </row>
    <row r="752" spans="1:5" x14ac:dyDescent="0.15">
      <c r="A752" s="2" t="s">
        <f>"093000040001920112"</f>
        <v>1493</v>
      </c>
      <c r="B752" s="2" t="s">
        <f>"李东新"</f>
        <v>1494</v>
      </c>
      <c r="C752" s="2">
        <v>0.0</v>
      </c>
      <c r="D752" s="2">
        <v>-762.0</v>
      </c>
      <c r="E752" s="2">
        <v>-336.67</v>
      </c>
    </row>
    <row r="753" spans="1:5" x14ac:dyDescent="0.15">
      <c r="A753" s="2" t="s">
        <f>"093000040001920113"</f>
        <v>1495</v>
      </c>
      <c r="B753" s="2" t="s">
        <f>"李巨文"</f>
        <v>1496</v>
      </c>
      <c r="C753" s="2">
        <v>0.0</v>
      </c>
      <c r="D753" s="2">
        <v>938.0</v>
      </c>
      <c r="E753" s="2">
        <v>-97.2</v>
      </c>
    </row>
    <row r="754" spans="1:5" x14ac:dyDescent="0.15">
      <c r="A754" s="2" t="s">
        <f>"093000059920018"</f>
        <v>1497</v>
      </c>
      <c r="B754" s="2" t="s">
        <f>"王程超"</f>
        <v>1498</v>
      </c>
      <c r="C754" s="2">
        <v>0.0</v>
      </c>
      <c r="D754" s="2">
        <v>-1396.0</v>
      </c>
      <c r="E754" s="2">
        <v>-846.47</v>
      </c>
    </row>
    <row r="755" spans="1:5" x14ac:dyDescent="0.15">
      <c r="A755" s="2" t="s">
        <f>"093000063920012"</f>
        <v>1499</v>
      </c>
      <c r="B755" s="2" t="s">
        <f>"李兰"</f>
        <v>1500</v>
      </c>
      <c r="C755" s="2">
        <v>286.0</v>
      </c>
      <c r="D755" s="2">
        <v>1341.0</v>
      </c>
      <c r="E755" s="2">
        <v>-979.77</v>
      </c>
    </row>
    <row r="756" spans="1:5" x14ac:dyDescent="0.15">
      <c r="A756" s="2" t="s">
        <f>"093000041920027"</f>
        <v>1501</v>
      </c>
      <c r="B756" s="2" t="s">
        <f>"史天皓"</f>
        <v>1502</v>
      </c>
      <c r="C756" s="2">
        <v>0.0</v>
      </c>
      <c r="D756" s="2">
        <v>1004.0</v>
      </c>
      <c r="E756" s="2">
        <v>-96.42</v>
      </c>
    </row>
    <row r="757" spans="1:5" x14ac:dyDescent="0.15">
      <c r="A757" s="2" t="s">
        <f>"093000041920028"</f>
        <v>1503</v>
      </c>
      <c r="B757" s="2" t="s">
        <f>"陆永久"</f>
        <v>1504</v>
      </c>
      <c r="C757" s="2">
        <v>0.0</v>
      </c>
      <c r="D757" s="2">
        <v>-1088.0</v>
      </c>
      <c r="E757" s="2">
        <v>-96.42</v>
      </c>
    </row>
    <row r="758" spans="1:5" x14ac:dyDescent="0.15">
      <c r="A758" s="2" t="s">
        <f>"0930000640001"</f>
        <v>1505</v>
      </c>
      <c r="B758" s="2" t="s">
        <f>"汪春桥"</f>
        <v>1506</v>
      </c>
      <c r="C758" s="2">
        <v>0.0</v>
      </c>
      <c r="D758" s="2">
        <v>-1822.0</v>
      </c>
      <c r="E758" s="2">
        <v>-95.94</v>
      </c>
    </row>
    <row r="759" spans="1:5" x14ac:dyDescent="0.15">
      <c r="A759" s="2" t="s">
        <f>"093000920491"</f>
        <v>1507</v>
      </c>
      <c r="B759" s="2" t="s">
        <f>"冯翔"</f>
        <v>1508</v>
      </c>
      <c r="C759" s="2">
        <v>0.0</v>
      </c>
      <c r="D759" s="2">
        <v>0.0</v>
      </c>
      <c r="E759" s="2">
        <v>0.0</v>
      </c>
    </row>
    <row r="760" spans="1:5" x14ac:dyDescent="0.15">
      <c r="A760" s="2" t="s">
        <f>"093000920492"</f>
        <v>1509</v>
      </c>
      <c r="B760" s="2" t="s">
        <f>"金俊杰"</f>
        <v>1510</v>
      </c>
      <c r="C760" s="2">
        <v>0.0</v>
      </c>
      <c r="D760" s="2">
        <v>0.0</v>
      </c>
      <c r="E760" s="2">
        <v>0.0</v>
      </c>
    </row>
    <row r="761" spans="1:5" x14ac:dyDescent="0.15">
      <c r="A761" s="2" t="s">
        <f>"0930000000055"</f>
        <v>1511</v>
      </c>
      <c r="B761" s="2" t="s">
        <f>"张磊"</f>
        <v>1512</v>
      </c>
      <c r="C761" s="2">
        <v>0.0</v>
      </c>
      <c r="D761" s="2">
        <v>-66.0</v>
      </c>
      <c r="E761" s="2">
        <v>-71.6</v>
      </c>
    </row>
    <row r="762" spans="1:5" x14ac:dyDescent="0.15">
      <c r="A762" s="2" t="s">
        <f>"0930000730004"</f>
        <v>1513</v>
      </c>
      <c r="B762" s="2" t="s">
        <f>"王桂秀"</f>
        <v>1514</v>
      </c>
      <c r="C762" s="2">
        <v>0.0</v>
      </c>
      <c r="D762" s="2">
        <v>-370.0</v>
      </c>
      <c r="E762" s="2">
        <v>-52.97</v>
      </c>
    </row>
    <row r="763" spans="1:5" x14ac:dyDescent="0.15">
      <c r="A763" s="2" t="s">
        <f>"0930000000056"</f>
        <v>1515</v>
      </c>
      <c r="B763" s="2" t="s">
        <f>"吴梦娇"</f>
        <v>1516</v>
      </c>
      <c r="C763" s="2">
        <v>0.0</v>
      </c>
      <c r="D763" s="2">
        <v>725.0</v>
      </c>
      <c r="E763" s="2">
        <v>-99.22</v>
      </c>
    </row>
    <row r="764" spans="1:5" x14ac:dyDescent="0.15">
      <c r="A764" s="2" t="s">
        <f>"093000043920023"</f>
        <v>1517</v>
      </c>
      <c r="B764" s="2" t="s">
        <f>"宋江立"</f>
        <v>1518</v>
      </c>
      <c r="C764" s="2">
        <v>-550.0</v>
      </c>
      <c r="D764" s="2">
        <v>587.0</v>
      </c>
      <c r="E764" s="2">
        <v>-4823.62</v>
      </c>
    </row>
    <row r="765" spans="1:5" x14ac:dyDescent="0.15">
      <c r="A765" s="2" t="s">
        <f>"093000059920019"</f>
        <v>1519</v>
      </c>
      <c r="B765" s="2" t="s">
        <f>"闫艳"</f>
        <v>1520</v>
      </c>
      <c r="C765" s="2">
        <v>-341.0</v>
      </c>
      <c r="D765" s="2">
        <v>-76.0</v>
      </c>
      <c r="E765" s="2">
        <v>-150.56</v>
      </c>
    </row>
    <row r="766" spans="1:5" x14ac:dyDescent="0.15">
      <c r="A766" s="2" t="s">
        <f>"093000040001920114"</f>
        <v>1521</v>
      </c>
      <c r="B766" s="2" t="s">
        <f>"欧钊华"</f>
        <v>1522</v>
      </c>
      <c r="C766" s="2">
        <v>0.0</v>
      </c>
      <c r="D766" s="2">
        <v>0.0</v>
      </c>
      <c r="E766" s="2">
        <v>0.0</v>
      </c>
    </row>
    <row r="767" spans="1:5" x14ac:dyDescent="0.15">
      <c r="A767" s="2" t="s">
        <f>"093000068920048"</f>
        <v>1523</v>
      </c>
      <c r="B767" s="2" t="s">
        <f>"容兰珍"</f>
        <v>1524</v>
      </c>
      <c r="C767" s="2">
        <v>-140.0</v>
      </c>
      <c r="D767" s="2">
        <v>32.0</v>
      </c>
      <c r="E767" s="2">
        <v>-13.65</v>
      </c>
    </row>
    <row r="768" spans="1:5" x14ac:dyDescent="0.15">
      <c r="A768" s="2" t="s">
        <f>"0930000620003"</f>
        <v>1525</v>
      </c>
      <c r="B768" s="2" t="s">
        <f>"涂家炜"</f>
        <v>1526</v>
      </c>
      <c r="C768" s="2">
        <v>-549.0</v>
      </c>
      <c r="D768" s="2">
        <v>-227.0</v>
      </c>
      <c r="E768" s="2">
        <v>-489.69</v>
      </c>
    </row>
    <row r="769" spans="1:5" x14ac:dyDescent="0.15">
      <c r="A769" s="2" t="s">
        <f>"093000040001920115"</f>
        <v>1527</v>
      </c>
      <c r="B769" s="2" t="s">
        <f>"林乐文"</f>
        <v>1528</v>
      </c>
      <c r="C769" s="2">
        <v>-266.0</v>
      </c>
      <c r="D769" s="2">
        <v>-852.0</v>
      </c>
      <c r="E769" s="2">
        <v>-100.69</v>
      </c>
    </row>
    <row r="770" spans="1:5" x14ac:dyDescent="0.15">
      <c r="A770" s="2" t="s">
        <f>"0930000640002"</f>
        <v>1529</v>
      </c>
      <c r="B770" s="2" t="s">
        <f>"孙转娃"</f>
        <v>1530</v>
      </c>
      <c r="C770" s="2">
        <v>0.0</v>
      </c>
      <c r="D770" s="2">
        <v>-1418.0</v>
      </c>
      <c r="E770" s="2">
        <v>-96.24</v>
      </c>
    </row>
    <row r="771" spans="1:5" x14ac:dyDescent="0.15">
      <c r="A771" s="2" t="s">
        <f>"093000039001920003"</f>
        <v>1531</v>
      </c>
      <c r="B771" s="2" t="s">
        <f>"李国付"</f>
        <v>1532</v>
      </c>
      <c r="C771" s="2">
        <v>0.0</v>
      </c>
      <c r="D771" s="2">
        <v>0.0</v>
      </c>
      <c r="E771" s="2">
        <v>0.0</v>
      </c>
    </row>
    <row r="772" spans="1:5" x14ac:dyDescent="0.15">
      <c r="A772" s="2" t="s">
        <f>"093000920495"</f>
        <v>1533</v>
      </c>
      <c r="B772" s="2" t="s">
        <f>"李世源"</f>
        <v>1534</v>
      </c>
      <c r="C772" s="2">
        <v>0.0</v>
      </c>
      <c r="D772" s="2">
        <v>0.0</v>
      </c>
      <c r="E772" s="2">
        <v>0.0</v>
      </c>
    </row>
    <row r="773" spans="1:5" x14ac:dyDescent="0.15">
      <c r="A773" s="2" t="s">
        <f>"0930000640003"</f>
        <v>1535</v>
      </c>
      <c r="B773" s="2" t="s">
        <f>"王浩"</f>
        <v>1536</v>
      </c>
      <c r="C773" s="2">
        <v>0.0</v>
      </c>
      <c r="D773" s="2">
        <v>1296.0</v>
      </c>
      <c r="E773" s="2">
        <v>-96.23</v>
      </c>
    </row>
    <row r="774" spans="1:5" x14ac:dyDescent="0.15">
      <c r="A774" s="2" t="s">
        <f>"0930000640004"</f>
        <v>1537</v>
      </c>
      <c r="B774" s="2" t="s">
        <f>"陈奎"</f>
        <v>1538</v>
      </c>
      <c r="C774" s="2">
        <v>0.0</v>
      </c>
      <c r="D774" s="2">
        <v>1136.0</v>
      </c>
      <c r="E774" s="2">
        <v>-96.06</v>
      </c>
    </row>
    <row r="775" spans="1:5" x14ac:dyDescent="0.15">
      <c r="A775" s="2" t="s">
        <f>"093000040001920116"</f>
        <v>1539</v>
      </c>
      <c r="B775" s="2" t="s">
        <f>"叶容伶"</f>
        <v>1540</v>
      </c>
      <c r="C775" s="2">
        <v>0.0</v>
      </c>
      <c r="D775" s="2">
        <v>0.0</v>
      </c>
      <c r="E775" s="2">
        <v>0.0</v>
      </c>
    </row>
    <row r="776" spans="1:5" x14ac:dyDescent="0.15">
      <c r="A776" s="2" t="s">
        <f>"093000067920085"</f>
        <v>1541</v>
      </c>
      <c r="B776" s="2" t="s">
        <f>"申长山"</f>
        <v>1542</v>
      </c>
      <c r="C776" s="2">
        <v>0.0</v>
      </c>
      <c r="D776" s="2">
        <v>0.0</v>
      </c>
      <c r="E776" s="2">
        <v>0.0</v>
      </c>
    </row>
    <row r="777" spans="1:5" x14ac:dyDescent="0.15">
      <c r="A777" s="2" t="s">
        <f>"0930000000057"</f>
        <v>1543</v>
      </c>
      <c r="B777" s="2" t="s">
        <f>"冯彩龙"</f>
        <v>1544</v>
      </c>
      <c r="C777" s="2">
        <v>0.0</v>
      </c>
      <c r="D777" s="2">
        <v>0.0</v>
      </c>
      <c r="E777" s="2">
        <v>0.0</v>
      </c>
    </row>
    <row r="778" spans="1:5" x14ac:dyDescent="0.15">
      <c r="A778" s="2" t="s">
        <f>"093000041920029"</f>
        <v>1545</v>
      </c>
      <c r="B778" s="2" t="s">
        <f>"刘宽愉"</f>
        <v>1546</v>
      </c>
      <c r="C778" s="2">
        <v>-106.0</v>
      </c>
      <c r="D778" s="2">
        <v>-980.0</v>
      </c>
      <c r="E778" s="2">
        <v>-100.96</v>
      </c>
    </row>
    <row r="779" spans="1:5" x14ac:dyDescent="0.15">
      <c r="A779" s="2" t="s">
        <f>"093000041920030"</f>
        <v>1547</v>
      </c>
      <c r="B779" s="2" t="s">
        <f>"曾作伟"</f>
        <v>1548</v>
      </c>
      <c r="C779" s="2">
        <v>62.0</v>
      </c>
      <c r="D779" s="2">
        <v>938.0</v>
      </c>
      <c r="E779" s="2">
        <v>-100.96</v>
      </c>
    </row>
    <row r="780" spans="1:5" x14ac:dyDescent="0.15">
      <c r="A780" s="2" t="s">
        <f>"0930000800001"</f>
        <v>1549</v>
      </c>
      <c r="B780" s="2" t="s">
        <f>"谢嘉铭"</f>
        <v>1550</v>
      </c>
      <c r="C780" s="2">
        <v>0.0</v>
      </c>
      <c r="D780" s="2">
        <v>0.0</v>
      </c>
      <c r="E780" s="2">
        <v>0.0</v>
      </c>
    </row>
    <row r="781" spans="1:5" x14ac:dyDescent="0.15">
      <c r="A781" s="2" t="s">
        <f>"093000049920042"</f>
        <v>1551</v>
      </c>
      <c r="B781" s="2" t="s">
        <f>"韩发强"</f>
        <v>1552</v>
      </c>
      <c r="C781" s="2">
        <v>0.0</v>
      </c>
      <c r="D781" s="2">
        <v>-297.0</v>
      </c>
      <c r="E781" s="2">
        <v>-148.06</v>
      </c>
    </row>
    <row r="782" spans="1:5" x14ac:dyDescent="0.15">
      <c r="A782" s="2" t="s">
        <f>"0930000640005"</f>
        <v>1553</v>
      </c>
      <c r="B782" s="2" t="s">
        <f>"刘闯"</f>
        <v>1554</v>
      </c>
      <c r="C782" s="2">
        <v>0.0</v>
      </c>
      <c r="D782" s="2">
        <v>-1206.0</v>
      </c>
      <c r="E782" s="2">
        <v>-96.05</v>
      </c>
    </row>
    <row r="783" spans="1:5" x14ac:dyDescent="0.15">
      <c r="A783" s="2" t="s">
        <f>"093000039001920004"</f>
        <v>1555</v>
      </c>
      <c r="B783" s="2" t="s">
        <f>"乔春霖"</f>
        <v>1556</v>
      </c>
      <c r="C783" s="2">
        <v>0.0</v>
      </c>
      <c r="D783" s="2">
        <v>343.0</v>
      </c>
      <c r="E783" s="2">
        <v>-742.23</v>
      </c>
    </row>
    <row r="784" spans="1:5" x14ac:dyDescent="0.15">
      <c r="A784" s="2" t="s">
        <f>"0930000730005"</f>
        <v>1557</v>
      </c>
      <c r="B784" s="2" t="s">
        <f>"文小红"</f>
        <v>1558</v>
      </c>
      <c r="C784" s="2">
        <v>0.0</v>
      </c>
      <c r="D784" s="2">
        <v>-378.0</v>
      </c>
      <c r="E784" s="2">
        <v>-53.5</v>
      </c>
    </row>
    <row r="785" spans="1:5" x14ac:dyDescent="0.15">
      <c r="A785" s="2" t="s">
        <f>"0930000058"</f>
        <v>1559</v>
      </c>
      <c r="B785" s="2" t="s">
        <f>"刘强"</f>
        <v>1560</v>
      </c>
      <c r="C785" s="2">
        <v>0.0</v>
      </c>
      <c r="D785" s="2">
        <v>0.0</v>
      </c>
      <c r="E785" s="2">
        <v>0.0</v>
      </c>
    </row>
    <row r="786" spans="1:5" x14ac:dyDescent="0.15">
      <c r="A786" s="2" t="s">
        <f>"0930000000058"</f>
        <v>1561</v>
      </c>
      <c r="B786" s="2" t="s">
        <f>"莫坚华"</f>
        <v>1562</v>
      </c>
      <c r="C786" s="2">
        <v>0.0</v>
      </c>
      <c r="D786" s="2">
        <v>0.0</v>
      </c>
      <c r="E786" s="2">
        <v>0.0</v>
      </c>
    </row>
    <row r="787" spans="1:5" x14ac:dyDescent="0.15">
      <c r="A787" s="2" t="s">
        <f>"0930000810001"</f>
        <v>1563</v>
      </c>
      <c r="B787" s="2" t="s">
        <f>"朱永明"</f>
        <v>1564</v>
      </c>
      <c r="C787" s="2">
        <v>0.0</v>
      </c>
      <c r="D787" s="2">
        <v>0.0</v>
      </c>
      <c r="E787" s="2">
        <v>0.0</v>
      </c>
    </row>
    <row r="788" spans="1:5" x14ac:dyDescent="0.15">
      <c r="A788" s="2" t="s">
        <f>"093000043920025"</f>
        <v>1565</v>
      </c>
      <c r="B788" s="2" t="s">
        <f>"胡亚磊"</f>
        <v>1566</v>
      </c>
      <c r="C788" s="2">
        <v>0.0</v>
      </c>
      <c r="D788" s="2">
        <v>685.0</v>
      </c>
      <c r="E788" s="2">
        <v>-823.04</v>
      </c>
    </row>
    <row r="789" spans="1:5" x14ac:dyDescent="0.15">
      <c r="A789" s="2" t="s">
        <f>"093000920501"</f>
        <v>1567</v>
      </c>
      <c r="B789" s="2" t="s">
        <f>"张占领"</f>
        <v>1568</v>
      </c>
      <c r="C789" s="2">
        <v>-2625.0</v>
      </c>
      <c r="D789" s="2">
        <v>3099.0</v>
      </c>
      <c r="E789" s="2">
        <v>-603.28</v>
      </c>
    </row>
    <row r="790" spans="1:5" x14ac:dyDescent="0.15">
      <c r="A790" s="2" t="s">
        <f>"093000039001920005"</f>
        <v>1569</v>
      </c>
      <c r="B790" s="2" t="s">
        <f>"李庆印"</f>
        <v>1570</v>
      </c>
      <c r="C790" s="2">
        <v>-1313.0</v>
      </c>
      <c r="D790" s="2">
        <v>468.0</v>
      </c>
      <c r="E790" s="2">
        <v>-282.87</v>
      </c>
    </row>
    <row r="791" spans="1:5" x14ac:dyDescent="0.15">
      <c r="A791" s="2" t="s">
        <f>"093000040920056"</f>
        <v>1571</v>
      </c>
      <c r="B791" s="2" t="s">
        <f>"刘志萍"</f>
        <v>1572</v>
      </c>
      <c r="C791" s="2">
        <v>0.0</v>
      </c>
      <c r="D791" s="2">
        <v>0.0</v>
      </c>
      <c r="E791" s="2">
        <v>0.0</v>
      </c>
    </row>
    <row r="792" spans="1:5" x14ac:dyDescent="0.15">
      <c r="A792" s="2" t="s">
        <f>"0930000000059"</f>
        <v>1573</v>
      </c>
      <c r="B792" s="2" t="s">
        <f>"刘强"</f>
        <v>1560</v>
      </c>
      <c r="C792" s="2">
        <v>0.0</v>
      </c>
      <c r="D792" s="2">
        <v>0.0</v>
      </c>
      <c r="E792" s="2">
        <v>0.0</v>
      </c>
    </row>
    <row r="793" spans="1:5" x14ac:dyDescent="0.15">
      <c r="A793" s="2" t="s">
        <f>"0930000000060"</f>
        <v>1574</v>
      </c>
      <c r="B793" s="2" t="s">
        <f>"马帅"</f>
        <v>1575</v>
      </c>
      <c r="C793" s="2">
        <v>-671.0</v>
      </c>
      <c r="D793" s="2">
        <v>357.0</v>
      </c>
      <c r="E793" s="2">
        <v>-104.25</v>
      </c>
    </row>
    <row r="794" spans="1:5" x14ac:dyDescent="0.15">
      <c r="A794" s="2" t="s">
        <f>"0930000810002"</f>
        <v>1576</v>
      </c>
      <c r="B794" s="2" t="s">
        <f>"孙晨阳"</f>
        <v>1577</v>
      </c>
      <c r="C794" s="2">
        <v>0.0</v>
      </c>
      <c r="D794" s="2">
        <v>-21.0</v>
      </c>
      <c r="E794" s="2">
        <v>-6.72</v>
      </c>
    </row>
    <row r="795" spans="1:5" x14ac:dyDescent="0.15">
      <c r="A795" s="2" t="s">
        <f>"0930000000061"</f>
        <v>1578</v>
      </c>
      <c r="B795" s="2" t="s">
        <f>"李根"</f>
        <v>1579</v>
      </c>
      <c r="C795" s="2">
        <v>0.0</v>
      </c>
      <c r="D795" s="2">
        <v>0.0</v>
      </c>
      <c r="E795" s="2">
        <v>0.0</v>
      </c>
    </row>
    <row r="796" spans="1:5" x14ac:dyDescent="0.15">
      <c r="A796" s="2" t="s">
        <f>"0930000000062"</f>
        <v>1580</v>
      </c>
      <c r="B796" s="2" t="s">
        <f>"蒋国鹏"</f>
        <v>1581</v>
      </c>
      <c r="C796" s="2">
        <v>0.0</v>
      </c>
      <c r="D796" s="2">
        <v>-212.0</v>
      </c>
      <c r="E796" s="2">
        <v>-48.67</v>
      </c>
    </row>
    <row r="797" spans="1:5" x14ac:dyDescent="0.15">
      <c r="A797" s="2" t="s">
        <f>"0930000000063"</f>
        <v>1582</v>
      </c>
      <c r="B797" s="2" t="s">
        <f>"王文杰"</f>
        <v>1583</v>
      </c>
      <c r="C797" s="2">
        <v>0.0</v>
      </c>
      <c r="D797" s="2">
        <v>0.0</v>
      </c>
      <c r="E797" s="2">
        <v>0.0</v>
      </c>
    </row>
    <row r="798" spans="1:5" x14ac:dyDescent="0.15">
      <c r="A798" s="2" t="s">
        <f>"093000046920018"</f>
        <v>1584</v>
      </c>
      <c r="B798" s="2" t="s">
        <f>"毕龙才"</f>
        <v>1585</v>
      </c>
      <c r="C798" s="2">
        <v>0.0</v>
      </c>
      <c r="D798" s="2">
        <v>0.0</v>
      </c>
      <c r="E798" s="2">
        <v>0.0</v>
      </c>
    </row>
    <row r="799" spans="1:5" x14ac:dyDescent="0.15">
      <c r="A799" s="2" t="s">
        <f>"0930000000064"</f>
        <v>1586</v>
      </c>
      <c r="B799" s="2" t="s">
        <f>"刘欢"</f>
        <v>473</v>
      </c>
      <c r="C799" s="2">
        <v>-305.0</v>
      </c>
      <c r="D799" s="2">
        <v>-89.0</v>
      </c>
      <c r="E799" s="2">
        <v>-428.26</v>
      </c>
    </row>
    <row r="800" spans="1:5" x14ac:dyDescent="0.15">
      <c r="A800" s="2" t="s">
        <f>"0930000000065"</f>
        <v>1587</v>
      </c>
      <c r="B800" s="2" t="s">
        <f>"李冬阳"</f>
        <v>1588</v>
      </c>
      <c r="C800" s="2">
        <v>0.0</v>
      </c>
      <c r="D800" s="2">
        <v>0.0</v>
      </c>
      <c r="E800" s="2">
        <v>0.0</v>
      </c>
    </row>
    <row r="801" spans="1:5" x14ac:dyDescent="0.15">
      <c r="A801" s="2" t="s">
        <f>"0930000000066"</f>
        <v>1589</v>
      </c>
      <c r="B801" s="2" t="s">
        <f>"刘栋"</f>
        <v>1590</v>
      </c>
      <c r="C801" s="2">
        <v>-92.0</v>
      </c>
      <c r="D801" s="2">
        <v>-1105.0</v>
      </c>
      <c r="E801" s="2">
        <v>-543.51</v>
      </c>
    </row>
    <row r="802" spans="1:5" x14ac:dyDescent="0.15">
      <c r="A802" s="2" t="s">
        <f>"0930000000067"</f>
        <v>1591</v>
      </c>
      <c r="B802" s="2" t="s">
        <f>"班义倬"</f>
        <v>1592</v>
      </c>
      <c r="C802" s="2">
        <v>0.0</v>
      </c>
      <c r="D802" s="2">
        <v>0.0</v>
      </c>
      <c r="E802" s="2">
        <v>0.0</v>
      </c>
    </row>
    <row r="803" spans="1:5" x14ac:dyDescent="0.15">
      <c r="A803" s="2" t="s">
        <f>"0930000000068"</f>
        <v>1593</v>
      </c>
      <c r="B803" s="2" t="s">
        <f>"宋丙奇"</f>
        <v>1594</v>
      </c>
      <c r="C803" s="2">
        <v>0.0</v>
      </c>
      <c r="D803" s="2">
        <v>13.0</v>
      </c>
      <c r="E803" s="2">
        <v>-120.31</v>
      </c>
    </row>
    <row r="804" spans="1:5" x14ac:dyDescent="0.15">
      <c r="A804" s="2" t="s">
        <f>"0930000810003"</f>
        <v>1595</v>
      </c>
      <c r="B804" s="2" t="s">
        <f>"孙谦"</f>
        <v>1596</v>
      </c>
      <c r="C804" s="2">
        <v>0.0</v>
      </c>
      <c r="D804" s="2">
        <v>0.0</v>
      </c>
      <c r="E804" s="2">
        <v>0.0</v>
      </c>
    </row>
    <row r="805" spans="1:5" x14ac:dyDescent="0.15">
      <c r="A805" s="2" t="s">
        <f>"0930000810004"</f>
        <v>1597</v>
      </c>
      <c r="B805" s="2" t="s">
        <f>"刘勇"</f>
        <v>1598</v>
      </c>
      <c r="C805" s="2">
        <v>0.0</v>
      </c>
      <c r="D805" s="2">
        <v>0.0</v>
      </c>
      <c r="E805" s="2">
        <v>0.0</v>
      </c>
    </row>
    <row r="806" spans="1:5" x14ac:dyDescent="0.15">
      <c r="A806" s="2" t="s">
        <f>"0930000810005"</f>
        <v>1599</v>
      </c>
      <c r="B806" s="2" t="s">
        <f>"魏坤龙"</f>
        <v>1600</v>
      </c>
      <c r="C806" s="2">
        <v>0.0</v>
      </c>
      <c r="D806" s="2">
        <v>0.0</v>
      </c>
      <c r="E806" s="2">
        <v>0.0</v>
      </c>
    </row>
    <row r="807" spans="1:5" x14ac:dyDescent="0.15">
      <c r="A807" s="2" t="s">
        <f>"0930000000069"</f>
        <v>1601</v>
      </c>
      <c r="B807" s="2" t="s">
        <f>"岳建杰"</f>
        <v>1602</v>
      </c>
      <c r="C807" s="2">
        <v>0.0</v>
      </c>
      <c r="D807" s="2">
        <v>168.0</v>
      </c>
      <c r="E807" s="2">
        <v>-48.68</v>
      </c>
    </row>
    <row r="808" spans="1:5" x14ac:dyDescent="0.15">
      <c r="A808" s="2" t="s">
        <f>"0930000000070"</f>
        <v>1603</v>
      </c>
      <c r="B808" s="2" t="s">
        <f>"刘迪"</f>
        <v>1604</v>
      </c>
      <c r="C808" s="2">
        <v>0.0</v>
      </c>
      <c r="D808" s="2">
        <v>0.0</v>
      </c>
      <c r="E808" s="2">
        <v>0.0</v>
      </c>
    </row>
    <row r="809" spans="1:5" x14ac:dyDescent="0.15">
      <c r="A809" s="2" t="s">
        <f>"0930000810006"</f>
        <v>1605</v>
      </c>
      <c r="B809" s="2" t="s">
        <f>"刘新阳"</f>
        <v>1606</v>
      </c>
      <c r="C809" s="2">
        <v>0.0</v>
      </c>
      <c r="D809" s="2">
        <v>0.0</v>
      </c>
      <c r="E809" s="2">
        <v>0.0</v>
      </c>
    </row>
    <row r="810" spans="1:5" x14ac:dyDescent="0.15">
      <c r="A810" s="2" t="s">
        <f>"0930000000071"</f>
        <v>1607</v>
      </c>
      <c r="B810" s="2" t="s">
        <f>"赵嘉嘉"</f>
        <v>1608</v>
      </c>
      <c r="C810" s="2">
        <v>0.0</v>
      </c>
      <c r="D810" s="2">
        <v>0.0</v>
      </c>
      <c r="E810" s="2">
        <v>0.0</v>
      </c>
    </row>
    <row r="811" spans="1:5" x14ac:dyDescent="0.15">
      <c r="A811" s="2" t="s">
        <f>"0930000810007"</f>
        <v>1609</v>
      </c>
      <c r="B811" s="2" t="s">
        <f>"孙立"</f>
        <v>1610</v>
      </c>
      <c r="C811" s="2">
        <v>0.0</v>
      </c>
      <c r="D811" s="2">
        <v>0.0</v>
      </c>
      <c r="E811" s="2">
        <v>0.0</v>
      </c>
    </row>
    <row r="812" spans="1:5" x14ac:dyDescent="0.15">
      <c r="A812" s="2" t="s">
        <f>"093000044920022"</f>
        <v>1611</v>
      </c>
      <c r="B812" s="2" t="s">
        <f>"王向阳"</f>
        <v>1612</v>
      </c>
      <c r="C812" s="2">
        <v>-172.0</v>
      </c>
      <c r="D812" s="2">
        <v>-903.0</v>
      </c>
      <c r="E812" s="2">
        <v>-397.11</v>
      </c>
    </row>
    <row r="813" spans="1:5" x14ac:dyDescent="0.15">
      <c r="A813" s="2" t="s">
        <f>"0930000790004"</f>
        <v>1613</v>
      </c>
      <c r="B813" s="2" t="s">
        <f>"何海彬"</f>
        <v>1614</v>
      </c>
      <c r="C813" s="2">
        <v>0.0</v>
      </c>
      <c r="D813" s="2">
        <v>0.0</v>
      </c>
      <c r="E813" s="2">
        <v>0.0</v>
      </c>
    </row>
    <row r="814" spans="1:5" x14ac:dyDescent="0.15">
      <c r="A814" s="2" t="s">
        <f>"093000039001920006"</f>
        <v>1615</v>
      </c>
      <c r="B814" s="2" t="s">
        <f>"陈卓"</f>
        <v>24</v>
      </c>
      <c r="C814" s="2">
        <v>0.0</v>
      </c>
      <c r="D814" s="2">
        <v>1785.0</v>
      </c>
      <c r="E814" s="2">
        <v>-737.87</v>
      </c>
    </row>
    <row r="815" spans="1:5" x14ac:dyDescent="0.15">
      <c r="A815" s="2" t="s">
        <f>"093000920505"</f>
        <v>1616</v>
      </c>
      <c r="B815" s="2" t="s">
        <f>"王震"</f>
        <v>1617</v>
      </c>
      <c r="C815" s="2">
        <v>0.0</v>
      </c>
      <c r="D815" s="2">
        <v>0.0</v>
      </c>
      <c r="E815" s="2">
        <v>0.0</v>
      </c>
    </row>
    <row r="816" spans="1:5" x14ac:dyDescent="0.15">
      <c r="A816" s="2" t="s">
        <f>"093000920504"</f>
        <v>1618</v>
      </c>
      <c r="B816" s="2" t="s">
        <f>"赵国"</f>
        <v>1619</v>
      </c>
      <c r="C816" s="2">
        <v>0.0</v>
      </c>
      <c r="D816" s="2">
        <v>0.0</v>
      </c>
      <c r="E816" s="2">
        <v>0.0</v>
      </c>
    </row>
    <row r="817" spans="1:5" x14ac:dyDescent="0.15">
      <c r="A817" s="2" t="s">
        <f>"0930000730006"</f>
        <v>1620</v>
      </c>
      <c r="B817" s="2" t="s">
        <f>"黄俊桦"</f>
        <v>1621</v>
      </c>
      <c r="C817" s="2">
        <v>-159.0</v>
      </c>
      <c r="D817" s="2">
        <v>-1103.0</v>
      </c>
      <c r="E817" s="2">
        <v>-133.36</v>
      </c>
    </row>
    <row r="818" spans="1:5" x14ac:dyDescent="0.15">
      <c r="A818" s="2" t="s">
        <f>"0930000620004"</f>
        <v>1622</v>
      </c>
      <c r="B818" s="2" t="s">
        <f>"黄显成"</f>
        <v>1623</v>
      </c>
      <c r="C818" s="2">
        <v>0.0</v>
      </c>
      <c r="D818" s="2">
        <v>-1018.0</v>
      </c>
      <c r="E818" s="2">
        <v>-160.83</v>
      </c>
    </row>
    <row r="819" spans="1:5" x14ac:dyDescent="0.15">
      <c r="A819" s="2" t="s">
        <f>"0930000790005"</f>
        <v>1624</v>
      </c>
      <c r="B819" s="2" t="s">
        <f>"郭宗霞"</f>
        <v>1625</v>
      </c>
      <c r="C819" s="2">
        <v>0.0</v>
      </c>
      <c r="D819" s="2">
        <v>-471.0</v>
      </c>
      <c r="E819" s="2">
        <v>-578.8</v>
      </c>
    </row>
    <row r="820" spans="1:5" x14ac:dyDescent="0.15">
      <c r="A820" s="2" t="s">
        <f>"093000049920043"</f>
        <v>1626</v>
      </c>
      <c r="B820" s="2" t="s">
        <f>"邱全伟"</f>
        <v>1627</v>
      </c>
      <c r="C820" s="2">
        <v>0.0</v>
      </c>
      <c r="D820" s="2">
        <v>0.0</v>
      </c>
      <c r="E820" s="2">
        <v>0.0</v>
      </c>
    </row>
    <row r="821" spans="1:5" x14ac:dyDescent="0.15">
      <c r="A821" s="2" t="s">
        <f>"0930000000101"</f>
        <v>1628</v>
      </c>
      <c r="B821" s="2" t="s">
        <f>"黄小艳"</f>
        <v>1629</v>
      </c>
      <c r="C821" s="2">
        <v>0.0</v>
      </c>
      <c r="D821" s="2">
        <v>0.0</v>
      </c>
      <c r="E821" s="2">
        <v>0.0</v>
      </c>
    </row>
    <row r="822" spans="1:5" x14ac:dyDescent="0.15">
      <c r="A822" s="2" t="s">
        <f>"093000043920026"</f>
        <v>1630</v>
      </c>
      <c r="B822" s="2" t="s">
        <f>"吕建荣"</f>
        <v>1631</v>
      </c>
      <c r="C822" s="2">
        <v>0.0</v>
      </c>
      <c r="D822" s="2">
        <v>-273.0</v>
      </c>
      <c r="E822" s="2">
        <v>-1385.14</v>
      </c>
    </row>
    <row r="823" spans="1:5" x14ac:dyDescent="0.15">
      <c r="A823" s="2" t="s">
        <f>"0930000000072"</f>
        <v>1632</v>
      </c>
      <c r="B823" s="2" t="s">
        <f>"李鹏"</f>
        <v>1633</v>
      </c>
      <c r="C823" s="2">
        <v>0.0</v>
      </c>
      <c r="D823" s="2">
        <v>0.0</v>
      </c>
      <c r="E823" s="2">
        <v>0.0</v>
      </c>
    </row>
    <row r="824" spans="1:5" x14ac:dyDescent="0.15">
      <c r="A824" s="2" t="s">
        <f>"093000088920006"</f>
        <v>1634</v>
      </c>
      <c r="B824" s="2" t="s">
        <f>"党九山"</f>
        <v>1635</v>
      </c>
      <c r="C824" s="2">
        <v>-2122.0</v>
      </c>
      <c r="D824" s="2">
        <v>-1383.0</v>
      </c>
      <c r="E824" s="2">
        <v>-1895.56</v>
      </c>
    </row>
    <row r="825" spans="1:5" x14ac:dyDescent="0.15">
      <c r="A825" s="2" t="s">
        <f>"093000067920086"</f>
        <v>1636</v>
      </c>
      <c r="B825" s="2" t="s">
        <f>"陈兴隆"</f>
        <v>1637</v>
      </c>
      <c r="C825" s="2">
        <v>0.0</v>
      </c>
      <c r="D825" s="2">
        <v>0.0</v>
      </c>
      <c r="E825" s="2">
        <v>0.0</v>
      </c>
    </row>
    <row r="826" spans="1:5" x14ac:dyDescent="0.15">
      <c r="A826" s="2" t="s">
        <f>"093000041920031"</f>
        <v>1638</v>
      </c>
      <c r="B826" s="2" t="s">
        <f>"周梦桢"</f>
        <v>1639</v>
      </c>
      <c r="C826" s="2">
        <v>0.0</v>
      </c>
      <c r="D826" s="2">
        <v>-1088.0</v>
      </c>
      <c r="E826" s="2">
        <v>-102.42</v>
      </c>
    </row>
    <row r="827" spans="1:5" x14ac:dyDescent="0.15">
      <c r="A827" s="2" t="s">
        <f>"0930000640006"</f>
        <v>1640</v>
      </c>
      <c r="B827" s="2" t="s">
        <f>"梁丰安"</f>
        <v>1641</v>
      </c>
      <c r="C827" s="2">
        <v>0.0</v>
      </c>
      <c r="D827" s="2">
        <v>0.0</v>
      </c>
      <c r="E827" s="2">
        <v>0.0</v>
      </c>
    </row>
    <row r="828" spans="1:5" x14ac:dyDescent="0.15">
      <c r="A828" s="2" t="s">
        <f>"093000059920020"</f>
        <v>1642</v>
      </c>
      <c r="B828" s="2" t="s">
        <f>"徐路娟"</f>
        <v>1643</v>
      </c>
      <c r="C828" s="2">
        <v>-1829.0</v>
      </c>
      <c r="D828" s="2">
        <v>1239.0</v>
      </c>
      <c r="E828" s="2">
        <v>-1658.59</v>
      </c>
    </row>
    <row r="829" spans="1:5" x14ac:dyDescent="0.15">
      <c r="A829" s="2" t="s">
        <f>"093000083920001"</f>
        <v>1644</v>
      </c>
      <c r="B829" s="2" t="s">
        <f>"杨堂宽"</f>
        <v>1645</v>
      </c>
      <c r="C829" s="2">
        <v>0.0</v>
      </c>
      <c r="D829" s="2">
        <v>0.0</v>
      </c>
      <c r="E829" s="2">
        <v>0.0</v>
      </c>
    </row>
    <row r="830" spans="1:5" x14ac:dyDescent="0.15">
      <c r="A830" s="2" t="s">
        <f>"0930000790006"</f>
        <v>1646</v>
      </c>
      <c r="B830" s="2" t="s">
        <f>"杨晓威"</f>
        <v>1647</v>
      </c>
      <c r="C830" s="2">
        <v>0.0</v>
      </c>
      <c r="D830" s="2">
        <v>0.0</v>
      </c>
      <c r="E830" s="2">
        <v>0.0</v>
      </c>
    </row>
    <row r="831" spans="1:5" x14ac:dyDescent="0.15">
      <c r="A831" s="2" t="s">
        <f>"0930000790007"</f>
        <v>1648</v>
      </c>
      <c r="B831" s="2" t="s">
        <f>"陈阳阳"</f>
        <v>1649</v>
      </c>
      <c r="C831" s="2">
        <v>0.0</v>
      </c>
      <c r="D831" s="2">
        <v>0.0</v>
      </c>
      <c r="E831" s="2">
        <v>0.0</v>
      </c>
    </row>
    <row r="832" spans="1:5" x14ac:dyDescent="0.15">
      <c r="A832" s="2" t="s">
        <f>"093000043920028"</f>
        <v>1650</v>
      </c>
      <c r="B832" s="2" t="s">
        <f>"薄涛"</f>
        <v>1651</v>
      </c>
      <c r="C832" s="2">
        <v>0.0</v>
      </c>
      <c r="D832" s="2">
        <v>-210.0</v>
      </c>
      <c r="E832" s="2">
        <v>-1280.34</v>
      </c>
    </row>
    <row r="833" spans="1:5" x14ac:dyDescent="0.15">
      <c r="A833" s="2" t="s">
        <f>"093000043920029"</f>
        <v>1652</v>
      </c>
      <c r="B833" s="2" t="s">
        <f>"李彦鹏"</f>
        <v>1653</v>
      </c>
      <c r="C833" s="2">
        <v>0.0</v>
      </c>
      <c r="D833" s="2">
        <v>-840.0</v>
      </c>
      <c r="E833" s="2">
        <v>-154.47</v>
      </c>
    </row>
    <row r="834" spans="1:5" x14ac:dyDescent="0.15">
      <c r="A834" s="2" t="s">
        <f>"093000044920023"</f>
        <v>1654</v>
      </c>
      <c r="B834" s="2" t="s">
        <f>"何书均"</f>
        <v>1655</v>
      </c>
      <c r="C834" s="2">
        <v>-30.0</v>
      </c>
      <c r="D834" s="2">
        <v>600.0</v>
      </c>
      <c r="E834" s="2">
        <v>-3454.27</v>
      </c>
    </row>
    <row r="835" spans="1:5" x14ac:dyDescent="0.15">
      <c r="A835" s="2" t="s">
        <f>"093000043920030"</f>
        <v>1656</v>
      </c>
      <c r="B835" s="2" t="s">
        <f>"李彦红"</f>
        <v>1657</v>
      </c>
      <c r="C835" s="2">
        <v>-960.0</v>
      </c>
      <c r="D835" s="2">
        <v>80.0</v>
      </c>
      <c r="E835" s="2">
        <v>-149.47</v>
      </c>
    </row>
    <row r="836" spans="1:5" x14ac:dyDescent="0.15">
      <c r="A836" s="2" t="s">
        <f>"0930000790008"</f>
        <v>1658</v>
      </c>
      <c r="B836" s="2" t="s">
        <f>"李良栋"</f>
        <v>1659</v>
      </c>
      <c r="C836" s="2">
        <v>0.0</v>
      </c>
      <c r="D836" s="2">
        <v>0.0</v>
      </c>
      <c r="E836" s="2">
        <v>0.0</v>
      </c>
    </row>
    <row r="837" spans="1:5" x14ac:dyDescent="0.15">
      <c r="A837" s="2" t="s">
        <f>"093000040920057"</f>
        <v>1660</v>
      </c>
      <c r="B837" s="2" t="s">
        <f>"孙瑞轩"</f>
        <v>1661</v>
      </c>
      <c r="C837" s="2">
        <v>0.0</v>
      </c>
      <c r="D837" s="2">
        <v>0.0</v>
      </c>
      <c r="E837" s="2">
        <v>0.0</v>
      </c>
    </row>
    <row r="838" spans="1:5" x14ac:dyDescent="0.15">
      <c r="A838" s="2" t="s">
        <f>"0930000790009"</f>
        <v>1662</v>
      </c>
      <c r="B838" s="2" t="s">
        <f>"蒋海淼"</f>
        <v>1663</v>
      </c>
      <c r="C838" s="2">
        <v>0.0</v>
      </c>
      <c r="D838" s="2">
        <v>0.0</v>
      </c>
      <c r="E838" s="2">
        <v>0.0</v>
      </c>
    </row>
    <row r="839" spans="1:5" x14ac:dyDescent="0.15">
      <c r="A839" s="2" t="s">
        <f>"093000039001920008"</f>
        <v>1664</v>
      </c>
      <c r="B839" s="2" t="s">
        <f>"杨武洋"</f>
        <v>1665</v>
      </c>
      <c r="C839" s="2">
        <v>0.0</v>
      </c>
      <c r="D839" s="2">
        <v>0.0</v>
      </c>
      <c r="E839" s="2">
        <v>0.0</v>
      </c>
    </row>
    <row r="840" spans="1:5" x14ac:dyDescent="0.15">
      <c r="A840" s="2" t="s">
        <f>"093000039001920009"</f>
        <v>1666</v>
      </c>
      <c r="B840" s="2" t="s">
        <f>"李展"</f>
        <v>1667</v>
      </c>
      <c r="C840" s="2">
        <v>0.0</v>
      </c>
      <c r="D840" s="2">
        <v>123.0</v>
      </c>
      <c r="E840" s="2">
        <v>-58.25</v>
      </c>
    </row>
    <row r="841" spans="1:5" x14ac:dyDescent="0.15">
      <c r="A841" s="2" t="s">
        <f>"093000039001920010"</f>
        <v>1668</v>
      </c>
      <c r="B841" s="2" t="s">
        <f>"陈朋飞"</f>
        <v>1669</v>
      </c>
      <c r="C841" s="2">
        <v>0.0</v>
      </c>
      <c r="D841" s="2">
        <v>-93.0</v>
      </c>
      <c r="E841" s="2">
        <v>-222.13</v>
      </c>
    </row>
    <row r="842" spans="1:5" x14ac:dyDescent="0.15">
      <c r="A842" s="2" t="s">
        <f>"093000083920003"</f>
        <v>1670</v>
      </c>
      <c r="B842" s="2" t="s">
        <f>"沈庆玲"</f>
        <v>1671</v>
      </c>
      <c r="C842" s="2">
        <v>0.0</v>
      </c>
      <c r="D842" s="2">
        <v>5155.0</v>
      </c>
      <c r="E842" s="2">
        <v>-3693.98</v>
      </c>
    </row>
    <row r="843" spans="1:5" x14ac:dyDescent="0.15">
      <c r="A843" s="2" t="s">
        <f>"093000044920024"</f>
        <v>1672</v>
      </c>
      <c r="B843" s="2" t="s">
        <f>"王士红"</f>
        <v>1673</v>
      </c>
      <c r="C843" s="2">
        <v>-573.0</v>
      </c>
      <c r="D843" s="2">
        <v>842.0</v>
      </c>
      <c r="E843" s="2">
        <v>-1160.95</v>
      </c>
    </row>
    <row r="844" spans="1:5" x14ac:dyDescent="0.15">
      <c r="A844" s="2" t="s">
        <f>"093000039001920011"</f>
        <v>1674</v>
      </c>
      <c r="B844" s="2" t="s">
        <f>"冯居国"</f>
        <v>1675</v>
      </c>
      <c r="C844" s="2">
        <v>0.0</v>
      </c>
      <c r="D844" s="2">
        <v>0.0</v>
      </c>
      <c r="E844" s="2">
        <v>0.0</v>
      </c>
    </row>
    <row r="845" spans="1:5" x14ac:dyDescent="0.15">
      <c r="A845" s="2" t="s">
        <f>"0930000790010"</f>
        <v>1676</v>
      </c>
      <c r="B845" s="2" t="s">
        <f>"王永明"</f>
        <v>1677</v>
      </c>
      <c r="C845" s="2">
        <v>23.0</v>
      </c>
      <c r="D845" s="2">
        <v>-327.0</v>
      </c>
      <c r="E845" s="2">
        <v>-69.36</v>
      </c>
    </row>
    <row r="846" spans="1:5" x14ac:dyDescent="0.15">
      <c r="A846" s="2" t="s">
        <f>"093000044920025"</f>
        <v>1678</v>
      </c>
      <c r="B846" s="2" t="s">
        <f>"苏贵州"</f>
        <v>1679</v>
      </c>
      <c r="C846" s="2">
        <v>-4529.0</v>
      </c>
      <c r="D846" s="2">
        <v>-10997.0</v>
      </c>
      <c r="E846" s="2">
        <v>-6214.63</v>
      </c>
    </row>
    <row r="847" spans="1:5" x14ac:dyDescent="0.15">
      <c r="A847" s="2" t="s">
        <f>"0930000810008"</f>
        <v>1680</v>
      </c>
      <c r="B847" s="2" t="s">
        <f>"冯振超"</f>
        <v>1681</v>
      </c>
      <c r="C847" s="2">
        <v>0.0</v>
      </c>
      <c r="D847" s="2">
        <v>0.0</v>
      </c>
      <c r="E847" s="2">
        <v>0.0</v>
      </c>
    </row>
    <row r="848" spans="1:5" x14ac:dyDescent="0.15">
      <c r="A848" s="2" t="s">
        <f>"0930000370001"</f>
        <v>1682</v>
      </c>
      <c r="B848" s="2" t="s">
        <f>" 赵梦仙"</f>
        <v>1683</v>
      </c>
      <c r="C848" s="2">
        <v>0.0</v>
      </c>
      <c r="D848" s="2">
        <v>-9.0</v>
      </c>
      <c r="E848" s="2">
        <v>-6.52</v>
      </c>
    </row>
    <row r="849" spans="1:5" x14ac:dyDescent="0.15">
      <c r="A849" s="2" t="s">
        <f>"0930000370001"</f>
        <v>1682</v>
      </c>
      <c r="B849" s="2" t="s">
        <f>"赵梦仙"</f>
        <v>1684</v>
      </c>
      <c r="C849" s="2">
        <v>0.0</v>
      </c>
      <c r="D849" s="2">
        <v>0.0</v>
      </c>
      <c r="E849" s="2">
        <v>0.0</v>
      </c>
    </row>
    <row r="850" spans="1:5" x14ac:dyDescent="0.15">
      <c r="A850" s="2" t="s">
        <f>"093000043920031"</f>
        <v>1685</v>
      </c>
      <c r="B850" s="2" t="s">
        <f>"田晓萍"</f>
        <v>1686</v>
      </c>
      <c r="C850" s="2">
        <v>-602.0</v>
      </c>
      <c r="D850" s="2">
        <v>-562.0</v>
      </c>
      <c r="E850" s="2">
        <v>-1955.44</v>
      </c>
    </row>
    <row r="851" spans="1:5" x14ac:dyDescent="0.15">
      <c r="A851" s="2" t="s">
        <f>"0930000790011"</f>
        <v>1687</v>
      </c>
      <c r="B851" s="2" t="s">
        <f>"陈文龙"</f>
        <v>1688</v>
      </c>
      <c r="C851" s="2">
        <v>0.0</v>
      </c>
      <c r="D851" s="2">
        <v>0.0</v>
      </c>
      <c r="E851" s="2">
        <v>0.0</v>
      </c>
    </row>
    <row r="852" spans="1:5" x14ac:dyDescent="0.15">
      <c r="A852" s="2" t="s">
        <f>"093000043920032"</f>
        <v>1689</v>
      </c>
      <c r="B852" s="2" t="s">
        <f>"李建明"</f>
        <v>1690</v>
      </c>
      <c r="C852" s="2">
        <v>0.0</v>
      </c>
      <c r="D852" s="2">
        <v>0.0</v>
      </c>
      <c r="E852" s="2">
        <v>0.0</v>
      </c>
    </row>
    <row r="853" spans="1:5" x14ac:dyDescent="0.15">
      <c r="A853" s="2" t="s">
        <f>"0930000790012"</f>
        <v>1691</v>
      </c>
      <c r="B853" s="2" t="s">
        <f>"任德振"</f>
        <v>1692</v>
      </c>
      <c r="C853" s="2">
        <v>-428.0</v>
      </c>
      <c r="D853" s="2">
        <v>-954.0</v>
      </c>
      <c r="E853" s="2">
        <v>-718.26</v>
      </c>
    </row>
    <row r="854" spans="1:5" x14ac:dyDescent="0.15">
      <c r="A854" s="2" t="s">
        <f>"0930000810009"</f>
        <v>1693</v>
      </c>
      <c r="B854" s="2" t="s">
        <f>"陈志斌"</f>
        <v>1694</v>
      </c>
      <c r="C854" s="2">
        <v>0.0</v>
      </c>
      <c r="D854" s="2">
        <v>0.0</v>
      </c>
      <c r="E854" s="2">
        <v>0.0</v>
      </c>
    </row>
    <row r="855" spans="1:5" x14ac:dyDescent="0.15">
      <c r="A855" s="2" t="s">
        <f>"093000047920010"</f>
        <v>1695</v>
      </c>
      <c r="B855" s="2" t="s">
        <f>"王丽"</f>
        <v>106</v>
      </c>
      <c r="C855" s="2">
        <v>0.0</v>
      </c>
      <c r="D855" s="2">
        <v>4213.0</v>
      </c>
      <c r="E855" s="2">
        <v>-904.11</v>
      </c>
    </row>
    <row r="856" spans="1:5" x14ac:dyDescent="0.15">
      <c r="A856" s="2" t="s">
        <f>"093000040920058"</f>
        <v>1696</v>
      </c>
      <c r="B856" s="2" t="s">
        <f>"葛英霞"</f>
        <v>1697</v>
      </c>
      <c r="C856" s="2">
        <v>0.0</v>
      </c>
      <c r="D856" s="2">
        <v>0.0</v>
      </c>
      <c r="E856" s="2">
        <v>0.0</v>
      </c>
    </row>
    <row r="857" spans="1:5" x14ac:dyDescent="0.15">
      <c r="A857" s="2" t="s">
        <f>"0930000740005"</f>
        <v>1698</v>
      </c>
      <c r="B857" s="2" t="s">
        <f>"黄霞"</f>
        <v>1699</v>
      </c>
      <c r="C857" s="2">
        <v>0.0</v>
      </c>
      <c r="D857" s="2">
        <v>-335.0</v>
      </c>
      <c r="E857" s="2">
        <v>-109.06</v>
      </c>
    </row>
    <row r="858" spans="1:5" x14ac:dyDescent="0.15">
      <c r="A858" s="2" t="s">
        <f>"0930000620012"</f>
        <v>1700</v>
      </c>
      <c r="B858" s="2" t="s">
        <f>"李晓敏"</f>
        <v>1701</v>
      </c>
      <c r="C858" s="2">
        <v>0.0</v>
      </c>
      <c r="D858" s="2">
        <v>0.0</v>
      </c>
      <c r="E858" s="2">
        <v>0.0</v>
      </c>
    </row>
    <row r="859" spans="1:5" x14ac:dyDescent="0.15">
      <c r="A859" s="2" t="s">
        <f>"093000063920014"</f>
        <v>1702</v>
      </c>
      <c r="B859" s="2" t="s">
        <f>"王荣"</f>
        <v>1703</v>
      </c>
      <c r="C859" s="2">
        <v>85.0</v>
      </c>
      <c r="D859" s="2">
        <v>-282.0</v>
      </c>
      <c r="E859" s="2">
        <v>-505.77</v>
      </c>
    </row>
    <row r="860" spans="1:5" x14ac:dyDescent="0.15">
      <c r="A860" s="2" t="s">
        <f>"093000083920004"</f>
        <v>1704</v>
      </c>
      <c r="B860" s="2" t="s">
        <f>"丁文新"</f>
        <v>1705</v>
      </c>
      <c r="C860" s="2">
        <v>-5395.0</v>
      </c>
      <c r="D860" s="2">
        <v>-6558.5</v>
      </c>
      <c r="E860" s="2">
        <v>-13908.28</v>
      </c>
    </row>
    <row r="861" spans="1:5" x14ac:dyDescent="0.15">
      <c r="A861" s="2" t="s">
        <f>"0930000510001"</f>
        <v>1706</v>
      </c>
      <c r="B861" s="2" t="s">
        <f>"葛俊磊"</f>
        <v>1707</v>
      </c>
      <c r="C861" s="2">
        <v>0.0</v>
      </c>
      <c r="D861" s="2">
        <v>0.0</v>
      </c>
      <c r="E861" s="2">
        <v>0.0</v>
      </c>
    </row>
    <row r="862" spans="1:5" x14ac:dyDescent="0.15">
      <c r="A862" s="2" t="s">
        <f>"093000920510"</f>
        <v>1708</v>
      </c>
      <c r="B862" s="2" t="s">
        <f>"王太辉"</f>
        <v>1709</v>
      </c>
      <c r="C862" s="2">
        <v>0.0</v>
      </c>
      <c r="D862" s="2">
        <v>0.0</v>
      </c>
      <c r="E862" s="2">
        <v>0.0</v>
      </c>
    </row>
    <row r="863" spans="1:5" x14ac:dyDescent="0.15">
      <c r="A863" s="2" t="s">
        <f>"093000063920015"</f>
        <v>1710</v>
      </c>
      <c r="B863" s="2" t="s">
        <f>"王璐璐"</f>
        <v>1711</v>
      </c>
      <c r="C863" s="2">
        <v>0.0</v>
      </c>
      <c r="D863" s="2">
        <v>88.0</v>
      </c>
      <c r="E863" s="2">
        <v>-559.84</v>
      </c>
    </row>
    <row r="864" spans="1:5" x14ac:dyDescent="0.15">
      <c r="A864" s="2" t="s">
        <f>"0930000790013"</f>
        <v>1712</v>
      </c>
      <c r="B864" s="2" t="s">
        <f>"许曼菲"</f>
        <v>1713</v>
      </c>
      <c r="C864" s="2">
        <v>0.0</v>
      </c>
      <c r="D864" s="2">
        <v>0.0</v>
      </c>
      <c r="E864" s="2">
        <v>0.0</v>
      </c>
    </row>
    <row r="865" spans="1:5" x14ac:dyDescent="0.15">
      <c r="A865" s="2" t="s">
        <f>"0930000790014"</f>
        <v>1714</v>
      </c>
      <c r="B865" s="2" t="s">
        <f>"张永仙"</f>
        <v>1715</v>
      </c>
      <c r="C865" s="2">
        <v>0.0</v>
      </c>
      <c r="D865" s="2">
        <v>0.0</v>
      </c>
      <c r="E865" s="2">
        <v>0.0</v>
      </c>
    </row>
    <row r="866" spans="1:5" x14ac:dyDescent="0.15">
      <c r="A866" s="2" t="s">
        <f>"093000920512"</f>
        <v>1716</v>
      </c>
      <c r="B866" s="2" t="s">
        <f>"李彬"</f>
        <v>1717</v>
      </c>
      <c r="C866" s="2">
        <v>0.0</v>
      </c>
      <c r="D866" s="2">
        <v>0.0</v>
      </c>
      <c r="E866" s="2">
        <v>0.0</v>
      </c>
    </row>
    <row r="867" spans="1:5" x14ac:dyDescent="0.15">
      <c r="A867" s="2" t="s">
        <f>"093000067920092"</f>
        <v>1718</v>
      </c>
      <c r="B867" s="2" t="s">
        <f>"姚剑"</f>
        <v>1719</v>
      </c>
      <c r="C867" s="2">
        <v>0.0</v>
      </c>
      <c r="D867" s="2">
        <v>0.0</v>
      </c>
      <c r="E867" s="2">
        <v>0.0</v>
      </c>
    </row>
    <row r="868" spans="1:5" x14ac:dyDescent="0.15">
      <c r="A868" s="2" t="s">
        <f>"093000043920033"</f>
        <v>1720</v>
      </c>
      <c r="B868" s="2" t="s">
        <f>"韩九宾"</f>
        <v>1721</v>
      </c>
      <c r="C868" s="2">
        <v>-11.0</v>
      </c>
      <c r="D868" s="2">
        <v>-494.0</v>
      </c>
      <c r="E868" s="2">
        <v>-262.22</v>
      </c>
    </row>
    <row r="869" spans="1:5" x14ac:dyDescent="0.15">
      <c r="A869" s="2" t="s">
        <f>"093000039001920012"</f>
        <v>1722</v>
      </c>
      <c r="B869" s="2" t="s">
        <f>"马翀"</f>
        <v>1723</v>
      </c>
      <c r="C869" s="2">
        <v>0.0</v>
      </c>
      <c r="D869" s="2">
        <v>-849.0</v>
      </c>
      <c r="E869" s="2">
        <v>-280.93</v>
      </c>
    </row>
    <row r="870" spans="1:5" x14ac:dyDescent="0.15">
      <c r="A870" s="2" t="s">
        <f>"0930000510002"</f>
        <v>1724</v>
      </c>
      <c r="B870" s="2" t="s">
        <f>"张艳丽"</f>
        <v>1725</v>
      </c>
      <c r="C870" s="2">
        <v>0.0</v>
      </c>
      <c r="D870" s="2">
        <v>0.0</v>
      </c>
      <c r="E870" s="2">
        <v>0.0</v>
      </c>
    </row>
    <row r="871" spans="1:5" x14ac:dyDescent="0.15">
      <c r="A871" s="2" t="s">
        <f>"0930000820001"</f>
        <v>1726</v>
      </c>
      <c r="B871" s="2" t="s">
        <f>"高武"</f>
        <v>1727</v>
      </c>
      <c r="C871" s="2">
        <v>0.0</v>
      </c>
      <c r="D871" s="2">
        <v>0.0</v>
      </c>
      <c r="E871" s="2">
        <v>0.0</v>
      </c>
    </row>
    <row r="872" spans="1:5" x14ac:dyDescent="0.15">
      <c r="A872" s="2" t="s">
        <f>"093000047920011"</f>
        <v>1728</v>
      </c>
      <c r="B872" s="2" t="s">
        <f>"韩照印"</f>
        <v>1729</v>
      </c>
      <c r="C872" s="2">
        <v>0.0</v>
      </c>
      <c r="D872" s="2">
        <v>6872.0</v>
      </c>
      <c r="E872" s="2">
        <v>-837.09</v>
      </c>
    </row>
    <row r="873" spans="1:5" x14ac:dyDescent="0.15">
      <c r="A873" s="2" t="s">
        <f>"093000043920034"</f>
        <v>1730</v>
      </c>
      <c r="B873" s="2" t="s">
        <f>"王林各"</f>
        <v>1731</v>
      </c>
      <c r="C873" s="2">
        <v>0.0</v>
      </c>
      <c r="D873" s="2">
        <v>-529.0</v>
      </c>
      <c r="E873" s="2">
        <v>-288.64</v>
      </c>
    </row>
    <row r="874" spans="1:5" x14ac:dyDescent="0.15">
      <c r="A874" s="2" t="s">
        <f>"0930000790015"</f>
        <v>1732</v>
      </c>
      <c r="B874" s="2" t="s">
        <f>"严凯"</f>
        <v>1733</v>
      </c>
      <c r="C874" s="2">
        <v>0.0</v>
      </c>
      <c r="D874" s="2">
        <v>743.0</v>
      </c>
      <c r="E874" s="2">
        <v>-110.67</v>
      </c>
    </row>
    <row r="875" spans="1:5" x14ac:dyDescent="0.15">
      <c r="A875" s="2" t="s">
        <f>"0930000000073"</f>
        <v>1734</v>
      </c>
      <c r="B875" s="2" t="s">
        <f>"杨莉"</f>
        <v>1735</v>
      </c>
      <c r="C875" s="2">
        <v>472.0</v>
      </c>
      <c r="D875" s="2">
        <v>-5777.0</v>
      </c>
      <c r="E875" s="2">
        <v>-3045.16</v>
      </c>
    </row>
    <row r="876" spans="1:5" x14ac:dyDescent="0.15">
      <c r="A876" s="2" t="s">
        <f>"093000044920027"</f>
        <v>1736</v>
      </c>
      <c r="B876" s="2" t="s">
        <f>"胡海洲"</f>
        <v>1737</v>
      </c>
      <c r="C876" s="2">
        <v>0.0</v>
      </c>
      <c r="D876" s="2">
        <v>0.0</v>
      </c>
      <c r="E876" s="2">
        <v>0.0</v>
      </c>
    </row>
    <row r="877" spans="1:5" x14ac:dyDescent="0.15">
      <c r="A877" s="2" t="s">
        <f>"093000039002000"</f>
        <v>1738</v>
      </c>
      <c r="B877" s="2" t="s">
        <f>"董幺松"</f>
        <v>1739</v>
      </c>
      <c r="C877" s="2">
        <v>0.0</v>
      </c>
      <c r="D877" s="2">
        <v>0.0</v>
      </c>
      <c r="E877" s="2">
        <v>0.0</v>
      </c>
    </row>
    <row r="878" spans="1:5" x14ac:dyDescent="0.15">
      <c r="A878" s="2" t="s">
        <f>"093000043920035"</f>
        <v>1740</v>
      </c>
      <c r="B878" s="2" t="s">
        <f>"訾金蕊"</f>
        <v>1741</v>
      </c>
      <c r="C878" s="2">
        <v>0.0</v>
      </c>
      <c r="D878" s="2">
        <v>-328.0</v>
      </c>
      <c r="E878" s="2">
        <v>-1385.72</v>
      </c>
    </row>
    <row r="879" spans="1:5" x14ac:dyDescent="0.15">
      <c r="A879" s="2" t="s">
        <f>"093000047920013"</f>
        <v>1742</v>
      </c>
      <c r="B879" s="2" t="s">
        <f>"景台"</f>
        <v>1743</v>
      </c>
      <c r="C879" s="2">
        <v>-677.0</v>
      </c>
      <c r="D879" s="2">
        <v>3933.0</v>
      </c>
      <c r="E879" s="2">
        <v>-673.81</v>
      </c>
    </row>
    <row r="880" spans="1:5" x14ac:dyDescent="0.15">
      <c r="A880" s="2" t="s">
        <f>"093000044920029"</f>
        <v>1744</v>
      </c>
      <c r="B880" s="2" t="s">
        <f>"沈刚"</f>
        <v>1745</v>
      </c>
      <c r="C880" s="2">
        <v>-14.0</v>
      </c>
      <c r="D880" s="2">
        <v>2354.0</v>
      </c>
      <c r="E880" s="2">
        <v>-2839.72</v>
      </c>
    </row>
    <row r="881" spans="1:5" x14ac:dyDescent="0.15">
      <c r="A881" s="2" t="s">
        <f>"093000044920030"</f>
        <v>1746</v>
      </c>
      <c r="B881" s="2" t="s">
        <f>"尹可敬"</f>
        <v>1747</v>
      </c>
      <c r="C881" s="2">
        <v>0.0</v>
      </c>
      <c r="D881" s="2">
        <v>0.0</v>
      </c>
      <c r="E881" s="2">
        <v>0.0</v>
      </c>
    </row>
    <row r="882" spans="1:5" x14ac:dyDescent="0.15">
      <c r="A882" s="2" t="s">
        <f>"093000043920036"</f>
        <v>1748</v>
      </c>
      <c r="B882" s="2" t="s">
        <f>"宋江玲"</f>
        <v>1749</v>
      </c>
      <c r="C882" s="2">
        <v>0.0</v>
      </c>
      <c r="D882" s="2">
        <v>-516.0</v>
      </c>
      <c r="E882" s="2">
        <v>-996.43</v>
      </c>
    </row>
    <row r="883" spans="1:5" x14ac:dyDescent="0.15">
      <c r="A883" s="2" t="s">
        <f>"0930000840000"</f>
        <v>1750</v>
      </c>
      <c r="B883" s="2" t="s">
        <f>"李琛琛"</f>
        <v>1751</v>
      </c>
      <c r="C883" s="2">
        <v>0.0</v>
      </c>
      <c r="D883" s="2">
        <v>0.0</v>
      </c>
      <c r="E883" s="2">
        <v>0.0</v>
      </c>
    </row>
    <row r="884" spans="1:5" x14ac:dyDescent="0.15">
      <c r="A884" s="2" t="s">
        <f>"0930000670001"</f>
        <v>1752</v>
      </c>
      <c r="B884" s="2" t="s">
        <f>"王宏锦"</f>
        <v>1753</v>
      </c>
      <c r="C884" s="2">
        <v>0.0</v>
      </c>
      <c r="D884" s="2">
        <v>-454.0</v>
      </c>
      <c r="E884" s="2">
        <v>-91.49</v>
      </c>
    </row>
    <row r="885" spans="1:5" x14ac:dyDescent="0.15">
      <c r="A885" s="2" t="s">
        <f>"093000920515"</f>
        <v>1754</v>
      </c>
      <c r="B885" s="2" t="s">
        <f>"吴湘军"</f>
        <v>1755</v>
      </c>
      <c r="C885" s="2">
        <v>0.0</v>
      </c>
      <c r="D885" s="2">
        <v>-1080.0</v>
      </c>
      <c r="E885" s="2">
        <v>-775.26</v>
      </c>
    </row>
    <row r="886" spans="1:5" x14ac:dyDescent="0.15">
      <c r="A886" s="2" t="s">
        <f>"0930000670002"</f>
        <v>1756</v>
      </c>
      <c r="B886" s="2" t="s">
        <v>1757</v>
      </c>
      <c r="C886" s="2">
        <v>0.0</v>
      </c>
      <c r="D886" s="2">
        <v>-9.0</v>
      </c>
      <c r="E886" s="2">
        <v>-6.67</v>
      </c>
    </row>
    <row r="887" spans="1:5" x14ac:dyDescent="0.15">
      <c r="A887" s="2" t="s">
        <f>"0930000670002"</f>
        <v>1756</v>
      </c>
      <c r="B887" s="2" t="s">
        <f>"张晓燕"</f>
        <v>1758</v>
      </c>
      <c r="C887" s="2">
        <v>0.0</v>
      </c>
      <c r="D887" s="2">
        <v>0.0</v>
      </c>
      <c r="E887" s="2">
        <v>0.0</v>
      </c>
    </row>
    <row r="888" spans="1:5" x14ac:dyDescent="0.15">
      <c r="A888" s="2" t="s">
        <f>"093000044920032"</f>
        <v>1759</v>
      </c>
      <c r="B888" s="2" t="s">
        <f>"代永坤"</f>
        <v>1760</v>
      </c>
      <c r="C888" s="2">
        <v>-261.0</v>
      </c>
      <c r="D888" s="2">
        <v>1215.0</v>
      </c>
      <c r="E888" s="2">
        <v>-1472.52</v>
      </c>
    </row>
    <row r="889" spans="1:5" x14ac:dyDescent="0.15">
      <c r="A889" s="2" t="s">
        <f>"093000040920059"</f>
        <v>1761</v>
      </c>
      <c r="B889" s="2" t="s">
        <f>"谷成彬"</f>
        <v>1762</v>
      </c>
      <c r="C889" s="2">
        <v>0.0</v>
      </c>
      <c r="D889" s="2">
        <v>-742.0</v>
      </c>
      <c r="E889" s="2">
        <v>-433.92</v>
      </c>
    </row>
    <row r="890" spans="1:5" x14ac:dyDescent="0.15">
      <c r="A890" s="2" t="s">
        <f>"093000083920005"</f>
        <v>1763</v>
      </c>
      <c r="B890" s="2" t="s">
        <f>"陈康琼"</f>
        <v>1764</v>
      </c>
      <c r="C890" s="2">
        <v>0.0</v>
      </c>
      <c r="D890" s="2">
        <v>-11240.0</v>
      </c>
      <c r="E890" s="2">
        <v>-1758.93</v>
      </c>
    </row>
    <row r="891" spans="1:5" x14ac:dyDescent="0.15">
      <c r="A891" s="2" t="s">
        <f>"093000067003"</f>
        <v>1765</v>
      </c>
      <c r="B891" s="2" t="s">
        <f>"张绍鹏"</f>
        <v>1766</v>
      </c>
      <c r="C891" s="2">
        <v>0.0</v>
      </c>
      <c r="D891" s="2">
        <v>0.0</v>
      </c>
      <c r="E891" s="2">
        <v>0.0</v>
      </c>
    </row>
    <row r="892" spans="1:5" x14ac:dyDescent="0.15">
      <c r="A892" s="2" t="s">
        <f>"093000044920033"</f>
        <v>1767</v>
      </c>
      <c r="B892" s="2" t="s">
        <f>"陈志远"</f>
        <v>1768</v>
      </c>
      <c r="C892" s="2">
        <v>-2219.0</v>
      </c>
      <c r="D892" s="2">
        <v>472.0</v>
      </c>
      <c r="E892" s="2">
        <v>-664.5</v>
      </c>
    </row>
    <row r="893" spans="1:5" x14ac:dyDescent="0.15">
      <c r="A893" s="2" t="s">
        <f>"0930000670003"</f>
        <v>1769</v>
      </c>
      <c r="B893" s="2" t="s">
        <f>"程相超"</f>
        <v>1770</v>
      </c>
      <c r="C893" s="2">
        <v>0.0</v>
      </c>
      <c r="D893" s="2">
        <v>1.0</v>
      </c>
      <c r="E893" s="2">
        <v>-6.62</v>
      </c>
    </row>
    <row r="894" spans="1:5" x14ac:dyDescent="0.15">
      <c r="A894" s="2" t="s">
        <f>"0930000670004"</f>
        <v>1771</v>
      </c>
      <c r="B894" s="2" t="s">
        <f>"王文彬"</f>
        <v>1772</v>
      </c>
      <c r="C894" s="2">
        <v>0.0</v>
      </c>
      <c r="D894" s="2">
        <v>-4.0</v>
      </c>
      <c r="E894" s="2">
        <v>-6.52</v>
      </c>
    </row>
    <row r="895" spans="1:5" x14ac:dyDescent="0.15">
      <c r="A895" s="2" t="s">
        <f>"093000047920014"</f>
        <v>1773</v>
      </c>
      <c r="B895" s="2" t="s">
        <f>"孙士朋"</f>
        <v>1774</v>
      </c>
      <c r="C895" s="2">
        <v>0.0</v>
      </c>
      <c r="D895" s="2">
        <v>195.0</v>
      </c>
      <c r="E895" s="2">
        <v>-54.89</v>
      </c>
    </row>
    <row r="896" spans="1:5" x14ac:dyDescent="0.15">
      <c r="A896" s="2" t="s">
        <f>"0930000370002"</f>
        <v>1775</v>
      </c>
      <c r="B896" s="2" t="s">
        <f>"李向阳"</f>
        <v>1776</v>
      </c>
      <c r="C896" s="2">
        <v>0.0</v>
      </c>
      <c r="D896" s="2">
        <v>257.0</v>
      </c>
      <c r="E896" s="2">
        <v>-557.46</v>
      </c>
    </row>
    <row r="897" spans="1:5" x14ac:dyDescent="0.15">
      <c r="A897" s="2" t="s">
        <f>"0930000400001"</f>
        <v>1777</v>
      </c>
      <c r="B897" s="2" t="s">
        <f>"张志兵"</f>
        <v>1778</v>
      </c>
      <c r="C897" s="2">
        <v>0.0</v>
      </c>
      <c r="D897" s="2">
        <v>0.0</v>
      </c>
      <c r="E897" s="2">
        <v>0.0</v>
      </c>
    </row>
    <row r="898" spans="1:5" x14ac:dyDescent="0.15">
      <c r="A898" s="2" t="s">
        <f>"093000047920016"</f>
        <v>1779</v>
      </c>
      <c r="B898" s="2" t="s">
        <f>"王玉梅"</f>
        <v>1780</v>
      </c>
      <c r="C898" s="2">
        <v>0.0</v>
      </c>
      <c r="D898" s="2">
        <v>2112.0</v>
      </c>
      <c r="E898" s="2">
        <v>-434.74</v>
      </c>
    </row>
    <row r="899" spans="1:5" x14ac:dyDescent="0.15">
      <c r="A899" s="2" t="s">
        <f>"093000047920015"</f>
        <v>1781</v>
      </c>
      <c r="B899" s="2" t="s">
        <f>"付国栓"</f>
        <v>1782</v>
      </c>
      <c r="C899" s="2">
        <v>0.0</v>
      </c>
      <c r="D899" s="2">
        <v>0.0</v>
      </c>
      <c r="E899" s="2">
        <v>0.0</v>
      </c>
    </row>
    <row r="900" spans="1:5" x14ac:dyDescent="0.15">
      <c r="A900" s="2" t="s">
        <f>"0930000670000"</f>
        <v>1783</v>
      </c>
      <c r="B900" s="2" t="s">
        <f>"张绍鹏"</f>
        <v>1766</v>
      </c>
      <c r="C900" s="2">
        <v>0.0</v>
      </c>
      <c r="D900" s="2">
        <v>3.0</v>
      </c>
      <c r="E900" s="2">
        <v>-6.5</v>
      </c>
    </row>
    <row r="901" spans="1:5" x14ac:dyDescent="0.15">
      <c r="A901" s="2" t="s">
        <f>"0930000000074"</f>
        <v>1784</v>
      </c>
      <c r="B901" s="2" t="s">
        <f>"张广强"</f>
        <v>1785</v>
      </c>
      <c r="C901" s="2">
        <v>0.0</v>
      </c>
      <c r="D901" s="2">
        <v>0.0</v>
      </c>
      <c r="E901" s="2">
        <v>0.0</v>
      </c>
    </row>
    <row r="902" spans="1:5" x14ac:dyDescent="0.15">
      <c r="A902" s="2" t="s">
        <f>"0930000510003"</f>
        <v>1786</v>
      </c>
      <c r="B902" s="2" t="s">
        <f>"刘静宇"</f>
        <v>1787</v>
      </c>
      <c r="C902" s="2">
        <v>0.0</v>
      </c>
      <c r="D902" s="2">
        <v>0.0</v>
      </c>
      <c r="E902" s="2">
        <v>0.0</v>
      </c>
    </row>
    <row r="903" spans="1:5" x14ac:dyDescent="0.15">
      <c r="A903" s="2" t="s">
        <f>"093000059920022"</f>
        <v>1788</v>
      </c>
      <c r="B903" s="2" t="s">
        <f>"麻梁"</f>
        <v>1789</v>
      </c>
      <c r="C903" s="2">
        <v>111.0</v>
      </c>
      <c r="D903" s="2">
        <v>-1905.0</v>
      </c>
      <c r="E903" s="2">
        <v>-1374.05</v>
      </c>
    </row>
    <row r="904" spans="1:5" x14ac:dyDescent="0.15">
      <c r="A904" s="2" t="s">
        <f>"093000059920022"</f>
        <v>1788</v>
      </c>
      <c r="B904" s="2" t="s">
        <f>"麻粱"</f>
        <v>1790</v>
      </c>
      <c r="C904" s="2">
        <v>0.0</v>
      </c>
      <c r="D904" s="2">
        <v>0.0</v>
      </c>
      <c r="E904" s="2">
        <v>0.0</v>
      </c>
    </row>
    <row r="905" spans="1:5" x14ac:dyDescent="0.15">
      <c r="A905" s="2" t="s">
        <f>"0930000000102"</f>
        <v>1791</v>
      </c>
      <c r="B905" s="2" t="s">
        <f>"田凯敏"</f>
        <v>1792</v>
      </c>
      <c r="C905" s="2">
        <v>0.0</v>
      </c>
      <c r="D905" s="2">
        <v>0.0</v>
      </c>
      <c r="E905" s="2">
        <v>0.0</v>
      </c>
    </row>
    <row r="906" spans="1:5" x14ac:dyDescent="0.15">
      <c r="A906" s="2" t="s">
        <f>"093000044920036"</f>
        <v>1793</v>
      </c>
      <c r="B906" s="2" t="s">
        <f>"易思波"</f>
        <v>1794</v>
      </c>
      <c r="C906" s="2">
        <v>0.0</v>
      </c>
      <c r="D906" s="2">
        <v>-800.0</v>
      </c>
      <c r="E906" s="2">
        <v>-1106.44</v>
      </c>
    </row>
    <row r="907" spans="1:5" x14ac:dyDescent="0.15">
      <c r="A907" s="2" t="s">
        <f>"0930000790000"</f>
        <v>1795</v>
      </c>
      <c r="B907" s="2" t="s">
        <f>"陈朕"</f>
        <v>1796</v>
      </c>
      <c r="C907" s="2">
        <v>0.0</v>
      </c>
      <c r="D907" s="2">
        <v>0.0</v>
      </c>
      <c r="E907" s="2">
        <v>0.0</v>
      </c>
    </row>
    <row r="908" spans="1:5" x14ac:dyDescent="0.15">
      <c r="A908" s="2" t="s">
        <f>"093000044920038"</f>
        <v>1797</v>
      </c>
      <c r="B908" s="2" t="s">
        <f>"滕改玲"</f>
        <v>1798</v>
      </c>
      <c r="C908" s="2">
        <v>0.0</v>
      </c>
      <c r="D908" s="2">
        <v>-1045.0</v>
      </c>
      <c r="E908" s="2">
        <v>-492.02</v>
      </c>
    </row>
    <row r="909" spans="1:5" x14ac:dyDescent="0.15">
      <c r="A909" s="2" t="s">
        <f>"0930000670005"</f>
        <v>1799</v>
      </c>
      <c r="B909" s="2" t="s">
        <v>1800</v>
      </c>
      <c r="C909" s="2">
        <v>0.0</v>
      </c>
      <c r="D909" s="2">
        <v>-10.0</v>
      </c>
      <c r="E909" s="2">
        <v>-6.45</v>
      </c>
    </row>
    <row r="910" spans="1:5" x14ac:dyDescent="0.15">
      <c r="A910" s="2" t="s">
        <f>"0930000670005"</f>
        <v>1799</v>
      </c>
      <c r="B910" s="2" t="s">
        <f>"李宁宁"</f>
        <v>1801</v>
      </c>
      <c r="C910" s="2">
        <v>0.0</v>
      </c>
      <c r="D910" s="2">
        <v>-636.0</v>
      </c>
      <c r="E910" s="2">
        <v>-546.02</v>
      </c>
    </row>
    <row r="911" spans="1:5" x14ac:dyDescent="0.15">
      <c r="A911" s="2" t="s">
        <f>"0930000000103"</f>
        <v>1802</v>
      </c>
      <c r="B911" s="2" t="s">
        <f>"刘向满"</f>
        <v>1803</v>
      </c>
      <c r="C911" s="2">
        <v>0.0</v>
      </c>
      <c r="D911" s="2">
        <v>0.0</v>
      </c>
      <c r="E911" s="2">
        <v>0.0</v>
      </c>
    </row>
    <row r="912" spans="1:5" x14ac:dyDescent="0.15">
      <c r="A912" s="2" t="s">
        <f>"0930000620013"</f>
        <v>1804</v>
      </c>
      <c r="B912" s="2" t="s">
        <f>"王芳利"</f>
        <v>1805</v>
      </c>
      <c r="C912" s="2">
        <v>0.0</v>
      </c>
      <c r="D912" s="2">
        <v>0.0</v>
      </c>
      <c r="E912" s="2">
        <v>0.0</v>
      </c>
    </row>
    <row r="913" spans="1:5" x14ac:dyDescent="0.15">
      <c r="A913" s="2" t="s">
        <f>"0930000730007"</f>
        <v>1806</v>
      </c>
      <c r="B913" s="2" t="s">
        <f>"张海波"</f>
        <v>1807</v>
      </c>
      <c r="C913" s="2">
        <v>0.0</v>
      </c>
      <c r="D913" s="2">
        <v>-352.0</v>
      </c>
      <c r="E913" s="2">
        <v>-55.29</v>
      </c>
    </row>
    <row r="914" spans="1:5" x14ac:dyDescent="0.15">
      <c r="A914" s="2" t="s">
        <f>"0930000730008"</f>
        <v>1808</v>
      </c>
      <c r="B914" s="2" t="s">
        <f>"王蒋吉"</f>
        <v>1809</v>
      </c>
      <c r="C914" s="2">
        <v>0.0</v>
      </c>
      <c r="D914" s="2">
        <v>0.0</v>
      </c>
      <c r="E914" s="2">
        <v>0.0</v>
      </c>
    </row>
    <row r="915" spans="1:5" x14ac:dyDescent="0.15">
      <c r="A915" s="2" t="s">
        <f>"093000044920039"</f>
        <v>1810</v>
      </c>
      <c r="B915" s="2" t="s">
        <f>"符文楠"</f>
        <v>1811</v>
      </c>
      <c r="C915" s="2">
        <v>25.0</v>
      </c>
      <c r="D915" s="2">
        <v>-85.0</v>
      </c>
      <c r="E915" s="2">
        <v>-125.5</v>
      </c>
    </row>
    <row r="916" spans="1:5" x14ac:dyDescent="0.15">
      <c r="A916" s="2" t="s">
        <f>"0930000620014"</f>
        <v>1812</v>
      </c>
      <c r="B916" s="2" t="s">
        <f>"白英杰"</f>
        <v>1813</v>
      </c>
      <c r="C916" s="2">
        <v>0.0</v>
      </c>
      <c r="D916" s="2">
        <v>0.0</v>
      </c>
      <c r="E916" s="2">
        <v>0.0</v>
      </c>
    </row>
    <row r="917" spans="1:5" x14ac:dyDescent="0.15">
      <c r="A917" s="2" t="s">
        <f>"0930000370003"</f>
        <v>1814</v>
      </c>
      <c r="B917" s="2" t="s">
        <f>"李兵雅"</f>
        <v>1815</v>
      </c>
      <c r="C917" s="2">
        <v>0.0</v>
      </c>
      <c r="D917" s="2">
        <v>431.0</v>
      </c>
      <c r="E917" s="2">
        <v>-160.38</v>
      </c>
    </row>
    <row r="918" spans="1:5" x14ac:dyDescent="0.15">
      <c r="A918" s="2" t="s">
        <f>"093000039001920013"</f>
        <v>1816</v>
      </c>
      <c r="B918" s="2" t="s">
        <f>"张培源"</f>
        <v>1817</v>
      </c>
      <c r="C918" s="2">
        <v>0.0</v>
      </c>
      <c r="D918" s="2">
        <v>0.0</v>
      </c>
      <c r="E918" s="2">
        <v>0.0</v>
      </c>
    </row>
    <row r="919" spans="1:5" x14ac:dyDescent="0.15">
      <c r="A919" s="2" t="s">
        <f>"093000043920037"</f>
        <v>1818</v>
      </c>
      <c r="B919" s="2" t="s">
        <f>"张改"</f>
        <v>1819</v>
      </c>
      <c r="C919" s="2">
        <v>0.0</v>
      </c>
      <c r="D919" s="2">
        <v>1612.0</v>
      </c>
      <c r="E919" s="2">
        <v>-573.91</v>
      </c>
    </row>
    <row r="920" spans="1:5" x14ac:dyDescent="0.15">
      <c r="A920" s="2" t="s">
        <f>"093000043920038"</f>
        <v>1820</v>
      </c>
      <c r="B920" s="2" t="s">
        <f>"吴占东"</f>
        <v>1821</v>
      </c>
      <c r="C920" s="2">
        <v>-200.0</v>
      </c>
      <c r="D920" s="2">
        <v>-636.0</v>
      </c>
      <c r="E920" s="2">
        <v>-2041.54</v>
      </c>
    </row>
    <row r="921" spans="1:5" x14ac:dyDescent="0.15">
      <c r="A921" s="2" t="s">
        <f>"0930000670006"</f>
        <v>1822</v>
      </c>
      <c r="B921" s="2" t="s">
        <v>1823</v>
      </c>
      <c r="C921" s="2">
        <v>0.0</v>
      </c>
      <c r="D921" s="2">
        <v>-13.0</v>
      </c>
      <c r="E921" s="2">
        <v>-6.49</v>
      </c>
    </row>
    <row r="922" spans="1:5" x14ac:dyDescent="0.15">
      <c r="A922" s="2" t="s">
        <f>"0930000670006"</f>
        <v>1822</v>
      </c>
      <c r="B922" s="2" t="s">
        <f>"李阿敏"</f>
        <v>1824</v>
      </c>
      <c r="C922" s="2">
        <v>0.0</v>
      </c>
      <c r="D922" s="2">
        <v>0.0</v>
      </c>
      <c r="E922" s="2">
        <v>0.0</v>
      </c>
    </row>
    <row r="923" spans="1:5" x14ac:dyDescent="0.15">
      <c r="A923" s="2" t="s">
        <f>"093000040920060"</f>
        <v>1825</v>
      </c>
      <c r="B923" s="2" t="s">
        <f>"武建全"</f>
        <v>1826</v>
      </c>
      <c r="C923" s="2">
        <v>0.0</v>
      </c>
      <c r="D923" s="2">
        <v>-446.0</v>
      </c>
      <c r="E923" s="2">
        <v>-218.68</v>
      </c>
    </row>
    <row r="924" spans="1:5" x14ac:dyDescent="0.15">
      <c r="A924" s="2" t="s">
        <f>"093000039001920014"</f>
        <v>1827</v>
      </c>
      <c r="B924" s="2" t="s">
        <f>"王涛"</f>
        <v>1828</v>
      </c>
      <c r="C924" s="2">
        <v>0.0</v>
      </c>
      <c r="D924" s="2">
        <v>0.0</v>
      </c>
      <c r="E924" s="2">
        <v>0.0</v>
      </c>
    </row>
    <row r="925" spans="1:5" x14ac:dyDescent="0.15">
      <c r="A925" s="2" t="s">
        <f>"093000063920016"</f>
        <v>1829</v>
      </c>
      <c r="B925" s="2" t="s">
        <f>"吕萍"</f>
        <v>1830</v>
      </c>
      <c r="C925" s="2">
        <v>0.0</v>
      </c>
      <c r="D925" s="2">
        <v>-878.0</v>
      </c>
      <c r="E925" s="2">
        <v>-165.18</v>
      </c>
    </row>
    <row r="926" spans="1:5" x14ac:dyDescent="0.15">
      <c r="A926" s="2" t="s">
        <f>"093000920521"</f>
        <v>1831</v>
      </c>
      <c r="B926" s="2" t="s">
        <f>"马佳丽"</f>
        <v>1832</v>
      </c>
      <c r="C926" s="2">
        <v>0.0</v>
      </c>
      <c r="D926" s="2">
        <v>0.0</v>
      </c>
      <c r="E926" s="2">
        <v>0.0</v>
      </c>
    </row>
    <row r="927" spans="1:5" x14ac:dyDescent="0.15">
      <c r="A927" s="2" t="s">
        <f>"093000039001920015"</f>
        <v>1833</v>
      </c>
      <c r="B927" s="2" t="s">
        <f>"马达"</f>
        <v>1834</v>
      </c>
      <c r="C927" s="2">
        <v>0.0</v>
      </c>
      <c r="D927" s="2">
        <v>353.0</v>
      </c>
      <c r="E927" s="2">
        <v>-608.49</v>
      </c>
    </row>
    <row r="928" spans="1:5" x14ac:dyDescent="0.15">
      <c r="A928" s="2" t="s">
        <f>"0930000000104"</f>
        <v>1835</v>
      </c>
      <c r="B928" s="2" t="s">
        <f>"袁高飞"</f>
        <v>1836</v>
      </c>
      <c r="C928" s="2">
        <v>0.0</v>
      </c>
      <c r="D928" s="2">
        <v>-3.0</v>
      </c>
      <c r="E928" s="2">
        <v>-6.46</v>
      </c>
    </row>
    <row r="929" spans="1:5" x14ac:dyDescent="0.15">
      <c r="A929" s="2" t="s">
        <f>"093000039001920016"</f>
        <v>1837</v>
      </c>
      <c r="B929" s="2" t="s">
        <f>"李金平"</f>
        <v>541</v>
      </c>
      <c r="C929" s="2">
        <v>-655.0</v>
      </c>
      <c r="D929" s="2">
        <v>2057.0</v>
      </c>
      <c r="E929" s="2">
        <v>-1859.06</v>
      </c>
    </row>
    <row r="930" spans="1:5" x14ac:dyDescent="0.15">
      <c r="A930" s="2" t="s">
        <f>"0930000440000"</f>
        <v>1838</v>
      </c>
      <c r="B930" s="2" t="s">
        <f>"朱婉莹"</f>
        <v>1839</v>
      </c>
      <c r="C930" s="2">
        <v>0.0</v>
      </c>
      <c r="D930" s="2">
        <v>-424.0</v>
      </c>
      <c r="E930" s="2">
        <v>-57.22</v>
      </c>
    </row>
    <row r="931" spans="1:5" x14ac:dyDescent="0.15">
      <c r="A931" s="2" t="s">
        <f>"0930000370004"</f>
        <v>1840</v>
      </c>
      <c r="B931" s="2" t="s">
        <f>"毕亚强"</f>
        <v>1841</v>
      </c>
      <c r="C931" s="2">
        <v>0.0</v>
      </c>
      <c r="D931" s="2">
        <v>0.0</v>
      </c>
      <c r="E931" s="2">
        <v>0.0</v>
      </c>
    </row>
    <row r="932" spans="1:5" x14ac:dyDescent="0.15">
      <c r="A932" s="2" t="s">
        <f>"0930000000105"</f>
        <v>1842</v>
      </c>
      <c r="B932" s="2" t="s">
        <f>"安桃桃"</f>
        <v>1843</v>
      </c>
      <c r="C932" s="2">
        <v>0.0</v>
      </c>
      <c r="D932" s="2">
        <v>0.0</v>
      </c>
      <c r="E932" s="2">
        <v>0.0</v>
      </c>
    </row>
    <row r="933" spans="1:5" x14ac:dyDescent="0.15">
      <c r="A933" s="2" t="s">
        <f>"093000047920017"</f>
        <v>1844</v>
      </c>
      <c r="B933" s="2" t="s">
        <f>"韩秀奇"</f>
        <v>1845</v>
      </c>
      <c r="C933" s="2">
        <v>0.0</v>
      </c>
      <c r="D933" s="2">
        <v>501.0</v>
      </c>
      <c r="E933" s="2">
        <v>-224.39</v>
      </c>
    </row>
    <row r="934" spans="1:5" x14ac:dyDescent="0.15">
      <c r="A934" s="2" t="s">
        <f>"0930000000075"</f>
        <v>1846</v>
      </c>
      <c r="B934" s="2" t="s">
        <f>"赵世杰"</f>
        <v>1847</v>
      </c>
      <c r="C934" s="2">
        <v>-2867.0</v>
      </c>
      <c r="D934" s="2">
        <v>-777.0</v>
      </c>
      <c r="E934" s="2">
        <v>-599.71</v>
      </c>
    </row>
    <row r="935" spans="1:5" x14ac:dyDescent="0.15">
      <c r="A935" s="2" t="s">
        <f>"093000047920018"</f>
        <v>1848</v>
      </c>
      <c r="B935" s="2" t="s">
        <f>"张永生"</f>
        <v>1849</v>
      </c>
      <c r="C935" s="2">
        <v>0.0</v>
      </c>
      <c r="D935" s="2">
        <v>8097.0</v>
      </c>
      <c r="E935" s="2">
        <v>-1082.54</v>
      </c>
    </row>
    <row r="936" spans="1:5" x14ac:dyDescent="0.15">
      <c r="A936" s="2" t="s">
        <f>"0930000630000"</f>
        <v>1850</v>
      </c>
      <c r="B936" s="2" t="s">
        <f>"陈雅欣"</f>
        <v>1851</v>
      </c>
      <c r="C936" s="2">
        <v>-316.0</v>
      </c>
      <c r="D936" s="2">
        <v>-1108.0</v>
      </c>
      <c r="E936" s="2">
        <v>-274.89</v>
      </c>
    </row>
    <row r="937" spans="1:5" x14ac:dyDescent="0.15">
      <c r="A937" s="2" t="s">
        <f>"093000046920020"</f>
        <v>1852</v>
      </c>
      <c r="B937" s="2" t="s">
        <f>"柯小女"</f>
        <v>1853</v>
      </c>
      <c r="C937" s="2">
        <v>0.0</v>
      </c>
      <c r="D937" s="2">
        <v>0.0</v>
      </c>
      <c r="E937" s="2">
        <v>0.0</v>
      </c>
    </row>
    <row r="938" spans="1:5" x14ac:dyDescent="0.15">
      <c r="A938" s="2" t="s">
        <f>"0930000670007"</f>
        <v>1854</v>
      </c>
      <c r="B938" s="2" t="s">
        <f>"宋松霖"</f>
        <v>1855</v>
      </c>
      <c r="C938" s="2">
        <v>0.0</v>
      </c>
      <c r="D938" s="2">
        <v>-7.0</v>
      </c>
      <c r="E938" s="2">
        <v>-6.36</v>
      </c>
    </row>
    <row r="939" spans="1:5" x14ac:dyDescent="0.15">
      <c r="A939" s="2" t="s">
        <f>"093000046920021"</f>
        <v>1856</v>
      </c>
      <c r="B939" s="2" t="s">
        <f>"张玉芬"</f>
        <v>1857</v>
      </c>
      <c r="C939" s="2">
        <v>0.0</v>
      </c>
      <c r="D939" s="2">
        <v>-689.0</v>
      </c>
      <c r="E939" s="2">
        <v>-537.97</v>
      </c>
    </row>
    <row r="940" spans="1:5" x14ac:dyDescent="0.15">
      <c r="A940" s="2" t="s">
        <f>"093000059920023"</f>
        <v>1858</v>
      </c>
      <c r="B940" s="2" t="s">
        <f>"袁帅"</f>
        <v>1859</v>
      </c>
      <c r="C940" s="2">
        <v>133.0</v>
      </c>
      <c r="D940" s="2">
        <v>-2431.0</v>
      </c>
      <c r="E940" s="2">
        <v>-818.8</v>
      </c>
    </row>
    <row r="941" spans="1:5" x14ac:dyDescent="0.15">
      <c r="A941" s="2" t="s">
        <f>"0930000000106"</f>
        <v>1860</v>
      </c>
      <c r="B941" s="2" t="s">
        <f>"段攀超"</f>
        <v>1861</v>
      </c>
      <c r="C941" s="2">
        <v>0.0</v>
      </c>
      <c r="D941" s="2">
        <v>5.0</v>
      </c>
      <c r="E941" s="2">
        <v>-60.59</v>
      </c>
    </row>
    <row r="942" spans="1:5" x14ac:dyDescent="0.15">
      <c r="A942" s="2" t="s">
        <f>"0930000670008"</f>
        <v>1862</v>
      </c>
      <c r="B942" s="2" t="s">
        <f>"吕世蕾"</f>
        <v>1863</v>
      </c>
      <c r="C942" s="2">
        <v>0.0</v>
      </c>
      <c r="D942" s="2">
        <v>-3.0</v>
      </c>
      <c r="E942" s="2">
        <v>-6.38</v>
      </c>
    </row>
    <row r="943" spans="1:5" x14ac:dyDescent="0.15">
      <c r="A943" s="2" t="s">
        <f>"0930000000107"</f>
        <v>1864</v>
      </c>
      <c r="B943" s="2" t="s">
        <f>"梁永富"</f>
        <v>1865</v>
      </c>
      <c r="C943" s="2">
        <v>0.0</v>
      </c>
      <c r="D943" s="2">
        <v>0.0</v>
      </c>
      <c r="E943" s="2">
        <v>0.0</v>
      </c>
    </row>
    <row r="944" spans="1:5" x14ac:dyDescent="0.15">
      <c r="A944" s="2" t="s">
        <f>"0930000670009"</f>
        <v>1866</v>
      </c>
      <c r="B944" s="2" t="s">
        <f>"朱晨飞"</f>
        <v>1867</v>
      </c>
      <c r="C944" s="2">
        <v>0.0</v>
      </c>
      <c r="D944" s="2">
        <v>-6.0</v>
      </c>
      <c r="E944" s="2">
        <v>-6.37</v>
      </c>
    </row>
    <row r="945" spans="1:5" x14ac:dyDescent="0.15">
      <c r="A945" s="2" t="s">
        <f>"0930000000108"</f>
        <v>1868</v>
      </c>
      <c r="B945" s="2" t="s">
        <f>"冯佩田"</f>
        <v>1869</v>
      </c>
      <c r="C945" s="2">
        <v>0.0</v>
      </c>
      <c r="D945" s="2">
        <v>-6.0</v>
      </c>
      <c r="E945" s="2">
        <v>-6.37</v>
      </c>
    </row>
    <row r="946" spans="1:5" x14ac:dyDescent="0.15">
      <c r="A946" s="2" t="s">
        <f>"093000043920039"</f>
        <v>1870</v>
      </c>
      <c r="B946" s="2" t="s">
        <f>"王聚兴"</f>
        <v>1871</v>
      </c>
      <c r="C946" s="2">
        <v>0.0</v>
      </c>
      <c r="D946" s="2">
        <v>-1111.0</v>
      </c>
      <c r="E946" s="2">
        <v>-306.98</v>
      </c>
    </row>
    <row r="947" spans="1:5" x14ac:dyDescent="0.15">
      <c r="A947" s="2" t="s">
        <f>"0930000670010"</f>
        <v>1872</v>
      </c>
      <c r="B947" s="2" t="s">
        <f>"庞永琴"</f>
        <v>1873</v>
      </c>
      <c r="C947" s="2">
        <v>0.0</v>
      </c>
      <c r="D947" s="2">
        <v>-3.0</v>
      </c>
      <c r="E947" s="2">
        <v>-6.38</v>
      </c>
    </row>
    <row r="948" spans="1:5" x14ac:dyDescent="0.15">
      <c r="A948" s="2" t="s">
        <f>"0930000670012"</f>
        <v>1874</v>
      </c>
      <c r="B948" s="2" t="s">
        <f>"赵志辰"</f>
        <v>1875</v>
      </c>
      <c r="C948" s="2">
        <v>0.0</v>
      </c>
      <c r="D948" s="2">
        <v>55.0</v>
      </c>
      <c r="E948" s="2">
        <v>-55.72</v>
      </c>
    </row>
    <row r="949" spans="1:5" x14ac:dyDescent="0.15">
      <c r="A949" s="2" t="s">
        <f>"093000083920006"</f>
        <v>1876</v>
      </c>
      <c r="B949" s="2" t="s">
        <f>"殷锦国"</f>
        <v>1877</v>
      </c>
      <c r="C949" s="2">
        <v>-45.0</v>
      </c>
      <c r="D949" s="2">
        <v>-5085.0</v>
      </c>
      <c r="E949" s="2">
        <v>-1509.68</v>
      </c>
    </row>
    <row r="950" spans="1:5" x14ac:dyDescent="0.15">
      <c r="A950" s="2" t="s">
        <f>"0930000670013"</f>
        <v>1878</v>
      </c>
      <c r="B950" s="2" t="s">
        <f>"陈钊岐"</f>
        <v>1879</v>
      </c>
      <c r="C950" s="2">
        <v>0.0</v>
      </c>
      <c r="D950" s="2">
        <v>-10.0</v>
      </c>
      <c r="E950" s="2">
        <v>-6.37</v>
      </c>
    </row>
    <row r="951" spans="1:5" x14ac:dyDescent="0.15">
      <c r="A951" s="2" t="s">
        <f>"0930000688888"</f>
        <v>1880</v>
      </c>
      <c r="B951" s="2" t="s">
        <f>"陆庆妃"</f>
        <v>1881</v>
      </c>
      <c r="C951" s="2">
        <v>0.0</v>
      </c>
      <c r="D951" s="2">
        <v>-249.0</v>
      </c>
      <c r="E951" s="2">
        <v>-56.45</v>
      </c>
    </row>
    <row r="952" spans="1:5" x14ac:dyDescent="0.15">
      <c r="A952" s="2" t="s">
        <f>"0930000670014"</f>
        <v>1882</v>
      </c>
      <c r="B952" s="2" t="s">
        <f>"高胜艳"</f>
        <v>1883</v>
      </c>
      <c r="C952" s="2">
        <v>0.0</v>
      </c>
      <c r="D952" s="2">
        <v>-277.0</v>
      </c>
      <c r="E952" s="2">
        <v>-174.28</v>
      </c>
    </row>
    <row r="953" spans="1:5" x14ac:dyDescent="0.15">
      <c r="A953" s="2" t="s">
        <f>"0930000670015"</f>
        <v>1884</v>
      </c>
      <c r="B953" s="2" t="s">
        <f>"吕召召"</f>
        <v>1885</v>
      </c>
      <c r="C953" s="2">
        <v>0.0</v>
      </c>
      <c r="D953" s="2">
        <v>-6.0</v>
      </c>
      <c r="E953" s="2">
        <v>-6.37</v>
      </c>
    </row>
    <row r="954" spans="1:5" x14ac:dyDescent="0.15">
      <c r="A954" s="2" t="s">
        <f>"0930000670016"</f>
        <v>1886</v>
      </c>
      <c r="B954" s="2" t="s">
        <f>"张海兰"</f>
        <v>1887</v>
      </c>
      <c r="C954" s="2">
        <v>0.0</v>
      </c>
      <c r="D954" s="2">
        <v>-6.0</v>
      </c>
      <c r="E954" s="2">
        <v>-6.38</v>
      </c>
    </row>
    <row r="955" spans="1:5" x14ac:dyDescent="0.15">
      <c r="A955" s="2" t="s">
        <f>"093000059920024"</f>
        <v>1888</v>
      </c>
      <c r="B955" s="2" t="s">
        <f>"闫小红"</f>
        <v>1889</v>
      </c>
      <c r="C955" s="2">
        <v>-14.0</v>
      </c>
      <c r="D955" s="2">
        <v>2382.0</v>
      </c>
      <c r="E955" s="2">
        <v>-1119.08</v>
      </c>
    </row>
    <row r="956" spans="1:5" x14ac:dyDescent="0.15">
      <c r="A956" s="2" t="s">
        <f>"093000067920094"</f>
        <v>1890</v>
      </c>
      <c r="B956" s="2" t="s">
        <f>"张自昌"</f>
        <v>1891</v>
      </c>
      <c r="C956" s="2">
        <v>0.0</v>
      </c>
      <c r="D956" s="2">
        <v>-6.0</v>
      </c>
      <c r="E956" s="2">
        <v>-6.37</v>
      </c>
    </row>
    <row r="957" spans="1:5" x14ac:dyDescent="0.15">
      <c r="A957" s="2" t="s">
        <f>"0930000670017"</f>
        <v>1892</v>
      </c>
      <c r="B957" s="2" t="s">
        <f>"冯琦"</f>
        <v>1893</v>
      </c>
      <c r="C957" s="2">
        <v>0.0</v>
      </c>
      <c r="D957" s="2">
        <v>-5.0</v>
      </c>
      <c r="E957" s="2">
        <v>-6.38</v>
      </c>
    </row>
    <row r="958" spans="1:5" x14ac:dyDescent="0.15">
      <c r="A958" s="2" t="s">
        <f>"0930000670018"</f>
        <v>1894</v>
      </c>
      <c r="B958" s="2" t="s">
        <f>"陈亚光"</f>
        <v>1895</v>
      </c>
      <c r="C958" s="2">
        <v>0.0</v>
      </c>
      <c r="D958" s="2">
        <v>-7.0</v>
      </c>
      <c r="E958" s="2">
        <v>-6.37</v>
      </c>
    </row>
    <row r="959" spans="1:5" x14ac:dyDescent="0.15">
      <c r="A959" s="2" t="s">
        <f>"093000043920040"</f>
        <v>1896</v>
      </c>
      <c r="B959" s="2" t="s">
        <f>"穆春来"</f>
        <v>1897</v>
      </c>
      <c r="C959" s="2">
        <v>62.0</v>
      </c>
      <c r="D959" s="2">
        <v>197.0</v>
      </c>
      <c r="E959" s="2">
        <v>-781.18</v>
      </c>
    </row>
    <row r="960" spans="1:5" x14ac:dyDescent="0.15">
      <c r="A960" s="2" t="s">
        <f>"093000043920041"</f>
        <v>1898</v>
      </c>
      <c r="B960" s="2" t="s">
        <f>"李江丽"</f>
        <v>1899</v>
      </c>
      <c r="C960" s="2">
        <v>0.0</v>
      </c>
      <c r="D960" s="2">
        <v>-365.0</v>
      </c>
      <c r="E960" s="2">
        <v>-1284.36</v>
      </c>
    </row>
    <row r="961" spans="1:5" x14ac:dyDescent="0.15">
      <c r="A961" s="2" t="s">
        <f>"093000043920043"</f>
        <v>1900</v>
      </c>
      <c r="B961" s="2" t="s">
        <f>"张宗泽"</f>
        <v>1901</v>
      </c>
      <c r="C961" s="2">
        <v>0.0</v>
      </c>
      <c r="D961" s="2">
        <v>1129.0</v>
      </c>
      <c r="E961" s="2">
        <v>-2676.1</v>
      </c>
    </row>
    <row r="962" spans="1:5" x14ac:dyDescent="0.15">
      <c r="A962" s="2" t="s">
        <f>"093000039001920017"</f>
        <v>1902</v>
      </c>
      <c r="B962" s="2" t="s">
        <f>"张瑞芳"</f>
        <v>1903</v>
      </c>
      <c r="C962" s="2">
        <v>-578.0</v>
      </c>
      <c r="D962" s="2">
        <v>-104.0</v>
      </c>
      <c r="E962" s="2">
        <v>-543.69</v>
      </c>
    </row>
    <row r="963" spans="1:5" x14ac:dyDescent="0.15">
      <c r="A963" s="2" t="s">
        <f>"093000043920042"</f>
        <v>1904</v>
      </c>
      <c r="B963" s="2" t="s">
        <f>"倪永磊"</f>
        <v>1905</v>
      </c>
      <c r="C963" s="2">
        <v>0.0</v>
      </c>
      <c r="D963" s="2">
        <v>323.0</v>
      </c>
      <c r="E963" s="2">
        <v>-163.82</v>
      </c>
    </row>
    <row r="964" spans="1:5" x14ac:dyDescent="0.15">
      <c r="A964" s="2" t="s">
        <f>"0930000670019"</f>
        <v>1906</v>
      </c>
      <c r="B964" s="2" t="s">
        <f>"庞跃新"</f>
        <v>1907</v>
      </c>
      <c r="C964" s="2">
        <v>0.0</v>
      </c>
      <c r="D964" s="2">
        <v>-4.0</v>
      </c>
      <c r="E964" s="2">
        <v>-6.36</v>
      </c>
    </row>
    <row r="965" spans="1:5" x14ac:dyDescent="0.15">
      <c r="A965" s="2" t="s">
        <f>"093000044920041"</f>
        <v>1908</v>
      </c>
      <c r="B965" s="2" t="s">
        <f>"袁鸣"</f>
        <v>1909</v>
      </c>
      <c r="C965" s="2">
        <v>-14.0</v>
      </c>
      <c r="D965" s="2">
        <v>1533.0</v>
      </c>
      <c r="E965" s="2">
        <v>-683.47</v>
      </c>
    </row>
    <row r="966" spans="1:5" x14ac:dyDescent="0.15">
      <c r="A966" s="2" t="s">
        <f>"093000043920044"</f>
        <v>1910</v>
      </c>
      <c r="B966" s="2" t="s">
        <f>"王天西"</f>
        <v>1911</v>
      </c>
      <c r="C966" s="2">
        <v>0.0</v>
      </c>
      <c r="D966" s="2">
        <v>0.0</v>
      </c>
      <c r="E966" s="2">
        <v>0.0</v>
      </c>
    </row>
    <row r="967" spans="1:5" x14ac:dyDescent="0.15">
      <c r="A967" s="2" t="s">
        <f>"093000043920045"</f>
        <v>1912</v>
      </c>
      <c r="B967" s="2" t="s">
        <f>"冯明浩"</f>
        <v>1913</v>
      </c>
      <c r="C967" s="2">
        <v>-269.0</v>
      </c>
      <c r="D967" s="2">
        <v>-2641.0</v>
      </c>
      <c r="E967" s="2">
        <v>-947.05</v>
      </c>
    </row>
    <row r="968" spans="1:5" x14ac:dyDescent="0.15">
      <c r="A968" s="2" t="s">
        <f>"093000043920046"</f>
        <v>1914</v>
      </c>
      <c r="B968" s="2" t="s">
        <f>"高德敏"</f>
        <v>1915</v>
      </c>
      <c r="C968" s="2">
        <v>0.0</v>
      </c>
      <c r="D968" s="2">
        <v>-343.0</v>
      </c>
      <c r="E968" s="2">
        <v>-698.11</v>
      </c>
    </row>
    <row r="969" spans="1:5" x14ac:dyDescent="0.15">
      <c r="A969" s="2" t="s">
        <f>"0930000800000"</f>
        <v>1916</v>
      </c>
      <c r="B969" s="2" t="s">
        <f>"谢世莲"</f>
        <v>1917</v>
      </c>
      <c r="C969" s="2">
        <v>0.0</v>
      </c>
      <c r="D969" s="2">
        <v>0.0</v>
      </c>
      <c r="E969" s="2">
        <v>0.0</v>
      </c>
    </row>
    <row r="970" spans="1:5" x14ac:dyDescent="0.15">
      <c r="A970" s="2" t="s">
        <f>"0930000670020"</f>
        <v>1918</v>
      </c>
      <c r="B970" s="2" t="s">
        <f>"赵致毅"</f>
        <v>1919</v>
      </c>
      <c r="C970" s="2">
        <v>0.0</v>
      </c>
      <c r="D970" s="2">
        <v>-3.0</v>
      </c>
      <c r="E970" s="2">
        <v>-6.42</v>
      </c>
    </row>
    <row r="971" spans="1:5" x14ac:dyDescent="0.15">
      <c r="A971" s="2" t="s">
        <f>"0930000670021"</f>
        <v>1920</v>
      </c>
      <c r="B971" s="2" t="s">
        <f>"赵志霖"</f>
        <v>1921</v>
      </c>
      <c r="C971" s="2">
        <v>0.0</v>
      </c>
      <c r="D971" s="2">
        <v>-6.0</v>
      </c>
      <c r="E971" s="2">
        <v>-6.43</v>
      </c>
    </row>
    <row r="972" spans="1:5" x14ac:dyDescent="0.15">
      <c r="A972" s="2" t="s">
        <f>"0930000000109"</f>
        <v>1922</v>
      </c>
      <c r="B972" s="2" t="s">
        <f>"栾鑫可"</f>
        <v>1923</v>
      </c>
      <c r="C972" s="2">
        <v>0.0</v>
      </c>
      <c r="D972" s="2">
        <v>400.0</v>
      </c>
      <c r="E972" s="2">
        <v>-77.8</v>
      </c>
    </row>
    <row r="973" spans="1:5" x14ac:dyDescent="0.15">
      <c r="A973" s="2" t="s">
        <f>"0930000440001"</f>
        <v>1924</v>
      </c>
      <c r="B973" s="2" t="s">
        <f>"李宗锋"</f>
        <v>1925</v>
      </c>
      <c r="C973" s="2">
        <v>-347.0</v>
      </c>
      <c r="D973" s="2">
        <v>-941.0</v>
      </c>
      <c r="E973" s="2">
        <v>-108.68</v>
      </c>
    </row>
    <row r="974" spans="1:5" x14ac:dyDescent="0.15">
      <c r="A974" s="2" t="s">
        <f>"093000043920047"</f>
        <v>1926</v>
      </c>
      <c r="B974" s="2" t="s">
        <f>"高金玲"</f>
        <v>1927</v>
      </c>
      <c r="C974" s="2">
        <v>0.0</v>
      </c>
      <c r="D974" s="2">
        <v>-2688.0</v>
      </c>
      <c r="E974" s="2">
        <v>-1631.48</v>
      </c>
    </row>
    <row r="975" spans="1:5" x14ac:dyDescent="0.15">
      <c r="A975" s="2" t="s">
        <f>"093000067920097"</f>
        <v>1928</v>
      </c>
      <c r="B975" s="2" t="s">
        <f>"赵银生"</f>
        <v>1929</v>
      </c>
      <c r="C975" s="2">
        <v>0.0</v>
      </c>
      <c r="D975" s="2">
        <v>-44.0</v>
      </c>
      <c r="E975" s="2">
        <v>-40.0</v>
      </c>
    </row>
    <row r="976" spans="1:5" x14ac:dyDescent="0.15">
      <c r="A976" s="2" t="s">
        <f>"093000039001920018"</f>
        <v>1930</v>
      </c>
      <c r="B976" s="2" t="s">
        <f>"赵东"</f>
        <v>1931</v>
      </c>
      <c r="C976" s="2">
        <v>0.0</v>
      </c>
      <c r="D976" s="2">
        <v>-329.0</v>
      </c>
      <c r="E976" s="2">
        <v>-259.24</v>
      </c>
    </row>
    <row r="977" spans="1:5" x14ac:dyDescent="0.15">
      <c r="A977" s="2" t="s">
        <f>"0930000740006"</f>
        <v>1932</v>
      </c>
      <c r="B977" s="2" t="s">
        <f>"覃莹"</f>
        <v>1933</v>
      </c>
      <c r="C977" s="2">
        <v>0.0</v>
      </c>
      <c r="D977" s="2">
        <v>-440.0</v>
      </c>
      <c r="E977" s="2">
        <v>-52.81</v>
      </c>
    </row>
    <row r="978" spans="1:5" x14ac:dyDescent="0.15">
      <c r="A978" s="2" t="s">
        <f>"093000088920008"</f>
        <v>1934</v>
      </c>
      <c r="B978" s="2" t="s">
        <f>"王冬冬"</f>
        <v>1935</v>
      </c>
      <c r="C978" s="2">
        <v>63.0</v>
      </c>
      <c r="D978" s="2">
        <v>101.0</v>
      </c>
      <c r="E978" s="2">
        <v>-751.89</v>
      </c>
    </row>
    <row r="979" spans="1:5" x14ac:dyDescent="0.15">
      <c r="A979" s="2" t="s">
        <f>"0930000670022"</f>
        <v>1936</v>
      </c>
      <c r="B979" s="2" t="s">
        <f>"邱生辉"</f>
        <v>1937</v>
      </c>
      <c r="C979" s="2">
        <v>0.0</v>
      </c>
      <c r="D979" s="2">
        <v>315.0</v>
      </c>
      <c r="E979" s="2">
        <v>-98.46</v>
      </c>
    </row>
    <row r="980" spans="1:5" x14ac:dyDescent="0.15">
      <c r="A980" s="2" t="s">
        <f>"0930000630001"</f>
        <v>1938</v>
      </c>
      <c r="B980" s="2" t="s">
        <f>"李文典"</f>
        <v>1939</v>
      </c>
      <c r="C980" s="2">
        <v>-933.0</v>
      </c>
      <c r="D980" s="2">
        <v>-422.0</v>
      </c>
      <c r="E980" s="2">
        <v>-215.07</v>
      </c>
    </row>
    <row r="981" spans="1:5" x14ac:dyDescent="0.15">
      <c r="A981" s="2" t="s">
        <f>"093000047920019"</f>
        <v>1940</v>
      </c>
      <c r="B981" s="2" t="s">
        <f>"李建彬"</f>
        <v>1941</v>
      </c>
      <c r="C981" s="2">
        <v>0.0</v>
      </c>
      <c r="D981" s="2">
        <v>1154.0</v>
      </c>
      <c r="E981" s="2">
        <v>-560.45</v>
      </c>
    </row>
    <row r="982" spans="1:5" x14ac:dyDescent="0.15">
      <c r="A982" s="2" t="s">
        <f>"093000044920042"</f>
        <v>1942</v>
      </c>
      <c r="B982" s="2" t="s">
        <f>"郭志华"</f>
        <v>1943</v>
      </c>
      <c r="C982" s="2">
        <v>0.0</v>
      </c>
      <c r="D982" s="2">
        <v>-168.0</v>
      </c>
      <c r="E982" s="2">
        <v>-323.0</v>
      </c>
    </row>
    <row r="983" spans="1:5" x14ac:dyDescent="0.15">
      <c r="A983" s="2" t="s">
        <f>"093000044920043"</f>
        <v>1944</v>
      </c>
      <c r="B983" s="2" t="s">
        <f>"张宏燕"</f>
        <v>1945</v>
      </c>
      <c r="C983" s="2">
        <v>-644.0</v>
      </c>
      <c r="D983" s="2">
        <v>333.0</v>
      </c>
      <c r="E983" s="2">
        <v>-1431.6</v>
      </c>
    </row>
    <row r="984" spans="1:5" x14ac:dyDescent="0.15">
      <c r="A984" s="2" t="s">
        <f>"093000088920009"</f>
        <v>1946</v>
      </c>
      <c r="B984" s="2" t="s">
        <f>"周园"</f>
        <v>1947</v>
      </c>
      <c r="C984" s="2">
        <v>0.0</v>
      </c>
      <c r="D984" s="2">
        <v>133.0</v>
      </c>
      <c r="E984" s="2">
        <v>-108.62</v>
      </c>
    </row>
    <row r="985" spans="1:5" x14ac:dyDescent="0.15">
      <c r="A985" s="2" t="s">
        <f>"093000039001920020"</f>
        <v>1948</v>
      </c>
      <c r="B985" s="2" t="s">
        <f>"许郭崇杰"</f>
        <v>1949</v>
      </c>
      <c r="C985" s="2">
        <v>0.0</v>
      </c>
      <c r="D985" s="2">
        <v>-553.0</v>
      </c>
      <c r="E985" s="2">
        <v>-140.28</v>
      </c>
    </row>
    <row r="986" spans="1:5" x14ac:dyDescent="0.15">
      <c r="A986" s="2" t="s">
        <f>"093000047920021"</f>
        <v>1950</v>
      </c>
      <c r="B986" s="2" t="s">
        <f>"常艳荣"</f>
        <v>1951</v>
      </c>
      <c r="C986" s="2">
        <v>-1462.0</v>
      </c>
      <c r="D986" s="2">
        <v>3178.0</v>
      </c>
      <c r="E986" s="2">
        <v>-1228.79</v>
      </c>
    </row>
    <row r="987" spans="1:5" x14ac:dyDescent="0.15">
      <c r="A987" s="2" t="s">
        <f>"0930000000076"</f>
        <v>1952</v>
      </c>
      <c r="B987" s="2" t="s">
        <f>"李学龙"</f>
        <v>1953</v>
      </c>
      <c r="C987" s="2">
        <v>0.0</v>
      </c>
      <c r="D987" s="2">
        <v>0.0</v>
      </c>
      <c r="E987" s="2">
        <v>0.0</v>
      </c>
    </row>
    <row r="988" spans="1:5" x14ac:dyDescent="0.15">
      <c r="A988" s="2" t="s">
        <f>"093000043920048"</f>
        <v>1954</v>
      </c>
      <c r="B988" s="2" t="s">
        <f>"李艳恒"</f>
        <v>1955</v>
      </c>
      <c r="C988" s="2">
        <v>-1246.0</v>
      </c>
      <c r="D988" s="2">
        <v>-358.0</v>
      </c>
      <c r="E988" s="2">
        <v>-1577.28</v>
      </c>
    </row>
    <row r="989" spans="1:5" x14ac:dyDescent="0.15">
      <c r="A989" s="2" t="s">
        <f>"093000039001920021"</f>
        <v>1956</v>
      </c>
      <c r="B989" s="2" t="s">
        <f>"王明甫"</f>
        <v>1957</v>
      </c>
      <c r="C989" s="2">
        <v>0.0</v>
      </c>
      <c r="D989" s="2">
        <v>0.0</v>
      </c>
      <c r="E989" s="2">
        <v>0.0</v>
      </c>
    </row>
    <row r="990" spans="1:5" x14ac:dyDescent="0.15">
      <c r="A990" s="2" t="s">
        <f>"093000090920001"</f>
        <v>1958</v>
      </c>
      <c r="B990" s="2" t="s">
        <f>"韩中磊"</f>
        <v>1959</v>
      </c>
      <c r="C990" s="2">
        <v>0.0</v>
      </c>
      <c r="D990" s="2">
        <v>0.0</v>
      </c>
      <c r="E990" s="2">
        <v>0.0</v>
      </c>
    </row>
    <row r="991" spans="1:5" x14ac:dyDescent="0.15">
      <c r="A991" s="2" t="s">
        <f>"093000047920022"</f>
        <v>1960</v>
      </c>
      <c r="B991" s="2" t="s">
        <f>"张丽丽"</f>
        <v>1961</v>
      </c>
      <c r="C991" s="2">
        <v>0.0</v>
      </c>
      <c r="D991" s="2">
        <v>-649.0</v>
      </c>
      <c r="E991" s="2">
        <v>-393.08</v>
      </c>
    </row>
    <row r="992" spans="1:5" x14ac:dyDescent="0.15">
      <c r="A992" s="2" t="s">
        <f>"093000059920025"</f>
        <v>1962</v>
      </c>
      <c r="B992" s="2" t="s">
        <f>"王家豪"</f>
        <v>1963</v>
      </c>
      <c r="C992" s="2">
        <v>-126.0</v>
      </c>
      <c r="D992" s="2">
        <v>-357.0</v>
      </c>
      <c r="E992" s="2">
        <v>-603.34</v>
      </c>
    </row>
    <row r="993" spans="1:5" x14ac:dyDescent="0.15">
      <c r="A993" s="2" t="s">
        <f>"0930000000077"</f>
        <v>1964</v>
      </c>
      <c r="B993" s="2" t="s">
        <f>"卢珍珍"</f>
        <v>1965</v>
      </c>
      <c r="C993" s="2">
        <v>-300.0</v>
      </c>
      <c r="D993" s="2">
        <v>-790.0</v>
      </c>
      <c r="E993" s="2">
        <v>-105.94</v>
      </c>
    </row>
    <row r="994" spans="1:5" x14ac:dyDescent="0.15">
      <c r="A994" s="2" t="s">
        <f>"0930000000078"</f>
        <v>1966</v>
      </c>
      <c r="B994" s="2" t="s">
        <f>"刘亚威"</f>
        <v>1967</v>
      </c>
      <c r="C994" s="2">
        <v>0.0</v>
      </c>
      <c r="D994" s="2">
        <v>0.0</v>
      </c>
      <c r="E994" s="2">
        <v>0.0</v>
      </c>
    </row>
    <row r="995" spans="1:5" x14ac:dyDescent="0.15">
      <c r="A995" s="2" t="s">
        <f>"093000043920049"</f>
        <v>1968</v>
      </c>
      <c r="B995" s="2" t="s">
        <f>"曾丽英"</f>
        <v>1969</v>
      </c>
      <c r="C995" s="2">
        <v>0.0</v>
      </c>
      <c r="D995" s="2">
        <v>-48.0</v>
      </c>
      <c r="E995" s="2">
        <v>-107.6</v>
      </c>
    </row>
    <row r="996" spans="1:5" x14ac:dyDescent="0.15">
      <c r="A996" s="2" t="s">
        <f>"093000039005920001"</f>
        <v>1970</v>
      </c>
      <c r="B996" s="2" t="s">
        <f>"张玉巧"</f>
        <v>1971</v>
      </c>
      <c r="C996" s="2">
        <v>0.0</v>
      </c>
      <c r="D996" s="2">
        <v>-1071.0</v>
      </c>
      <c r="E996" s="2">
        <v>-107.92</v>
      </c>
    </row>
    <row r="997" spans="1:5" x14ac:dyDescent="0.15">
      <c r="A997" s="2" t="s">
        <f>"0930000000079"</f>
        <v>1972</v>
      </c>
      <c r="B997" s="2" t="s">
        <f>"熊乾伟"</f>
        <v>1973</v>
      </c>
      <c r="C997" s="2">
        <v>0.0</v>
      </c>
      <c r="D997" s="2">
        <v>0.0</v>
      </c>
      <c r="E997" s="2">
        <v>0.0</v>
      </c>
    </row>
    <row r="998" spans="1:5" x14ac:dyDescent="0.15">
      <c r="A998" s="2" t="s">
        <f>"0930000920000"</f>
        <v>1974</v>
      </c>
      <c r="B998" s="2" t="s">
        <f>"张孟贾"</f>
        <v>1975</v>
      </c>
      <c r="C998" s="2">
        <v>0.0</v>
      </c>
      <c r="D998" s="2">
        <v>0.0</v>
      </c>
      <c r="E998" s="2">
        <v>0.0</v>
      </c>
    </row>
    <row r="999" spans="1:5" x14ac:dyDescent="0.15">
      <c r="A999" s="2" t="s">
        <f>"0930000620015"</f>
        <v>1976</v>
      </c>
      <c r="B999" s="2" t="s">
        <f>"黄毅"</f>
        <v>1977</v>
      </c>
      <c r="C999" s="2">
        <v>0.0</v>
      </c>
      <c r="D999" s="2">
        <v>-390.0</v>
      </c>
      <c r="E999" s="2">
        <v>-55.85</v>
      </c>
    </row>
    <row r="1000" spans="1:5" x14ac:dyDescent="0.15">
      <c r="A1000" s="2" t="s">
        <f>"093000039005920002"</f>
        <v>1978</v>
      </c>
      <c r="B1000" s="2" t="s">
        <f>"姚建堂"</f>
        <v>1979</v>
      </c>
      <c r="C1000" s="2">
        <v>0.0</v>
      </c>
      <c r="D1000" s="2">
        <v>-930.0</v>
      </c>
      <c r="E1000" s="2">
        <v>-128.85</v>
      </c>
    </row>
    <row r="1001" spans="1:5" x14ac:dyDescent="0.15">
      <c r="A1001" s="2" t="s">
        <f>"0930000590000"</f>
        <v>1980</v>
      </c>
      <c r="B1001" s="2" t="s">
        <f>"孙海波"</f>
        <v>1981</v>
      </c>
      <c r="C1001" s="2">
        <v>79.0</v>
      </c>
      <c r="D1001" s="2">
        <v>-260.0</v>
      </c>
      <c r="E1001" s="2">
        <v>-493.63</v>
      </c>
    </row>
    <row r="1002" spans="1:5" x14ac:dyDescent="0.15">
      <c r="A1002" s="2" t="s">
        <f>"093000043920050"</f>
        <v>1982</v>
      </c>
      <c r="B1002" s="2" t="s">
        <f>"赵志刚"</f>
        <v>1983</v>
      </c>
      <c r="C1002" s="2">
        <v>0.0</v>
      </c>
      <c r="D1002" s="2">
        <v>-982.0</v>
      </c>
      <c r="E1002" s="2">
        <v>-268.71</v>
      </c>
    </row>
    <row r="1003" spans="1:5" x14ac:dyDescent="0.15">
      <c r="A1003" s="2" t="s">
        <f>"0930000390010000"</f>
        <v>1984</v>
      </c>
      <c r="B1003" s="2" t="s">
        <f>"方彬"</f>
        <v>1985</v>
      </c>
      <c r="C1003" s="2">
        <v>0.0</v>
      </c>
      <c r="D1003" s="2">
        <v>0.0</v>
      </c>
      <c r="E1003" s="2">
        <v>0.0</v>
      </c>
    </row>
    <row r="1004" spans="1:5" x14ac:dyDescent="0.15">
      <c r="A1004" s="2" t="s">
        <f>"093000039001000"</f>
        <v>1986</v>
      </c>
      <c r="B1004" s="2" t="s">
        <f>"吴六玲"</f>
        <v>1987</v>
      </c>
      <c r="C1004" s="2">
        <v>0.0</v>
      </c>
      <c r="D1004" s="2">
        <v>0.0</v>
      </c>
      <c r="E1004" s="2">
        <v>0.0</v>
      </c>
    </row>
    <row r="1005" spans="1:5" x14ac:dyDescent="0.15">
      <c r="A1005" s="2" t="s">
        <f>"093000039001920022"</f>
        <v>1988</v>
      </c>
      <c r="B1005" s="2" t="s">
        <f>"晋生"</f>
        <v>1989</v>
      </c>
      <c r="C1005" s="2">
        <v>0.0</v>
      </c>
      <c r="D1005" s="2">
        <v>775.0</v>
      </c>
      <c r="E1005" s="2">
        <v>-305.36</v>
      </c>
    </row>
    <row r="1006" spans="1:5" x14ac:dyDescent="0.15">
      <c r="A1006" s="2" t="s">
        <f>"093000047920023"</f>
        <v>1990</v>
      </c>
      <c r="B1006" s="2" t="s">
        <f>"景东林"</f>
        <v>1991</v>
      </c>
      <c r="C1006" s="2">
        <v>0.0</v>
      </c>
      <c r="D1006" s="2">
        <v>606.0</v>
      </c>
      <c r="E1006" s="2">
        <v>-110.16</v>
      </c>
    </row>
    <row r="1007" spans="1:5" x14ac:dyDescent="0.15">
      <c r="A1007" s="2" t="s">
        <f>"093000039005920003"</f>
        <v>1992</v>
      </c>
      <c r="B1007" s="2" t="s">
        <f>"贾建训"</f>
        <v>1993</v>
      </c>
      <c r="C1007" s="2">
        <v>0.0</v>
      </c>
      <c r="D1007" s="2">
        <v>138.0</v>
      </c>
      <c r="E1007" s="2">
        <v>-426.02</v>
      </c>
    </row>
    <row r="1008" spans="1:5" x14ac:dyDescent="0.15">
      <c r="A1008" s="2" t="s">
        <f>"0930000790016"</f>
        <v>1994</v>
      </c>
      <c r="B1008" s="2" t="s">
        <f>"张燕"</f>
        <v>1995</v>
      </c>
      <c r="C1008" s="2">
        <v>0.0</v>
      </c>
      <c r="D1008" s="2">
        <v>-422.0</v>
      </c>
      <c r="E1008" s="2">
        <v>-162.6</v>
      </c>
    </row>
    <row r="1009" spans="1:5" x14ac:dyDescent="0.15">
      <c r="A1009" s="2" t="s">
        <f>"093000039001920023"</f>
        <v>1996</v>
      </c>
      <c r="B1009" s="2" t="s">
        <f>"罗冰冰"</f>
        <v>1997</v>
      </c>
      <c r="C1009" s="2">
        <v>0.0</v>
      </c>
      <c r="D1009" s="2">
        <v>-518.0</v>
      </c>
      <c r="E1009" s="2">
        <v>-163.58</v>
      </c>
    </row>
    <row r="1010" spans="1:5" x14ac:dyDescent="0.15">
      <c r="A1010" s="2" t="s">
        <f>"093000044920045"</f>
        <v>1998</v>
      </c>
      <c r="B1010" s="2" t="s">
        <f>"陈平"</f>
        <v>1999</v>
      </c>
      <c r="C1010" s="2">
        <v>0.0</v>
      </c>
      <c r="D1010" s="2">
        <v>0.0</v>
      </c>
      <c r="E1010" s="2">
        <v>0.0</v>
      </c>
    </row>
    <row r="1011" spans="1:5" x14ac:dyDescent="0.15">
      <c r="A1011" s="2" t="s">
        <f>"0930000620016"</f>
        <v>2000</v>
      </c>
      <c r="B1011" s="2" t="s">
        <f>"黄敏"</f>
        <v>2001</v>
      </c>
      <c r="C1011" s="2">
        <v>0.0</v>
      </c>
      <c r="D1011" s="2">
        <v>450.0</v>
      </c>
      <c r="E1011" s="2">
        <v>-55.95</v>
      </c>
    </row>
    <row r="1012" spans="1:5" x14ac:dyDescent="0.15">
      <c r="A1012" s="2" t="s">
        <f>"0930000640000"</f>
        <v>2002</v>
      </c>
      <c r="B1012" s="2" t="s">
        <f>"朱腾跃"</f>
        <v>2003</v>
      </c>
      <c r="C1012" s="2">
        <v>-242.0</v>
      </c>
      <c r="D1012" s="2">
        <v>1296.0</v>
      </c>
      <c r="E1012" s="2">
        <v>-107.36</v>
      </c>
    </row>
    <row r="1013" spans="1:5" x14ac:dyDescent="0.15">
      <c r="A1013" s="2" t="s">
        <f>"093000920532"</f>
        <v>2004</v>
      </c>
      <c r="B1013" s="2" t="s">
        <f>"李硕"</f>
        <v>2005</v>
      </c>
      <c r="C1013" s="2">
        <v>0.0</v>
      </c>
      <c r="D1013" s="2">
        <v>0.0</v>
      </c>
      <c r="E1013" s="2">
        <v>0.0</v>
      </c>
    </row>
    <row r="1014" spans="1:5" x14ac:dyDescent="0.15">
      <c r="A1014" s="2" t="s">
        <f>"0930000560000"</f>
        <v>2006</v>
      </c>
      <c r="B1014" s="2" t="s">
        <f>"李兴伟"</f>
        <v>2007</v>
      </c>
      <c r="C1014" s="2">
        <v>0.0</v>
      </c>
      <c r="D1014" s="2">
        <v>0.0</v>
      </c>
      <c r="E1014" s="2">
        <v>0.0</v>
      </c>
    </row>
    <row r="1015" spans="1:5" x14ac:dyDescent="0.15">
      <c r="A1015" s="2" t="s">
        <f>"0930000640007"</f>
        <v>2008</v>
      </c>
      <c r="B1015" s="2" t="s">
        <f>"程保堂"</f>
        <v>2009</v>
      </c>
      <c r="C1015" s="2">
        <v>194.0</v>
      </c>
      <c r="D1015" s="2">
        <v>-1304.0</v>
      </c>
      <c r="E1015" s="2">
        <v>-107.4</v>
      </c>
    </row>
    <row r="1016" spans="1:5" x14ac:dyDescent="0.15">
      <c r="A1016" s="2" t="s">
        <f>"0930000670023"</f>
        <v>2010</v>
      </c>
      <c r="B1016" s="2" t="s">
        <f>"许曌"</f>
        <v>2011</v>
      </c>
      <c r="C1016" s="2">
        <v>0.0</v>
      </c>
      <c r="D1016" s="2">
        <v>0.0</v>
      </c>
      <c r="E1016" s="2">
        <v>0.0</v>
      </c>
    </row>
    <row r="1017" spans="1:5" x14ac:dyDescent="0.15">
      <c r="A1017" s="2" t="s">
        <f>"093000044920046"</f>
        <v>2012</v>
      </c>
      <c r="B1017" s="2" t="s">
        <f>"廖永红"</f>
        <v>2013</v>
      </c>
      <c r="C1017" s="2">
        <v>0.0</v>
      </c>
      <c r="D1017" s="2">
        <v>0.0</v>
      </c>
      <c r="E1017" s="2">
        <v>0.0</v>
      </c>
    </row>
    <row r="1018" spans="1:5" x14ac:dyDescent="0.15">
      <c r="A1018" s="2" t="s">
        <f>"093000044920047"</f>
        <v>2014</v>
      </c>
      <c r="B1018" s="2" t="s">
        <f>"罗玉梅"</f>
        <v>2015</v>
      </c>
      <c r="C1018" s="2">
        <v>0.0</v>
      </c>
      <c r="D1018" s="2">
        <v>0.0</v>
      </c>
      <c r="E1018" s="2">
        <v>0.0</v>
      </c>
    </row>
    <row r="1019" spans="1:5" x14ac:dyDescent="0.15">
      <c r="A1019" s="2" t="s">
        <f>"093000039001920024"</f>
        <v>2016</v>
      </c>
      <c r="B1019" s="2" t="s">
        <f>"余金红"</f>
        <v>2017</v>
      </c>
      <c r="C1019" s="2">
        <v>0.0</v>
      </c>
      <c r="D1019" s="2">
        <v>53.0</v>
      </c>
      <c r="E1019" s="2">
        <v>-90.32</v>
      </c>
    </row>
    <row r="1020" spans="1:5" x14ac:dyDescent="0.15">
      <c r="A1020" s="2" t="s">
        <f>"093000039001920025"</f>
        <v>2018</v>
      </c>
      <c r="B1020" s="2" t="s">
        <f>"徐梓豪"</f>
        <v>2019</v>
      </c>
      <c r="C1020" s="2">
        <v>0.0</v>
      </c>
      <c r="D1020" s="2">
        <v>-235.0</v>
      </c>
      <c r="E1020" s="2">
        <v>-171.04</v>
      </c>
    </row>
    <row r="1021" spans="1:5" x14ac:dyDescent="0.15">
      <c r="A1021" s="2" t="s">
        <f>"093000043920051"</f>
        <v>2020</v>
      </c>
      <c r="B1021" s="2" t="s">
        <f>"朱培阁"</f>
        <v>2021</v>
      </c>
      <c r="C1021" s="2">
        <v>0.0</v>
      </c>
      <c r="D1021" s="2">
        <v>7.0</v>
      </c>
      <c r="E1021" s="2">
        <v>-501.84</v>
      </c>
    </row>
    <row r="1022" spans="1:5" x14ac:dyDescent="0.15">
      <c r="A1022" s="2" t="s">
        <f>"093000039001920026"</f>
        <v>2022</v>
      </c>
      <c r="B1022" s="2" t="s">
        <f>"胡小江"</f>
        <v>2023</v>
      </c>
      <c r="C1022" s="2">
        <v>0.0</v>
      </c>
      <c r="D1022" s="2">
        <v>208.0</v>
      </c>
      <c r="E1022" s="2">
        <v>-56.67</v>
      </c>
    </row>
    <row r="1023" spans="1:5" x14ac:dyDescent="0.15">
      <c r="A1023" s="2" t="s">
        <f>"0930000000080"</f>
        <v>2024</v>
      </c>
      <c r="B1023" s="2" t="s">
        <f>"刘润尧"</f>
        <v>2025</v>
      </c>
      <c r="C1023" s="2">
        <v>0.0</v>
      </c>
      <c r="D1023" s="2">
        <v>0.0</v>
      </c>
      <c r="E1023" s="2">
        <v>0.0</v>
      </c>
    </row>
    <row r="1024" spans="1:5" x14ac:dyDescent="0.15">
      <c r="A1024" s="2" t="s">
        <f>"0930000000081"</f>
        <v>2026</v>
      </c>
      <c r="B1024" s="2" t="s">
        <f>"董坤"</f>
        <v>2027</v>
      </c>
      <c r="C1024" s="2">
        <v>0.0</v>
      </c>
      <c r="D1024" s="2">
        <v>0.0</v>
      </c>
      <c r="E1024" s="2">
        <v>0.0</v>
      </c>
    </row>
    <row r="1025" spans="1:5" x14ac:dyDescent="0.15">
      <c r="A1025" s="2" t="s">
        <f>"0930000000082"</f>
        <v>2028</v>
      </c>
      <c r="B1025" s="2" t="s">
        <f>"刘宴谷"</f>
        <v>2029</v>
      </c>
      <c r="C1025" s="2">
        <v>0.0</v>
      </c>
      <c r="D1025" s="2">
        <v>-900.0</v>
      </c>
      <c r="E1025" s="2">
        <v>-80.88</v>
      </c>
    </row>
    <row r="1026" spans="1:5" x14ac:dyDescent="0.15">
      <c r="A1026" s="2" t="s">
        <f>"093000043920052"</f>
        <v>2030</v>
      </c>
      <c r="B1026" s="2" t="s">
        <f>"魏渊"</f>
        <v>2031</v>
      </c>
      <c r="C1026" s="2">
        <v>0.0</v>
      </c>
      <c r="D1026" s="2">
        <v>0.0</v>
      </c>
      <c r="E1026" s="2">
        <v>0.0</v>
      </c>
    </row>
    <row r="1027" spans="1:5" x14ac:dyDescent="0.15">
      <c r="A1027" s="2" t="s">
        <f>"093000049920047"</f>
        <v>2032</v>
      </c>
      <c r="B1027" s="2" t="s">
        <f>"孙振邦"</f>
        <v>2033</v>
      </c>
      <c r="C1027" s="2">
        <v>0.0</v>
      </c>
      <c r="D1027" s="2">
        <v>780.0</v>
      </c>
      <c r="E1027" s="2">
        <v>-79.66</v>
      </c>
    </row>
    <row r="1028" spans="1:5" x14ac:dyDescent="0.15">
      <c r="A1028" s="2" t="s">
        <f>"0930000370000"</f>
        <v>2034</v>
      </c>
      <c r="B1028" s="2" t="s">
        <f>"郑建霞"</f>
        <v>2035</v>
      </c>
      <c r="C1028" s="2">
        <v>0.0</v>
      </c>
      <c r="D1028" s="2">
        <v>1294.0</v>
      </c>
      <c r="E1028" s="2">
        <v>-274.13</v>
      </c>
    </row>
    <row r="1029" spans="1:5" x14ac:dyDescent="0.15">
      <c r="A1029" s="2" t="s">
        <f>"093000039001920027"</f>
        <v>2036</v>
      </c>
      <c r="B1029" s="2" t="s">
        <f>"钟菲菲"</f>
        <v>2037</v>
      </c>
      <c r="C1029" s="2">
        <v>0.0</v>
      </c>
      <c r="D1029" s="2">
        <v>-943.0</v>
      </c>
      <c r="E1029" s="2">
        <v>-164.35</v>
      </c>
    </row>
    <row r="1030" spans="1:5" x14ac:dyDescent="0.15">
      <c r="A1030" s="2" t="s">
        <f>"0930000540000"</f>
        <v>2038</v>
      </c>
      <c r="B1030" s="2" t="s">
        <f>"余宗洋"</f>
        <v>2039</v>
      </c>
      <c r="C1030" s="2">
        <v>0.0</v>
      </c>
      <c r="D1030" s="2">
        <v>0.0</v>
      </c>
      <c r="E1030" s="2">
        <v>0.0</v>
      </c>
    </row>
    <row r="1031" spans="1:5" x14ac:dyDescent="0.15">
      <c r="A1031" s="2" t="s">
        <f>"093000039001920028"</f>
        <v>2040</v>
      </c>
      <c r="B1031" s="2" t="s">
        <f>"刘涛"</f>
        <v>2041</v>
      </c>
      <c r="C1031" s="2">
        <v>0.0</v>
      </c>
      <c r="D1031" s="2">
        <v>0.0</v>
      </c>
      <c r="E1031" s="2">
        <v>0.0</v>
      </c>
    </row>
    <row r="1032" spans="1:5" x14ac:dyDescent="0.15">
      <c r="A1032" s="2" t="s">
        <f>"093000039001920029"</f>
        <v>2042</v>
      </c>
      <c r="B1032" s="2" t="s">
        <f>"刘洋"</f>
        <v>2043</v>
      </c>
      <c r="C1032" s="2">
        <v>0.0</v>
      </c>
      <c r="D1032" s="2">
        <v>-74.0</v>
      </c>
      <c r="E1032" s="2">
        <v>-115.32</v>
      </c>
    </row>
    <row r="1033" spans="1:5" x14ac:dyDescent="0.15">
      <c r="A1033" s="2" t="s">
        <f>"0930000000083"</f>
        <v>2044</v>
      </c>
      <c r="B1033" s="2" t="s">
        <f>"陈贺年"</f>
        <v>2045</v>
      </c>
      <c r="C1033" s="2">
        <v>-54.0</v>
      </c>
      <c r="D1033" s="2">
        <v>152.0</v>
      </c>
      <c r="E1033" s="2">
        <v>-490.59</v>
      </c>
    </row>
    <row r="1034" spans="1:5" x14ac:dyDescent="0.15">
      <c r="A1034" s="2" t="s">
        <f>"093000044920049"</f>
        <v>2046</v>
      </c>
      <c r="B1034" s="2" t="s">
        <f>"王付年"</f>
        <v>2047</v>
      </c>
      <c r="C1034" s="2">
        <v>0.0</v>
      </c>
      <c r="D1034" s="2">
        <v>0.0</v>
      </c>
      <c r="E1034" s="2">
        <v>0.0</v>
      </c>
    </row>
    <row r="1035" spans="1:5" x14ac:dyDescent="0.15">
      <c r="A1035" s="2" t="s">
        <f>"0930000620017"</f>
        <v>2048</v>
      </c>
      <c r="B1035" s="2" t="s">
        <f>"黄金丽"</f>
        <v>2049</v>
      </c>
      <c r="C1035" s="2">
        <v>-472.0</v>
      </c>
      <c r="D1035" s="2">
        <v>-873.0</v>
      </c>
      <c r="E1035" s="2">
        <v>-178.13</v>
      </c>
    </row>
    <row r="1036" spans="1:5" x14ac:dyDescent="0.15">
      <c r="A1036" s="2" t="s">
        <f>"093000043920053"</f>
        <v>2050</v>
      </c>
      <c r="B1036" s="2" t="s">
        <f>"董明瑞"</f>
        <v>2051</v>
      </c>
      <c r="C1036" s="2">
        <v>0.0</v>
      </c>
      <c r="D1036" s="2">
        <v>-145.0</v>
      </c>
      <c r="E1036" s="2">
        <v>-658.68</v>
      </c>
    </row>
    <row r="1037" spans="1:5" x14ac:dyDescent="0.15">
      <c r="A1037" s="2" t="s">
        <f>"093000039001920030"</f>
        <v>2052</v>
      </c>
      <c r="B1037" s="2" t="s">
        <f>"张庶"</f>
        <v>2053</v>
      </c>
      <c r="C1037" s="2">
        <v>0.0</v>
      </c>
      <c r="D1037" s="2">
        <v>-184.0</v>
      </c>
      <c r="E1037" s="2">
        <v>-168.73</v>
      </c>
    </row>
    <row r="1038" spans="1:5" x14ac:dyDescent="0.15">
      <c r="A1038" s="2" t="s">
        <f>"093000039001920032"</f>
        <v>2054</v>
      </c>
      <c r="B1038" s="2" t="s">
        <f>"张瀚月"</f>
        <v>2055</v>
      </c>
      <c r="C1038" s="2">
        <v>0.0</v>
      </c>
      <c r="D1038" s="2">
        <v>449.0</v>
      </c>
      <c r="E1038" s="2">
        <v>-168.36</v>
      </c>
    </row>
    <row r="1039" spans="1:5" x14ac:dyDescent="0.15">
      <c r="A1039" s="2" t="s">
        <f>"093000039001920034"</f>
        <v>2056</v>
      </c>
      <c r="B1039" s="2" t="s">
        <f>"李德华"</f>
        <v>2057</v>
      </c>
      <c r="C1039" s="2">
        <v>0.0</v>
      </c>
      <c r="D1039" s="2">
        <v>-1140.0</v>
      </c>
      <c r="E1039" s="2">
        <v>-195.88</v>
      </c>
    </row>
    <row r="1040" spans="1:5" x14ac:dyDescent="0.15">
      <c r="A1040" s="2" t="s">
        <f>"093000039001920033"</f>
        <v>2058</v>
      </c>
      <c r="B1040" s="2" t="s">
        <f>"张中奇"</f>
        <v>2059</v>
      </c>
      <c r="C1040" s="2">
        <v>0.0</v>
      </c>
      <c r="D1040" s="2">
        <v>1073.0</v>
      </c>
      <c r="E1040" s="2">
        <v>-303.05</v>
      </c>
    </row>
    <row r="1041" spans="1:5" x14ac:dyDescent="0.15">
      <c r="A1041" s="2" t="s">
        <f>"0930000620018"</f>
        <v>2060</v>
      </c>
      <c r="B1041" s="2" t="s">
        <f>"苏天权"</f>
        <v>2061</v>
      </c>
      <c r="C1041" s="2">
        <v>0.0</v>
      </c>
      <c r="D1041" s="2">
        <v>0.0</v>
      </c>
      <c r="E1041" s="2">
        <v>0.0</v>
      </c>
    </row>
    <row r="1042" spans="1:5" x14ac:dyDescent="0.15">
      <c r="A1042" s="2" t="s">
        <f>"0930000790017"</f>
        <v>2062</v>
      </c>
      <c r="B1042" s="2" t="s">
        <f>"王沛"</f>
        <v>2063</v>
      </c>
      <c r="C1042" s="2">
        <v>0.0</v>
      </c>
      <c r="D1042" s="2">
        <v>0.0</v>
      </c>
      <c r="E1042" s="2">
        <v>0.0</v>
      </c>
    </row>
    <row r="1043" spans="1:5" x14ac:dyDescent="0.15">
      <c r="A1043" s="2" t="s">
        <f>"093000040920065"</f>
        <v>2064</v>
      </c>
      <c r="B1043" s="2" t="s">
        <f>"刘玉印"</f>
        <v>2065</v>
      </c>
      <c r="C1043" s="2">
        <v>0.0</v>
      </c>
      <c r="D1043" s="2">
        <v>70.0</v>
      </c>
      <c r="E1043" s="2">
        <v>-160.84</v>
      </c>
    </row>
    <row r="1044" spans="1:5" x14ac:dyDescent="0.15">
      <c r="A1044" s="2" t="s">
        <f>"093000043920054"</f>
        <v>2066</v>
      </c>
      <c r="B1044" s="2" t="s">
        <f>"张自平"</f>
        <v>2067</v>
      </c>
      <c r="C1044" s="2">
        <v>0.0</v>
      </c>
      <c r="D1044" s="2">
        <v>512.0</v>
      </c>
      <c r="E1044" s="2">
        <v>-958.32</v>
      </c>
    </row>
    <row r="1045" spans="1:5" x14ac:dyDescent="0.15">
      <c r="A1045" s="2" t="s">
        <f>"093000039001920035"</f>
        <v>2068</v>
      </c>
      <c r="B1045" s="2" t="s">
        <f>"刘奇"</f>
        <v>2069</v>
      </c>
      <c r="C1045" s="2">
        <v>0.0</v>
      </c>
      <c r="D1045" s="2">
        <v>844.0</v>
      </c>
      <c r="E1045" s="2">
        <v>-307.06</v>
      </c>
    </row>
    <row r="1046" spans="1:5" x14ac:dyDescent="0.15">
      <c r="A1046" s="2" t="s">
        <f>"093000043920055"</f>
        <v>2070</v>
      </c>
      <c r="B1046" s="2" t="s">
        <f>"丁永会"</f>
        <v>2071</v>
      </c>
      <c r="C1046" s="2">
        <v>-864.0</v>
      </c>
      <c r="D1046" s="2">
        <v>-272.0</v>
      </c>
      <c r="E1046" s="2">
        <v>-498.55</v>
      </c>
    </row>
    <row r="1047" spans="1:5" x14ac:dyDescent="0.15">
      <c r="A1047" s="2" t="s">
        <f>"0930000620019"</f>
        <v>2072</v>
      </c>
      <c r="B1047" s="2" t="s">
        <f>"邓启军"</f>
        <v>2073</v>
      </c>
      <c r="C1047" s="2">
        <v>0.0</v>
      </c>
      <c r="D1047" s="2">
        <v>362.0</v>
      </c>
      <c r="E1047" s="2">
        <v>-54.78</v>
      </c>
    </row>
    <row r="1048" spans="1:5" x14ac:dyDescent="0.15">
      <c r="A1048" s="2" t="s">
        <f>"0930000620020"</f>
        <v>2074</v>
      </c>
      <c r="B1048" s="2" t="s">
        <f>"曾燕勋"</f>
        <v>2075</v>
      </c>
      <c r="C1048" s="2">
        <v>0.0</v>
      </c>
      <c r="D1048" s="2">
        <v>-390.0</v>
      </c>
      <c r="E1048" s="2">
        <v>-54.8</v>
      </c>
    </row>
    <row r="1049" spans="1:5" x14ac:dyDescent="0.15">
      <c r="A1049" s="2" t="s">
        <f>"0930000620021"</f>
        <v>2076</v>
      </c>
      <c r="B1049" s="2" t="s">
        <f>"廖光耸"</f>
        <v>2077</v>
      </c>
      <c r="C1049" s="2">
        <v>-131.0</v>
      </c>
      <c r="D1049" s="2">
        <v>1222.0</v>
      </c>
      <c r="E1049" s="2">
        <v>-1006.67</v>
      </c>
    </row>
    <row r="1050" spans="1:5" x14ac:dyDescent="0.15">
      <c r="A1050" s="2" t="s">
        <f>"0930000390020000"</f>
        <v>2078</v>
      </c>
      <c r="B1050" s="2" t="s">
        <f>"陈爱平"</f>
        <v>2079</v>
      </c>
      <c r="C1050" s="2">
        <v>0.0</v>
      </c>
      <c r="D1050" s="2">
        <v>0.0</v>
      </c>
      <c r="E1050" s="2">
        <v>0.0</v>
      </c>
    </row>
    <row r="1051" spans="1:5" x14ac:dyDescent="0.15">
      <c r="A1051" s="2" t="s">
        <f>"093000059920027"</f>
        <v>2080</v>
      </c>
      <c r="B1051" s="2" t="s">
        <f>"麻庆更"</f>
        <v>2081</v>
      </c>
      <c r="C1051" s="2">
        <v>0.0</v>
      </c>
      <c r="D1051" s="2">
        <v>-2493.0</v>
      </c>
      <c r="E1051" s="2">
        <v>-1323.02</v>
      </c>
    </row>
    <row r="1052" spans="1:5" x14ac:dyDescent="0.15">
      <c r="A1052" s="2" t="s">
        <f>"0930000790018"</f>
        <v>2082</v>
      </c>
      <c r="B1052" s="2" t="s">
        <f>"田鑫"</f>
        <v>2083</v>
      </c>
      <c r="C1052" s="2">
        <v>0.0</v>
      </c>
      <c r="D1052" s="2">
        <v>362.0</v>
      </c>
      <c r="E1052" s="2">
        <v>-113.35</v>
      </c>
    </row>
    <row r="1053" spans="1:5" x14ac:dyDescent="0.15">
      <c r="A1053" s="2" t="s">
        <f>"093000039001920036"</f>
        <v>2084</v>
      </c>
      <c r="B1053" s="2" t="s">
        <f>"王宇"</f>
        <v>2085</v>
      </c>
      <c r="C1053" s="2">
        <v>0.0</v>
      </c>
      <c r="D1053" s="2">
        <v>512.0</v>
      </c>
      <c r="E1053" s="2">
        <v>-133.59</v>
      </c>
    </row>
    <row r="1054" spans="1:5" x14ac:dyDescent="0.15">
      <c r="A1054" s="2" t="s">
        <f>"093000039005920004"</f>
        <v>2086</v>
      </c>
      <c r="B1054" s="2" t="s">
        <f>"曹万丽"</f>
        <v>2087</v>
      </c>
      <c r="C1054" s="2">
        <v>0.0</v>
      </c>
      <c r="D1054" s="2">
        <v>-967.0</v>
      </c>
      <c r="E1054" s="2">
        <v>-441.16</v>
      </c>
    </row>
    <row r="1055" spans="1:5" x14ac:dyDescent="0.15">
      <c r="A1055" s="2" t="s">
        <f>"0930000640008"</f>
        <v>2088</v>
      </c>
      <c r="B1055" s="2" t="s">
        <f>"李志民"</f>
        <v>2089</v>
      </c>
      <c r="C1055" s="2">
        <v>0.0</v>
      </c>
      <c r="D1055" s="2">
        <v>0.0</v>
      </c>
      <c r="E1055" s="2">
        <v>0.0</v>
      </c>
    </row>
    <row r="1056" spans="1:5" x14ac:dyDescent="0.15">
      <c r="A1056" s="2" t="s">
        <f>"0930000000084"</f>
        <v>2090</v>
      </c>
      <c r="B1056" s="2" t="s">
        <f>"白清伟"</f>
        <v>2091</v>
      </c>
      <c r="C1056" s="2">
        <v>0.0</v>
      </c>
      <c r="D1056" s="2">
        <v>0.0</v>
      </c>
      <c r="E1056" s="2">
        <v>0.0</v>
      </c>
    </row>
    <row r="1057" spans="1:5" x14ac:dyDescent="0.15">
      <c r="A1057" s="2" t="s">
        <f>"093000043920056"</f>
        <v>2092</v>
      </c>
      <c r="B1057" s="2" t="s">
        <f>"李光春"</f>
        <v>2093</v>
      </c>
      <c r="C1057" s="2">
        <v>0.0</v>
      </c>
      <c r="D1057" s="2">
        <v>-567.0</v>
      </c>
      <c r="E1057" s="2">
        <v>-272.66</v>
      </c>
    </row>
    <row r="1058" spans="1:5" x14ac:dyDescent="0.15">
      <c r="A1058" s="2" t="s">
        <f>"093000043920057"</f>
        <v>2094</v>
      </c>
      <c r="B1058" s="2" t="s">
        <f>"宋海兰"</f>
        <v>2095</v>
      </c>
      <c r="C1058" s="2">
        <v>0.0</v>
      </c>
      <c r="D1058" s="2">
        <v>-210.0</v>
      </c>
      <c r="E1058" s="2">
        <v>-984.01</v>
      </c>
    </row>
    <row r="1059" spans="1:5" x14ac:dyDescent="0.15">
      <c r="A1059" s="2" t="s">
        <f>"093000920537"</f>
        <v>2096</v>
      </c>
      <c r="B1059" s="2" t="s">
        <f>"申飞虎"</f>
        <v>2097</v>
      </c>
      <c r="C1059" s="2">
        <v>0.0</v>
      </c>
      <c r="D1059" s="2">
        <v>-800.0</v>
      </c>
      <c r="E1059" s="2">
        <v>-233.19</v>
      </c>
    </row>
    <row r="1060" spans="1:5" x14ac:dyDescent="0.15">
      <c r="A1060" s="2" t="s">
        <f>"0930000000085"</f>
        <v>2098</v>
      </c>
      <c r="B1060" s="2" t="s">
        <f>"卞政伟"</f>
        <v>2099</v>
      </c>
      <c r="C1060" s="2">
        <v>0.0</v>
      </c>
      <c r="D1060" s="2">
        <v>0.0</v>
      </c>
      <c r="E1060" s="2">
        <v>0.0</v>
      </c>
    </row>
    <row r="1061" spans="1:5" x14ac:dyDescent="0.15">
      <c r="A1061" s="2" t="s">
        <f>"093000920539"</f>
        <v>2100</v>
      </c>
      <c r="B1061" s="2" t="s">
        <f>"侯照旭"</f>
        <v>2101</v>
      </c>
      <c r="C1061" s="2">
        <v>0.0</v>
      </c>
      <c r="D1061" s="2">
        <v>0.0</v>
      </c>
      <c r="E1061" s="2">
        <v>0.0</v>
      </c>
    </row>
    <row r="1062" spans="1:5" x14ac:dyDescent="0.15">
      <c r="A1062" s="2" t="s">
        <f>"093000044920051"</f>
        <v>2102</v>
      </c>
      <c r="B1062" s="2" t="s">
        <f>"刘相芝"</f>
        <v>2103</v>
      </c>
      <c r="C1062" s="2">
        <v>0.0</v>
      </c>
      <c r="D1062" s="2">
        <v>1202.0</v>
      </c>
      <c r="E1062" s="2">
        <v>-480.82</v>
      </c>
    </row>
    <row r="1063" spans="1:5" x14ac:dyDescent="0.15">
      <c r="A1063" s="2" t="s">
        <f>"0930000800002"</f>
        <v>2104</v>
      </c>
      <c r="B1063" s="2" t="s">
        <f>"韦信广"</f>
        <v>2105</v>
      </c>
      <c r="C1063" s="2">
        <v>0.0</v>
      </c>
      <c r="D1063" s="2">
        <v>0.0</v>
      </c>
      <c r="E1063" s="2">
        <v>0.0</v>
      </c>
    </row>
    <row r="1064" spans="1:5" x14ac:dyDescent="0.15">
      <c r="A1064" s="2" t="s">
        <f>"0930000000086"</f>
        <v>2106</v>
      </c>
      <c r="B1064" s="2" t="s">
        <f>"李文排"</f>
        <v>2107</v>
      </c>
      <c r="C1064" s="2">
        <v>0.0</v>
      </c>
      <c r="D1064" s="2">
        <v>0.0</v>
      </c>
      <c r="E1064" s="2">
        <v>0.0</v>
      </c>
    </row>
    <row r="1065" spans="1:5" x14ac:dyDescent="0.15">
      <c r="A1065" s="2" t="s">
        <f>"093000039001920037"</f>
        <v>2108</v>
      </c>
      <c r="B1065" s="2" t="s">
        <f>"马楠"</f>
        <v>2109</v>
      </c>
      <c r="C1065" s="2">
        <v>-1091.0</v>
      </c>
      <c r="D1065" s="2">
        <v>1087.0</v>
      </c>
      <c r="E1065" s="2">
        <v>-541.68</v>
      </c>
    </row>
    <row r="1066" spans="1:5" x14ac:dyDescent="0.15">
      <c r="A1066" s="2" t="s">
        <f>"093000039001920039"</f>
        <v>2110</v>
      </c>
      <c r="B1066" s="2" t="s">
        <f>"邓璞原"</f>
        <v>2111</v>
      </c>
      <c r="C1066" s="2">
        <v>0.0</v>
      </c>
      <c r="D1066" s="2">
        <v>804.0</v>
      </c>
      <c r="E1066" s="2">
        <v>-109.85</v>
      </c>
    </row>
    <row r="1067" spans="1:5" x14ac:dyDescent="0.15">
      <c r="A1067" s="2" t="s">
        <f>"093000047920024"</f>
        <v>2112</v>
      </c>
      <c r="B1067" s="2" t="s">
        <f>"常艳梅"</f>
        <v>2113</v>
      </c>
      <c r="C1067" s="2">
        <v>-271.0</v>
      </c>
      <c r="D1067" s="2">
        <v>-478.0</v>
      </c>
      <c r="E1067" s="2">
        <v>-107.55</v>
      </c>
    </row>
    <row r="1068" spans="1:5" x14ac:dyDescent="0.15">
      <c r="A1068" s="2" t="s">
        <f>"0930000890000"</f>
        <v>2114</v>
      </c>
      <c r="B1068" s="2" t="s">
        <f>"崔验波"</f>
        <v>2115</v>
      </c>
      <c r="C1068" s="2">
        <v>0.0</v>
      </c>
      <c r="D1068" s="2">
        <v>0.0</v>
      </c>
      <c r="E1068" s="2">
        <v>0.0</v>
      </c>
    </row>
    <row r="1069" spans="1:5" x14ac:dyDescent="0.15">
      <c r="A1069" s="2" t="s">
        <f>"093000059920028"</f>
        <v>2116</v>
      </c>
      <c r="B1069" s="2" t="s">
        <f>"孙珊珊"</f>
        <v>2117</v>
      </c>
      <c r="C1069" s="2">
        <v>354.0</v>
      </c>
      <c r="D1069" s="2">
        <v>-1148.0</v>
      </c>
      <c r="E1069" s="2">
        <v>-1135.1</v>
      </c>
    </row>
    <row r="1070" spans="1:5" x14ac:dyDescent="0.15">
      <c r="A1070" s="2" t="s">
        <f>"0930000430000"</f>
        <v>2118</v>
      </c>
      <c r="B1070" s="2" t="s">
        <f>"王洋"</f>
        <v>2119</v>
      </c>
      <c r="C1070" s="2">
        <v>168.0</v>
      </c>
      <c r="D1070" s="2">
        <v>-5189.0</v>
      </c>
      <c r="E1070" s="2">
        <v>-6362.78</v>
      </c>
    </row>
    <row r="1071" spans="1:5" x14ac:dyDescent="0.15">
      <c r="A1071" s="2" t="s">
        <f>"093000039001920041"</f>
        <v>2120</v>
      </c>
      <c r="B1071" s="2" t="s">
        <f>"赵满"</f>
        <v>2121</v>
      </c>
      <c r="C1071" s="2">
        <v>0.0</v>
      </c>
      <c r="D1071" s="2">
        <v>-1128.0</v>
      </c>
      <c r="E1071" s="2">
        <v>-165.18</v>
      </c>
    </row>
    <row r="1072" spans="1:5" x14ac:dyDescent="0.15">
      <c r="A1072" s="2" t="s">
        <f>"093000039001920040"</f>
        <v>2122</v>
      </c>
      <c r="B1072" s="2" t="s">
        <f>"王哲"</f>
        <v>2123</v>
      </c>
      <c r="C1072" s="2">
        <v>0.0</v>
      </c>
      <c r="D1072" s="2">
        <v>1298.0</v>
      </c>
      <c r="E1072" s="2">
        <v>-165.13</v>
      </c>
    </row>
    <row r="1073" spans="1:5" x14ac:dyDescent="0.15">
      <c r="A1073" s="2" t="s">
        <f>"0930000790019"</f>
        <v>2124</v>
      </c>
      <c r="B1073" s="2" t="s">
        <f>"范元峰"</f>
        <v>2125</v>
      </c>
      <c r="C1073" s="2">
        <v>0.0</v>
      </c>
      <c r="D1073" s="2">
        <v>0.0</v>
      </c>
      <c r="E1073" s="2">
        <v>0.0</v>
      </c>
    </row>
    <row r="1074" spans="1:5" x14ac:dyDescent="0.15">
      <c r="A1074" s="2" t="s">
        <f>"093000039001920042"</f>
        <v>2126</v>
      </c>
      <c r="B1074" s="2" t="s">
        <f>"李俊"</f>
        <v>2127</v>
      </c>
      <c r="C1074" s="2">
        <v>0.0</v>
      </c>
      <c r="D1074" s="2">
        <v>205.0</v>
      </c>
      <c r="E1074" s="2">
        <v>-215.99</v>
      </c>
    </row>
    <row r="1075" spans="1:5" x14ac:dyDescent="0.15">
      <c r="A1075" s="2" t="s">
        <f>"093000043920059"</f>
        <v>2128</v>
      </c>
      <c r="B1075" s="2" t="s">
        <f>"朱瑞莉"</f>
        <v>2129</v>
      </c>
      <c r="C1075" s="2">
        <v>0.0</v>
      </c>
      <c r="D1075" s="2">
        <v>195.0</v>
      </c>
      <c r="E1075" s="2">
        <v>-54.88</v>
      </c>
    </row>
    <row r="1076" spans="1:5" x14ac:dyDescent="0.15">
      <c r="A1076" s="2" t="s">
        <f>"093000039001920043"</f>
        <v>2130</v>
      </c>
      <c r="B1076" s="2" t="s">
        <f>"李卿豪"</f>
        <v>2131</v>
      </c>
      <c r="C1076" s="2">
        <v>0.0</v>
      </c>
      <c r="D1076" s="2">
        <v>-114.0</v>
      </c>
      <c r="E1076" s="2">
        <v>-217.74</v>
      </c>
    </row>
    <row r="1077" spans="1:5" x14ac:dyDescent="0.15">
      <c r="A1077" s="2" t="s">
        <f>"093000039001920044"</f>
        <v>2132</v>
      </c>
      <c r="B1077" s="2" t="s">
        <f>"贺敬淼"</f>
        <v>2133</v>
      </c>
      <c r="C1077" s="2">
        <v>0.0</v>
      </c>
      <c r="D1077" s="2">
        <v>1768.0</v>
      </c>
      <c r="E1077" s="2">
        <v>-347.13</v>
      </c>
    </row>
    <row r="1078" spans="1:5" x14ac:dyDescent="0.15">
      <c r="A1078" s="2" t="s">
        <f>"093000047920025"</f>
        <v>2134</v>
      </c>
      <c r="B1078" s="2" t="s">
        <f>"郑广州"</f>
        <v>2135</v>
      </c>
      <c r="C1078" s="2">
        <v>0.0</v>
      </c>
      <c r="D1078" s="2">
        <v>470.0</v>
      </c>
      <c r="E1078" s="2">
        <v>-53.82</v>
      </c>
    </row>
    <row r="1079" spans="1:5" x14ac:dyDescent="0.15">
      <c r="A1079" s="2" t="s">
        <f>"093000920543"</f>
        <v>2136</v>
      </c>
      <c r="B1079" s="2" t="s">
        <f>"焦国庆"</f>
        <v>2137</v>
      </c>
      <c r="C1079" s="2">
        <v>-680.0</v>
      </c>
      <c r="D1079" s="2">
        <v>-140.0</v>
      </c>
      <c r="E1079" s="2">
        <v>-232.23</v>
      </c>
    </row>
    <row r="1080" spans="1:5" x14ac:dyDescent="0.15">
      <c r="A1080" s="2" t="s">
        <f>"093000920544"</f>
        <v>2138</v>
      </c>
      <c r="B1080" s="2" t="s">
        <f>"卢琴"</f>
        <v>2139</v>
      </c>
      <c r="C1080" s="2">
        <v>0.0</v>
      </c>
      <c r="D1080" s="2">
        <v>0.0</v>
      </c>
      <c r="E1080" s="2">
        <v>0.0</v>
      </c>
    </row>
    <row r="1081" spans="1:5" x14ac:dyDescent="0.15">
      <c r="A1081" s="2" t="s">
        <f>"093000043920060"</f>
        <v>2140</v>
      </c>
      <c r="B1081" s="2" t="s">
        <f>"王春"</f>
        <v>2141</v>
      </c>
      <c r="C1081" s="2">
        <v>0.0</v>
      </c>
      <c r="D1081" s="2">
        <v>0.0</v>
      </c>
      <c r="E1081" s="2">
        <v>0.0</v>
      </c>
    </row>
    <row r="1082" spans="1:5" x14ac:dyDescent="0.15">
      <c r="A1082" s="2" t="s">
        <f>"0930000790020"</f>
        <v>2142</v>
      </c>
      <c r="B1082" s="2" t="s">
        <f>"王宗谱"</f>
        <v>2143</v>
      </c>
      <c r="C1082" s="2">
        <v>-944.0</v>
      </c>
      <c r="D1082" s="2">
        <v>175.0</v>
      </c>
      <c r="E1082" s="2">
        <v>-628.13</v>
      </c>
    </row>
    <row r="1083" spans="1:5" x14ac:dyDescent="0.15">
      <c r="A1083" s="2" t="s">
        <f>"0930000790021"</f>
        <v>2144</v>
      </c>
      <c r="B1083" s="2" t="s">
        <f>"王甲锋"</f>
        <v>2145</v>
      </c>
      <c r="C1083" s="2">
        <v>0.0</v>
      </c>
      <c r="D1083" s="2">
        <v>0.0</v>
      </c>
      <c r="E1083" s="2">
        <v>0.0</v>
      </c>
    </row>
    <row r="1084" spans="1:5" x14ac:dyDescent="0.15">
      <c r="A1084" s="2" t="s">
        <f>"093000047920026"</f>
        <v>2146</v>
      </c>
      <c r="B1084" s="2" t="s">
        <f>"马强"</f>
        <v>2147</v>
      </c>
      <c r="C1084" s="2">
        <v>-872.0</v>
      </c>
      <c r="D1084" s="2">
        <v>320.0</v>
      </c>
      <c r="E1084" s="2">
        <v>-54.06</v>
      </c>
    </row>
    <row r="1085" spans="1:5" x14ac:dyDescent="0.15">
      <c r="A1085" s="2" t="s">
        <f>"093000920548"</f>
        <v>2148</v>
      </c>
      <c r="B1085" s="2" t="s">
        <f>"张家香"</f>
        <v>2149</v>
      </c>
      <c r="C1085" s="2">
        <v>0.0</v>
      </c>
      <c r="D1085" s="2">
        <v>0.0</v>
      </c>
      <c r="E1085" s="2">
        <v>0.0</v>
      </c>
    </row>
    <row r="1086" spans="1:5" x14ac:dyDescent="0.15">
      <c r="A1086" s="2" t="s">
        <f>"093000059920029"</f>
        <v>2150</v>
      </c>
      <c r="B1086" s="2" t="s">
        <f>"闫小静"</f>
        <v>2151</v>
      </c>
      <c r="C1086" s="2">
        <v>0.0</v>
      </c>
      <c r="D1086" s="2">
        <v>-1032.0</v>
      </c>
      <c r="E1086" s="2">
        <v>-162.34</v>
      </c>
    </row>
    <row r="1087" spans="1:5" x14ac:dyDescent="0.15">
      <c r="A1087" s="2" t="s">
        <f>"0930000900000"</f>
        <v>2152</v>
      </c>
      <c r="B1087" s="2" t="s">
        <f>"石昌富"</f>
        <v>2153</v>
      </c>
      <c r="C1087" s="2">
        <v>0.0</v>
      </c>
      <c r="D1087" s="2">
        <v>0.0</v>
      </c>
      <c r="E1087" s="2">
        <v>0.0</v>
      </c>
    </row>
    <row r="1088" spans="1:5" x14ac:dyDescent="0.15">
      <c r="A1088" s="2" t="s">
        <f>"093000088920010"</f>
        <v>2154</v>
      </c>
      <c r="B1088" s="2" t="s">
        <f>"李鑫"</f>
        <v>2155</v>
      </c>
      <c r="C1088" s="2">
        <v>0.0</v>
      </c>
      <c r="D1088" s="2">
        <v>-2035.0</v>
      </c>
      <c r="E1088" s="2">
        <v>-750.69</v>
      </c>
    </row>
    <row r="1089" spans="1:5" x14ac:dyDescent="0.15">
      <c r="A1089" s="2" t="s">
        <f>"0930000000087"</f>
        <v>2156</v>
      </c>
      <c r="B1089" s="2" t="s">
        <f>"王勇"</f>
        <v>2157</v>
      </c>
      <c r="C1089" s="2">
        <v>0.0</v>
      </c>
      <c r="D1089" s="2">
        <v>0.0</v>
      </c>
      <c r="E1089" s="2">
        <v>0.0</v>
      </c>
    </row>
    <row r="1090" spans="1:5" x14ac:dyDescent="0.15">
      <c r="A1090" s="2" t="s">
        <f>"0930000960000"</f>
        <v>2158</v>
      </c>
      <c r="B1090" s="2" t="s">
        <f>"王海燕"</f>
        <v>2159</v>
      </c>
      <c r="C1090" s="2">
        <v>0.0</v>
      </c>
      <c r="D1090" s="2">
        <v>593.0</v>
      </c>
      <c r="E1090" s="2">
        <v>-108.9</v>
      </c>
    </row>
    <row r="1091" spans="1:5" x14ac:dyDescent="0.15">
      <c r="A1091" s="2" t="s">
        <f>"093000039001920045"</f>
        <v>2160</v>
      </c>
      <c r="B1091" s="2" t="s">
        <f>"李清运"</f>
        <v>2161</v>
      </c>
      <c r="C1091" s="2">
        <v>0.0</v>
      </c>
      <c r="D1091" s="2">
        <v>699.0</v>
      </c>
      <c r="E1091" s="2">
        <v>-699.28</v>
      </c>
    </row>
    <row r="1092" spans="1:5" x14ac:dyDescent="0.15">
      <c r="A1092" s="2" t="s">
        <f>"093000044920052"</f>
        <v>2162</v>
      </c>
      <c r="B1092" s="2" t="s">
        <f>"路文颂"</f>
        <v>2163</v>
      </c>
      <c r="C1092" s="2">
        <v>0.0</v>
      </c>
      <c r="D1092" s="2">
        <v>0.0</v>
      </c>
      <c r="E1092" s="2">
        <v>0.0</v>
      </c>
    </row>
    <row r="1093" spans="1:5" x14ac:dyDescent="0.15">
      <c r="A1093" s="2" t="s">
        <f>"0930000620022"</f>
        <v>2164</v>
      </c>
      <c r="B1093" s="2" t="s">
        <f>"廖光耸"</f>
        <v>2077</v>
      </c>
      <c r="C1093" s="2">
        <v>0.0</v>
      </c>
      <c r="D1093" s="2">
        <v>0.0</v>
      </c>
      <c r="E1093" s="2">
        <v>0.0</v>
      </c>
    </row>
    <row r="1094" spans="1:5" x14ac:dyDescent="0.15">
      <c r="A1094" s="2" t="s">
        <f>"093000920551"</f>
        <v>2165</v>
      </c>
      <c r="B1094" s="2" t="s">
        <f>"罗绍银"</f>
        <v>2166</v>
      </c>
      <c r="C1094" s="2">
        <v>0.0</v>
      </c>
      <c r="D1094" s="2">
        <v>0.0</v>
      </c>
      <c r="E1094" s="2">
        <v>0.0</v>
      </c>
    </row>
    <row r="1095" spans="1:5" x14ac:dyDescent="0.15">
      <c r="A1095" s="2" t="s">
        <f>"093000920550"</f>
        <v>2167</v>
      </c>
      <c r="B1095" s="2" t="s">
        <f>"梁文芳"</f>
        <v>2168</v>
      </c>
      <c r="C1095" s="2">
        <v>0.0</v>
      </c>
      <c r="D1095" s="2">
        <v>0.0</v>
      </c>
      <c r="E1095" s="2">
        <v>0.0</v>
      </c>
    </row>
    <row r="1096" spans="1:5" x14ac:dyDescent="0.15">
      <c r="A1096" s="2" t="s">
        <f>"093000043920061"</f>
        <v>2169</v>
      </c>
      <c r="B1096" s="2" t="s">
        <f>"宋胜林"</f>
        <v>2170</v>
      </c>
      <c r="C1096" s="2">
        <v>-23.0</v>
      </c>
      <c r="D1096" s="2">
        <v>-457.0</v>
      </c>
      <c r="E1096" s="2">
        <v>-1060.27</v>
      </c>
    </row>
    <row r="1097" spans="1:5" x14ac:dyDescent="0.15">
      <c r="A1097" s="2" t="s">
        <f>"093000039001920046"</f>
        <v>2171</v>
      </c>
      <c r="B1097" s="2" t="s">
        <f>"尹林"</f>
        <v>2172</v>
      </c>
      <c r="C1097" s="2">
        <v>0.0</v>
      </c>
      <c r="D1097" s="2">
        <v>557.0</v>
      </c>
      <c r="E1097" s="2">
        <v>-323.81</v>
      </c>
    </row>
    <row r="1098" spans="1:5" x14ac:dyDescent="0.15">
      <c r="A1098" s="2" t="s">
        <f>"093000920552"</f>
        <v>2173</v>
      </c>
      <c r="B1098" s="2" t="s">
        <f>"郭路洋"</f>
        <v>2174</v>
      </c>
      <c r="C1098" s="2">
        <v>0.0</v>
      </c>
      <c r="D1098" s="2">
        <v>636.0</v>
      </c>
      <c r="E1098" s="2">
        <v>-287.93</v>
      </c>
    </row>
    <row r="1099" spans="1:5" x14ac:dyDescent="0.15">
      <c r="A1099" s="2" t="s">
        <f>"093000039001920047"</f>
        <v>2175</v>
      </c>
      <c r="B1099" s="2" t="s">
        <f>"杨坡"</f>
        <v>2176</v>
      </c>
      <c r="C1099" s="2">
        <v>-739.0</v>
      </c>
      <c r="D1099" s="2">
        <v>451.0</v>
      </c>
      <c r="E1099" s="2">
        <v>-161.78</v>
      </c>
    </row>
    <row r="1100" spans="1:5" x14ac:dyDescent="0.15">
      <c r="A1100" s="2" t="s">
        <f>"093000039001920048"</f>
        <v>2177</v>
      </c>
      <c r="B1100" s="2" t="s">
        <f>"董国辉"</f>
        <v>2178</v>
      </c>
      <c r="C1100" s="2">
        <v>-121.0</v>
      </c>
      <c r="D1100" s="2">
        <v>-352.0</v>
      </c>
      <c r="E1100" s="2">
        <v>-430.96</v>
      </c>
    </row>
    <row r="1101" spans="1:5" x14ac:dyDescent="0.15">
      <c r="A1101" s="2" t="s">
        <f>"093000043920062"</f>
        <v>2179</v>
      </c>
      <c r="B1101" s="2" t="s">
        <f>"朱向飞"</f>
        <v>2180</v>
      </c>
      <c r="C1101" s="2">
        <v>0.0</v>
      </c>
      <c r="D1101" s="2">
        <v>0.0</v>
      </c>
      <c r="E1101" s="2">
        <v>0.0</v>
      </c>
    </row>
    <row r="1102" spans="1:5" x14ac:dyDescent="0.15">
      <c r="A1102" s="2" t="s">
        <f>"0930000390000"</f>
        <v>2181</v>
      </c>
      <c r="B1102" s="2" t="s">
        <f>"栗春洋"</f>
        <v>2182</v>
      </c>
      <c r="C1102" s="2">
        <v>0.0</v>
      </c>
      <c r="D1102" s="2">
        <v>506.0</v>
      </c>
      <c r="E1102" s="2">
        <v>-106.71</v>
      </c>
    </row>
    <row r="1103" spans="1:5" x14ac:dyDescent="0.15">
      <c r="A1103" s="2" t="s">
        <f>"0930000790022"</f>
        <v>2183</v>
      </c>
      <c r="B1103" s="2" t="s">
        <f>"彭静丽"</f>
        <v>2184</v>
      </c>
      <c r="C1103" s="2">
        <v>0.0</v>
      </c>
      <c r="D1103" s="2">
        <v>0.0</v>
      </c>
      <c r="E1103" s="2">
        <v>0.0</v>
      </c>
    </row>
    <row r="1104" spans="1:5" x14ac:dyDescent="0.15">
      <c r="A1104" s="2" t="s">
        <f>"0930000960001"</f>
        <v>2185</v>
      </c>
      <c r="B1104" s="2" t="s">
        <f>" 王海洋"</f>
        <v>2186</v>
      </c>
      <c r="C1104" s="2">
        <v>0.0</v>
      </c>
      <c r="D1104" s="2">
        <v>-388.0</v>
      </c>
      <c r="E1104" s="2">
        <v>-54.37</v>
      </c>
    </row>
    <row r="1105" spans="1:5" x14ac:dyDescent="0.15">
      <c r="A1105" s="2" t="s">
        <f>"093000039001920050"</f>
        <v>2187</v>
      </c>
      <c r="B1105" s="2" t="s">
        <f>"任梦玥"</f>
        <v>2188</v>
      </c>
      <c r="C1105" s="2">
        <v>0.0</v>
      </c>
      <c r="D1105" s="2">
        <v>-264.0</v>
      </c>
      <c r="E1105" s="2">
        <v>-162.06</v>
      </c>
    </row>
    <row r="1106" spans="1:5" x14ac:dyDescent="0.15">
      <c r="A1106" s="2" t="s">
        <f>"0930000960002"</f>
        <v>2189</v>
      </c>
      <c r="B1106" s="2" t="s">
        <f>"王海龙"</f>
        <v>2190</v>
      </c>
      <c r="C1106" s="2">
        <v>0.0</v>
      </c>
      <c r="D1106" s="2">
        <v>0.0</v>
      </c>
      <c r="E1106" s="2">
        <v>0.0</v>
      </c>
    </row>
    <row r="1107" spans="1:5" x14ac:dyDescent="0.15">
      <c r="A1107" s="2" t="s">
        <f>"093000920553"</f>
        <v>2191</v>
      </c>
      <c r="B1107" s="2" t="s">
        <f>"钟龙平"</f>
        <v>2192</v>
      </c>
      <c r="C1107" s="2">
        <v>0.0</v>
      </c>
      <c r="D1107" s="2">
        <v>0.0</v>
      </c>
      <c r="E1107" s="2">
        <v>0.0</v>
      </c>
    </row>
    <row r="1108" spans="1:5" x14ac:dyDescent="0.15">
      <c r="A1108" s="2" t="s">
        <f>"093000043920063"</f>
        <v>2193</v>
      </c>
      <c r="B1108" s="2" t="s">
        <f>"柳云英"</f>
        <v>2194</v>
      </c>
      <c r="C1108" s="2">
        <v>0.0</v>
      </c>
      <c r="D1108" s="2">
        <v>-443.0</v>
      </c>
      <c r="E1108" s="2">
        <v>-581.17</v>
      </c>
    </row>
    <row r="1109" spans="1:5" x14ac:dyDescent="0.15">
      <c r="A1109" s="2" t="s">
        <f>"093000044920054"</f>
        <v>2195</v>
      </c>
      <c r="B1109" s="2" t="s">
        <f>"谢健民"</f>
        <v>2196</v>
      </c>
      <c r="C1109" s="2">
        <v>0.0</v>
      </c>
      <c r="D1109" s="2">
        <v>85.0</v>
      </c>
      <c r="E1109" s="2">
        <v>-106.64</v>
      </c>
    </row>
    <row r="1110" spans="1:5" x14ac:dyDescent="0.15">
      <c r="A1110" s="2" t="s">
        <f>"093000920554"</f>
        <v>2197</v>
      </c>
      <c r="B1110" s="2" t="s">
        <f>"罗仕斌"</f>
        <v>2198</v>
      </c>
      <c r="C1110" s="2">
        <v>0.0</v>
      </c>
      <c r="D1110" s="2">
        <v>0.0</v>
      </c>
      <c r="E1110" s="2">
        <v>0.0</v>
      </c>
    </row>
    <row r="1111" spans="1:5" x14ac:dyDescent="0.15">
      <c r="A1111" s="2" t="s">
        <f>"093000043920064"</f>
        <v>2199</v>
      </c>
      <c r="B1111" s="2" t="s">
        <f>"樊丽"</f>
        <v>2200</v>
      </c>
      <c r="C1111" s="2">
        <v>0.0</v>
      </c>
      <c r="D1111" s="2">
        <v>1014.0</v>
      </c>
      <c r="E1111" s="2">
        <v>-965.09</v>
      </c>
    </row>
    <row r="1112" spans="1:5" x14ac:dyDescent="0.15">
      <c r="A1112" s="2" t="s">
        <f>"093000039001920052"</f>
        <v>2201</v>
      </c>
      <c r="B1112" s="2" t="s">
        <f>"高鹏飞"</f>
        <v>2202</v>
      </c>
      <c r="C1112" s="2">
        <v>-6.0</v>
      </c>
      <c r="D1112" s="2">
        <v>437.0</v>
      </c>
      <c r="E1112" s="2">
        <v>-57.08</v>
      </c>
    </row>
    <row r="1113" spans="1:5" x14ac:dyDescent="0.15">
      <c r="A1113" s="2" t="s">
        <f>"093000039001920053"</f>
        <v>2203</v>
      </c>
      <c r="B1113" s="2" t="s">
        <f>"张茹"</f>
        <v>2204</v>
      </c>
      <c r="C1113" s="2">
        <v>0.0</v>
      </c>
      <c r="D1113" s="2">
        <v>-389.0</v>
      </c>
      <c r="E1113" s="2">
        <v>-53.09</v>
      </c>
    </row>
    <row r="1114" spans="1:5" x14ac:dyDescent="0.15">
      <c r="A1114" s="2" t="s">
        <f>"093000039001920054"</f>
        <v>2205</v>
      </c>
      <c r="B1114" s="2" t="s">
        <f>"王玉伟"</f>
        <v>2206</v>
      </c>
      <c r="C1114" s="2">
        <v>0.0</v>
      </c>
      <c r="D1114" s="2">
        <v>0.0</v>
      </c>
      <c r="E1114" s="2">
        <v>0.0</v>
      </c>
    </row>
    <row r="1115" spans="1:5" x14ac:dyDescent="0.15">
      <c r="A1115" s="2" t="s">
        <f>"093000043920065"</f>
        <v>2207</v>
      </c>
      <c r="B1115" s="2" t="s">
        <f>"冯清泉"</f>
        <v>2208</v>
      </c>
      <c r="C1115" s="2">
        <v>0.0</v>
      </c>
      <c r="D1115" s="2">
        <v>-1001.0</v>
      </c>
      <c r="E1115" s="2">
        <v>-605.33</v>
      </c>
    </row>
    <row r="1116" spans="1:5" x14ac:dyDescent="0.15">
      <c r="A1116" s="2" t="s">
        <f>"093000044920055"</f>
        <v>2209</v>
      </c>
      <c r="B1116" s="2" t="s">
        <f>"郭保兰"</f>
        <v>2210</v>
      </c>
      <c r="C1116" s="2">
        <v>0.0</v>
      </c>
      <c r="D1116" s="2">
        <v>0.0</v>
      </c>
      <c r="E1116" s="2">
        <v>0.0</v>
      </c>
    </row>
    <row r="1117" spans="1:5" x14ac:dyDescent="0.15">
      <c r="A1117" s="2" t="s">
        <f>"093000043920066"</f>
        <v>2211</v>
      </c>
      <c r="B1117" s="2" t="s">
        <f>"马付生"</f>
        <v>2212</v>
      </c>
      <c r="C1117" s="2">
        <v>0.0</v>
      </c>
      <c r="D1117" s="2">
        <v>0.0</v>
      </c>
      <c r="E1117" s="2">
        <v>0.0</v>
      </c>
    </row>
    <row r="1118" spans="1:5" x14ac:dyDescent="0.15">
      <c r="A1118" s="2" t="s">
        <f>"093000044920057"</f>
        <v>2213</v>
      </c>
      <c r="B1118" s="2" t="s">
        <f>"胡振军"</f>
        <v>2214</v>
      </c>
      <c r="C1118" s="2">
        <v>0.0</v>
      </c>
      <c r="D1118" s="2">
        <v>474.0</v>
      </c>
      <c r="E1118" s="2">
        <v>-318.92</v>
      </c>
    </row>
    <row r="1119" spans="1:5" x14ac:dyDescent="0.15">
      <c r="A1119" s="2" t="s">
        <f>"093000044920056"</f>
        <v>2215</v>
      </c>
      <c r="B1119" s="2" t="s">
        <f>"张改连"</f>
        <v>2216</v>
      </c>
      <c r="C1119" s="2">
        <v>0.0</v>
      </c>
      <c r="D1119" s="2">
        <v>541.0</v>
      </c>
      <c r="E1119" s="2">
        <v>-373.64</v>
      </c>
    </row>
    <row r="1120" spans="1:5" x14ac:dyDescent="0.15">
      <c r="A1120" s="2" t="s">
        <f>"093000920556"</f>
        <v>2217</v>
      </c>
      <c r="B1120" s="2" t="s">
        <f>"李云良"</f>
        <v>2218</v>
      </c>
      <c r="C1120" s="2">
        <v>0.0</v>
      </c>
      <c r="D1120" s="2">
        <v>0.0</v>
      </c>
      <c r="E1120" s="2">
        <v>0.0</v>
      </c>
    </row>
    <row r="1121" spans="1:5" x14ac:dyDescent="0.15">
      <c r="A1121" s="2" t="s">
        <f>"093000039001920055"</f>
        <v>2219</v>
      </c>
      <c r="B1121" s="2" t="s">
        <f>"李东伟"</f>
        <v>2220</v>
      </c>
      <c r="C1121" s="2">
        <v>0.0</v>
      </c>
      <c r="D1121" s="2">
        <v>227.0</v>
      </c>
      <c r="E1121" s="2">
        <v>-53.48</v>
      </c>
    </row>
    <row r="1122" spans="1:5" x14ac:dyDescent="0.15">
      <c r="A1122" s="2" t="s">
        <f>"0930000960003"</f>
        <v>2221</v>
      </c>
      <c r="B1122" s="2" t="s">
        <f>"赵翠娟"</f>
        <v>2222</v>
      </c>
      <c r="C1122" s="2">
        <v>0.0</v>
      </c>
      <c r="D1122" s="2">
        <v>0.0</v>
      </c>
      <c r="E1122" s="2">
        <v>0.0</v>
      </c>
    </row>
    <row r="1123" spans="1:5" x14ac:dyDescent="0.15">
      <c r="A1123" s="2" t="s">
        <f>"0930000960004"</f>
        <v>2223</v>
      </c>
      <c r="B1123" s="2" t="s">
        <f>"王进强"</f>
        <v>2224</v>
      </c>
      <c r="C1123" s="2">
        <v>0.0</v>
      </c>
      <c r="D1123" s="2">
        <v>0.0</v>
      </c>
      <c r="E1123" s="2">
        <v>0.0</v>
      </c>
    </row>
    <row r="1124" spans="1:5" x14ac:dyDescent="0.15">
      <c r="A1124" s="2" t="s">
        <f>"0930000960005"</f>
        <v>2225</v>
      </c>
      <c r="B1124" s="2" t="s">
        <f>"胡美珍"</f>
        <v>2226</v>
      </c>
      <c r="C1124" s="2">
        <v>0.0</v>
      </c>
      <c r="D1124" s="2">
        <v>0.0</v>
      </c>
      <c r="E1124" s="2">
        <v>0.0</v>
      </c>
    </row>
    <row r="1125" spans="1:5" x14ac:dyDescent="0.15">
      <c r="A1125" s="2" t="s">
        <f>"093000047920027"</f>
        <v>2227</v>
      </c>
      <c r="B1125" s="2" t="s">
        <f>"杨胜利"</f>
        <v>2228</v>
      </c>
      <c r="C1125" s="2">
        <v>0.0</v>
      </c>
      <c r="D1125" s="2">
        <v>0.0</v>
      </c>
      <c r="E1125" s="2">
        <v>0.0</v>
      </c>
    </row>
    <row r="1126" spans="1:5" x14ac:dyDescent="0.15">
      <c r="A1126" s="2" t="s">
        <f>"0930000960006"</f>
        <v>2229</v>
      </c>
      <c r="B1126" s="2" t="s">
        <f>"胡美林"</f>
        <v>2230</v>
      </c>
      <c r="C1126" s="2">
        <v>0.0</v>
      </c>
      <c r="D1126" s="2">
        <v>0.0</v>
      </c>
      <c r="E1126" s="2">
        <v>0.0</v>
      </c>
    </row>
    <row r="1127" spans="1:5" x14ac:dyDescent="0.15">
      <c r="A1127" s="2" t="s">
        <f>"0930000960007"</f>
        <v>2231</v>
      </c>
      <c r="B1127" s="2" t="s">
        <f>"李红瑞"</f>
        <v>2232</v>
      </c>
      <c r="C1127" s="2">
        <v>293.0</v>
      </c>
      <c r="D1127" s="2">
        <v>0.0</v>
      </c>
      <c r="E1127" s="2">
        <v>-26.59</v>
      </c>
    </row>
    <row r="1128" spans="1:5" x14ac:dyDescent="0.15">
      <c r="A1128" s="2" t="s">
        <f>"093000039001920056"</f>
        <v>2233</v>
      </c>
      <c r="B1128" s="2" t="s">
        <f>"卢连国"</f>
        <v>2234</v>
      </c>
      <c r="C1128" s="2">
        <v>0.0</v>
      </c>
      <c r="D1128" s="2">
        <v>465.0</v>
      </c>
      <c r="E1128" s="2">
        <v>-53.22</v>
      </c>
    </row>
    <row r="1129" spans="1:5" x14ac:dyDescent="0.15">
      <c r="A1129" s="2" t="s">
        <f>"0930000960008"</f>
        <v>2235</v>
      </c>
      <c r="B1129" s="2" t="s">
        <f>"聂世胜"</f>
        <v>2236</v>
      </c>
      <c r="C1129" s="2">
        <v>0.0</v>
      </c>
      <c r="D1129" s="2">
        <v>0.0</v>
      </c>
      <c r="E1129" s="2">
        <v>0.0</v>
      </c>
    </row>
    <row r="1130" spans="1:5" x14ac:dyDescent="0.15">
      <c r="A1130" s="2" t="s">
        <f>"093000039001920057"</f>
        <v>2237</v>
      </c>
      <c r="B1130" s="2" t="s">
        <f>"吴晓晗"</f>
        <v>2238</v>
      </c>
      <c r="C1130" s="2">
        <v>0.0</v>
      </c>
      <c r="D1130" s="2">
        <v>0.0</v>
      </c>
      <c r="E1130" s="2">
        <v>0.0</v>
      </c>
    </row>
    <row r="1131" spans="1:5" x14ac:dyDescent="0.15">
      <c r="A1131" s="2" t="s">
        <f>"093000039001920059"</f>
        <v>2239</v>
      </c>
      <c r="B1131" s="2" t="s">
        <f>"李欣"</f>
        <v>2240</v>
      </c>
      <c r="C1131" s="2">
        <v>0.0</v>
      </c>
      <c r="D1131" s="2">
        <v>0.0</v>
      </c>
      <c r="E1131" s="2">
        <v>0.0</v>
      </c>
    </row>
    <row r="1132" spans="1:5" x14ac:dyDescent="0.15">
      <c r="A1132" s="2" t="s">
        <f>"093000039001920060"</f>
        <v>2241</v>
      </c>
      <c r="B1132" s="2" t="s">
        <f>"柳茵"</f>
        <v>2242</v>
      </c>
      <c r="C1132" s="2">
        <v>0.0</v>
      </c>
      <c r="D1132" s="2">
        <v>-379.0</v>
      </c>
      <c r="E1132" s="2">
        <v>-53.02</v>
      </c>
    </row>
    <row r="1133" spans="1:5" x14ac:dyDescent="0.15">
      <c r="A1133" s="2" t="s">
        <f>"093000047920028"</f>
        <v>2243</v>
      </c>
      <c r="B1133" s="2" t="s">
        <f>"许志旺"</f>
        <v>2244</v>
      </c>
      <c r="C1133" s="2">
        <v>0.0</v>
      </c>
      <c r="D1133" s="2">
        <v>0.0</v>
      </c>
      <c r="E1133" s="2">
        <v>0.0</v>
      </c>
    </row>
    <row r="1134" spans="1:5" x14ac:dyDescent="0.15">
      <c r="A1134" s="2" t="s">
        <f>"0930000390020001"</f>
        <v>2245</v>
      </c>
      <c r="B1134" s="2" t="s">
        <f>"张世高"</f>
        <v>2246</v>
      </c>
      <c r="C1134" s="2">
        <v>0.0</v>
      </c>
      <c r="D1134" s="2">
        <v>0.0</v>
      </c>
      <c r="E1134" s="2">
        <v>0.0</v>
      </c>
    </row>
    <row r="1135" spans="1:5" x14ac:dyDescent="0.15">
      <c r="A1135" s="2" t="s">
        <f>"093000047920029"</f>
        <v>2247</v>
      </c>
      <c r="B1135" s="2" t="s">
        <f>"谢杨辉"</f>
        <v>2248</v>
      </c>
      <c r="C1135" s="2">
        <v>0.0</v>
      </c>
      <c r="D1135" s="2">
        <v>0.0</v>
      </c>
      <c r="E1135" s="2">
        <v>0.0</v>
      </c>
    </row>
    <row r="1136" spans="1:5" x14ac:dyDescent="0.15">
      <c r="A1136" s="2" t="s">
        <f>"093000047920030"</f>
        <v>2249</v>
      </c>
      <c r="B1136" s="2" t="s">
        <f>"白中立"</f>
        <v>2250</v>
      </c>
      <c r="C1136" s="2">
        <v>0.0</v>
      </c>
      <c r="D1136" s="2">
        <v>0.0</v>
      </c>
      <c r="E1136" s="2">
        <v>0.0</v>
      </c>
    </row>
    <row r="1137" spans="1:5" x14ac:dyDescent="0.15">
      <c r="A1137" s="2" t="s">
        <f>"093000059920030"</f>
        <v>2251</v>
      </c>
      <c r="B1137" s="2" t="s">
        <f>"钟旭东"</f>
        <v>2252</v>
      </c>
      <c r="C1137" s="2">
        <v>0.0</v>
      </c>
      <c r="D1137" s="2">
        <v>0.0</v>
      </c>
      <c r="E1137" s="2">
        <v>0.0</v>
      </c>
    </row>
    <row r="1138" spans="1:5" x14ac:dyDescent="0.15">
      <c r="A1138" s="2" t="s">
        <f>"0930000920001"</f>
        <v>2253</v>
      </c>
      <c r="B1138" s="2" t="s">
        <f>"揭勇"</f>
        <v>2254</v>
      </c>
      <c r="C1138" s="2">
        <v>0.0</v>
      </c>
      <c r="D1138" s="2">
        <v>0.0</v>
      </c>
      <c r="E1138" s="2">
        <v>0.0</v>
      </c>
    </row>
    <row r="1139" spans="1:5" x14ac:dyDescent="0.15">
      <c r="A1139" s="2" t="s">
        <f>"093000043920067"</f>
        <v>2255</v>
      </c>
      <c r="B1139" s="2" t="s">
        <f>"王磊"</f>
        <v>126</v>
      </c>
      <c r="C1139" s="2">
        <v>0.0</v>
      </c>
      <c r="D1139" s="2">
        <v>0.0</v>
      </c>
      <c r="E1139" s="2">
        <v>0.0</v>
      </c>
    </row>
    <row r="1140" spans="1:5" x14ac:dyDescent="0.15">
      <c r="A1140" s="2" t="s">
        <f>"093000044920058"</f>
        <v>2256</v>
      </c>
      <c r="B1140" s="2" t="s">
        <f>"胡克强"</f>
        <v>2257</v>
      </c>
      <c r="C1140" s="2">
        <v>0.0</v>
      </c>
      <c r="D1140" s="2">
        <v>150.0</v>
      </c>
      <c r="E1140" s="2">
        <v>-53.36</v>
      </c>
    </row>
    <row r="1141" spans="1:5" x14ac:dyDescent="0.15">
      <c r="A1141" s="2" t="s">
        <f>"093000044920059"</f>
        <v>2258</v>
      </c>
      <c r="B1141" s="2" t="s">
        <f>"赵晓会"</f>
        <v>2259</v>
      </c>
      <c r="C1141" s="2">
        <v>0.0</v>
      </c>
      <c r="D1141" s="2">
        <v>0.0</v>
      </c>
      <c r="E1141" s="2">
        <v>0.0</v>
      </c>
    </row>
    <row r="1142" spans="1:5" x14ac:dyDescent="0.15">
      <c r="A1142" s="2" t="s">
        <f>"093000044920060"</f>
        <v>2260</v>
      </c>
      <c r="B1142" s="2" t="s">
        <f>"曲良景"</f>
        <v>2261</v>
      </c>
      <c r="C1142" s="2">
        <v>0.0</v>
      </c>
      <c r="D1142" s="2">
        <v>246.0</v>
      </c>
      <c r="E1142" s="2">
        <v>-53.32</v>
      </c>
    </row>
    <row r="1143" spans="1:5" x14ac:dyDescent="0.15">
      <c r="A1143" s="2" t="s">
        <f>"093000044920061"</f>
        <v>2262</v>
      </c>
      <c r="B1143" s="2" t="s">
        <f>"靳中丽"</f>
        <v>2263</v>
      </c>
      <c r="C1143" s="2">
        <v>0.0</v>
      </c>
      <c r="D1143" s="2">
        <v>-263.0</v>
      </c>
      <c r="E1143" s="2">
        <v>-53.34</v>
      </c>
    </row>
    <row r="1144" spans="1:5" x14ac:dyDescent="0.15">
      <c r="A1144" s="2" t="s">
        <v>2264</v>
      </c>
      <c r="B1144" s="2" t="s">
        <v>2265</v>
      </c>
      <c r="C1144" s="2">
        <v>-900.0</v>
      </c>
      <c r="D1144" s="2">
        <v>-200.0</v>
      </c>
      <c r="E1144" s="2">
        <v>-100.0</v>
      </c>
    </row>
    <row r="1145" spans="1:5" x14ac:dyDescent="0.15">
      <c r="A1145" s="3" t="s">
        <v>2266</v>
      </c>
      <c r="B1145" s="2" t="s">
        <v>2267</v>
      </c>
      <c r="C1145" s="2">
        <v>100.0</v>
      </c>
      <c r="D1145" s="2">
        <v>200.0</v>
      </c>
      <c r="E1145" s="2">
        <v>-100.0</v>
      </c>
    </row>
    <row r="1146" spans="1:5" x14ac:dyDescent="0.15">
      <c r="A1146" s="3" t="s">
        <v>2268</v>
      </c>
      <c r="B1146" s="2" t="s">
        <v>2269</v>
      </c>
      <c r="C1146" s="2">
        <v>500.0</v>
      </c>
      <c r="D1146" s="2">
        <v>800.0</v>
      </c>
      <c r="E1146" s="2">
        <v>-100.0</v>
      </c>
    </row>
    <row r="1147" spans="1:5" x14ac:dyDescent="0.15">
      <c r="A1147" s="2" t="s">
        <f>"0000000000001"</f>
        <v>2270</v>
      </c>
      <c r="B1147" s="2" t="s">
        <f>"兰岚"</f>
        <v>2271</v>
      </c>
      <c r="C1147" s="2">
        <v>-1.0</v>
      </c>
      <c r="D1147" s="2">
        <v>-1.0</v>
      </c>
      <c r="E1147" s="2">
        <v>-1.0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30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1</cp:revision>
  <dcterms:created xsi:type="dcterms:W3CDTF">2016-09-23T07:38:15Z</dcterms:created>
  <dcterms:modified xsi:type="dcterms:W3CDTF">2016-09-23T08:48:44Z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2052-10.1.0.5975</vt:lpwstr>
  </property>
</Properties>
</file>