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Z:\SECRETARIAT\ACTIVITE\2016\"/>
    </mc:Choice>
  </mc:AlternateContent>
  <bookViews>
    <workbookView xWindow="0" yWindow="0" windowWidth="20490" windowHeight="8940" tabRatio="826" activeTab="4"/>
  </bookViews>
  <sheets>
    <sheet name="En attente" sheetId="10" r:id="rId1"/>
    <sheet name="Feuil1" sheetId="24" r:id="rId2"/>
    <sheet name="Présents" sheetId="7" r:id="rId3"/>
    <sheet name="calculs enfants présents" sheetId="2" r:id="rId4"/>
    <sheet name="Admis" sheetId="19" r:id="rId5"/>
    <sheet name="Calculs Enfants admis" sheetId="4" r:id="rId6"/>
    <sheet name="Sortis" sheetId="5" r:id="rId7"/>
    <sheet name="Calculs enfants sortis" sheetId="6" r:id="rId8"/>
    <sheet name="Calculs répartion mesures" sheetId="18" r:id="rId9"/>
    <sheet name="Prépa synthèses" sheetId="21" r:id="rId10"/>
    <sheet name="Variables" sheetId="16" r:id="rId11"/>
    <sheet name="Signatures DIPC" sheetId="22" r:id="rId12"/>
  </sheets>
  <externalReferences>
    <externalReference r:id="rId13"/>
    <externalReference r:id="rId14"/>
    <externalReference r:id="rId15"/>
    <externalReference r:id="rId16"/>
  </externalReferences>
  <definedNames>
    <definedName name="_xlnm._FilterDatabase" localSheetId="4" hidden="1">Admis!$A$1:$BT$91</definedName>
    <definedName name="_xlnm._FilterDatabase" localSheetId="0" hidden="1">'En attente'!$A$1:$R$3</definedName>
    <definedName name="_xlnm._FilterDatabase" localSheetId="9" hidden="1">'Prépa synthèses'!$A$1:$J$93</definedName>
    <definedName name="_xlnm._FilterDatabase" localSheetId="2" hidden="1">Présents!$A$1:$BT$1</definedName>
    <definedName name="_xlnm._FilterDatabase" localSheetId="11" hidden="1">'Signatures DIPC'!$A$1:$N$1</definedName>
    <definedName name="_xlnm._FilterDatabase" localSheetId="6" hidden="1">Sortis!$A$1:$BZ$71</definedName>
    <definedName name="_xlnm.Print_Titles" localSheetId="2">Présents!$1:$1</definedName>
    <definedName name="_xlnm.Print_Area" localSheetId="3">'calculs enfants présents'!$B$82:$L$110</definedName>
    <definedName name="_xlnm.Print_Area" localSheetId="0">'En attente'!$A$1:$N$3</definedName>
    <definedName name="_xlnm.Print_Area" localSheetId="1">Feuil1!$A$1:$J$162</definedName>
    <definedName name="_xlnm.Print_Area" localSheetId="9">'Prépa synthèses'!$A$1:$J$66</definedName>
    <definedName name="_xlnm.Print_Area" localSheetId="2">Présents!$B$6:$C$127</definedName>
    <definedName name="_xlnm.Print_Area" localSheetId="11">'Signatures DIPC'!$A$1:$G$98</definedName>
  </definedNames>
  <calcPr calcId="162913"/>
</workbook>
</file>

<file path=xl/calcChain.xml><?xml version="1.0" encoding="utf-8"?>
<calcChain xmlns="http://schemas.openxmlformats.org/spreadsheetml/2006/main">
  <c r="BE19" i="19" l="1"/>
  <c r="BA19" i="19"/>
  <c r="AY19" i="19"/>
  <c r="AV19" i="19"/>
  <c r="AR19" i="19"/>
  <c r="AZ19" i="19" s="1"/>
  <c r="AQ19" i="19"/>
  <c r="AS19" i="19" s="1"/>
  <c r="AM19" i="19"/>
  <c r="AO19" i="19" s="1"/>
  <c r="AL19" i="19"/>
  <c r="Y19" i="19"/>
  <c r="L19" i="19"/>
  <c r="AR180" i="7"/>
  <c r="Y180" i="7"/>
  <c r="L180" i="7"/>
  <c r="AL180" i="7"/>
  <c r="AM180" i="7" s="1"/>
  <c r="AO180" i="7" s="1"/>
  <c r="AQ180" i="7"/>
  <c r="AS180" i="7"/>
  <c r="AV178" i="7" l="1"/>
  <c r="AV179" i="7"/>
  <c r="AV180" i="7"/>
  <c r="Y179" i="7"/>
  <c r="AL179" i="7"/>
  <c r="AM179" i="7" s="1"/>
  <c r="AO179" i="7" s="1"/>
  <c r="AQ179" i="7"/>
  <c r="AS179" i="7"/>
  <c r="AU179" i="7"/>
  <c r="BE17" i="19"/>
  <c r="BA17" i="19"/>
  <c r="AY17" i="19"/>
  <c r="AR17" i="19"/>
  <c r="AZ17" i="19" s="1"/>
  <c r="AQ17" i="19"/>
  <c r="AU17" i="19" s="1"/>
  <c r="AM17" i="19"/>
  <c r="AO17" i="19" s="1"/>
  <c r="AL17" i="19"/>
  <c r="Y17" i="19"/>
  <c r="L17" i="19"/>
  <c r="Y178" i="7"/>
  <c r="AL178" i="7"/>
  <c r="AM178" i="7" s="1"/>
  <c r="AO178" i="7" s="1"/>
  <c r="AQ178" i="7"/>
  <c r="AS178" i="7"/>
  <c r="AU178" i="7"/>
  <c r="AS17" i="19" l="1"/>
  <c r="BE7" i="5"/>
  <c r="BA7" i="5"/>
  <c r="AY7" i="5"/>
  <c r="AR7" i="5"/>
  <c r="AZ7" i="5" s="1"/>
  <c r="AQ7" i="5"/>
  <c r="AT7" i="5" s="1"/>
  <c r="AL7" i="5"/>
  <c r="AM7" i="5" s="1"/>
  <c r="Y7" i="5"/>
  <c r="AE7" i="5" s="1"/>
  <c r="L7" i="5"/>
  <c r="BE6" i="5"/>
  <c r="BA6" i="5"/>
  <c r="AY6" i="5"/>
  <c r="AT6" i="5"/>
  <c r="AR6" i="5"/>
  <c r="AZ6" i="5" s="1"/>
  <c r="AQ6" i="5"/>
  <c r="AU6" i="5" s="1"/>
  <c r="AM6" i="5"/>
  <c r="AN6" i="5" s="1"/>
  <c r="AL6" i="5"/>
  <c r="AE6" i="5"/>
  <c r="AC6" i="5"/>
  <c r="AA6" i="5"/>
  <c r="Y6" i="5"/>
  <c r="AD6" i="5" s="1"/>
  <c r="L6" i="5"/>
  <c r="AV6" i="5" l="1"/>
  <c r="AO7" i="5"/>
  <c r="AN7" i="5"/>
  <c r="AV7" i="5"/>
  <c r="AO6" i="5"/>
  <c r="AB7" i="5"/>
  <c r="AD7" i="5"/>
  <c r="AS7" i="5"/>
  <c r="AU7" i="5"/>
  <c r="AB6" i="5"/>
  <c r="AS6" i="5"/>
  <c r="AA7" i="5"/>
  <c r="AC7" i="5"/>
  <c r="BE5" i="5"/>
  <c r="BA5" i="5"/>
  <c r="AY5" i="5"/>
  <c r="AR5" i="5"/>
  <c r="AZ5" i="5" s="1"/>
  <c r="AQ5" i="5"/>
  <c r="AT5" i="5" s="1"/>
  <c r="AL5" i="5"/>
  <c r="AM5" i="5" s="1"/>
  <c r="Y5" i="5"/>
  <c r="AE5" i="5" s="1"/>
  <c r="L5" i="5"/>
  <c r="AN5" i="5" l="1"/>
  <c r="AO5" i="5" s="1"/>
  <c r="AB5" i="5"/>
  <c r="AD5" i="5"/>
  <c r="AS5" i="5"/>
  <c r="AU5" i="5"/>
  <c r="AV5" i="5" s="1"/>
  <c r="AA5" i="5"/>
  <c r="AC5" i="5"/>
  <c r="Y129" i="7"/>
  <c r="AL129" i="7"/>
  <c r="AM129" i="7" s="1"/>
  <c r="AO129" i="7" s="1"/>
  <c r="AQ129" i="7"/>
  <c r="AU129" i="7" l="1"/>
  <c r="AT129" i="7"/>
  <c r="AV129" i="7" s="1"/>
  <c r="AS129" i="7"/>
  <c r="Y59" i="7"/>
  <c r="AA59" i="7" s="1"/>
  <c r="AL59" i="7"/>
  <c r="AM59" i="7" s="1"/>
  <c r="AO59" i="7" s="1"/>
  <c r="AQ59" i="7"/>
  <c r="AR58" i="7"/>
  <c r="AR59" i="7"/>
  <c r="AR129" i="7"/>
  <c r="AR178" i="7"/>
  <c r="AR179" i="7"/>
  <c r="Y58" i="7"/>
  <c r="AB58" i="7" s="1"/>
  <c r="AL58" i="7"/>
  <c r="AM58" i="7" s="1"/>
  <c r="AO58" i="7" s="1"/>
  <c r="AQ58" i="7"/>
  <c r="AT59" i="7" l="1"/>
  <c r="AV59" i="7" s="1"/>
  <c r="AS59" i="7"/>
  <c r="AU59" i="7"/>
  <c r="AS58" i="7"/>
  <c r="AT58" i="7"/>
  <c r="AV58" i="7" s="1"/>
  <c r="AU58" i="7"/>
  <c r="AD58" i="7"/>
  <c r="AC58" i="7"/>
  <c r="AA58" i="7"/>
  <c r="AE58" i="7"/>
  <c r="AD59" i="7"/>
  <c r="AC59" i="7"/>
  <c r="AB59" i="7"/>
  <c r="AE59" i="7"/>
  <c r="AH11" i="18"/>
  <c r="AF10" i="18" a="1"/>
  <c r="AF10" i="18" s="1"/>
  <c r="E21" i="18" s="1"/>
  <c r="AC10" i="18" a="1"/>
  <c r="AC10" i="18" s="1"/>
  <c r="Z10" i="18" a="1"/>
  <c r="Z10" i="18" s="1"/>
  <c r="W10" i="18" a="1"/>
  <c r="W10" i="18" s="1"/>
  <c r="T10" i="18" a="1"/>
  <c r="T10" i="18" s="1"/>
  <c r="Q10" i="18" a="1"/>
  <c r="Q10" i="18" s="1"/>
  <c r="N10" i="18" a="1"/>
  <c r="N10" i="18" s="1"/>
  <c r="K10" i="18" a="1"/>
  <c r="K10" i="18" s="1"/>
  <c r="H10" i="18" a="1"/>
  <c r="H10" i="18" s="1"/>
  <c r="E10" i="18" a="1"/>
  <c r="E10" i="18" s="1"/>
  <c r="B10" i="18" a="1"/>
  <c r="B10" i="18" s="1"/>
  <c r="AF9" i="18" a="1"/>
  <c r="AF9" i="18" s="1"/>
  <c r="E20" i="18" s="1"/>
  <c r="AC9" i="18" a="1"/>
  <c r="AC9" i="18" s="1"/>
  <c r="Z9" i="18" a="1"/>
  <c r="Z9" i="18" s="1"/>
  <c r="W9" i="18" a="1"/>
  <c r="W9" i="18" s="1"/>
  <c r="T9" i="18" a="1"/>
  <c r="T9" i="18" s="1"/>
  <c r="Q9" i="18" a="1"/>
  <c r="Q9" i="18" s="1"/>
  <c r="N9" i="18" a="1"/>
  <c r="N9" i="18" s="1"/>
  <c r="K9" i="18" a="1"/>
  <c r="K9" i="18" s="1"/>
  <c r="H9" i="18" a="1"/>
  <c r="H9" i="18" s="1"/>
  <c r="E9" i="18" a="1"/>
  <c r="E9" i="18" s="1"/>
  <c r="B9" i="18" a="1"/>
  <c r="B9" i="18" s="1"/>
  <c r="AF8" i="18" a="1"/>
  <c r="AF8" i="18" s="1"/>
  <c r="E19" i="18" s="1"/>
  <c r="AC8" i="18" a="1"/>
  <c r="AC8" i="18" s="1"/>
  <c r="Z8" i="18" a="1"/>
  <c r="Z8" i="18" s="1"/>
  <c r="W8" i="18" a="1"/>
  <c r="W8" i="18" s="1"/>
  <c r="T8" i="18" a="1"/>
  <c r="T8" i="18" s="1"/>
  <c r="Q8" i="18" a="1"/>
  <c r="Q8" i="18" s="1"/>
  <c r="N8" i="18" a="1"/>
  <c r="N8" i="18" s="1"/>
  <c r="K8" i="18" a="1"/>
  <c r="K8" i="18" s="1"/>
  <c r="H8" i="18" a="1"/>
  <c r="H8" i="18" s="1"/>
  <c r="E8" i="18" a="1"/>
  <c r="E8" i="18" s="1"/>
  <c r="B8" i="18" a="1"/>
  <c r="B8" i="18" s="1"/>
  <c r="AF7" i="18" a="1"/>
  <c r="AF7" i="18" s="1"/>
  <c r="E18" i="18" s="1"/>
  <c r="AC7" i="18" a="1"/>
  <c r="AC7" i="18" s="1"/>
  <c r="Z7" i="18" a="1"/>
  <c r="Z7" i="18" s="1"/>
  <c r="W7" i="18" a="1"/>
  <c r="W7" i="18" s="1"/>
  <c r="T7" i="18" a="1"/>
  <c r="T7" i="18" s="1"/>
  <c r="Q7" i="18" a="1"/>
  <c r="Q7" i="18" s="1"/>
  <c r="N7" i="18" a="1"/>
  <c r="N7" i="18" s="1"/>
  <c r="K7" i="18" a="1"/>
  <c r="K7" i="18" s="1"/>
  <c r="H7" i="18" a="1"/>
  <c r="H7" i="18" s="1"/>
  <c r="E7" i="18" a="1"/>
  <c r="E7" i="18" s="1"/>
  <c r="B7" i="18" a="1"/>
  <c r="B7" i="18" s="1"/>
  <c r="AF6" i="18" a="1"/>
  <c r="AF6" i="18" s="1"/>
  <c r="E17" i="18" s="1"/>
  <c r="AC6" i="18" a="1"/>
  <c r="AC6" i="18" s="1"/>
  <c r="Z6" i="18" a="1"/>
  <c r="Z6" i="18" s="1"/>
  <c r="W6" i="18" a="1"/>
  <c r="W6" i="18" s="1"/>
  <c r="T6" i="18" a="1"/>
  <c r="T6" i="18" s="1"/>
  <c r="Q6" i="18" a="1"/>
  <c r="Q6" i="18" s="1"/>
  <c r="N6" i="18" a="1"/>
  <c r="N6" i="18" s="1"/>
  <c r="K6" i="18" a="1"/>
  <c r="K6" i="18" s="1"/>
  <c r="H6" i="18" a="1"/>
  <c r="H6" i="18" s="1"/>
  <c r="E6" i="18" a="1"/>
  <c r="E6" i="18" s="1"/>
  <c r="B6" i="18" a="1"/>
  <c r="B6" i="18" s="1"/>
  <c r="AG5" i="18"/>
  <c r="AF5" i="18" a="1"/>
  <c r="AF5" i="18" s="1"/>
  <c r="AC5" i="18" a="1"/>
  <c r="AC5" i="18" s="1"/>
  <c r="Z5" i="18" a="1"/>
  <c r="Z5" i="18" s="1"/>
  <c r="W5" i="18" a="1"/>
  <c r="W5" i="18" s="1"/>
  <c r="T5" i="18" a="1"/>
  <c r="T5" i="18" s="1"/>
  <c r="Q5" i="18" a="1"/>
  <c r="Q5" i="18" s="1"/>
  <c r="N5" i="18" a="1"/>
  <c r="N5" i="18" s="1"/>
  <c r="K5" i="18" a="1"/>
  <c r="K5" i="18" s="1"/>
  <c r="H5" i="18" a="1"/>
  <c r="H5" i="18" s="1"/>
  <c r="E5" i="18" a="1"/>
  <c r="E5" i="18" s="1"/>
  <c r="B5" i="18" a="1"/>
  <c r="B5" i="18" s="1"/>
  <c r="AG4" i="18"/>
  <c r="AF4" i="18" a="1"/>
  <c r="AF4" i="18" s="1"/>
  <c r="AC4" i="18" a="1"/>
  <c r="AC4" i="18" s="1"/>
  <c r="Z4" i="18" a="1"/>
  <c r="Z4" i="18" s="1"/>
  <c r="W4" i="18" a="1"/>
  <c r="W4" i="18" s="1"/>
  <c r="T4" i="18" a="1"/>
  <c r="T4" i="18" s="1"/>
  <c r="Q4" i="18" a="1"/>
  <c r="Q4" i="18" s="1"/>
  <c r="S4" i="18" s="1"/>
  <c r="N4" i="18" a="1"/>
  <c r="N4" i="18" s="1"/>
  <c r="K4" i="18" a="1"/>
  <c r="K4" i="18" s="1"/>
  <c r="M4" i="18" s="1"/>
  <c r="H4" i="18" a="1"/>
  <c r="H4" i="18" s="1"/>
  <c r="E4" i="18" a="1"/>
  <c r="E4" i="18" s="1"/>
  <c r="B4" i="18" a="1"/>
  <c r="B4" i="18" s="1"/>
  <c r="A22" i="6"/>
  <c r="A21" i="6"/>
  <c r="F20" i="6"/>
  <c r="A20" i="6"/>
  <c r="F19" i="6"/>
  <c r="A19" i="6"/>
  <c r="F18" i="6"/>
  <c r="A18" i="6"/>
  <c r="F17" i="6"/>
  <c r="A17" i="6"/>
  <c r="G14" i="6"/>
  <c r="F14" i="6"/>
  <c r="C14" i="6"/>
  <c r="B14" i="6"/>
  <c r="G13" i="6"/>
  <c r="F13" i="6"/>
  <c r="C13" i="6"/>
  <c r="B13" i="6"/>
  <c r="G12" i="6"/>
  <c r="F12" i="6"/>
  <c r="C12" i="6"/>
  <c r="B12" i="6"/>
  <c r="G11" i="6"/>
  <c r="F11" i="6"/>
  <c r="C11" i="6"/>
  <c r="B11" i="6"/>
  <c r="G10" i="6"/>
  <c r="F10" i="6"/>
  <c r="C10" i="6"/>
  <c r="B10" i="6"/>
  <c r="C9" i="6"/>
  <c r="B9" i="6"/>
  <c r="M8" i="6"/>
  <c r="L8" i="6"/>
  <c r="C8" i="6"/>
  <c r="B8" i="6"/>
  <c r="M7" i="6"/>
  <c r="L7" i="6"/>
  <c r="I7" i="6"/>
  <c r="H7" i="6"/>
  <c r="G7" i="6"/>
  <c r="F7" i="6"/>
  <c r="C7" i="6"/>
  <c r="B7" i="6"/>
  <c r="M6" i="6"/>
  <c r="L6" i="6"/>
  <c r="I6" i="6"/>
  <c r="H6" i="6"/>
  <c r="G6" i="6"/>
  <c r="F6" i="6"/>
  <c r="C6" i="6"/>
  <c r="B6" i="6"/>
  <c r="M5" i="6"/>
  <c r="L5" i="6"/>
  <c r="I5" i="6"/>
  <c r="H5" i="6"/>
  <c r="G5" i="6"/>
  <c r="F5" i="6"/>
  <c r="C5" i="6"/>
  <c r="B5" i="6"/>
  <c r="M4" i="6"/>
  <c r="L4" i="6"/>
  <c r="I4" i="6"/>
  <c r="H4" i="6"/>
  <c r="G4" i="6"/>
  <c r="F4" i="6"/>
  <c r="C4" i="6"/>
  <c r="B4" i="6"/>
  <c r="M3" i="6"/>
  <c r="L3" i="6"/>
  <c r="I3" i="6"/>
  <c r="H3" i="6"/>
  <c r="G3" i="6"/>
  <c r="F3" i="6"/>
  <c r="M2" i="6"/>
  <c r="L2" i="6"/>
  <c r="I2" i="6"/>
  <c r="H2" i="6"/>
  <c r="G2" i="6"/>
  <c r="F2" i="6"/>
  <c r="B1" i="6"/>
  <c r="BE4" i="5"/>
  <c r="BA4" i="5"/>
  <c r="AZ4" i="5"/>
  <c r="AY4" i="5"/>
  <c r="AU4" i="5"/>
  <c r="AT4" i="5"/>
  <c r="AV4" i="5" s="1"/>
  <c r="AS4" i="5"/>
  <c r="AR4" i="5"/>
  <c r="AQ4" i="5"/>
  <c r="AO4" i="5"/>
  <c r="AN4" i="5"/>
  <c r="AM4" i="5"/>
  <c r="AL4" i="5"/>
  <c r="AE4" i="5"/>
  <c r="AD4" i="5"/>
  <c r="AC4" i="5"/>
  <c r="AB4" i="5"/>
  <c r="AA4" i="5"/>
  <c r="Y4" i="5"/>
  <c r="L4" i="5"/>
  <c r="BE3" i="5"/>
  <c r="BA3" i="5"/>
  <c r="AZ3" i="5"/>
  <c r="AY3" i="5"/>
  <c r="AU3" i="5"/>
  <c r="AT3" i="5"/>
  <c r="AV3" i="5" s="1"/>
  <c r="AS3" i="5"/>
  <c r="AR3" i="5"/>
  <c r="AQ3" i="5"/>
  <c r="AO3" i="5"/>
  <c r="AN3" i="5"/>
  <c r="AM3" i="5"/>
  <c r="AL3" i="5"/>
  <c r="AE3" i="5"/>
  <c r="AD3" i="5"/>
  <c r="AC3" i="5"/>
  <c r="AB3" i="5"/>
  <c r="AA3" i="5"/>
  <c r="Y3" i="5"/>
  <c r="L3" i="5"/>
  <c r="BE2" i="5"/>
  <c r="BA2" i="5"/>
  <c r="AY2" i="5"/>
  <c r="AX2" i="5"/>
  <c r="AV2" i="5"/>
  <c r="AU2" i="5"/>
  <c r="AT2" i="5"/>
  <c r="AS2" i="5"/>
  <c r="AR2" i="5"/>
  <c r="AO2" i="5"/>
  <c r="AN2" i="5"/>
  <c r="AM2" i="5"/>
  <c r="AL2" i="5"/>
  <c r="AE2" i="5"/>
  <c r="AD2" i="5"/>
  <c r="AC2" i="5"/>
  <c r="AB2" i="5"/>
  <c r="AA2" i="5"/>
  <c r="Y2" i="5"/>
  <c r="L2" i="5"/>
  <c r="AR1" i="5"/>
  <c r="C14" i="4"/>
  <c r="B14" i="4"/>
  <c r="C13" i="4"/>
  <c r="B13" i="4"/>
  <c r="C12" i="4"/>
  <c r="B12" i="4"/>
  <c r="C11" i="4"/>
  <c r="B11" i="4"/>
  <c r="I10" i="4"/>
  <c r="H10" i="4"/>
  <c r="G10" i="4"/>
  <c r="F10" i="4"/>
  <c r="C10" i="4"/>
  <c r="B10" i="4"/>
  <c r="I9" i="4"/>
  <c r="H9" i="4"/>
  <c r="G9" i="4"/>
  <c r="F9" i="4"/>
  <c r="C9" i="4"/>
  <c r="B9" i="4"/>
  <c r="I8" i="4"/>
  <c r="H8" i="4"/>
  <c r="G8" i="4"/>
  <c r="F8" i="4"/>
  <c r="C8" i="4"/>
  <c r="B8" i="4"/>
  <c r="I7" i="4"/>
  <c r="H7" i="4"/>
  <c r="G7" i="4"/>
  <c r="F7" i="4"/>
  <c r="C7" i="4"/>
  <c r="B7" i="4"/>
  <c r="I6" i="4"/>
  <c r="H6" i="4"/>
  <c r="G6" i="4"/>
  <c r="F6" i="4"/>
  <c r="C6" i="4"/>
  <c r="B6" i="4"/>
  <c r="I5" i="4"/>
  <c r="H5" i="4"/>
  <c r="G5" i="4"/>
  <c r="F5" i="4"/>
  <c r="C5" i="4"/>
  <c r="B5" i="4"/>
  <c r="C4" i="4"/>
  <c r="B4" i="4"/>
  <c r="B3" i="4"/>
  <c r="B2" i="4"/>
  <c r="H1" i="4"/>
  <c r="B1" i="4"/>
  <c r="BE12" i="19"/>
  <c r="BA12" i="19"/>
  <c r="AZ12" i="19"/>
  <c r="AY12" i="19"/>
  <c r="AU12" i="19"/>
  <c r="AT12" i="19"/>
  <c r="AV12" i="19" s="1"/>
  <c r="AS12" i="19"/>
  <c r="AR12" i="19"/>
  <c r="AO12" i="19"/>
  <c r="AN12" i="19"/>
  <c r="AM12" i="19"/>
  <c r="AL12" i="19"/>
  <c r="AE12" i="19"/>
  <c r="AD12" i="19"/>
  <c r="AC12" i="19"/>
  <c r="AB12" i="19"/>
  <c r="AA12" i="19"/>
  <c r="Y12" i="19"/>
  <c r="L12" i="19"/>
  <c r="Y11" i="19"/>
  <c r="BE10" i="19"/>
  <c r="BA10" i="19"/>
  <c r="AZ10" i="19"/>
  <c r="AY10" i="19"/>
  <c r="AU10" i="19"/>
  <c r="AT10" i="19"/>
  <c r="AV10" i="19" s="1"/>
  <c r="AR10" i="19"/>
  <c r="AO10" i="19"/>
  <c r="AN10" i="19"/>
  <c r="AM10" i="19"/>
  <c r="AL10" i="19"/>
  <c r="AE10" i="19"/>
  <c r="AD10" i="19"/>
  <c r="AC10" i="19"/>
  <c r="AB10" i="19"/>
  <c r="AA10" i="19"/>
  <c r="Y10" i="19"/>
  <c r="L10" i="19"/>
  <c r="BE9" i="19"/>
  <c r="BA9" i="19"/>
  <c r="AZ9" i="19"/>
  <c r="AY9" i="19"/>
  <c r="AU9" i="19"/>
  <c r="AT9" i="19"/>
  <c r="AV9" i="19" s="1"/>
  <c r="Y9" i="19"/>
  <c r="L9" i="19"/>
  <c r="BE8" i="19"/>
  <c r="BA8" i="19"/>
  <c r="AZ8" i="19"/>
  <c r="AY8" i="19"/>
  <c r="AU8" i="19"/>
  <c r="AT8" i="19"/>
  <c r="AV8" i="19" s="1"/>
  <c r="AR8" i="19"/>
  <c r="AE8" i="19"/>
  <c r="AD8" i="19"/>
  <c r="AC8" i="19"/>
  <c r="AB8" i="19"/>
  <c r="AA8" i="19"/>
  <c r="Y8" i="19"/>
  <c r="L8" i="19"/>
  <c r="Y7" i="19"/>
  <c r="Y6" i="19"/>
  <c r="BE5" i="19"/>
  <c r="BA5" i="19"/>
  <c r="AZ5" i="19"/>
  <c r="AY5" i="19"/>
  <c r="AU5" i="19"/>
  <c r="AT5" i="19"/>
  <c r="AV5" i="19" s="1"/>
  <c r="AS5" i="19"/>
  <c r="AR5" i="19"/>
  <c r="AB5" i="19"/>
  <c r="AA5" i="19"/>
  <c r="Y5" i="19"/>
  <c r="BE4" i="19"/>
  <c r="BA4" i="19"/>
  <c r="AZ4" i="19"/>
  <c r="AY4" i="19"/>
  <c r="AU4" i="19"/>
  <c r="AT4" i="19"/>
  <c r="AV4" i="19" s="1"/>
  <c r="AS4" i="19"/>
  <c r="AR4" i="19"/>
  <c r="AB4" i="19"/>
  <c r="AA4" i="19"/>
  <c r="Y4" i="19"/>
  <c r="L4" i="19"/>
  <c r="Y3" i="19"/>
  <c r="Y2" i="19"/>
  <c r="AR1" i="19"/>
  <c r="K110" i="2"/>
  <c r="J110" i="2"/>
  <c r="K109" i="2"/>
  <c r="J109" i="2"/>
  <c r="F109" i="2"/>
  <c r="K108" i="2"/>
  <c r="J108" i="2"/>
  <c r="J107" i="2"/>
  <c r="F107" i="2"/>
  <c r="J106" i="2"/>
  <c r="F106" i="2"/>
  <c r="J105" i="2"/>
  <c r="F105" i="2"/>
  <c r="J102" i="2"/>
  <c r="I102" i="2"/>
  <c r="H102" i="2"/>
  <c r="G102" i="2"/>
  <c r="F102" i="2"/>
  <c r="E102" i="2"/>
  <c r="D102" i="2"/>
  <c r="C102" i="2"/>
  <c r="J100" i="2"/>
  <c r="I100" i="2"/>
  <c r="H100" i="2"/>
  <c r="G100" i="2"/>
  <c r="F100" i="2"/>
  <c r="E100" i="2"/>
  <c r="D100" i="2"/>
  <c r="C100" i="2"/>
  <c r="J99" i="2"/>
  <c r="J98" i="2"/>
  <c r="I98" i="2"/>
  <c r="H98" i="2"/>
  <c r="G98" i="2"/>
  <c r="F98" i="2"/>
  <c r="E98" i="2"/>
  <c r="D98" i="2"/>
  <c r="C98" i="2"/>
  <c r="J96" i="2"/>
  <c r="J95" i="2"/>
  <c r="J94" i="2"/>
  <c r="J93" i="2"/>
  <c r="J92" i="2"/>
  <c r="J91" i="2"/>
  <c r="J90" i="2"/>
  <c r="J89" i="2"/>
  <c r="J88" i="2"/>
  <c r="J87" i="2"/>
  <c r="J86" i="2"/>
  <c r="J85" i="2"/>
  <c r="N81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H69" i="2"/>
  <c r="G69" i="2"/>
  <c r="F69" i="2"/>
  <c r="E69" i="2"/>
  <c r="D69" i="2"/>
  <c r="C69" i="2"/>
  <c r="B69" i="2"/>
  <c r="H68" i="2"/>
  <c r="G68" i="2"/>
  <c r="F68" i="2"/>
  <c r="E68" i="2"/>
  <c r="D68" i="2"/>
  <c r="C68" i="2"/>
  <c r="B68" i="2"/>
  <c r="H67" i="2"/>
  <c r="G67" i="2"/>
  <c r="F67" i="2"/>
  <c r="E67" i="2"/>
  <c r="D67" i="2"/>
  <c r="C67" i="2"/>
  <c r="B67" i="2"/>
  <c r="H66" i="2"/>
  <c r="G66" i="2"/>
  <c r="F66" i="2"/>
  <c r="E66" i="2"/>
  <c r="D66" i="2"/>
  <c r="C66" i="2"/>
  <c r="B66" i="2"/>
  <c r="H65" i="2"/>
  <c r="G65" i="2"/>
  <c r="F65" i="2"/>
  <c r="E65" i="2"/>
  <c r="D65" i="2"/>
  <c r="C65" i="2"/>
  <c r="B65" i="2"/>
  <c r="H64" i="2"/>
  <c r="G64" i="2"/>
  <c r="F64" i="2"/>
  <c r="E64" i="2"/>
  <c r="D64" i="2"/>
  <c r="C64" i="2"/>
  <c r="B64" i="2"/>
  <c r="H63" i="2"/>
  <c r="G63" i="2"/>
  <c r="F63" i="2"/>
  <c r="E63" i="2"/>
  <c r="D63" i="2"/>
  <c r="C63" i="2"/>
  <c r="B63" i="2"/>
  <c r="H62" i="2"/>
  <c r="G62" i="2"/>
  <c r="F62" i="2"/>
  <c r="E62" i="2"/>
  <c r="D62" i="2"/>
  <c r="C62" i="2"/>
  <c r="B62" i="2"/>
  <c r="H61" i="2"/>
  <c r="G61" i="2"/>
  <c r="F61" i="2"/>
  <c r="E61" i="2"/>
  <c r="D61" i="2"/>
  <c r="C61" i="2"/>
  <c r="B61" i="2"/>
  <c r="H60" i="2"/>
  <c r="G60" i="2"/>
  <c r="F60" i="2"/>
  <c r="E60" i="2"/>
  <c r="D60" i="2"/>
  <c r="C60" i="2"/>
  <c r="B60" i="2"/>
  <c r="I59" i="2"/>
  <c r="H59" i="2"/>
  <c r="G59" i="2"/>
  <c r="F59" i="2"/>
  <c r="E59" i="2"/>
  <c r="D59" i="2"/>
  <c r="C59" i="2"/>
  <c r="B59" i="2"/>
  <c r="H58" i="2"/>
  <c r="G58" i="2"/>
  <c r="F58" i="2"/>
  <c r="E58" i="2"/>
  <c r="D58" i="2"/>
  <c r="C58" i="2"/>
  <c r="B58" i="2"/>
  <c r="C56" i="2"/>
  <c r="C54" i="2"/>
  <c r="B54" i="2"/>
  <c r="H53" i="2"/>
  <c r="G53" i="2"/>
  <c r="E53" i="2"/>
  <c r="D53" i="2"/>
  <c r="H52" i="2"/>
  <c r="G52" i="2"/>
  <c r="E52" i="2"/>
  <c r="D52" i="2"/>
  <c r="H51" i="2"/>
  <c r="G51" i="2"/>
  <c r="E51" i="2"/>
  <c r="D51" i="2"/>
  <c r="H50" i="2"/>
  <c r="G50" i="2"/>
  <c r="E50" i="2"/>
  <c r="D50" i="2"/>
  <c r="H49" i="2"/>
  <c r="G49" i="2"/>
  <c r="E49" i="2"/>
  <c r="D49" i="2"/>
  <c r="H48" i="2"/>
  <c r="G48" i="2"/>
  <c r="E48" i="2"/>
  <c r="D48" i="2"/>
  <c r="H47" i="2"/>
  <c r="G47" i="2"/>
  <c r="E47" i="2"/>
  <c r="D47" i="2"/>
  <c r="H46" i="2"/>
  <c r="G46" i="2"/>
  <c r="E46" i="2"/>
  <c r="D46" i="2"/>
  <c r="H45" i="2"/>
  <c r="G45" i="2"/>
  <c r="E45" i="2"/>
  <c r="D45" i="2"/>
  <c r="H44" i="2"/>
  <c r="G44" i="2"/>
  <c r="E44" i="2"/>
  <c r="D44" i="2"/>
  <c r="H43" i="2"/>
  <c r="G43" i="2"/>
  <c r="E43" i="2"/>
  <c r="D43" i="2"/>
  <c r="H42" i="2"/>
  <c r="G42" i="2"/>
  <c r="E42" i="2"/>
  <c r="D42" i="2"/>
  <c r="G38" i="2"/>
  <c r="E38" i="2"/>
  <c r="B38" i="2"/>
  <c r="G37" i="2"/>
  <c r="E37" i="2"/>
  <c r="B37" i="2"/>
  <c r="G36" i="2"/>
  <c r="G39" i="2" s="1"/>
  <c r="E36" i="2"/>
  <c r="E39" i="2" s="1"/>
  <c r="B36" i="2"/>
  <c r="B39" i="2" s="1"/>
  <c r="M33" i="2"/>
  <c r="J33" i="2"/>
  <c r="G33" i="2"/>
  <c r="E33" i="2"/>
  <c r="B33" i="2"/>
  <c r="M32" i="2"/>
  <c r="J32" i="2"/>
  <c r="G32" i="2"/>
  <c r="E32" i="2"/>
  <c r="B32" i="2"/>
  <c r="J31" i="2"/>
  <c r="J34" i="2" s="1"/>
  <c r="G31" i="2"/>
  <c r="G34" i="2" s="1"/>
  <c r="E31" i="2"/>
  <c r="E34" i="2" s="1"/>
  <c r="B31" i="2"/>
  <c r="E29" i="2"/>
  <c r="E28" i="2"/>
  <c r="E27" i="2"/>
  <c r="E25" i="2"/>
  <c r="E24" i="2"/>
  <c r="E23" i="2"/>
  <c r="E22" i="2"/>
  <c r="E20" i="2"/>
  <c r="E19" i="2"/>
  <c r="E16" i="2"/>
  <c r="E15" i="2"/>
  <c r="E14" i="2"/>
  <c r="E13" i="2"/>
  <c r="E12" i="2"/>
  <c r="E11" i="2"/>
  <c r="H10" i="2"/>
  <c r="H11" i="2" s="1"/>
  <c r="E10" i="2"/>
  <c r="E9" i="2"/>
  <c r="G6" i="2"/>
  <c r="F6" i="2"/>
  <c r="B2" i="2"/>
  <c r="BE194" i="7"/>
  <c r="BA194" i="7"/>
  <c r="AZ194" i="7"/>
  <c r="AY194" i="7"/>
  <c r="L194" i="7"/>
  <c r="BE193" i="7"/>
  <c r="BA193" i="7"/>
  <c r="AZ193" i="7"/>
  <c r="AY193" i="7"/>
  <c r="L193" i="7"/>
  <c r="BE192" i="7"/>
  <c r="BA192" i="7"/>
  <c r="AZ192" i="7"/>
  <c r="AY192" i="7"/>
  <c r="L192" i="7"/>
  <c r="BE191" i="7"/>
  <c r="BA191" i="7"/>
  <c r="AZ191" i="7"/>
  <c r="AY191" i="7"/>
  <c r="L191" i="7"/>
  <c r="BE190" i="7"/>
  <c r="BA190" i="7"/>
  <c r="AZ190" i="7"/>
  <c r="AY190" i="7"/>
  <c r="L190" i="7"/>
  <c r="BE189" i="7"/>
  <c r="BA189" i="7"/>
  <c r="AZ189" i="7"/>
  <c r="AY189" i="7"/>
  <c r="L189" i="7"/>
  <c r="BE188" i="7"/>
  <c r="BA188" i="7"/>
  <c r="AZ188" i="7"/>
  <c r="AY188" i="7"/>
  <c r="L188" i="7"/>
  <c r="BE187" i="7"/>
  <c r="BA187" i="7"/>
  <c r="AZ187" i="7"/>
  <c r="AY187" i="7"/>
  <c r="L187" i="7"/>
  <c r="BE186" i="7"/>
  <c r="BA186" i="7"/>
  <c r="AZ186" i="7"/>
  <c r="AY186" i="7"/>
  <c r="L186" i="7"/>
  <c r="BE185" i="7"/>
  <c r="BA185" i="7"/>
  <c r="AZ185" i="7"/>
  <c r="AY185" i="7"/>
  <c r="L185" i="7"/>
  <c r="BE184" i="7"/>
  <c r="BA184" i="7"/>
  <c r="AZ184" i="7"/>
  <c r="AY184" i="7"/>
  <c r="L184" i="7"/>
  <c r="BE183" i="7"/>
  <c r="BA183" i="7"/>
  <c r="AZ183" i="7"/>
  <c r="AY183" i="7"/>
  <c r="L183" i="7"/>
  <c r="BE182" i="7"/>
  <c r="BA182" i="7"/>
  <c r="AZ182" i="7"/>
  <c r="AY182" i="7"/>
  <c r="L182" i="7"/>
  <c r="BE181" i="7"/>
  <c r="BA181" i="7"/>
  <c r="AZ181" i="7"/>
  <c r="AY181" i="7"/>
  <c r="L181" i="7"/>
  <c r="BE180" i="7"/>
  <c r="BA180" i="7"/>
  <c r="AZ180" i="7"/>
  <c r="AY180" i="7"/>
  <c r="BE179" i="7"/>
  <c r="BA179" i="7"/>
  <c r="AZ179" i="7"/>
  <c r="AY179" i="7"/>
  <c r="L179" i="7"/>
  <c r="BE178" i="7"/>
  <c r="BA178" i="7"/>
  <c r="AZ178" i="7"/>
  <c r="AY178" i="7"/>
  <c r="L178" i="7"/>
  <c r="BE129" i="7"/>
  <c r="BA129" i="7"/>
  <c r="AZ129" i="7"/>
  <c r="AY129" i="7"/>
  <c r="L129" i="7"/>
  <c r="BE59" i="7"/>
  <c r="BA59" i="7"/>
  <c r="AZ59" i="7"/>
  <c r="AY59" i="7"/>
  <c r="L59" i="7"/>
  <c r="BE58" i="7"/>
  <c r="BA58" i="7"/>
  <c r="AZ58" i="7"/>
  <c r="AY58" i="7"/>
  <c r="L58" i="7"/>
  <c r="BE175" i="7"/>
  <c r="BA175" i="7"/>
  <c r="AY175" i="7"/>
  <c r="AR175" i="7"/>
  <c r="AZ175" i="7" s="1"/>
  <c r="AQ175" i="7"/>
  <c r="AL175" i="7"/>
  <c r="AM175" i="7" s="1"/>
  <c r="AN175" i="7" s="1"/>
  <c r="Y175" i="7"/>
  <c r="AA175" i="7" s="1"/>
  <c r="L175" i="7"/>
  <c r="BE174" i="7"/>
  <c r="BA174" i="7"/>
  <c r="AY174" i="7"/>
  <c r="AR174" i="7"/>
  <c r="AZ174" i="7" s="1"/>
  <c r="AQ174" i="7"/>
  <c r="AL174" i="7"/>
  <c r="AM174" i="7" s="1"/>
  <c r="Y174" i="7"/>
  <c r="L174" i="7"/>
  <c r="BE164" i="7"/>
  <c r="BA164" i="7"/>
  <c r="AY164" i="7"/>
  <c r="AR164" i="7"/>
  <c r="AZ164" i="7" s="1"/>
  <c r="AQ164" i="7"/>
  <c r="AU164" i="7" s="1"/>
  <c r="AL164" i="7"/>
  <c r="AM164" i="7" s="1"/>
  <c r="Y164" i="7"/>
  <c r="AD164" i="7" s="1"/>
  <c r="L164" i="7"/>
  <c r="BE163" i="7"/>
  <c r="BA163" i="7"/>
  <c r="AY163" i="7"/>
  <c r="AR163" i="7"/>
  <c r="AZ163" i="7" s="1"/>
  <c r="AQ163" i="7"/>
  <c r="AL163" i="7"/>
  <c r="AM163" i="7" s="1"/>
  <c r="AN163" i="7" s="1"/>
  <c r="AO163" i="7" s="1"/>
  <c r="Y163" i="7"/>
  <c r="AD163" i="7" s="1"/>
  <c r="L163" i="7"/>
  <c r="BE128" i="7"/>
  <c r="BA128" i="7"/>
  <c r="AY128" i="7"/>
  <c r="AR128" i="7"/>
  <c r="AZ128" i="7" s="1"/>
  <c r="AQ128" i="7"/>
  <c r="AN128" i="7"/>
  <c r="AO128" i="7" s="1"/>
  <c r="Y128" i="7"/>
  <c r="AB128" i="7" s="1"/>
  <c r="BE127" i="7"/>
  <c r="BA127" i="7"/>
  <c r="AY127" i="7"/>
  <c r="AR127" i="7"/>
  <c r="AZ127" i="7" s="1"/>
  <c r="AQ127" i="7"/>
  <c r="AS127" i="7" s="1"/>
  <c r="AN127" i="7"/>
  <c r="AO127" i="7" s="1"/>
  <c r="Y127" i="7"/>
  <c r="AC127" i="7" s="1"/>
  <c r="BE116" i="7"/>
  <c r="AR116" i="7"/>
  <c r="AQ116" i="7"/>
  <c r="Y116" i="7"/>
  <c r="L116" i="7"/>
  <c r="BE95" i="7"/>
  <c r="BA95" i="7"/>
  <c r="AY95" i="7"/>
  <c r="AR95" i="7"/>
  <c r="AZ95" i="7" s="1"/>
  <c r="AQ95" i="7"/>
  <c r="AL95" i="7"/>
  <c r="AM95" i="7" s="1"/>
  <c r="Y95" i="7"/>
  <c r="AB95" i="7" s="1"/>
  <c r="L95" i="7"/>
  <c r="BE94" i="7"/>
  <c r="BA94" i="7"/>
  <c r="AY94" i="7"/>
  <c r="AR94" i="7"/>
  <c r="AZ94" i="7" s="1"/>
  <c r="AQ94" i="7"/>
  <c r="AT94" i="7" s="1"/>
  <c r="AL94" i="7"/>
  <c r="AM94" i="7" s="1"/>
  <c r="AN94" i="7" s="1"/>
  <c r="Y94" i="7"/>
  <c r="AC94" i="7" s="1"/>
  <c r="L94" i="7"/>
  <c r="BE155" i="7"/>
  <c r="BA155" i="7"/>
  <c r="AY155" i="7"/>
  <c r="AR155" i="7"/>
  <c r="AZ155" i="7" s="1"/>
  <c r="AQ155" i="7"/>
  <c r="AU155" i="7" s="1"/>
  <c r="AN155" i="7"/>
  <c r="AO155" i="7" s="1"/>
  <c r="Y155" i="7"/>
  <c r="AD155" i="7" s="1"/>
  <c r="L155" i="7"/>
  <c r="BE17" i="7"/>
  <c r="BA17" i="7"/>
  <c r="AY17" i="7"/>
  <c r="AR17" i="7"/>
  <c r="AZ17" i="7" s="1"/>
  <c r="AQ17" i="7"/>
  <c r="AU17" i="7" s="1"/>
  <c r="AL17" i="7"/>
  <c r="AM17" i="7" s="1"/>
  <c r="AN17" i="7" s="1"/>
  <c r="Y17" i="7"/>
  <c r="L17" i="7"/>
  <c r="BE154" i="7"/>
  <c r="BA154" i="7"/>
  <c r="AY154" i="7"/>
  <c r="AR154" i="7"/>
  <c r="AZ154" i="7" s="1"/>
  <c r="AQ154" i="7"/>
  <c r="AT154" i="7" s="1"/>
  <c r="AN154" i="7"/>
  <c r="AO154" i="7" s="1"/>
  <c r="Y154" i="7"/>
  <c r="AC154" i="7" s="1"/>
  <c r="L154" i="7"/>
  <c r="BE120" i="7"/>
  <c r="BA120" i="7"/>
  <c r="AY120" i="7"/>
  <c r="AR120" i="7"/>
  <c r="AZ120" i="7" s="1"/>
  <c r="AQ120" i="7"/>
  <c r="AL120" i="7"/>
  <c r="AM120" i="7" s="1"/>
  <c r="Y120" i="7"/>
  <c r="AD120" i="7" s="1"/>
  <c r="L120" i="7"/>
  <c r="BE117" i="7"/>
  <c r="BA117" i="7"/>
  <c r="AY117" i="7"/>
  <c r="AR117" i="7"/>
  <c r="AZ117" i="7" s="1"/>
  <c r="AQ117" i="7"/>
  <c r="AS117" i="7" s="1"/>
  <c r="AL117" i="7"/>
  <c r="AM117" i="7" s="1"/>
  <c r="AN117" i="7" s="1"/>
  <c r="Y117" i="7"/>
  <c r="L117" i="7"/>
  <c r="BE115" i="7"/>
  <c r="BA115" i="7"/>
  <c r="AY115" i="7"/>
  <c r="AR115" i="7"/>
  <c r="AZ115" i="7" s="1"/>
  <c r="AQ115" i="7"/>
  <c r="AS115" i="7" s="1"/>
  <c r="AL115" i="7"/>
  <c r="AM115" i="7" s="1"/>
  <c r="Y115" i="7"/>
  <c r="L115" i="7"/>
  <c r="BE113" i="7"/>
  <c r="BA113" i="7"/>
  <c r="AY113" i="7"/>
  <c r="AR113" i="7"/>
  <c r="AZ113" i="7" s="1"/>
  <c r="AQ113" i="7"/>
  <c r="AL113" i="7"/>
  <c r="AM113" i="7" s="1"/>
  <c r="Y113" i="7"/>
  <c r="AE113" i="7" s="1"/>
  <c r="L113" i="7"/>
  <c r="BE100" i="7"/>
  <c r="BA100" i="7"/>
  <c r="AY100" i="7"/>
  <c r="AR100" i="7"/>
  <c r="AZ100" i="7" s="1"/>
  <c r="AQ100" i="7"/>
  <c r="AS100" i="7" s="1"/>
  <c r="AN100" i="7"/>
  <c r="AO100" i="7" s="1"/>
  <c r="Y100" i="7"/>
  <c r="AD100" i="7" s="1"/>
  <c r="L100" i="7"/>
  <c r="BE92" i="7"/>
  <c r="BA92" i="7"/>
  <c r="AY92" i="7"/>
  <c r="AR92" i="7"/>
  <c r="AZ92" i="7" s="1"/>
  <c r="AQ92" i="7"/>
  <c r="AU92" i="7" s="1"/>
  <c r="AL92" i="7"/>
  <c r="AM92" i="7" s="1"/>
  <c r="Y92" i="7"/>
  <c r="AA92" i="7" s="1"/>
  <c r="L92" i="7"/>
  <c r="BE80" i="7"/>
  <c r="BA80" i="7"/>
  <c r="AY80" i="7"/>
  <c r="AR80" i="7"/>
  <c r="AZ80" i="7" s="1"/>
  <c r="AQ80" i="7"/>
  <c r="AL80" i="7"/>
  <c r="AM80" i="7" s="1"/>
  <c r="AN80" i="7" s="1"/>
  <c r="AO80" i="7" s="1"/>
  <c r="Y80" i="7"/>
  <c r="AE80" i="7" s="1"/>
  <c r="L80" i="7"/>
  <c r="BE50" i="7"/>
  <c r="BA50" i="7"/>
  <c r="AY50" i="7"/>
  <c r="AR50" i="7"/>
  <c r="AZ50" i="7" s="1"/>
  <c r="AQ50" i="7"/>
  <c r="AS50" i="7" s="1"/>
  <c r="AL50" i="7"/>
  <c r="AM50" i="7" s="1"/>
  <c r="Y50" i="7"/>
  <c r="L50" i="7"/>
  <c r="BE19" i="7"/>
  <c r="BA19" i="7"/>
  <c r="AY19" i="7"/>
  <c r="AR19" i="7"/>
  <c r="AZ19" i="7" s="1"/>
  <c r="AQ19" i="7"/>
  <c r="AL19" i="7"/>
  <c r="AM19" i="7" s="1"/>
  <c r="AN19" i="7" s="1"/>
  <c r="Y19" i="7"/>
  <c r="L19" i="7"/>
  <c r="BE79" i="7"/>
  <c r="BA79" i="7"/>
  <c r="AY79" i="7"/>
  <c r="AR79" i="7"/>
  <c r="AZ79" i="7" s="1"/>
  <c r="AQ79" i="7"/>
  <c r="AL79" i="7"/>
  <c r="AM79" i="7" s="1"/>
  <c r="Y79" i="7"/>
  <c r="AA79" i="7" s="1"/>
  <c r="L79" i="7"/>
  <c r="BE16" i="7"/>
  <c r="BA16" i="7"/>
  <c r="AY16" i="7"/>
  <c r="AR16" i="7"/>
  <c r="AZ16" i="7" s="1"/>
  <c r="AQ16" i="7"/>
  <c r="AL16" i="7"/>
  <c r="AM16" i="7" s="1"/>
  <c r="AN16" i="7" s="1"/>
  <c r="Y16" i="7"/>
  <c r="AD16" i="7" s="1"/>
  <c r="L16" i="7"/>
  <c r="BE14" i="7"/>
  <c r="BA14" i="7"/>
  <c r="AY14" i="7"/>
  <c r="AR14" i="7"/>
  <c r="AZ14" i="7" s="1"/>
  <c r="AQ14" i="7"/>
  <c r="AU14" i="7" s="1"/>
  <c r="AL14" i="7"/>
  <c r="AM14" i="7" s="1"/>
  <c r="Y14" i="7"/>
  <c r="L14" i="7"/>
  <c r="BE11" i="7"/>
  <c r="BA11" i="7"/>
  <c r="AY11" i="7"/>
  <c r="AR11" i="7"/>
  <c r="AZ11" i="7" s="1"/>
  <c r="AQ11" i="7"/>
  <c r="AN11" i="7"/>
  <c r="AO11" i="7" s="1"/>
  <c r="Y11" i="7"/>
  <c r="AC11" i="7" s="1"/>
  <c r="L11" i="7"/>
  <c r="BE87" i="7"/>
  <c r="BA87" i="7"/>
  <c r="AY87" i="7"/>
  <c r="AR87" i="7"/>
  <c r="AZ87" i="7" s="1"/>
  <c r="AQ87" i="7"/>
  <c r="Y87" i="7"/>
  <c r="AC87" i="7" s="1"/>
  <c r="L87" i="7"/>
  <c r="BE177" i="7"/>
  <c r="BA177" i="7"/>
  <c r="AY177" i="7"/>
  <c r="AR177" i="7"/>
  <c r="AZ177" i="7" s="1"/>
  <c r="AQ177" i="7"/>
  <c r="AU177" i="7" s="1"/>
  <c r="AL177" i="7"/>
  <c r="AM177" i="7" s="1"/>
  <c r="AO177" i="7" s="1"/>
  <c r="Y177" i="7"/>
  <c r="L177" i="7"/>
  <c r="BE172" i="7"/>
  <c r="BA172" i="7"/>
  <c r="AY172" i="7"/>
  <c r="AR172" i="7"/>
  <c r="AZ172" i="7" s="1"/>
  <c r="AQ172" i="7"/>
  <c r="AL172" i="7"/>
  <c r="AM172" i="7" s="1"/>
  <c r="AO172" i="7" s="1"/>
  <c r="Y172" i="7"/>
  <c r="L172" i="7"/>
  <c r="BE169" i="7"/>
  <c r="BA169" i="7"/>
  <c r="AY169" i="7"/>
  <c r="AR169" i="7"/>
  <c r="AZ169" i="7" s="1"/>
  <c r="AQ169" i="7"/>
  <c r="AN169" i="7"/>
  <c r="AO169" i="7" s="1"/>
  <c r="Y169" i="7"/>
  <c r="AC169" i="7" s="1"/>
  <c r="BE166" i="7"/>
  <c r="BA166" i="7"/>
  <c r="AY166" i="7"/>
  <c r="AR166" i="7"/>
  <c r="AZ166" i="7" s="1"/>
  <c r="AQ166" i="7"/>
  <c r="AL166" i="7"/>
  <c r="AM166" i="7" s="1"/>
  <c r="Y166" i="7"/>
  <c r="AD166" i="7" s="1"/>
  <c r="L166" i="7"/>
  <c r="BE165" i="7"/>
  <c r="BA165" i="7"/>
  <c r="AY165" i="7"/>
  <c r="AR165" i="7"/>
  <c r="AZ165" i="7" s="1"/>
  <c r="AQ165" i="7"/>
  <c r="AU165" i="7" s="1"/>
  <c r="AN165" i="7"/>
  <c r="AO165" i="7" s="1"/>
  <c r="Y165" i="7"/>
  <c r="AE165" i="7" s="1"/>
  <c r="L165" i="7"/>
  <c r="BE157" i="7"/>
  <c r="BA157" i="7"/>
  <c r="AY157" i="7"/>
  <c r="AR157" i="7"/>
  <c r="AZ157" i="7" s="1"/>
  <c r="AQ157" i="7"/>
  <c r="AL157" i="7"/>
  <c r="AM157" i="7" s="1"/>
  <c r="Y157" i="7"/>
  <c r="L157" i="7"/>
  <c r="BE148" i="7"/>
  <c r="BA148" i="7"/>
  <c r="AY148" i="7"/>
  <c r="AR148" i="7"/>
  <c r="AZ148" i="7" s="1"/>
  <c r="AQ148" i="7"/>
  <c r="AT148" i="7" s="1"/>
  <c r="AL148" i="7"/>
  <c r="AM148" i="7" s="1"/>
  <c r="Y148" i="7"/>
  <c r="L148" i="7"/>
  <c r="BE141" i="7"/>
  <c r="BA141" i="7"/>
  <c r="AY141" i="7"/>
  <c r="AR141" i="7"/>
  <c r="AZ141" i="7" s="1"/>
  <c r="AQ141" i="7"/>
  <c r="AL141" i="7"/>
  <c r="AM141" i="7" s="1"/>
  <c r="AN141" i="7" s="1"/>
  <c r="AO141" i="7" s="1"/>
  <c r="Y141" i="7"/>
  <c r="AD141" i="7" s="1"/>
  <c r="L141" i="7"/>
  <c r="BE136" i="7"/>
  <c r="BA136" i="7"/>
  <c r="AY136" i="7"/>
  <c r="AR136" i="7"/>
  <c r="AZ136" i="7" s="1"/>
  <c r="AQ136" i="7"/>
  <c r="AU136" i="7" s="1"/>
  <c r="AL136" i="7"/>
  <c r="AM136" i="7" s="1"/>
  <c r="Y136" i="7"/>
  <c r="L136" i="7"/>
  <c r="BE121" i="7"/>
  <c r="BA121" i="7"/>
  <c r="AY121" i="7"/>
  <c r="AR121" i="7"/>
  <c r="AZ121" i="7" s="1"/>
  <c r="AQ121" i="7"/>
  <c r="AL121" i="7"/>
  <c r="AM121" i="7" s="1"/>
  <c r="Y121" i="7"/>
  <c r="AD121" i="7" s="1"/>
  <c r="L121" i="7"/>
  <c r="BE114" i="7"/>
  <c r="BA114" i="7"/>
  <c r="AY114" i="7"/>
  <c r="AR114" i="7"/>
  <c r="AZ114" i="7" s="1"/>
  <c r="AQ114" i="7"/>
  <c r="AT114" i="7" s="1"/>
  <c r="AL114" i="7"/>
  <c r="AM114" i="7" s="1"/>
  <c r="AN114" i="7" s="1"/>
  <c r="AO114" i="7" s="1"/>
  <c r="Y114" i="7"/>
  <c r="AB114" i="7" s="1"/>
  <c r="L114" i="7"/>
  <c r="BE109" i="7"/>
  <c r="BA109" i="7"/>
  <c r="AY109" i="7"/>
  <c r="AR109" i="7"/>
  <c r="AZ109" i="7" s="1"/>
  <c r="AQ109" i="7"/>
  <c r="AU109" i="7" s="1"/>
  <c r="AL109" i="7"/>
  <c r="AM109" i="7" s="1"/>
  <c r="AN109" i="7" s="1"/>
  <c r="AO109" i="7" s="1"/>
  <c r="Y109" i="7"/>
  <c r="AC109" i="7" s="1"/>
  <c r="L109" i="7"/>
  <c r="BE108" i="7"/>
  <c r="BA108" i="7"/>
  <c r="AY108" i="7"/>
  <c r="AR108" i="7"/>
  <c r="AZ108" i="7" s="1"/>
  <c r="AQ108" i="7"/>
  <c r="AS108" i="7" s="1"/>
  <c r="AL108" i="7"/>
  <c r="AM108" i="7" s="1"/>
  <c r="Y108" i="7"/>
  <c r="L108" i="7"/>
  <c r="BE106" i="7"/>
  <c r="BA106" i="7"/>
  <c r="AY106" i="7"/>
  <c r="AR106" i="7"/>
  <c r="AZ106" i="7" s="1"/>
  <c r="AQ106" i="7"/>
  <c r="AT106" i="7" s="1"/>
  <c r="AN106" i="7"/>
  <c r="AO106" i="7" s="1"/>
  <c r="Y106" i="7"/>
  <c r="AD106" i="7" s="1"/>
  <c r="L106" i="7"/>
  <c r="BE99" i="7"/>
  <c r="BA99" i="7"/>
  <c r="AY99" i="7"/>
  <c r="AR99" i="7"/>
  <c r="AZ99" i="7" s="1"/>
  <c r="AQ99" i="7"/>
  <c r="AS99" i="7" s="1"/>
  <c r="AN99" i="7"/>
  <c r="AO99" i="7" s="1"/>
  <c r="Y99" i="7"/>
  <c r="AB99" i="7" s="1"/>
  <c r="L99" i="7"/>
  <c r="BE97" i="7"/>
  <c r="BA97" i="7"/>
  <c r="AY97" i="7"/>
  <c r="AR97" i="7"/>
  <c r="AZ97" i="7" s="1"/>
  <c r="AQ97" i="7"/>
  <c r="AO97" i="7"/>
  <c r="Y97" i="7"/>
  <c r="AB97" i="7" s="1"/>
  <c r="L97" i="7"/>
  <c r="BE93" i="7"/>
  <c r="BA93" i="7"/>
  <c r="AY93" i="7"/>
  <c r="AR93" i="7"/>
  <c r="AZ93" i="7" s="1"/>
  <c r="AQ93" i="7"/>
  <c r="AL93" i="7"/>
  <c r="AM93" i="7" s="1"/>
  <c r="Y93" i="7"/>
  <c r="AD93" i="7" s="1"/>
  <c r="L93" i="7"/>
  <c r="BE73" i="7"/>
  <c r="BA73" i="7"/>
  <c r="AY73" i="7"/>
  <c r="AR73" i="7"/>
  <c r="AZ73" i="7" s="1"/>
  <c r="AQ73" i="7"/>
  <c r="AU73" i="7" s="1"/>
  <c r="AL73" i="7"/>
  <c r="AM73" i="7" s="1"/>
  <c r="Y73" i="7"/>
  <c r="AB73" i="7" s="1"/>
  <c r="L73" i="7"/>
  <c r="BE67" i="7"/>
  <c r="BA67" i="7"/>
  <c r="AZ67" i="7"/>
  <c r="AY67" i="7"/>
  <c r="AQ67" i="7"/>
  <c r="Y67" i="7"/>
  <c r="L67" i="7"/>
  <c r="BE107" i="7"/>
  <c r="BA107" i="7"/>
  <c r="AY107" i="7"/>
  <c r="AR107" i="7"/>
  <c r="AZ107" i="7" s="1"/>
  <c r="AQ107" i="7"/>
  <c r="AN107" i="7"/>
  <c r="AO107" i="7" s="1"/>
  <c r="Y107" i="7"/>
  <c r="L107" i="7"/>
  <c r="BE12" i="7"/>
  <c r="BA12" i="7"/>
  <c r="AY12" i="7"/>
  <c r="AR12" i="7"/>
  <c r="AZ12" i="7" s="1"/>
  <c r="AQ12" i="7"/>
  <c r="AU12" i="7" s="1"/>
  <c r="AL12" i="7"/>
  <c r="AM12" i="7" s="1"/>
  <c r="Y12" i="7"/>
  <c r="L12" i="7"/>
  <c r="BE9" i="7"/>
  <c r="BA9" i="7"/>
  <c r="AY9" i="7"/>
  <c r="AR9" i="7"/>
  <c r="AZ9" i="7" s="1"/>
  <c r="AQ9" i="7"/>
  <c r="AN9" i="7"/>
  <c r="AO9" i="7" s="1"/>
  <c r="Y9" i="7"/>
  <c r="L9" i="7"/>
  <c r="BE8" i="7"/>
  <c r="BA8" i="7"/>
  <c r="AY8" i="7"/>
  <c r="AR8" i="7"/>
  <c r="AZ8" i="7" s="1"/>
  <c r="AQ8" i="7"/>
  <c r="AT8" i="7" s="1"/>
  <c r="AN8" i="7"/>
  <c r="AO8" i="7" s="1"/>
  <c r="Y8" i="7"/>
  <c r="AB8" i="7" s="1"/>
  <c r="L8" i="7"/>
  <c r="BE6" i="7"/>
  <c r="BA6" i="7"/>
  <c r="AY6" i="7"/>
  <c r="AR6" i="7"/>
  <c r="AZ6" i="7" s="1"/>
  <c r="AQ6" i="7"/>
  <c r="AS6" i="7" s="1"/>
  <c r="AL6" i="7"/>
  <c r="AM6" i="7" s="1"/>
  <c r="Y6" i="7"/>
  <c r="AE6" i="7" s="1"/>
  <c r="L6" i="7"/>
  <c r="BE173" i="7"/>
  <c r="BA173" i="7"/>
  <c r="AY173" i="7"/>
  <c r="AR173" i="7"/>
  <c r="AZ173" i="7" s="1"/>
  <c r="AQ173" i="7"/>
  <c r="AS173" i="7" s="1"/>
  <c r="AL173" i="7"/>
  <c r="AM173" i="7" s="1"/>
  <c r="Y173" i="7"/>
  <c r="L173" i="7"/>
  <c r="BE168" i="7"/>
  <c r="BA168" i="7"/>
  <c r="AY168" i="7"/>
  <c r="AR168" i="7"/>
  <c r="AZ168" i="7" s="1"/>
  <c r="AQ168" i="7"/>
  <c r="AT168" i="7" s="1"/>
  <c r="AL168" i="7"/>
  <c r="AM168" i="7" s="1"/>
  <c r="Y168" i="7"/>
  <c r="L168" i="7"/>
  <c r="BE161" i="7"/>
  <c r="BA161" i="7"/>
  <c r="AY161" i="7"/>
  <c r="AR161" i="7"/>
  <c r="AZ161" i="7" s="1"/>
  <c r="AQ161" i="7"/>
  <c r="AL161" i="7"/>
  <c r="AM161" i="7" s="1"/>
  <c r="Y161" i="7"/>
  <c r="L161" i="7"/>
  <c r="BE160" i="7"/>
  <c r="BA160" i="7"/>
  <c r="AY160" i="7"/>
  <c r="AR160" i="7"/>
  <c r="AZ160" i="7" s="1"/>
  <c r="AQ160" i="7"/>
  <c r="AS160" i="7" s="1"/>
  <c r="AL160" i="7"/>
  <c r="AM160" i="7" s="1"/>
  <c r="Y160" i="7"/>
  <c r="AE160" i="7" s="1"/>
  <c r="L160" i="7"/>
  <c r="BE159" i="7"/>
  <c r="BA159" i="7"/>
  <c r="AY159" i="7"/>
  <c r="AR159" i="7"/>
  <c r="AZ159" i="7" s="1"/>
  <c r="AQ159" i="7"/>
  <c r="AN159" i="7"/>
  <c r="AO159" i="7" s="1"/>
  <c r="Y159" i="7"/>
  <c r="L159" i="7"/>
  <c r="BE151" i="7"/>
  <c r="BA151" i="7"/>
  <c r="AY151" i="7"/>
  <c r="AR151" i="7"/>
  <c r="AZ151" i="7" s="1"/>
  <c r="AQ151" i="7"/>
  <c r="AL151" i="7"/>
  <c r="AM151" i="7" s="1"/>
  <c r="Y151" i="7"/>
  <c r="L151" i="7"/>
  <c r="BE140" i="7"/>
  <c r="BA140" i="7"/>
  <c r="AY140" i="7"/>
  <c r="AR140" i="7"/>
  <c r="AZ140" i="7" s="1"/>
  <c r="AQ140" i="7"/>
  <c r="AL140" i="7"/>
  <c r="AM140" i="7" s="1"/>
  <c r="AN140" i="7" s="1"/>
  <c r="Y140" i="7"/>
  <c r="L140" i="7"/>
  <c r="BE134" i="7"/>
  <c r="BA134" i="7"/>
  <c r="AY134" i="7"/>
  <c r="AR134" i="7"/>
  <c r="AZ134" i="7" s="1"/>
  <c r="AQ134" i="7"/>
  <c r="AU134" i="7" s="1"/>
  <c r="AL134" i="7"/>
  <c r="AM134" i="7" s="1"/>
  <c r="AN134" i="7" s="1"/>
  <c r="AO134" i="7" s="1"/>
  <c r="Y134" i="7"/>
  <c r="AC134" i="7" s="1"/>
  <c r="L134" i="7"/>
  <c r="BE126" i="7"/>
  <c r="BA126" i="7"/>
  <c r="AY126" i="7"/>
  <c r="AR126" i="7"/>
  <c r="AZ126" i="7" s="1"/>
  <c r="AQ126" i="7"/>
  <c r="AU126" i="7" s="1"/>
  <c r="AL126" i="7"/>
  <c r="AM126" i="7" s="1"/>
  <c r="Y126" i="7"/>
  <c r="L126" i="7"/>
  <c r="BE124" i="7"/>
  <c r="BA124" i="7"/>
  <c r="AY124" i="7"/>
  <c r="AR124" i="7"/>
  <c r="AZ124" i="7" s="1"/>
  <c r="AQ124" i="7"/>
  <c r="AN124" i="7"/>
  <c r="AO124" i="7" s="1"/>
  <c r="Y124" i="7"/>
  <c r="AA124" i="7" s="1"/>
  <c r="L124" i="7"/>
  <c r="BE111" i="7"/>
  <c r="BA111" i="7"/>
  <c r="AY111" i="7"/>
  <c r="AR111" i="7"/>
  <c r="AZ111" i="7" s="1"/>
  <c r="AQ111" i="7"/>
  <c r="AL111" i="7"/>
  <c r="AM111" i="7" s="1"/>
  <c r="Y111" i="7"/>
  <c r="L111" i="7"/>
  <c r="BE77" i="7"/>
  <c r="BA77" i="7"/>
  <c r="AY77" i="7"/>
  <c r="AR77" i="7"/>
  <c r="AZ77" i="7" s="1"/>
  <c r="AQ77" i="7"/>
  <c r="AL77" i="7"/>
  <c r="AM77" i="7" s="1"/>
  <c r="Y77" i="7"/>
  <c r="AC77" i="7" s="1"/>
  <c r="L77" i="7"/>
  <c r="BE76" i="7"/>
  <c r="BA76" i="7"/>
  <c r="AY76" i="7"/>
  <c r="AR76" i="7"/>
  <c r="AZ76" i="7" s="1"/>
  <c r="AQ76" i="7"/>
  <c r="AU76" i="7" s="1"/>
  <c r="AN76" i="7"/>
  <c r="AO76" i="7" s="1"/>
  <c r="Y76" i="7"/>
  <c r="L76" i="7"/>
  <c r="BE75" i="7"/>
  <c r="BA75" i="7"/>
  <c r="AY75" i="7"/>
  <c r="AR75" i="7"/>
  <c r="AZ75" i="7" s="1"/>
  <c r="AQ75" i="7"/>
  <c r="AU75" i="7" s="1"/>
  <c r="AL75" i="7"/>
  <c r="AM75" i="7" s="1"/>
  <c r="Y75" i="7"/>
  <c r="AD75" i="7" s="1"/>
  <c r="T75" i="7"/>
  <c r="H24" i="2" s="1"/>
  <c r="L75" i="7"/>
  <c r="BE63" i="7"/>
  <c r="BA63" i="7"/>
  <c r="AY63" i="7"/>
  <c r="AR63" i="7"/>
  <c r="AZ63" i="7" s="1"/>
  <c r="AQ63" i="7"/>
  <c r="AU63" i="7" s="1"/>
  <c r="AL63" i="7"/>
  <c r="AM63" i="7" s="1"/>
  <c r="Y63" i="7"/>
  <c r="L63" i="7"/>
  <c r="BE60" i="7"/>
  <c r="BA60" i="7"/>
  <c r="AY60" i="7"/>
  <c r="AR60" i="7"/>
  <c r="AZ60" i="7" s="1"/>
  <c r="AQ60" i="7"/>
  <c r="AS60" i="7" s="1"/>
  <c r="AL60" i="7"/>
  <c r="AM60" i="7" s="1"/>
  <c r="Y60" i="7"/>
  <c r="L60" i="7"/>
  <c r="BE57" i="7"/>
  <c r="BA57" i="7"/>
  <c r="AY57" i="7"/>
  <c r="AR57" i="7"/>
  <c r="AZ57" i="7" s="1"/>
  <c r="AQ57" i="7"/>
  <c r="AL57" i="7"/>
  <c r="AM57" i="7" s="1"/>
  <c r="AN57" i="7" s="1"/>
  <c r="Y57" i="7"/>
  <c r="AB57" i="7" s="1"/>
  <c r="L57" i="7"/>
  <c r="BE56" i="7"/>
  <c r="BA56" i="7"/>
  <c r="AY56" i="7"/>
  <c r="AR56" i="7"/>
  <c r="AZ56" i="7" s="1"/>
  <c r="AQ56" i="7"/>
  <c r="AL56" i="7"/>
  <c r="AM56" i="7" s="1"/>
  <c r="AN56" i="7" s="1"/>
  <c r="Y56" i="7"/>
  <c r="AE56" i="7" s="1"/>
  <c r="L56" i="7"/>
  <c r="BE51" i="7"/>
  <c r="BA51" i="7"/>
  <c r="AY51" i="7"/>
  <c r="AR51" i="7"/>
  <c r="AZ51" i="7" s="1"/>
  <c r="AQ51" i="7"/>
  <c r="AL51" i="7"/>
  <c r="AM51" i="7" s="1"/>
  <c r="AN51" i="7" s="1"/>
  <c r="Y51" i="7"/>
  <c r="L51" i="7"/>
  <c r="BE38" i="7"/>
  <c r="BA38" i="7"/>
  <c r="AY38" i="7"/>
  <c r="AR38" i="7"/>
  <c r="AZ38" i="7" s="1"/>
  <c r="AQ38" i="7"/>
  <c r="AL38" i="7"/>
  <c r="AM38" i="7" s="1"/>
  <c r="Y38" i="7"/>
  <c r="AD38" i="7" s="1"/>
  <c r="L38" i="7"/>
  <c r="BE26" i="7"/>
  <c r="BA26" i="7"/>
  <c r="AY26" i="7"/>
  <c r="AR26" i="7"/>
  <c r="AZ26" i="7" s="1"/>
  <c r="AQ26" i="7"/>
  <c r="AN26" i="7"/>
  <c r="AO26" i="7" s="1"/>
  <c r="Y26" i="7"/>
  <c r="L26" i="7"/>
  <c r="BE25" i="7"/>
  <c r="BA25" i="7"/>
  <c r="AY25" i="7"/>
  <c r="AR25" i="7"/>
  <c r="AZ25" i="7" s="1"/>
  <c r="AQ25" i="7"/>
  <c r="AT25" i="7" s="1"/>
  <c r="AN25" i="7"/>
  <c r="AO25" i="7" s="1"/>
  <c r="Y25" i="7"/>
  <c r="L25" i="7"/>
  <c r="BE20" i="7"/>
  <c r="BA20" i="7"/>
  <c r="AY20" i="7"/>
  <c r="AR20" i="7"/>
  <c r="AZ20" i="7" s="1"/>
  <c r="AQ20" i="7"/>
  <c r="AU20" i="7" s="1"/>
  <c r="AL20" i="7"/>
  <c r="AM20" i="7" s="1"/>
  <c r="Y20" i="7"/>
  <c r="AB20" i="7" s="1"/>
  <c r="L20" i="7"/>
  <c r="BE10" i="7"/>
  <c r="BA10" i="7"/>
  <c r="AY10" i="7"/>
  <c r="AR10" i="7"/>
  <c r="AZ10" i="7" s="1"/>
  <c r="AQ10" i="7"/>
  <c r="AL10" i="7"/>
  <c r="AM10" i="7" s="1"/>
  <c r="AN10" i="7" s="1"/>
  <c r="Y10" i="7"/>
  <c r="L10" i="7"/>
  <c r="BE142" i="7"/>
  <c r="BA142" i="7"/>
  <c r="AY142" i="7"/>
  <c r="AR142" i="7"/>
  <c r="AZ142" i="7" s="1"/>
  <c r="AQ142" i="7"/>
  <c r="AT142" i="7" s="1"/>
  <c r="AL142" i="7"/>
  <c r="AM142" i="7" s="1"/>
  <c r="AN142" i="7" s="1"/>
  <c r="Y142" i="7"/>
  <c r="AB142" i="7" s="1"/>
  <c r="L142" i="7"/>
  <c r="BE5" i="7"/>
  <c r="BA5" i="7"/>
  <c r="AY5" i="7"/>
  <c r="AR5" i="7"/>
  <c r="AZ5" i="7" s="1"/>
  <c r="AQ5" i="7"/>
  <c r="AU5" i="7" s="1"/>
  <c r="AL5" i="7"/>
  <c r="AM5" i="7" s="1"/>
  <c r="Y5" i="7"/>
  <c r="AA5" i="7" s="1"/>
  <c r="L5" i="7"/>
  <c r="BE167" i="7"/>
  <c r="BA167" i="7"/>
  <c r="AY167" i="7"/>
  <c r="AR167" i="7"/>
  <c r="AZ167" i="7" s="1"/>
  <c r="AQ167" i="7"/>
  <c r="AT167" i="7" s="1"/>
  <c r="AL167" i="7"/>
  <c r="AM167" i="7" s="1"/>
  <c r="AN167" i="7" s="1"/>
  <c r="Y167" i="7"/>
  <c r="L167" i="7"/>
  <c r="BE158" i="7"/>
  <c r="BA158" i="7"/>
  <c r="AY158" i="7"/>
  <c r="AR158" i="7"/>
  <c r="AZ158" i="7" s="1"/>
  <c r="AQ158" i="7"/>
  <c r="AU158" i="7" s="1"/>
  <c r="AN158" i="7"/>
  <c r="AO158" i="7" s="1"/>
  <c r="Y158" i="7"/>
  <c r="L158" i="7"/>
  <c r="BE145" i="7"/>
  <c r="BA145" i="7"/>
  <c r="AY145" i="7"/>
  <c r="AR145" i="7"/>
  <c r="AZ145" i="7" s="1"/>
  <c r="AQ145" i="7"/>
  <c r="AL145" i="7"/>
  <c r="AM145" i="7" s="1"/>
  <c r="AN145" i="7" s="1"/>
  <c r="Y145" i="7"/>
  <c r="L145" i="7"/>
  <c r="BE139" i="7"/>
  <c r="BA139" i="7"/>
  <c r="AY139" i="7"/>
  <c r="AR139" i="7"/>
  <c r="AZ139" i="7" s="1"/>
  <c r="AQ139" i="7"/>
  <c r="Y139" i="7"/>
  <c r="BE138" i="7"/>
  <c r="BA138" i="7"/>
  <c r="AY138" i="7"/>
  <c r="AR138" i="7"/>
  <c r="AZ138" i="7" s="1"/>
  <c r="AQ138" i="7"/>
  <c r="AU138" i="7" s="1"/>
  <c r="Y138" i="7"/>
  <c r="L138" i="7"/>
  <c r="BE137" i="7"/>
  <c r="BA137" i="7"/>
  <c r="AY137" i="7"/>
  <c r="AR137" i="7"/>
  <c r="AZ137" i="7" s="1"/>
  <c r="AQ137" i="7"/>
  <c r="AU137" i="7" s="1"/>
  <c r="AL137" i="7"/>
  <c r="AM137" i="7" s="1"/>
  <c r="Y137" i="7"/>
  <c r="AE137" i="7" s="1"/>
  <c r="L137" i="7"/>
  <c r="BE133" i="7"/>
  <c r="BA133" i="7"/>
  <c r="AY133" i="7"/>
  <c r="AR133" i="7"/>
  <c r="AZ133" i="7" s="1"/>
  <c r="AQ133" i="7"/>
  <c r="AT133" i="7" s="1"/>
  <c r="AN133" i="7"/>
  <c r="AO133" i="7" s="1"/>
  <c r="Y133" i="7"/>
  <c r="AB133" i="7" s="1"/>
  <c r="L133" i="7"/>
  <c r="BE112" i="7"/>
  <c r="BA112" i="7"/>
  <c r="AY112" i="7"/>
  <c r="AR112" i="7"/>
  <c r="AZ112" i="7" s="1"/>
  <c r="AQ112" i="7"/>
  <c r="AS112" i="7" s="1"/>
  <c r="AL112" i="7"/>
  <c r="AM112" i="7" s="1"/>
  <c r="Y112" i="7"/>
  <c r="AA112" i="7" s="1"/>
  <c r="L112" i="7"/>
  <c r="BE105" i="7"/>
  <c r="BA105" i="7"/>
  <c r="AY105" i="7"/>
  <c r="AR105" i="7"/>
  <c r="AZ105" i="7" s="1"/>
  <c r="AQ105" i="7"/>
  <c r="AN105" i="7"/>
  <c r="AO105" i="7" s="1"/>
  <c r="Y105" i="7"/>
  <c r="AD105" i="7" s="1"/>
  <c r="L105" i="7"/>
  <c r="BE98" i="7"/>
  <c r="BA98" i="7"/>
  <c r="AY98" i="7"/>
  <c r="AR98" i="7"/>
  <c r="AZ98" i="7" s="1"/>
  <c r="AQ98" i="7"/>
  <c r="AN98" i="7"/>
  <c r="AO98" i="7" s="1"/>
  <c r="Y98" i="7"/>
  <c r="AA98" i="7" s="1"/>
  <c r="L98" i="7"/>
  <c r="BE90" i="7"/>
  <c r="BA90" i="7"/>
  <c r="AY90" i="7"/>
  <c r="AR90" i="7"/>
  <c r="AZ90" i="7" s="1"/>
  <c r="AQ90" i="7"/>
  <c r="AT90" i="7" s="1"/>
  <c r="AL90" i="7"/>
  <c r="AM90" i="7" s="1"/>
  <c r="Y90" i="7"/>
  <c r="L90" i="7"/>
  <c r="BE89" i="7"/>
  <c r="BA89" i="7"/>
  <c r="AY89" i="7"/>
  <c r="AR89" i="7"/>
  <c r="AZ89" i="7" s="1"/>
  <c r="AQ89" i="7"/>
  <c r="AS89" i="7" s="1"/>
  <c r="AL89" i="7"/>
  <c r="AM89" i="7" s="1"/>
  <c r="AN89" i="7" s="1"/>
  <c r="Y89" i="7"/>
  <c r="AA89" i="7" s="1"/>
  <c r="L89" i="7"/>
  <c r="BE74" i="7"/>
  <c r="BA74" i="7"/>
  <c r="AY74" i="7"/>
  <c r="AR74" i="7"/>
  <c r="AZ74" i="7" s="1"/>
  <c r="AQ74" i="7"/>
  <c r="AT74" i="7" s="1"/>
  <c r="AL74" i="7"/>
  <c r="AM74" i="7" s="1"/>
  <c r="AN74" i="7" s="1"/>
  <c r="Y74" i="7"/>
  <c r="AB74" i="7" s="1"/>
  <c r="L74" i="7"/>
  <c r="BE66" i="7"/>
  <c r="AQ66" i="7"/>
  <c r="AU66" i="7" s="1"/>
  <c r="AL66" i="7"/>
  <c r="AM66" i="7" s="1"/>
  <c r="BE65" i="7"/>
  <c r="BA65" i="7"/>
  <c r="AY65" i="7"/>
  <c r="AR65" i="7"/>
  <c r="AZ65" i="7" s="1"/>
  <c r="AQ65" i="7"/>
  <c r="AL65" i="7"/>
  <c r="AM65" i="7" s="1"/>
  <c r="AN65" i="7" s="1"/>
  <c r="Y65" i="7"/>
  <c r="L65" i="7"/>
  <c r="BE61" i="7"/>
  <c r="BA61" i="7"/>
  <c r="AY61" i="7"/>
  <c r="AR61" i="7"/>
  <c r="AZ61" i="7" s="1"/>
  <c r="AQ61" i="7"/>
  <c r="AL61" i="7"/>
  <c r="AM61" i="7" s="1"/>
  <c r="Y61" i="7"/>
  <c r="L61" i="7"/>
  <c r="BE45" i="7"/>
  <c r="BA45" i="7"/>
  <c r="AY45" i="7"/>
  <c r="AR45" i="7"/>
  <c r="AZ45" i="7" s="1"/>
  <c r="AQ45" i="7"/>
  <c r="AS45" i="7" s="1"/>
  <c r="AL45" i="7"/>
  <c r="AM45" i="7" s="1"/>
  <c r="Y45" i="7"/>
  <c r="AB45" i="7" s="1"/>
  <c r="L45" i="7"/>
  <c r="BE40" i="7"/>
  <c r="BA40" i="7"/>
  <c r="AY40" i="7"/>
  <c r="AR40" i="7"/>
  <c r="AZ40" i="7" s="1"/>
  <c r="AQ40" i="7"/>
  <c r="AO40" i="7"/>
  <c r="Y40" i="7"/>
  <c r="L40" i="7"/>
  <c r="BE31" i="7"/>
  <c r="BA31" i="7"/>
  <c r="AY31" i="7"/>
  <c r="AR31" i="7"/>
  <c r="AZ31" i="7" s="1"/>
  <c r="AQ31" i="7"/>
  <c r="AL31" i="7"/>
  <c r="AM31" i="7" s="1"/>
  <c r="AN31" i="7" s="1"/>
  <c r="AO31" i="7" s="1"/>
  <c r="Y31" i="7"/>
  <c r="L31" i="7"/>
  <c r="BE28" i="7"/>
  <c r="BA28" i="7"/>
  <c r="AY28" i="7"/>
  <c r="AR28" i="7"/>
  <c r="AZ28" i="7" s="1"/>
  <c r="AQ28" i="7"/>
  <c r="AS28" i="7" s="1"/>
  <c r="AL28" i="7"/>
  <c r="AM28" i="7" s="1"/>
  <c r="Y28" i="7"/>
  <c r="AD28" i="7" s="1"/>
  <c r="L28" i="7"/>
  <c r="BE27" i="7"/>
  <c r="BA27" i="7"/>
  <c r="AY27" i="7"/>
  <c r="AR27" i="7"/>
  <c r="AZ27" i="7" s="1"/>
  <c r="AQ27" i="7"/>
  <c r="AS27" i="7" s="1"/>
  <c r="AL27" i="7"/>
  <c r="AM27" i="7" s="1"/>
  <c r="Y27" i="7"/>
  <c r="AE27" i="7" s="1"/>
  <c r="L27" i="7"/>
  <c r="BE18" i="7"/>
  <c r="BA18" i="7"/>
  <c r="AY18" i="7"/>
  <c r="AR18" i="7"/>
  <c r="AZ18" i="7" s="1"/>
  <c r="AQ18" i="7"/>
  <c r="AU18" i="7" s="1"/>
  <c r="AL18" i="7"/>
  <c r="AM18" i="7" s="1"/>
  <c r="Y18" i="7"/>
  <c r="AB18" i="7" s="1"/>
  <c r="L18" i="7"/>
  <c r="BE13" i="7"/>
  <c r="BA13" i="7"/>
  <c r="AY13" i="7"/>
  <c r="AR13" i="7"/>
  <c r="AZ13" i="7" s="1"/>
  <c r="AQ13" i="7"/>
  <c r="AU13" i="7" s="1"/>
  <c r="AN13" i="7"/>
  <c r="AO13" i="7" s="1"/>
  <c r="Y13" i="7"/>
  <c r="AD13" i="7" s="1"/>
  <c r="L13" i="7"/>
  <c r="BE7" i="7"/>
  <c r="BA7" i="7"/>
  <c r="AY7" i="7"/>
  <c r="AR7" i="7"/>
  <c r="AZ7" i="7" s="1"/>
  <c r="AQ7" i="7"/>
  <c r="AL7" i="7"/>
  <c r="AM7" i="7" s="1"/>
  <c r="Y7" i="7"/>
  <c r="AE7" i="7" s="1"/>
  <c r="L7" i="7"/>
  <c r="BE4" i="7"/>
  <c r="BA4" i="7"/>
  <c r="AY4" i="7"/>
  <c r="AR4" i="7"/>
  <c r="AZ4" i="7" s="1"/>
  <c r="AQ4" i="7"/>
  <c r="AU4" i="7" s="1"/>
  <c r="AN4" i="7"/>
  <c r="AO4" i="7" s="1"/>
  <c r="Y4" i="7"/>
  <c r="AD4" i="7" s="1"/>
  <c r="L4" i="7"/>
  <c r="BE3" i="7"/>
  <c r="BA3" i="7"/>
  <c r="AY3" i="7"/>
  <c r="AR3" i="7"/>
  <c r="AZ3" i="7" s="1"/>
  <c r="AQ3" i="7"/>
  <c r="AN3" i="7"/>
  <c r="AO3" i="7" s="1"/>
  <c r="Y3" i="7"/>
  <c r="AB3" i="7" s="1"/>
  <c r="L3" i="7"/>
  <c r="BE150" i="7"/>
  <c r="BA150" i="7"/>
  <c r="AY150" i="7"/>
  <c r="AR150" i="7"/>
  <c r="AZ150" i="7" s="1"/>
  <c r="AQ150" i="7"/>
  <c r="AS150" i="7" s="1"/>
  <c r="AL150" i="7"/>
  <c r="AM150" i="7" s="1"/>
  <c r="Y150" i="7"/>
  <c r="L150" i="7"/>
  <c r="BE149" i="7"/>
  <c r="BA149" i="7"/>
  <c r="AY149" i="7"/>
  <c r="AR149" i="7"/>
  <c r="AZ149" i="7" s="1"/>
  <c r="AQ149" i="7"/>
  <c r="AS149" i="7" s="1"/>
  <c r="AL149" i="7"/>
  <c r="AM149" i="7" s="1"/>
  <c r="Y149" i="7"/>
  <c r="AD149" i="7" s="1"/>
  <c r="L149" i="7"/>
  <c r="BE153" i="7"/>
  <c r="BA153" i="7"/>
  <c r="AY153" i="7"/>
  <c r="AR153" i="7"/>
  <c r="AZ153" i="7" s="1"/>
  <c r="AQ153" i="7"/>
  <c r="AL153" i="7"/>
  <c r="AM153" i="7" s="1"/>
  <c r="Y153" i="7"/>
  <c r="AB153" i="7" s="1"/>
  <c r="L153" i="7"/>
  <c r="BE147" i="7"/>
  <c r="BA147" i="7"/>
  <c r="AY147" i="7"/>
  <c r="AR147" i="7"/>
  <c r="AZ147" i="7" s="1"/>
  <c r="AQ147" i="7"/>
  <c r="AL147" i="7"/>
  <c r="AM147" i="7" s="1"/>
  <c r="AN147" i="7" s="1"/>
  <c r="AO147" i="7" s="1"/>
  <c r="Y147" i="7"/>
  <c r="AB147" i="7" s="1"/>
  <c r="L147" i="7"/>
  <c r="BE135" i="7"/>
  <c r="BA135" i="7"/>
  <c r="AY135" i="7"/>
  <c r="AR135" i="7"/>
  <c r="AZ135" i="7" s="1"/>
  <c r="AQ135" i="7"/>
  <c r="AL135" i="7"/>
  <c r="AM135" i="7" s="1"/>
  <c r="AN135" i="7" s="1"/>
  <c r="AO135" i="7" s="1"/>
  <c r="Y135" i="7"/>
  <c r="AB135" i="7" s="1"/>
  <c r="L135" i="7"/>
  <c r="BE132" i="7"/>
  <c r="BA132" i="7"/>
  <c r="AY132" i="7"/>
  <c r="AR132" i="7"/>
  <c r="AZ132" i="7" s="1"/>
  <c r="AQ132" i="7"/>
  <c r="AS132" i="7" s="1"/>
  <c r="AN132" i="7"/>
  <c r="AO132" i="7" s="1"/>
  <c r="Y132" i="7"/>
  <c r="AB132" i="7" s="1"/>
  <c r="L132" i="7"/>
  <c r="BE131" i="7"/>
  <c r="BA131" i="7"/>
  <c r="AY131" i="7"/>
  <c r="AR131" i="7"/>
  <c r="AZ131" i="7" s="1"/>
  <c r="AQ131" i="7"/>
  <c r="AN131" i="7"/>
  <c r="AO131" i="7" s="1"/>
  <c r="Y131" i="7"/>
  <c r="AB131" i="7" s="1"/>
  <c r="L131" i="7"/>
  <c r="BE130" i="7"/>
  <c r="BA130" i="7"/>
  <c r="AY130" i="7"/>
  <c r="AR130" i="7"/>
  <c r="AZ130" i="7" s="1"/>
  <c r="AQ130" i="7"/>
  <c r="AS130" i="7" s="1"/>
  <c r="AN130" i="7"/>
  <c r="AO130" i="7" s="1"/>
  <c r="Y130" i="7"/>
  <c r="AB130" i="7" s="1"/>
  <c r="L130" i="7"/>
  <c r="BE123" i="7"/>
  <c r="BA123" i="7"/>
  <c r="AY123" i="7"/>
  <c r="AR123" i="7"/>
  <c r="AQ123" i="7"/>
  <c r="AU123" i="7" s="1"/>
  <c r="AL123" i="7"/>
  <c r="AM123" i="7" s="1"/>
  <c r="Y123" i="7"/>
  <c r="L123" i="7"/>
  <c r="BE122" i="7"/>
  <c r="BA122" i="7"/>
  <c r="AY122" i="7"/>
  <c r="AR122" i="7"/>
  <c r="AZ122" i="7" s="1"/>
  <c r="AQ122" i="7"/>
  <c r="AS122" i="7" s="1"/>
  <c r="AL122" i="7"/>
  <c r="AM122" i="7" s="1"/>
  <c r="Y122" i="7"/>
  <c r="L122" i="7"/>
  <c r="BE118" i="7"/>
  <c r="BA118" i="7"/>
  <c r="AY118" i="7"/>
  <c r="AR118" i="7"/>
  <c r="AZ118" i="7" s="1"/>
  <c r="AQ118" i="7"/>
  <c r="AL118" i="7"/>
  <c r="AM118" i="7" s="1"/>
  <c r="AN118" i="7" s="1"/>
  <c r="Y118" i="7"/>
  <c r="AD118" i="7" s="1"/>
  <c r="L118" i="7"/>
  <c r="BE110" i="7"/>
  <c r="BA110" i="7"/>
  <c r="AY110" i="7"/>
  <c r="AR110" i="7"/>
  <c r="AZ110" i="7" s="1"/>
  <c r="AQ110" i="7"/>
  <c r="AS110" i="7" s="1"/>
  <c r="AL110" i="7"/>
  <c r="AM110" i="7" s="1"/>
  <c r="AN110" i="7" s="1"/>
  <c r="Y110" i="7"/>
  <c r="L110" i="7"/>
  <c r="BE86" i="7"/>
  <c r="BA86" i="7"/>
  <c r="AY86" i="7"/>
  <c r="AR86" i="7"/>
  <c r="AZ86" i="7" s="1"/>
  <c r="AQ86" i="7"/>
  <c r="AT86" i="7" s="1"/>
  <c r="AL86" i="7"/>
  <c r="AM86" i="7" s="1"/>
  <c r="AN86" i="7" s="1"/>
  <c r="Y86" i="7"/>
  <c r="AB86" i="7" s="1"/>
  <c r="L86" i="7"/>
  <c r="BE81" i="7"/>
  <c r="BA81" i="7"/>
  <c r="AY81" i="7"/>
  <c r="AR81" i="7"/>
  <c r="AZ81" i="7" s="1"/>
  <c r="AQ81" i="7"/>
  <c r="AS81" i="7" s="1"/>
  <c r="Y81" i="7"/>
  <c r="AB81" i="7" s="1"/>
  <c r="L81" i="7"/>
  <c r="BE53" i="7"/>
  <c r="BA53" i="7"/>
  <c r="AY53" i="7"/>
  <c r="AR53" i="7"/>
  <c r="AZ53" i="7" s="1"/>
  <c r="AQ53" i="7"/>
  <c r="AL53" i="7"/>
  <c r="AM53" i="7" s="1"/>
  <c r="AN53" i="7" s="1"/>
  <c r="Y53" i="7"/>
  <c r="L53" i="7"/>
  <c r="BE49" i="7"/>
  <c r="BA49" i="7"/>
  <c r="AY49" i="7"/>
  <c r="AR49" i="7"/>
  <c r="AZ49" i="7" s="1"/>
  <c r="AQ49" i="7"/>
  <c r="AT49" i="7" s="1"/>
  <c r="AL49" i="7"/>
  <c r="AM49" i="7" s="1"/>
  <c r="AN49" i="7" s="1"/>
  <c r="Y49" i="7"/>
  <c r="AA49" i="7" s="1"/>
  <c r="L49" i="7"/>
  <c r="BE48" i="7"/>
  <c r="BA48" i="7"/>
  <c r="AY48" i="7"/>
  <c r="AR48" i="7"/>
  <c r="AZ48" i="7" s="1"/>
  <c r="AQ48" i="7"/>
  <c r="AT48" i="7" s="1"/>
  <c r="AL48" i="7"/>
  <c r="AM48" i="7" s="1"/>
  <c r="Y48" i="7"/>
  <c r="L48" i="7"/>
  <c r="BE46" i="7"/>
  <c r="BA46" i="7"/>
  <c r="AY46" i="7"/>
  <c r="AR46" i="7"/>
  <c r="AZ46" i="7" s="1"/>
  <c r="AQ46" i="7"/>
  <c r="AL46" i="7"/>
  <c r="AM46" i="7" s="1"/>
  <c r="AN46" i="7" s="1"/>
  <c r="Y46" i="7"/>
  <c r="AE46" i="7" s="1"/>
  <c r="L46" i="7"/>
  <c r="BE37" i="7"/>
  <c r="BA37" i="7"/>
  <c r="AY37" i="7"/>
  <c r="AR37" i="7"/>
  <c r="AZ37" i="7" s="1"/>
  <c r="AQ37" i="7"/>
  <c r="AT37" i="7" s="1"/>
  <c r="AL37" i="7"/>
  <c r="AM37" i="7" s="1"/>
  <c r="AN37" i="7" s="1"/>
  <c r="Y37" i="7"/>
  <c r="AB37" i="7" s="1"/>
  <c r="L37" i="7"/>
  <c r="BE36" i="7"/>
  <c r="BA36" i="7"/>
  <c r="AY36" i="7"/>
  <c r="AR36" i="7"/>
  <c r="AZ36" i="7" s="1"/>
  <c r="AQ36" i="7"/>
  <c r="AS36" i="7" s="1"/>
  <c r="AL36" i="7"/>
  <c r="AM36" i="7" s="1"/>
  <c r="Y36" i="7"/>
  <c r="AB36" i="7" s="1"/>
  <c r="L36" i="7"/>
  <c r="BE33" i="7"/>
  <c r="BA33" i="7"/>
  <c r="AY33" i="7"/>
  <c r="AR33" i="7"/>
  <c r="AZ33" i="7" s="1"/>
  <c r="AQ33" i="7"/>
  <c r="AL33" i="7"/>
  <c r="AM33" i="7" s="1"/>
  <c r="AN33" i="7" s="1"/>
  <c r="Y33" i="7"/>
  <c r="L33" i="7"/>
  <c r="BE32" i="7"/>
  <c r="BA32" i="7"/>
  <c r="AY32" i="7"/>
  <c r="AR32" i="7"/>
  <c r="AZ32" i="7" s="1"/>
  <c r="AQ32" i="7"/>
  <c r="AS32" i="7" s="1"/>
  <c r="AL32" i="7"/>
  <c r="AM32" i="7" s="1"/>
  <c r="Y32" i="7"/>
  <c r="AD32" i="7" s="1"/>
  <c r="L32" i="7"/>
  <c r="BE22" i="7"/>
  <c r="BA22" i="7"/>
  <c r="AY22" i="7"/>
  <c r="AR22" i="7"/>
  <c r="AZ22" i="7" s="1"/>
  <c r="AQ22" i="7"/>
  <c r="AT22" i="7" s="1"/>
  <c r="AN22" i="7"/>
  <c r="AO22" i="7" s="1"/>
  <c r="Y22" i="7"/>
  <c r="AD22" i="7" s="1"/>
  <c r="L22" i="7"/>
  <c r="BE15" i="7"/>
  <c r="BA15" i="7"/>
  <c r="AY15" i="7"/>
  <c r="AR15" i="7"/>
  <c r="AZ15" i="7" s="1"/>
  <c r="AQ15" i="7"/>
  <c r="AL15" i="7"/>
  <c r="AM15" i="7" s="1"/>
  <c r="AN15" i="7" s="1"/>
  <c r="Y15" i="7"/>
  <c r="L15" i="7"/>
  <c r="BE171" i="7"/>
  <c r="BA171" i="7"/>
  <c r="AY171" i="7"/>
  <c r="AR171" i="7"/>
  <c r="AZ171" i="7" s="1"/>
  <c r="AQ171" i="7"/>
  <c r="AL171" i="7"/>
  <c r="AM171" i="7" s="1"/>
  <c r="Y171" i="7"/>
  <c r="AB171" i="7" s="1"/>
  <c r="L171" i="7"/>
  <c r="BE170" i="7"/>
  <c r="BA170" i="7"/>
  <c r="AY170" i="7"/>
  <c r="AR170" i="7"/>
  <c r="AZ170" i="7" s="1"/>
  <c r="AQ170" i="7"/>
  <c r="AS170" i="7" s="1"/>
  <c r="AL170" i="7"/>
  <c r="AM170" i="7" s="1"/>
  <c r="AN170" i="7" s="1"/>
  <c r="Y170" i="7"/>
  <c r="AD170" i="7" s="1"/>
  <c r="L170" i="7"/>
  <c r="BE156" i="7"/>
  <c r="BA156" i="7"/>
  <c r="AY156" i="7"/>
  <c r="AR156" i="7"/>
  <c r="AZ156" i="7" s="1"/>
  <c r="AQ156" i="7"/>
  <c r="AL156" i="7"/>
  <c r="AM156" i="7" s="1"/>
  <c r="Y156" i="7"/>
  <c r="AA156" i="7" s="1"/>
  <c r="L156" i="7"/>
  <c r="BE143" i="7"/>
  <c r="BA143" i="7"/>
  <c r="AY143" i="7"/>
  <c r="AR143" i="7"/>
  <c r="AZ143" i="7" s="1"/>
  <c r="AQ143" i="7"/>
  <c r="AU143" i="7" s="1"/>
  <c r="AN143" i="7"/>
  <c r="AO143" i="7" s="1"/>
  <c r="Y143" i="7"/>
  <c r="AB143" i="7" s="1"/>
  <c r="L143" i="7"/>
  <c r="BE125" i="7"/>
  <c r="BA125" i="7"/>
  <c r="AY125" i="7"/>
  <c r="AR125" i="7"/>
  <c r="AZ125" i="7" s="1"/>
  <c r="AQ125" i="7"/>
  <c r="AL125" i="7"/>
  <c r="AM125" i="7" s="1"/>
  <c r="Y125" i="7"/>
  <c r="AB125" i="7" s="1"/>
  <c r="L125" i="7"/>
  <c r="BE104" i="7"/>
  <c r="BA104" i="7"/>
  <c r="AY104" i="7"/>
  <c r="AR104" i="7"/>
  <c r="AZ104" i="7" s="1"/>
  <c r="AQ104" i="7"/>
  <c r="AU104" i="7" s="1"/>
  <c r="AL104" i="7"/>
  <c r="AM104" i="7" s="1"/>
  <c r="AN104" i="7" s="1"/>
  <c r="AO104" i="7" s="1"/>
  <c r="Y104" i="7"/>
  <c r="AC104" i="7" s="1"/>
  <c r="L104" i="7"/>
  <c r="BE103" i="7"/>
  <c r="BA103" i="7"/>
  <c r="AY103" i="7"/>
  <c r="AR103" i="7"/>
  <c r="AZ103" i="7" s="1"/>
  <c r="AQ103" i="7"/>
  <c r="AS103" i="7" s="1"/>
  <c r="AN103" i="7"/>
  <c r="AO103" i="7" s="1"/>
  <c r="Y103" i="7"/>
  <c r="L103" i="7"/>
  <c r="BE96" i="7"/>
  <c r="BA96" i="7"/>
  <c r="AY96" i="7"/>
  <c r="AR96" i="7"/>
  <c r="AZ96" i="7" s="1"/>
  <c r="AQ96" i="7"/>
  <c r="AU96" i="7" s="1"/>
  <c r="AN96" i="7"/>
  <c r="AO96" i="7" s="1"/>
  <c r="Y96" i="7"/>
  <c r="AD96" i="7" s="1"/>
  <c r="L96" i="7"/>
  <c r="BE88" i="7"/>
  <c r="BA88" i="7"/>
  <c r="AY88" i="7"/>
  <c r="AR88" i="7"/>
  <c r="AZ88" i="7" s="1"/>
  <c r="AQ88" i="7"/>
  <c r="AS88" i="7" s="1"/>
  <c r="AL88" i="7"/>
  <c r="AM88" i="7" s="1"/>
  <c r="AN88" i="7" s="1"/>
  <c r="AO88" i="7" s="1"/>
  <c r="Y88" i="7"/>
  <c r="AB88" i="7" s="1"/>
  <c r="L88" i="7"/>
  <c r="BE72" i="7"/>
  <c r="BA72" i="7"/>
  <c r="AY72" i="7"/>
  <c r="AR72" i="7"/>
  <c r="AZ72" i="7" s="1"/>
  <c r="AQ72" i="7"/>
  <c r="AU72" i="7" s="1"/>
  <c r="AN72" i="7"/>
  <c r="AO72" i="7" s="1"/>
  <c r="Y72" i="7"/>
  <c r="L72" i="7"/>
  <c r="BE64" i="7"/>
  <c r="BA64" i="7"/>
  <c r="AY64" i="7"/>
  <c r="AR64" i="7"/>
  <c r="AZ64" i="7" s="1"/>
  <c r="AQ64" i="7"/>
  <c r="AL64" i="7"/>
  <c r="AM64" i="7" s="1"/>
  <c r="Y64" i="7"/>
  <c r="AA64" i="7" s="1"/>
  <c r="L64" i="7"/>
  <c r="BE62" i="7"/>
  <c r="BA62" i="7"/>
  <c r="AY62" i="7"/>
  <c r="AR62" i="7"/>
  <c r="AZ62" i="7" s="1"/>
  <c r="AQ62" i="7"/>
  <c r="AL62" i="7"/>
  <c r="AM62" i="7" s="1"/>
  <c r="Y62" i="7"/>
  <c r="AD62" i="7" s="1"/>
  <c r="L62" i="7"/>
  <c r="BE85" i="7"/>
  <c r="BA85" i="7"/>
  <c r="AY85" i="7"/>
  <c r="AR85" i="7"/>
  <c r="AZ85" i="7" s="1"/>
  <c r="AQ85" i="7"/>
  <c r="AU85" i="7" s="1"/>
  <c r="AL85" i="7"/>
  <c r="AM85" i="7" s="1"/>
  <c r="Y85" i="7"/>
  <c r="AD85" i="7" s="1"/>
  <c r="L85" i="7"/>
  <c r="BE55" i="7"/>
  <c r="BA55" i="7"/>
  <c r="AY55" i="7"/>
  <c r="AR55" i="7"/>
  <c r="AZ55" i="7" s="1"/>
  <c r="AQ55" i="7"/>
  <c r="AT55" i="7" s="1"/>
  <c r="AL55" i="7"/>
  <c r="AM55" i="7" s="1"/>
  <c r="AN55" i="7" s="1"/>
  <c r="AO55" i="7" s="1"/>
  <c r="Y55" i="7"/>
  <c r="AD55" i="7" s="1"/>
  <c r="L55" i="7"/>
  <c r="BE84" i="7"/>
  <c r="BA84" i="7"/>
  <c r="AY84" i="7"/>
  <c r="AR84" i="7"/>
  <c r="AZ84" i="7" s="1"/>
  <c r="AQ84" i="7"/>
  <c r="AU84" i="7" s="1"/>
  <c r="AL84" i="7"/>
  <c r="AM84" i="7" s="1"/>
  <c r="Y84" i="7"/>
  <c r="L84" i="7"/>
  <c r="BE83" i="7"/>
  <c r="BA83" i="7"/>
  <c r="AY83" i="7"/>
  <c r="AR83" i="7"/>
  <c r="AZ83" i="7" s="1"/>
  <c r="AQ83" i="7"/>
  <c r="AU83" i="7" s="1"/>
  <c r="AL83" i="7"/>
  <c r="AM83" i="7" s="1"/>
  <c r="AN83" i="7" s="1"/>
  <c r="AO83" i="7" s="1"/>
  <c r="Y83" i="7"/>
  <c r="AD83" i="7" s="1"/>
  <c r="L83" i="7"/>
  <c r="BE52" i="7"/>
  <c r="BA52" i="7"/>
  <c r="AY52" i="7"/>
  <c r="AR52" i="7"/>
  <c r="AZ52" i="7" s="1"/>
  <c r="AQ52" i="7"/>
  <c r="AS52" i="7" s="1"/>
  <c r="AN52" i="7"/>
  <c r="AO52" i="7" s="1"/>
  <c r="Y52" i="7"/>
  <c r="AB52" i="7" s="1"/>
  <c r="L52" i="7"/>
  <c r="BE47" i="7"/>
  <c r="BA47" i="7"/>
  <c r="AY47" i="7"/>
  <c r="AR47" i="7"/>
  <c r="AZ47" i="7" s="1"/>
  <c r="AQ47" i="7"/>
  <c r="AU47" i="7" s="1"/>
  <c r="AL47" i="7"/>
  <c r="AM47" i="7" s="1"/>
  <c r="AN47" i="7" s="1"/>
  <c r="AO47" i="7" s="1"/>
  <c r="Y47" i="7"/>
  <c r="L47" i="7"/>
  <c r="BE44" i="7"/>
  <c r="BA44" i="7"/>
  <c r="AY44" i="7"/>
  <c r="AR44" i="7"/>
  <c r="AZ44" i="7" s="1"/>
  <c r="AQ44" i="7"/>
  <c r="AS44" i="7" s="1"/>
  <c r="AN44" i="7"/>
  <c r="AO44" i="7" s="1"/>
  <c r="Y44" i="7"/>
  <c r="AB44" i="7" s="1"/>
  <c r="L44" i="7"/>
  <c r="BE43" i="7"/>
  <c r="BA43" i="7"/>
  <c r="AY43" i="7"/>
  <c r="AR43" i="7"/>
  <c r="AZ43" i="7" s="1"/>
  <c r="AQ43" i="7"/>
  <c r="AN43" i="7"/>
  <c r="AO43" i="7" s="1"/>
  <c r="Y43" i="7"/>
  <c r="AD43" i="7" s="1"/>
  <c r="L43" i="7"/>
  <c r="BE35" i="7"/>
  <c r="BA35" i="7"/>
  <c r="AY35" i="7"/>
  <c r="AR35" i="7"/>
  <c r="AZ35" i="7" s="1"/>
  <c r="AQ35" i="7"/>
  <c r="AU35" i="7" s="1"/>
  <c r="AL35" i="7"/>
  <c r="AM35" i="7" s="1"/>
  <c r="Y35" i="7"/>
  <c r="AB35" i="7" s="1"/>
  <c r="L35" i="7"/>
  <c r="BE34" i="7"/>
  <c r="BA34" i="7"/>
  <c r="AY34" i="7"/>
  <c r="AR34" i="7"/>
  <c r="AZ34" i="7" s="1"/>
  <c r="AQ34" i="7"/>
  <c r="AU34" i="7" s="1"/>
  <c r="AL34" i="7"/>
  <c r="AM34" i="7" s="1"/>
  <c r="AN34" i="7" s="1"/>
  <c r="AO34" i="7" s="1"/>
  <c r="Y34" i="7"/>
  <c r="AC34" i="7" s="1"/>
  <c r="L34" i="7"/>
  <c r="BE30" i="7"/>
  <c r="BA30" i="7"/>
  <c r="AY30" i="7"/>
  <c r="AR30" i="7"/>
  <c r="AZ30" i="7" s="1"/>
  <c r="AQ30" i="7"/>
  <c r="AS30" i="7" s="1"/>
  <c r="AN30" i="7"/>
  <c r="AO30" i="7" s="1"/>
  <c r="Y30" i="7"/>
  <c r="AB30" i="7" s="1"/>
  <c r="L30" i="7"/>
  <c r="BE24" i="7"/>
  <c r="BA24" i="7"/>
  <c r="AY24" i="7"/>
  <c r="AR24" i="7"/>
  <c r="AZ24" i="7" s="1"/>
  <c r="AQ24" i="7"/>
  <c r="AU24" i="7" s="1"/>
  <c r="AN24" i="7"/>
  <c r="AO24" i="7" s="1"/>
  <c r="Y24" i="7"/>
  <c r="L24" i="7"/>
  <c r="BE23" i="7"/>
  <c r="BA23" i="7"/>
  <c r="AY23" i="7"/>
  <c r="AR23" i="7"/>
  <c r="AZ23" i="7" s="1"/>
  <c r="AQ23" i="7"/>
  <c r="AU23" i="7" s="1"/>
  <c r="AL23" i="7"/>
  <c r="AM23" i="7" s="1"/>
  <c r="AN23" i="7" s="1"/>
  <c r="Y23" i="7"/>
  <c r="AD23" i="7" s="1"/>
  <c r="L23" i="7"/>
  <c r="BE176" i="7"/>
  <c r="BA176" i="7"/>
  <c r="AY176" i="7"/>
  <c r="AR176" i="7"/>
  <c r="AZ176" i="7" s="1"/>
  <c r="AQ176" i="7"/>
  <c r="AT176" i="7" s="1"/>
  <c r="AL176" i="7"/>
  <c r="AM176" i="7" s="1"/>
  <c r="Y176" i="7"/>
  <c r="AB176" i="7" s="1"/>
  <c r="L176" i="7"/>
  <c r="BE162" i="7"/>
  <c r="BA162" i="7"/>
  <c r="AY162" i="7"/>
  <c r="AR162" i="7"/>
  <c r="AZ162" i="7" s="1"/>
  <c r="AQ162" i="7"/>
  <c r="AU162" i="7" s="1"/>
  <c r="AL162" i="7"/>
  <c r="AM162" i="7" s="1"/>
  <c r="AN162" i="7" s="1"/>
  <c r="AO162" i="7" s="1"/>
  <c r="Y162" i="7"/>
  <c r="L162" i="7"/>
  <c r="BE152" i="7"/>
  <c r="BA152" i="7"/>
  <c r="AY152" i="7"/>
  <c r="AR152" i="7"/>
  <c r="AZ152" i="7" s="1"/>
  <c r="AQ152" i="7"/>
  <c r="AS152" i="7" s="1"/>
  <c r="AL152" i="7"/>
  <c r="AM152" i="7" s="1"/>
  <c r="Y152" i="7"/>
  <c r="AD152" i="7" s="1"/>
  <c r="L152" i="7"/>
  <c r="BE146" i="7"/>
  <c r="BA146" i="7"/>
  <c r="AY146" i="7"/>
  <c r="AR146" i="7"/>
  <c r="AZ146" i="7" s="1"/>
  <c r="AQ146" i="7"/>
  <c r="AU146" i="7" s="1"/>
  <c r="AL146" i="7"/>
  <c r="AM146" i="7" s="1"/>
  <c r="Y146" i="7"/>
  <c r="AD146" i="7" s="1"/>
  <c r="L146" i="7"/>
  <c r="BE144" i="7"/>
  <c r="BA144" i="7"/>
  <c r="AY144" i="7"/>
  <c r="AR144" i="7"/>
  <c r="AZ144" i="7" s="1"/>
  <c r="AQ144" i="7"/>
  <c r="AL144" i="7"/>
  <c r="AM144" i="7" s="1"/>
  <c r="Y144" i="7"/>
  <c r="AB144" i="7" s="1"/>
  <c r="L144" i="7"/>
  <c r="BE102" i="7"/>
  <c r="BA102" i="7"/>
  <c r="AY102" i="7"/>
  <c r="AR102" i="7"/>
  <c r="AZ102" i="7" s="1"/>
  <c r="AQ102" i="7"/>
  <c r="AU102" i="7" s="1"/>
  <c r="AL102" i="7"/>
  <c r="AM102" i="7" s="1"/>
  <c r="AN102" i="7" s="1"/>
  <c r="AO102" i="7" s="1"/>
  <c r="Y102" i="7"/>
  <c r="AB102" i="7" s="1"/>
  <c r="L102" i="7"/>
  <c r="BE101" i="7"/>
  <c r="BA101" i="7"/>
  <c r="AY101" i="7"/>
  <c r="AR101" i="7"/>
  <c r="AZ101" i="7" s="1"/>
  <c r="AQ101" i="7"/>
  <c r="AU101" i="7" s="1"/>
  <c r="AL101" i="7"/>
  <c r="AM101" i="7" s="1"/>
  <c r="AN101" i="7" s="1"/>
  <c r="AO101" i="7" s="1"/>
  <c r="Y101" i="7"/>
  <c r="AA101" i="7" s="1"/>
  <c r="L101" i="7"/>
  <c r="BE91" i="7"/>
  <c r="BA91" i="7"/>
  <c r="AY91" i="7"/>
  <c r="AR91" i="7"/>
  <c r="AZ91" i="7" s="1"/>
  <c r="AQ91" i="7"/>
  <c r="AL91" i="7"/>
  <c r="AM91" i="7" s="1"/>
  <c r="AN91" i="7" s="1"/>
  <c r="AO91" i="7" s="1"/>
  <c r="Y91" i="7"/>
  <c r="AB91" i="7" s="1"/>
  <c r="L91" i="7"/>
  <c r="BE82" i="7"/>
  <c r="BA82" i="7"/>
  <c r="AY82" i="7"/>
  <c r="AR82" i="7"/>
  <c r="AZ82" i="7" s="1"/>
  <c r="AQ82" i="7"/>
  <c r="AS82" i="7" s="1"/>
  <c r="AL82" i="7"/>
  <c r="AM82" i="7" s="1"/>
  <c r="Y82" i="7"/>
  <c r="AD82" i="7" s="1"/>
  <c r="L82" i="7"/>
  <c r="BE78" i="7"/>
  <c r="BA78" i="7"/>
  <c r="AY78" i="7"/>
  <c r="AR78" i="7"/>
  <c r="AZ78" i="7" s="1"/>
  <c r="AQ78" i="7"/>
  <c r="AN78" i="7"/>
  <c r="AO78" i="7" s="1"/>
  <c r="Y78" i="7"/>
  <c r="AB78" i="7" s="1"/>
  <c r="L78" i="7"/>
  <c r="BE71" i="7"/>
  <c r="BA71" i="7"/>
  <c r="AY71" i="7"/>
  <c r="AR71" i="7"/>
  <c r="AZ71" i="7" s="1"/>
  <c r="AQ71" i="7"/>
  <c r="AS71" i="7" s="1"/>
  <c r="AL71" i="7"/>
  <c r="AM71" i="7" s="1"/>
  <c r="Y71" i="7"/>
  <c r="AD71" i="7" s="1"/>
  <c r="L71" i="7"/>
  <c r="BE68" i="7"/>
  <c r="BA68" i="7"/>
  <c r="AY68" i="7"/>
  <c r="AR68" i="7"/>
  <c r="AZ68" i="7" s="1"/>
  <c r="AQ68" i="7"/>
  <c r="AU68" i="7" s="1"/>
  <c r="AL68" i="7"/>
  <c r="AM68" i="7" s="1"/>
  <c r="AN68" i="7" s="1"/>
  <c r="Y68" i="7"/>
  <c r="AD68" i="7" s="1"/>
  <c r="L68" i="7"/>
  <c r="BE70" i="7"/>
  <c r="BA70" i="7"/>
  <c r="AY70" i="7"/>
  <c r="AR70" i="7"/>
  <c r="AZ70" i="7" s="1"/>
  <c r="AQ70" i="7"/>
  <c r="AU70" i="7" s="1"/>
  <c r="AL70" i="7"/>
  <c r="AM70" i="7" s="1"/>
  <c r="Y70" i="7"/>
  <c r="AE70" i="7" s="1"/>
  <c r="L70" i="7"/>
  <c r="BE69" i="7"/>
  <c r="BA69" i="7"/>
  <c r="AY69" i="7"/>
  <c r="AR69" i="7"/>
  <c r="AZ69" i="7" s="1"/>
  <c r="AQ69" i="7"/>
  <c r="AU69" i="7" s="1"/>
  <c r="AL69" i="7"/>
  <c r="AM69" i="7" s="1"/>
  <c r="AN69" i="7" s="1"/>
  <c r="AO69" i="7" s="1"/>
  <c r="Y69" i="7"/>
  <c r="AD69" i="7" s="1"/>
  <c r="L69" i="7"/>
  <c r="BE54" i="7"/>
  <c r="BA54" i="7"/>
  <c r="AY54" i="7"/>
  <c r="AR54" i="7"/>
  <c r="AZ54" i="7" s="1"/>
  <c r="AQ54" i="7"/>
  <c r="AS54" i="7" s="1"/>
  <c r="AL54" i="7"/>
  <c r="AM54" i="7" s="1"/>
  <c r="Y54" i="7"/>
  <c r="AD54" i="7" s="1"/>
  <c r="L54" i="7"/>
  <c r="BE42" i="7"/>
  <c r="BA42" i="7"/>
  <c r="AY42" i="7"/>
  <c r="AR42" i="7"/>
  <c r="AZ42" i="7" s="1"/>
  <c r="AQ42" i="7"/>
  <c r="AU42" i="7" s="1"/>
  <c r="AN42" i="7"/>
  <c r="AO42" i="7" s="1"/>
  <c r="Y42" i="7"/>
  <c r="AD42" i="7" s="1"/>
  <c r="L42" i="7"/>
  <c r="BE41" i="7"/>
  <c r="BA41" i="7"/>
  <c r="AY41" i="7"/>
  <c r="AR41" i="7"/>
  <c r="AZ41" i="7" s="1"/>
  <c r="AQ41" i="7"/>
  <c r="AS41" i="7" s="1"/>
  <c r="AN41" i="7"/>
  <c r="AO41" i="7" s="1"/>
  <c r="Y41" i="7"/>
  <c r="AB41" i="7" s="1"/>
  <c r="L41" i="7"/>
  <c r="BE39" i="7"/>
  <c r="AQ39" i="7"/>
  <c r="AT39" i="7" s="1"/>
  <c r="AO39" i="7"/>
  <c r="Y39" i="7"/>
  <c r="L39" i="7"/>
  <c r="BE29" i="7"/>
  <c r="BA29" i="7"/>
  <c r="AY29" i="7"/>
  <c r="AR29" i="7"/>
  <c r="AZ29" i="7" s="1"/>
  <c r="AQ29" i="7"/>
  <c r="AU29" i="7" s="1"/>
  <c r="AL29" i="7"/>
  <c r="AM29" i="7" s="1"/>
  <c r="Y29" i="7"/>
  <c r="AC29" i="7" s="1"/>
  <c r="L29" i="7"/>
  <c r="BE119" i="7"/>
  <c r="BA119" i="7"/>
  <c r="AY119" i="7"/>
  <c r="AR119" i="7"/>
  <c r="AZ119" i="7" s="1"/>
  <c r="AQ119" i="7"/>
  <c r="AU119" i="7" s="1"/>
  <c r="AL119" i="7"/>
  <c r="AM119" i="7" s="1"/>
  <c r="AN119" i="7" s="1"/>
  <c r="Y119" i="7"/>
  <c r="AD119" i="7" s="1"/>
  <c r="L119" i="7"/>
  <c r="BE21" i="7"/>
  <c r="BA21" i="7"/>
  <c r="AY21" i="7"/>
  <c r="AR21" i="7"/>
  <c r="AZ21" i="7" s="1"/>
  <c r="AQ21" i="7"/>
  <c r="AT21" i="7" s="1"/>
  <c r="AL21" i="7"/>
  <c r="AM21" i="7" s="1"/>
  <c r="Y21" i="7"/>
  <c r="AB21" i="7" s="1"/>
  <c r="L21" i="7"/>
  <c r="BE2" i="7"/>
  <c r="BA2" i="7"/>
  <c r="AY2" i="7"/>
  <c r="AR2" i="7"/>
  <c r="AZ2" i="7" s="1"/>
  <c r="AQ2" i="7"/>
  <c r="AU2" i="7" s="1"/>
  <c r="AL2" i="7"/>
  <c r="AM2" i="7" s="1"/>
  <c r="AN2" i="7" s="1"/>
  <c r="AO2" i="7" s="1"/>
  <c r="Y2" i="7"/>
  <c r="AD2" i="7" s="1"/>
  <c r="L2" i="7"/>
  <c r="AR1" i="7"/>
  <c r="K24" i="10"/>
  <c r="K23" i="10"/>
  <c r="K22" i="10"/>
  <c r="K21" i="10"/>
  <c r="K20" i="10"/>
  <c r="K19" i="10"/>
  <c r="K18" i="10"/>
  <c r="R1" i="10"/>
  <c r="AO175" i="7" l="1"/>
  <c r="R7" i="10"/>
  <c r="K7" i="10" s="1"/>
  <c r="R9" i="10"/>
  <c r="K9" i="10" s="1"/>
  <c r="R11" i="10"/>
  <c r="R13" i="10"/>
  <c r="R15" i="10"/>
  <c r="R8" i="10"/>
  <c r="K8" i="10" s="1"/>
  <c r="R10" i="10"/>
  <c r="R12" i="10"/>
  <c r="R14" i="10"/>
  <c r="H23" i="2"/>
  <c r="J23" i="2" s="1"/>
  <c r="J25" i="2" s="1"/>
  <c r="AA91" i="7"/>
  <c r="AC23" i="7"/>
  <c r="AB6" i="7"/>
  <c r="AA7" i="7"/>
  <c r="AE20" i="7"/>
  <c r="AC166" i="7"/>
  <c r="AB100" i="7"/>
  <c r="AA83" i="7"/>
  <c r="AA13" i="7"/>
  <c r="AS76" i="7"/>
  <c r="AC36" i="7"/>
  <c r="AS167" i="7"/>
  <c r="AS14" i="7"/>
  <c r="AB127" i="7"/>
  <c r="AT134" i="7"/>
  <c r="AV134" i="7" s="1"/>
  <c r="AS165" i="7"/>
  <c r="AC100" i="7"/>
  <c r="AC164" i="7"/>
  <c r="AC69" i="7"/>
  <c r="AT34" i="7"/>
  <c r="AV34" i="7" s="1"/>
  <c r="AC83" i="7"/>
  <c r="AB13" i="7"/>
  <c r="AD57" i="7"/>
  <c r="AS70" i="7"/>
  <c r="AS176" i="7"/>
  <c r="AA55" i="7"/>
  <c r="AS96" i="7"/>
  <c r="AC135" i="7"/>
  <c r="AC13" i="7"/>
  <c r="AU133" i="7"/>
  <c r="U75" i="7"/>
  <c r="AT96" i="7"/>
  <c r="AV96" i="7" s="1"/>
  <c r="AA119" i="7"/>
  <c r="AA42" i="7"/>
  <c r="AA62" i="7"/>
  <c r="AA32" i="7"/>
  <c r="AE36" i="7"/>
  <c r="AC3" i="7"/>
  <c r="AA56" i="7"/>
  <c r="AB75" i="7"/>
  <c r="AA93" i="7"/>
  <c r="AA106" i="7"/>
  <c r="AB120" i="7"/>
  <c r="AB155" i="7"/>
  <c r="AB62" i="7"/>
  <c r="AC32" i="7"/>
  <c r="AE119" i="7"/>
  <c r="AB42" i="7"/>
  <c r="AT110" i="7"/>
  <c r="AS13" i="7"/>
  <c r="AS5" i="7"/>
  <c r="AC93" i="7"/>
  <c r="AB106" i="7"/>
  <c r="AS92" i="7"/>
  <c r="AC120" i="7"/>
  <c r="AC155" i="7"/>
  <c r="AS155" i="7"/>
  <c r="AC42" i="7"/>
  <c r="AC68" i="7"/>
  <c r="AC146" i="7"/>
  <c r="AT24" i="7"/>
  <c r="AV24" i="7" s="1"/>
  <c r="AE55" i="7"/>
  <c r="AC64" i="7"/>
  <c r="AS72" i="7"/>
  <c r="AB22" i="7"/>
  <c r="AU22" i="7"/>
  <c r="AA36" i="7"/>
  <c r="AB46" i="7"/>
  <c r="AB149" i="7"/>
  <c r="AB7" i="7"/>
  <c r="AT27" i="7"/>
  <c r="AS137" i="7"/>
  <c r="AT138" i="7"/>
  <c r="AV138" i="7" s="1"/>
  <c r="AT158" i="7"/>
  <c r="AV158" i="7" s="1"/>
  <c r="AT5" i="7"/>
  <c r="AV5" i="7" s="1"/>
  <c r="AA6" i="7"/>
  <c r="AS12" i="7"/>
  <c r="AS73" i="7"/>
  <c r="AE93" i="7"/>
  <c r="AS109" i="7"/>
  <c r="AB166" i="7"/>
  <c r="AT177" i="7"/>
  <c r="AS17" i="7"/>
  <c r="AU62" i="7"/>
  <c r="AT62" i="7"/>
  <c r="AS15" i="7"/>
  <c r="AT15" i="7"/>
  <c r="AT66" i="7"/>
  <c r="AV66" i="7" s="1"/>
  <c r="AB105" i="7"/>
  <c r="AT2" i="7"/>
  <c r="AV2" i="7" s="1"/>
  <c r="AS119" i="7"/>
  <c r="AA69" i="7"/>
  <c r="AD91" i="7"/>
  <c r="AC91" i="7"/>
  <c r="AU91" i="7"/>
  <c r="AT91" i="7"/>
  <c r="AE84" i="7"/>
  <c r="AB84" i="7"/>
  <c r="AC125" i="7"/>
  <c r="AD143" i="7"/>
  <c r="AC143" i="7"/>
  <c r="AS65" i="7"/>
  <c r="AT65" i="7"/>
  <c r="AB98" i="7"/>
  <c r="AE98" i="7"/>
  <c r="AC98" i="7"/>
  <c r="AU26" i="7"/>
  <c r="AT26" i="7"/>
  <c r="AS26" i="7"/>
  <c r="AU159" i="7"/>
  <c r="AS159" i="7"/>
  <c r="AC160" i="7"/>
  <c r="AU97" i="7"/>
  <c r="AT97" i="7"/>
  <c r="AS136" i="7"/>
  <c r="AT136" i="7"/>
  <c r="AV136" i="7" s="1"/>
  <c r="AU169" i="7"/>
  <c r="AT169" i="7"/>
  <c r="AD79" i="7"/>
  <c r="AC79" i="7"/>
  <c r="AB79" i="7"/>
  <c r="G4" i="18"/>
  <c r="F4" i="18"/>
  <c r="AN32" i="7"/>
  <c r="AO32" i="7" s="1"/>
  <c r="AU118" i="7"/>
  <c r="AS118" i="7"/>
  <c r="AB139" i="7"/>
  <c r="AA139" i="7"/>
  <c r="AE136" i="7"/>
  <c r="AB136" i="7"/>
  <c r="AT119" i="7"/>
  <c r="AB69" i="7"/>
  <c r="AT144" i="7"/>
  <c r="AS144" i="7"/>
  <c r="AD162" i="7"/>
  <c r="AC162" i="7"/>
  <c r="AA162" i="7"/>
  <c r="AD47" i="7"/>
  <c r="AB47" i="7"/>
  <c r="AS46" i="7"/>
  <c r="AT46" i="7"/>
  <c r="AT53" i="7"/>
  <c r="AU53" i="7"/>
  <c r="AU31" i="7"/>
  <c r="AS31" i="7"/>
  <c r="AD61" i="7"/>
  <c r="AB61" i="7"/>
  <c r="AD137" i="7"/>
  <c r="AC137" i="7"/>
  <c r="AA137" i="7"/>
  <c r="AT38" i="7"/>
  <c r="AS38" i="7"/>
  <c r="AC121" i="7"/>
  <c r="AB121" i="7"/>
  <c r="AU141" i="7"/>
  <c r="AT141" i="7"/>
  <c r="AB165" i="7"/>
  <c r="AA165" i="7"/>
  <c r="AU113" i="7"/>
  <c r="AT113" i="7"/>
  <c r="AU128" i="7"/>
  <c r="AT128" i="7"/>
  <c r="I5" i="18"/>
  <c r="J5" i="18"/>
  <c r="AU78" i="7"/>
  <c r="AS78" i="7"/>
  <c r="AU43" i="7"/>
  <c r="AT43" i="7"/>
  <c r="AD78" i="7"/>
  <c r="AC78" i="7"/>
  <c r="AD34" i="7"/>
  <c r="AB34" i="7"/>
  <c r="AA34" i="7"/>
  <c r="AU125" i="7"/>
  <c r="AT125" i="7"/>
  <c r="AS125" i="7"/>
  <c r="AB156" i="7"/>
  <c r="AD156" i="7"/>
  <c r="AU153" i="7"/>
  <c r="AS153" i="7"/>
  <c r="AD89" i="7"/>
  <c r="AC89" i="7"/>
  <c r="AB89" i="7"/>
  <c r="AU10" i="7"/>
  <c r="AT10" i="7"/>
  <c r="AD60" i="7"/>
  <c r="AB60" i="7"/>
  <c r="AA60" i="7"/>
  <c r="AD159" i="7"/>
  <c r="AB159" i="7"/>
  <c r="AU114" i="7"/>
  <c r="AV114" i="7" s="1"/>
  <c r="AS114" i="7"/>
  <c r="AU16" i="7"/>
  <c r="AS16" i="7"/>
  <c r="AD174" i="7"/>
  <c r="AB174" i="7"/>
  <c r="AA174" i="7"/>
  <c r="AB2" i="7"/>
  <c r="AB29" i="7"/>
  <c r="AA78" i="7"/>
  <c r="AS171" i="7"/>
  <c r="AT171" i="7"/>
  <c r="AT33" i="7"/>
  <c r="AU33" i="7"/>
  <c r="AB49" i="7"/>
  <c r="AE49" i="7"/>
  <c r="AU49" i="7"/>
  <c r="AV49" i="7" s="1"/>
  <c r="AS49" i="7"/>
  <c r="AB38" i="7"/>
  <c r="AU56" i="7"/>
  <c r="AT56" i="7"/>
  <c r="AS56" i="7"/>
  <c r="AC60" i="7"/>
  <c r="AU106" i="7"/>
  <c r="AV106" i="7" s="1"/>
  <c r="AS106" i="7"/>
  <c r="AD172" i="7"/>
  <c r="AC172" i="7"/>
  <c r="AS87" i="7"/>
  <c r="AT87" i="7"/>
  <c r="AO19" i="7"/>
  <c r="AB92" i="7"/>
  <c r="AD154" i="7"/>
  <c r="AB154" i="7"/>
  <c r="AA154" i="7"/>
  <c r="AU163" i="7"/>
  <c r="AT163" i="7"/>
  <c r="AS163" i="7"/>
  <c r="AC174" i="7"/>
  <c r="AD175" i="7"/>
  <c r="AE175" i="7"/>
  <c r="AB175" i="7"/>
  <c r="U5" i="18"/>
  <c r="V5" i="18"/>
  <c r="AC62" i="7"/>
  <c r="AD7" i="7"/>
  <c r="AU167" i="7"/>
  <c r="AV167" i="7" s="1"/>
  <c r="AD6" i="7"/>
  <c r="AC106" i="7"/>
  <c r="AT165" i="7"/>
  <c r="AV165" i="7" s="1"/>
  <c r="AT92" i="7"/>
  <c r="AV92" i="7" s="1"/>
  <c r="AT17" i="7"/>
  <c r="AV17" i="7" s="1"/>
  <c r="AT155" i="7"/>
  <c r="AV155" i="7" s="1"/>
  <c r="R4" i="18"/>
  <c r="Y4" i="18"/>
  <c r="X4" i="18"/>
  <c r="O5" i="18"/>
  <c r="P5" i="18"/>
  <c r="AE2" i="7"/>
  <c r="AU39" i="7"/>
  <c r="AV39" i="7" s="1"/>
  <c r="AS42" i="7"/>
  <c r="AT69" i="7"/>
  <c r="AV69" i="7" s="1"/>
  <c r="AS68" i="7"/>
  <c r="AN156" i="7"/>
  <c r="AO156" i="7" s="1"/>
  <c r="AD110" i="7"/>
  <c r="AC110" i="7"/>
  <c r="AA110" i="7"/>
  <c r="AE123" i="7"/>
  <c r="AB123" i="7"/>
  <c r="AU135" i="7"/>
  <c r="AT135" i="7"/>
  <c r="AS135" i="7"/>
  <c r="AU147" i="7"/>
  <c r="AT147" i="7"/>
  <c r="AS147" i="7"/>
  <c r="AS3" i="7"/>
  <c r="AT3" i="7"/>
  <c r="AU40" i="7"/>
  <c r="AS40" i="7"/>
  <c r="AU145" i="7"/>
  <c r="AT145" i="7"/>
  <c r="AS145" i="7"/>
  <c r="AN5" i="7"/>
  <c r="AO5" i="7" s="1"/>
  <c r="AD63" i="7"/>
  <c r="AB63" i="7"/>
  <c r="AD151" i="7"/>
  <c r="AB151" i="7"/>
  <c r="AE151" i="7"/>
  <c r="AC151" i="7"/>
  <c r="AA151" i="7"/>
  <c r="AN148" i="7"/>
  <c r="AO148" i="7" s="1"/>
  <c r="AB50" i="7"/>
  <c r="AC50" i="7"/>
  <c r="AA50" i="7"/>
  <c r="AA2" i="7"/>
  <c r="AT42" i="7"/>
  <c r="AV42" i="7" s="1"/>
  <c r="AA68" i="7"/>
  <c r="AT68" i="7"/>
  <c r="AV68" i="7" s="1"/>
  <c r="AT78" i="7"/>
  <c r="AE146" i="7"/>
  <c r="AB152" i="7"/>
  <c r="AE162" i="7"/>
  <c r="AE23" i="7"/>
  <c r="AA43" i="7"/>
  <c r="AC47" i="7"/>
  <c r="AE83" i="7"/>
  <c r="AU64" i="7"/>
  <c r="AT64" i="7"/>
  <c r="AC96" i="7"/>
  <c r="AB96" i="7"/>
  <c r="AU156" i="7"/>
  <c r="AT156" i="7"/>
  <c r="AD171" i="7"/>
  <c r="AC171" i="7"/>
  <c r="AA171" i="7"/>
  <c r="AN171" i="7"/>
  <c r="AO171" i="7" s="1"/>
  <c r="AU81" i="7"/>
  <c r="AT81" i="7"/>
  <c r="AB110" i="7"/>
  <c r="AU122" i="7"/>
  <c r="AT122" i="7"/>
  <c r="AD150" i="7"/>
  <c r="AB150" i="7"/>
  <c r="AD27" i="7"/>
  <c r="AC27" i="7"/>
  <c r="AB27" i="7"/>
  <c r="AA27" i="7"/>
  <c r="AB31" i="7"/>
  <c r="AE31" i="7"/>
  <c r="AC31" i="7"/>
  <c r="AA31" i="7"/>
  <c r="AN137" i="7"/>
  <c r="AO137" i="7" s="1"/>
  <c r="AD26" i="7"/>
  <c r="AC26" i="7"/>
  <c r="AE26" i="7"/>
  <c r="AB26" i="7"/>
  <c r="AA26" i="7"/>
  <c r="AT51" i="7"/>
  <c r="AS51" i="7"/>
  <c r="AU51" i="7"/>
  <c r="AD111" i="7"/>
  <c r="AB111" i="7"/>
  <c r="AE14" i="7"/>
  <c r="AD14" i="7"/>
  <c r="AA14" i="7"/>
  <c r="AB14" i="7"/>
  <c r="AT102" i="7"/>
  <c r="AV102" i="7" s="1"/>
  <c r="AS146" i="7"/>
  <c r="AT162" i="7"/>
  <c r="AV162" i="7" s="1"/>
  <c r="AS23" i="7"/>
  <c r="AS35" i="7"/>
  <c r="AC43" i="7"/>
  <c r="AE47" i="7"/>
  <c r="AT83" i="7"/>
  <c r="AV83" i="7" s="1"/>
  <c r="AU88" i="7"/>
  <c r="AT88" i="7"/>
  <c r="AB103" i="7"/>
  <c r="AA103" i="7"/>
  <c r="AT170" i="7"/>
  <c r="AU170" i="7"/>
  <c r="AN36" i="7"/>
  <c r="AO36" i="7" s="1"/>
  <c r="AE110" i="7"/>
  <c r="AB122" i="7"/>
  <c r="AA122" i="7"/>
  <c r="AE122" i="7"/>
  <c r="AU130" i="7"/>
  <c r="AT130" i="7"/>
  <c r="AD65" i="7"/>
  <c r="AC65" i="7"/>
  <c r="AE65" i="7"/>
  <c r="AB65" i="7"/>
  <c r="AA65" i="7"/>
  <c r="AN66" i="7"/>
  <c r="AO66" i="7" s="1"/>
  <c r="AN112" i="7"/>
  <c r="AO112" i="7" s="1"/>
  <c r="AD145" i="7"/>
  <c r="AA145" i="7"/>
  <c r="AE145" i="7"/>
  <c r="AC145" i="7"/>
  <c r="AD10" i="7"/>
  <c r="AC10" i="7"/>
  <c r="AE10" i="7"/>
  <c r="AB10" i="7"/>
  <c r="AA10" i="7"/>
  <c r="AN20" i="7"/>
  <c r="AO20" i="7" s="1"/>
  <c r="AT57" i="7"/>
  <c r="AU57" i="7"/>
  <c r="AD126" i="7"/>
  <c r="AB126" i="7"/>
  <c r="AS151" i="7"/>
  <c r="AT151" i="7"/>
  <c r="AE161" i="7"/>
  <c r="AC161" i="7"/>
  <c r="AD168" i="7"/>
  <c r="AB168" i="7"/>
  <c r="AC2" i="7"/>
  <c r="AS21" i="7"/>
  <c r="AC119" i="7"/>
  <c r="AV119" i="7"/>
  <c r="AS39" i="7"/>
  <c r="AE42" i="7"/>
  <c r="AB54" i="7"/>
  <c r="AE69" i="7"/>
  <c r="AE68" i="7"/>
  <c r="AB71" i="7"/>
  <c r="AE78" i="7"/>
  <c r="AB82" i="7"/>
  <c r="AE91" i="7"/>
  <c r="AT101" i="7"/>
  <c r="AV101" i="7" s="1"/>
  <c r="AA146" i="7"/>
  <c r="AT146" i="7"/>
  <c r="AV146" i="7" s="1"/>
  <c r="AB162" i="7"/>
  <c r="AA23" i="7"/>
  <c r="AT23" i="7"/>
  <c r="AV23" i="7" s="1"/>
  <c r="AE34" i="7"/>
  <c r="AE43" i="7"/>
  <c r="AA47" i="7"/>
  <c r="AT47" i="7"/>
  <c r="AV47" i="7" s="1"/>
  <c r="AB83" i="7"/>
  <c r="AC55" i="7"/>
  <c r="AU55" i="7"/>
  <c r="AV55" i="7" s="1"/>
  <c r="AS55" i="7"/>
  <c r="AS85" i="7"/>
  <c r="AE72" i="7"/>
  <c r="AB72" i="7"/>
  <c r="AD103" i="7"/>
  <c r="AS156" i="7"/>
  <c r="AE171" i="7"/>
  <c r="AU36" i="7"/>
  <c r="AT36" i="7"/>
  <c r="AD37" i="7"/>
  <c r="AD46" i="7"/>
  <c r="AC46" i="7"/>
  <c r="AA46" i="7"/>
  <c r="AD48" i="7"/>
  <c r="AB48" i="7"/>
  <c r="AA81" i="7"/>
  <c r="AC81" i="7"/>
  <c r="AC122" i="7"/>
  <c r="AU131" i="7"/>
  <c r="AT131" i="7"/>
  <c r="AS131" i="7"/>
  <c r="AU7" i="7"/>
  <c r="AS7" i="7"/>
  <c r="AD90" i="7"/>
  <c r="AB90" i="7"/>
  <c r="AT139" i="7"/>
  <c r="AS139" i="7"/>
  <c r="AU107" i="7"/>
  <c r="AS107" i="7"/>
  <c r="AU93" i="7"/>
  <c r="AS93" i="7"/>
  <c r="AT93" i="7"/>
  <c r="AE32" i="7"/>
  <c r="AE135" i="7"/>
  <c r="AC149" i="7"/>
  <c r="AE3" i="7"/>
  <c r="AT13" i="7"/>
  <c r="AV13" i="7" s="1"/>
  <c r="AT31" i="7"/>
  <c r="AT105" i="7"/>
  <c r="AU105" i="7"/>
  <c r="AD112" i="7"/>
  <c r="AC112" i="7"/>
  <c r="AT137" i="7"/>
  <c r="AV137" i="7" s="1"/>
  <c r="AD5" i="7"/>
  <c r="AE5" i="7"/>
  <c r="AD77" i="7"/>
  <c r="AA77" i="7"/>
  <c r="AU77" i="7"/>
  <c r="AT77" i="7"/>
  <c r="AD124" i="7"/>
  <c r="AB124" i="7"/>
  <c r="AC124" i="7"/>
  <c r="AU124" i="7"/>
  <c r="AT124" i="7"/>
  <c r="AD134" i="7"/>
  <c r="AB134" i="7"/>
  <c r="AA134" i="7"/>
  <c r="AD8" i="7"/>
  <c r="AA8" i="7"/>
  <c r="AC8" i="7"/>
  <c r="AD9" i="7"/>
  <c r="AB9" i="7"/>
  <c r="AT12" i="7"/>
  <c r="AV12" i="7" s="1"/>
  <c r="AT121" i="7"/>
  <c r="AS121" i="7"/>
  <c r="AU172" i="7"/>
  <c r="AS172" i="7"/>
  <c r="AB177" i="7"/>
  <c r="AA177" i="7"/>
  <c r="AD177" i="7"/>
  <c r="AA80" i="7"/>
  <c r="AB80" i="7"/>
  <c r="AD80" i="7"/>
  <c r="AU80" i="7"/>
  <c r="AT80" i="7"/>
  <c r="AE117" i="7"/>
  <c r="AB117" i="7"/>
  <c r="AD117" i="7"/>
  <c r="AE17" i="7"/>
  <c r="AD17" i="7"/>
  <c r="AB17" i="7"/>
  <c r="AU175" i="7"/>
  <c r="AT175" i="7"/>
  <c r="F11" i="2"/>
  <c r="F13" i="2"/>
  <c r="F15" i="2"/>
  <c r="AE149" i="7"/>
  <c r="AU45" i="7"/>
  <c r="AT45" i="7"/>
  <c r="AT61" i="7"/>
  <c r="AS61" i="7"/>
  <c r="AU112" i="7"/>
  <c r="AT112" i="7"/>
  <c r="AA138" i="7"/>
  <c r="AB138" i="7"/>
  <c r="AU140" i="7"/>
  <c r="AS140" i="7"/>
  <c r="AU161" i="7"/>
  <c r="AT161" i="7"/>
  <c r="AS161" i="7"/>
  <c r="AD173" i="7"/>
  <c r="AB173" i="7"/>
  <c r="AD12" i="7"/>
  <c r="AE12" i="7"/>
  <c r="AC12" i="7"/>
  <c r="AD107" i="7"/>
  <c r="AB107" i="7"/>
  <c r="AB148" i="7"/>
  <c r="AA148" i="7"/>
  <c r="AC148" i="7"/>
  <c r="AT11" i="7"/>
  <c r="AS11" i="7"/>
  <c r="AU50" i="7"/>
  <c r="AT50" i="7"/>
  <c r="AU115" i="7"/>
  <c r="AT115" i="7"/>
  <c r="F19" i="2"/>
  <c r="F22" i="2"/>
  <c r="F25" i="2"/>
  <c r="F20" i="2"/>
  <c r="B3" i="2"/>
  <c r="AE62" i="7"/>
  <c r="AT103" i="7"/>
  <c r="AT143" i="7"/>
  <c r="AV143" i="7" s="1"/>
  <c r="AC156" i="7"/>
  <c r="AS22" i="7"/>
  <c r="AB32" i="7"/>
  <c r="AT32" i="7"/>
  <c r="AS48" i="7"/>
  <c r="AC49" i="7"/>
  <c r="AS86" i="7"/>
  <c r="AA135" i="7"/>
  <c r="AA149" i="7"/>
  <c r="AT149" i="7"/>
  <c r="AA3" i="7"/>
  <c r="AE13" i="7"/>
  <c r="AS18" i="7"/>
  <c r="AB28" i="7"/>
  <c r="AS66" i="7"/>
  <c r="AT89" i="7"/>
  <c r="AS98" i="7"/>
  <c r="AT98" i="7"/>
  <c r="AS105" i="7"/>
  <c r="AE112" i="7"/>
  <c r="AC5" i="7"/>
  <c r="AT20" i="7"/>
  <c r="AV20" i="7" s="1"/>
  <c r="AB56" i="7"/>
  <c r="AC56" i="7"/>
  <c r="AT60" i="7"/>
  <c r="AE77" i="7"/>
  <c r="AS77" i="7"/>
  <c r="AE124" i="7"/>
  <c r="AS124" i="7"/>
  <c r="AE134" i="7"/>
  <c r="AE8" i="7"/>
  <c r="AU9" i="7"/>
  <c r="AS9" i="7"/>
  <c r="AA12" i="7"/>
  <c r="AU67" i="7"/>
  <c r="AT67" i="7"/>
  <c r="AB109" i="7"/>
  <c r="AD136" i="7"/>
  <c r="AC136" i="7"/>
  <c r="AA136" i="7"/>
  <c r="AD148" i="7"/>
  <c r="AT172" i="7"/>
  <c r="AB87" i="7"/>
  <c r="AA87" i="7"/>
  <c r="AE16" i="7"/>
  <c r="AB16" i="7"/>
  <c r="AA16" i="7"/>
  <c r="AS80" i="7"/>
  <c r="AU117" i="7"/>
  <c r="AT117" i="7"/>
  <c r="AU94" i="7"/>
  <c r="AV94" i="7" s="1"/>
  <c r="AS94" i="7"/>
  <c r="AU127" i="7"/>
  <c r="AT127" i="7"/>
  <c r="AS164" i="7"/>
  <c r="AE89" i="7"/>
  <c r="AE60" i="7"/>
  <c r="AD160" i="7"/>
  <c r="AA160" i="7"/>
  <c r="AU160" i="7"/>
  <c r="AT160" i="7"/>
  <c r="AU8" i="7"/>
  <c r="AV8" i="7" s="1"/>
  <c r="AS8" i="7"/>
  <c r="AD108" i="7"/>
  <c r="AB108" i="7"/>
  <c r="AC141" i="7"/>
  <c r="AA141" i="7"/>
  <c r="AU148" i="7"/>
  <c r="AV148" i="7" s="1"/>
  <c r="AS148" i="7"/>
  <c r="AD157" i="7"/>
  <c r="AC157" i="7"/>
  <c r="AD165" i="7"/>
  <c r="AC165" i="7"/>
  <c r="AT166" i="7"/>
  <c r="AS166" i="7"/>
  <c r="AB172" i="7"/>
  <c r="AA172" i="7"/>
  <c r="AS79" i="7"/>
  <c r="AT79" i="7"/>
  <c r="AS113" i="7"/>
  <c r="AU154" i="7"/>
  <c r="AV154" i="7" s="1"/>
  <c r="AS154" i="7"/>
  <c r="AD95" i="7"/>
  <c r="AC95" i="7"/>
  <c r="F10" i="2"/>
  <c r="I23" i="2"/>
  <c r="C5" i="18"/>
  <c r="D5" i="18"/>
  <c r="AD5" i="18"/>
  <c r="AE5" i="18"/>
  <c r="I11" i="2"/>
  <c r="F12" i="2"/>
  <c r="F14" i="2"/>
  <c r="F16" i="2"/>
  <c r="AE4" i="18"/>
  <c r="AD4" i="18"/>
  <c r="R5" i="18"/>
  <c r="S5" i="18"/>
  <c r="X5" i="18"/>
  <c r="Y5" i="18"/>
  <c r="AT157" i="7"/>
  <c r="AU157" i="7"/>
  <c r="AS19" i="7"/>
  <c r="AT19" i="7"/>
  <c r="AE127" i="7"/>
  <c r="AD127" i="7"/>
  <c r="L4" i="18"/>
  <c r="F5" i="18"/>
  <c r="G5" i="18"/>
  <c r="L5" i="18"/>
  <c r="M5" i="18"/>
  <c r="AA5" i="18"/>
  <c r="AB5" i="18"/>
  <c r="AE106" i="7"/>
  <c r="AE79" i="7"/>
  <c r="AE154" i="7"/>
  <c r="AE174" i="7"/>
  <c r="H6" i="2"/>
  <c r="E15" i="18"/>
  <c r="E16" i="18"/>
  <c r="AN152" i="7"/>
  <c r="AO152" i="7" s="1"/>
  <c r="AN70" i="7"/>
  <c r="AO70" i="7" s="1"/>
  <c r="AN35" i="7"/>
  <c r="AO35" i="7" s="1"/>
  <c r="AN21" i="7"/>
  <c r="AO21" i="7" s="1"/>
  <c r="AN54" i="7"/>
  <c r="AO54" i="7" s="1"/>
  <c r="AN71" i="7"/>
  <c r="AO71" i="7" s="1"/>
  <c r="AN82" i="7"/>
  <c r="AO82" i="7" s="1"/>
  <c r="AN29" i="7"/>
  <c r="AO29" i="7" s="1"/>
  <c r="AN144" i="7"/>
  <c r="AO144" i="7" s="1"/>
  <c r="AN176" i="7"/>
  <c r="AO176" i="7" s="1"/>
  <c r="AN84" i="7"/>
  <c r="AO84" i="7" s="1"/>
  <c r="AN85" i="7"/>
  <c r="AO85" i="7" s="1"/>
  <c r="AU21" i="7"/>
  <c r="AV21" i="7" s="1"/>
  <c r="AO119" i="7"/>
  <c r="AD29" i="7"/>
  <c r="AS29" i="7"/>
  <c r="E26" i="2"/>
  <c r="F26" i="2" s="1"/>
  <c r="AB70" i="7"/>
  <c r="AO68" i="7"/>
  <c r="AB101" i="7"/>
  <c r="AU144" i="7"/>
  <c r="AU176" i="7"/>
  <c r="AV176" i="7" s="1"/>
  <c r="AO23" i="7"/>
  <c r="AS2" i="7"/>
  <c r="AC21" i="7"/>
  <c r="AB119" i="7"/>
  <c r="AA29" i="7"/>
  <c r="AE29" i="7"/>
  <c r="AT29" i="7"/>
  <c r="AV29" i="7" s="1"/>
  <c r="AC41" i="7"/>
  <c r="AT41" i="7"/>
  <c r="AA54" i="7"/>
  <c r="AE54" i="7"/>
  <c r="AT54" i="7"/>
  <c r="AS69" i="7"/>
  <c r="AC70" i="7"/>
  <c r="AB68" i="7"/>
  <c r="AA71" i="7"/>
  <c r="AE71" i="7"/>
  <c r="AT71" i="7"/>
  <c r="AA82" i="7"/>
  <c r="AE82" i="7"/>
  <c r="AT82" i="7"/>
  <c r="AS91" i="7"/>
  <c r="AD101" i="7"/>
  <c r="AS101" i="7"/>
  <c r="AC102" i="7"/>
  <c r="AS102" i="7"/>
  <c r="AC144" i="7"/>
  <c r="AB146" i="7"/>
  <c r="AA152" i="7"/>
  <c r="AE152" i="7"/>
  <c r="AT152" i="7"/>
  <c r="AS162" i="7"/>
  <c r="AC176" i="7"/>
  <c r="AB23" i="7"/>
  <c r="AS24" i="7"/>
  <c r="AC30" i="7"/>
  <c r="AT30" i="7"/>
  <c r="AS34" i="7"/>
  <c r="AC35" i="7"/>
  <c r="AB43" i="7"/>
  <c r="AS43" i="7"/>
  <c r="AC44" i="7"/>
  <c r="AT44" i="7"/>
  <c r="AS47" i="7"/>
  <c r="AC52" i="7"/>
  <c r="AT52" i="7"/>
  <c r="AS83" i="7"/>
  <c r="AC84" i="7"/>
  <c r="AB55" i="7"/>
  <c r="AA85" i="7"/>
  <c r="AE85" i="7"/>
  <c r="AT85" i="7"/>
  <c r="AV85" i="7" s="1"/>
  <c r="AN62" i="7"/>
  <c r="AO62" i="7" s="1"/>
  <c r="AS62" i="7"/>
  <c r="AD64" i="7"/>
  <c r="AN64" i="7"/>
  <c r="AO64" i="7" s="1"/>
  <c r="AS64" i="7"/>
  <c r="AC72" i="7"/>
  <c r="AT72" i="7"/>
  <c r="AV72" i="7" s="1"/>
  <c r="AA88" i="7"/>
  <c r="AC103" i="7"/>
  <c r="AU103" i="7"/>
  <c r="AA104" i="7"/>
  <c r="AD125" i="7"/>
  <c r="AN125" i="7"/>
  <c r="AO125" i="7" s="1"/>
  <c r="AE143" i="7"/>
  <c r="AA143" i="7"/>
  <c r="AS143" i="7"/>
  <c r="AE156" i="7"/>
  <c r="AB170" i="7"/>
  <c r="AC22" i="7"/>
  <c r="AE22" i="7"/>
  <c r="AA22" i="7"/>
  <c r="AV22" i="7"/>
  <c r="AO33" i="7"/>
  <c r="AS33" i="7"/>
  <c r="AE37" i="7"/>
  <c r="AA37" i="7"/>
  <c r="AC37" i="7"/>
  <c r="AU37" i="7"/>
  <c r="AV37" i="7" s="1"/>
  <c r="AO46" i="7"/>
  <c r="AO53" i="7"/>
  <c r="AS53" i="7"/>
  <c r="AE86" i="7"/>
  <c r="AA86" i="7"/>
  <c r="AC86" i="7"/>
  <c r="AU86" i="7"/>
  <c r="AV86" i="7" s="1"/>
  <c r="AO110" i="7"/>
  <c r="AO118" i="7"/>
  <c r="AN18" i="7"/>
  <c r="AO18" i="7" s="1"/>
  <c r="AN28" i="7"/>
  <c r="AO28" i="7" s="1"/>
  <c r="AD21" i="7"/>
  <c r="AU41" i="7"/>
  <c r="AU54" i="7"/>
  <c r="AD70" i="7"/>
  <c r="AU71" i="7"/>
  <c r="AU82" i="7"/>
  <c r="AE101" i="7"/>
  <c r="AE102" i="7"/>
  <c r="AD144" i="7"/>
  <c r="AU152" i="7"/>
  <c r="AD176" i="7"/>
  <c r="AD30" i="7"/>
  <c r="AU30" i="7"/>
  <c r="AD35" i="7"/>
  <c r="AD44" i="7"/>
  <c r="AU44" i="7"/>
  <c r="AD52" i="7"/>
  <c r="AU52" i="7"/>
  <c r="AD84" i="7"/>
  <c r="AS84" i="7"/>
  <c r="AB85" i="7"/>
  <c r="AE64" i="7"/>
  <c r="AD72" i="7"/>
  <c r="AC88" i="7"/>
  <c r="AB104" i="7"/>
  <c r="AS104" i="7"/>
  <c r="AE125" i="7"/>
  <c r="AD15" i="7"/>
  <c r="AA15" i="7"/>
  <c r="AC33" i="7"/>
  <c r="AE33" i="7"/>
  <c r="AA33" i="7"/>
  <c r="AE53" i="7"/>
  <c r="AA53" i="7"/>
  <c r="AC53" i="7"/>
  <c r="AD41" i="7"/>
  <c r="AA21" i="7"/>
  <c r="AE21" i="7"/>
  <c r="AA41" i="7"/>
  <c r="AE41" i="7"/>
  <c r="AC54" i="7"/>
  <c r="AA70" i="7"/>
  <c r="AT70" i="7"/>
  <c r="AV70" i="7" s="1"/>
  <c r="AC71" i="7"/>
  <c r="AC82" i="7"/>
  <c r="AA102" i="7"/>
  <c r="AA144" i="7"/>
  <c r="AE144" i="7"/>
  <c r="AN146" i="7"/>
  <c r="AO146" i="7" s="1"/>
  <c r="AC152" i="7"/>
  <c r="AA176" i="7"/>
  <c r="AE176" i="7"/>
  <c r="AA30" i="7"/>
  <c r="AE30" i="7"/>
  <c r="AA35" i="7"/>
  <c r="AE35" i="7"/>
  <c r="AT35" i="7"/>
  <c r="AV35" i="7" s="1"/>
  <c r="AA44" i="7"/>
  <c r="AE44" i="7"/>
  <c r="AA52" i="7"/>
  <c r="AE52" i="7"/>
  <c r="AA84" i="7"/>
  <c r="AT84" i="7"/>
  <c r="AV84" i="7" s="1"/>
  <c r="AC85" i="7"/>
  <c r="AA72" i="7"/>
  <c r="AD88" i="7"/>
  <c r="AE96" i="7"/>
  <c r="AA96" i="7"/>
  <c r="AE103" i="7"/>
  <c r="AD104" i="7"/>
  <c r="AT104" i="7"/>
  <c r="AV104" i="7" s="1"/>
  <c r="AA125" i="7"/>
  <c r="AO170" i="7"/>
  <c r="AB15" i="7"/>
  <c r="AO15" i="7"/>
  <c r="AB33" i="7"/>
  <c r="AC48" i="7"/>
  <c r="AE48" i="7"/>
  <c r="AA48" i="7"/>
  <c r="AN48" i="7"/>
  <c r="AO48" i="7" s="1"/>
  <c r="AU48" i="7"/>
  <c r="AV48" i="7" s="1"/>
  <c r="AO49" i="7"/>
  <c r="AB53" i="7"/>
  <c r="AV53" i="7"/>
  <c r="AD86" i="7"/>
  <c r="AC118" i="7"/>
  <c r="AB118" i="7"/>
  <c r="AE118" i="7"/>
  <c r="AA118" i="7"/>
  <c r="AN123" i="7"/>
  <c r="AO123" i="7" s="1"/>
  <c r="AN153" i="7"/>
  <c r="AO153" i="7" s="1"/>
  <c r="AN150" i="7"/>
  <c r="AO150" i="7" s="1"/>
  <c r="E21" i="2"/>
  <c r="F21" i="2" s="1"/>
  <c r="AE88" i="7"/>
  <c r="AE104" i="7"/>
  <c r="AE170" i="7"/>
  <c r="AA170" i="7"/>
  <c r="AC170" i="7"/>
  <c r="AE15" i="7"/>
  <c r="AD33" i="7"/>
  <c r="AO37" i="7"/>
  <c r="AS37" i="7"/>
  <c r="AD53" i="7"/>
  <c r="AO86" i="7"/>
  <c r="AN7" i="7"/>
  <c r="AO7" i="7" s="1"/>
  <c r="AU171" i="7"/>
  <c r="AU15" i="7"/>
  <c r="AU32" i="7"/>
  <c r="AD36" i="7"/>
  <c r="AU46" i="7"/>
  <c r="AD49" i="7"/>
  <c r="AU110" i="7"/>
  <c r="AT118" i="7"/>
  <c r="AD122" i="7"/>
  <c r="AN122" i="7"/>
  <c r="AC123" i="7"/>
  <c r="AC130" i="7"/>
  <c r="AC131" i="7"/>
  <c r="AC132" i="7"/>
  <c r="AT132" i="7"/>
  <c r="AD135" i="7"/>
  <c r="AC147" i="7"/>
  <c r="AC153" i="7"/>
  <c r="AU149" i="7"/>
  <c r="AA150" i="7"/>
  <c r="AE150" i="7"/>
  <c r="AT150" i="7"/>
  <c r="AD3" i="7"/>
  <c r="AU3" i="7"/>
  <c r="AV3" i="7" s="1"/>
  <c r="AA4" i="7"/>
  <c r="AE4" i="7"/>
  <c r="AC18" i="7"/>
  <c r="AU27" i="7"/>
  <c r="AV27" i="7" s="1"/>
  <c r="AA28" i="7"/>
  <c r="AE28" i="7"/>
  <c r="AT28" i="7"/>
  <c r="AD31" i="7"/>
  <c r="AD45" i="7"/>
  <c r="AN45" i="7"/>
  <c r="AO45" i="7" s="1"/>
  <c r="AE61" i="7"/>
  <c r="AA61" i="7"/>
  <c r="AE74" i="7"/>
  <c r="AA74" i="7"/>
  <c r="AC74" i="7"/>
  <c r="AU74" i="7"/>
  <c r="AO89" i="7"/>
  <c r="AC133" i="7"/>
  <c r="AE133" i="7"/>
  <c r="AA133" i="7"/>
  <c r="AV133" i="7"/>
  <c r="AO167" i="7"/>
  <c r="AC142" i="7"/>
  <c r="AE142" i="7"/>
  <c r="AA142" i="7"/>
  <c r="AU142" i="7"/>
  <c r="AV142" i="7" s="1"/>
  <c r="AO10" i="7"/>
  <c r="AU25" i="7"/>
  <c r="AO51" i="7"/>
  <c r="AO56" i="7"/>
  <c r="AS111" i="7"/>
  <c r="AT111" i="7"/>
  <c r="AN136" i="7"/>
  <c r="AO136" i="7" s="1"/>
  <c r="AD123" i="7"/>
  <c r="AS123" i="7"/>
  <c r="AD130" i="7"/>
  <c r="AD131" i="7"/>
  <c r="AD132" i="7"/>
  <c r="AU132" i="7"/>
  <c r="AE147" i="7"/>
  <c r="AD153" i="7"/>
  <c r="AU150" i="7"/>
  <c r="AB4" i="7"/>
  <c r="AS4" i="7"/>
  <c r="AD18" i="7"/>
  <c r="AU28" i="7"/>
  <c r="AE45" i="7"/>
  <c r="AV74" i="7"/>
  <c r="AS90" i="7"/>
  <c r="AE167" i="7"/>
  <c r="AA167" i="7"/>
  <c r="AC167" i="7"/>
  <c r="AE25" i="7"/>
  <c r="AA25" i="7"/>
  <c r="AC25" i="7"/>
  <c r="AV25" i="7"/>
  <c r="AN63" i="7"/>
  <c r="AO63" i="7" s="1"/>
  <c r="AN75" i="7"/>
  <c r="AO75" i="7" s="1"/>
  <c r="AN126" i="7"/>
  <c r="AO126" i="7" s="1"/>
  <c r="AB140" i="7"/>
  <c r="AE140" i="7"/>
  <c r="AA140" i="7"/>
  <c r="AC140" i="7"/>
  <c r="AN168" i="7"/>
  <c r="AO168" i="7" s="1"/>
  <c r="AN73" i="7"/>
  <c r="AO73" i="7" s="1"/>
  <c r="AA123" i="7"/>
  <c r="AT123" i="7"/>
  <c r="AV123" i="7" s="1"/>
  <c r="AA130" i="7"/>
  <c r="AF130" i="7" s="1"/>
  <c r="AE130" i="7"/>
  <c r="AA131" i="7"/>
  <c r="AF131" i="7" s="1"/>
  <c r="AE131" i="7"/>
  <c r="AA132" i="7"/>
  <c r="AE132" i="7"/>
  <c r="AA147" i="7"/>
  <c r="AA153" i="7"/>
  <c r="AE153" i="7"/>
  <c r="AT153" i="7"/>
  <c r="AV153" i="7" s="1"/>
  <c r="AN149" i="7"/>
  <c r="AO149" i="7" s="1"/>
  <c r="AC150" i="7"/>
  <c r="AC4" i="7"/>
  <c r="AT4" i="7"/>
  <c r="AV4" i="7" s="1"/>
  <c r="AT7" i="7"/>
  <c r="AA18" i="7"/>
  <c r="AE18" i="7"/>
  <c r="AT18" i="7"/>
  <c r="AV18" i="7" s="1"/>
  <c r="AN27" i="7"/>
  <c r="AO27" i="7" s="1"/>
  <c r="AC28" i="7"/>
  <c r="AT40" i="7"/>
  <c r="AV40" i="7" s="1"/>
  <c r="AA45" i="7"/>
  <c r="AC61" i="7"/>
  <c r="AN61" i="7"/>
  <c r="AO61" i="7" s="1"/>
  <c r="AU61" i="7"/>
  <c r="AV61" i="7" s="1"/>
  <c r="AO65" i="7"/>
  <c r="AD74" i="7"/>
  <c r="AC90" i="7"/>
  <c r="AE90" i="7"/>
  <c r="AA90" i="7"/>
  <c r="AN90" i="7"/>
  <c r="AO90" i="7" s="1"/>
  <c r="AU90" i="7"/>
  <c r="AV90" i="7" s="1"/>
  <c r="AC105" i="7"/>
  <c r="AE105" i="7"/>
  <c r="AA105" i="7"/>
  <c r="AD133" i="7"/>
  <c r="AS133" i="7"/>
  <c r="AU139" i="7"/>
  <c r="AO145" i="7"/>
  <c r="AB167" i="7"/>
  <c r="AD142" i="7"/>
  <c r="AA20" i="7"/>
  <c r="AD20" i="7"/>
  <c r="AB25" i="7"/>
  <c r="AC38" i="7"/>
  <c r="AE38" i="7"/>
  <c r="AA38" i="7"/>
  <c r="AN38" i="7"/>
  <c r="AO38" i="7" s="1"/>
  <c r="AU38" i="7"/>
  <c r="AV38" i="7" s="1"/>
  <c r="AO57" i="7"/>
  <c r="AS57" i="7"/>
  <c r="AN60" i="7"/>
  <c r="AO60" i="7" s="1"/>
  <c r="AS63" i="7"/>
  <c r="AT63" i="7"/>
  <c r="AV63" i="7" s="1"/>
  <c r="AS75" i="7"/>
  <c r="AT75" i="7"/>
  <c r="AV75" i="7" s="1"/>
  <c r="AU111" i="7"/>
  <c r="AS126" i="7"/>
  <c r="AT126" i="7"/>
  <c r="AV126" i="7" s="1"/>
  <c r="AD140" i="7"/>
  <c r="AN6" i="7"/>
  <c r="AO6" i="7" s="1"/>
  <c r="AC45" i="7"/>
  <c r="AO74" i="7"/>
  <c r="AS74" i="7"/>
  <c r="AD167" i="7"/>
  <c r="AO142" i="7"/>
  <c r="AS142" i="7"/>
  <c r="AD25" i="7"/>
  <c r="AS25" i="7"/>
  <c r="AE57" i="7"/>
  <c r="AA57" i="7"/>
  <c r="AC57" i="7"/>
  <c r="AN77" i="7"/>
  <c r="AO77" i="7" s="1"/>
  <c r="AN111" i="7"/>
  <c r="AO111" i="7" s="1"/>
  <c r="AO140" i="7"/>
  <c r="AN173" i="7"/>
  <c r="AO173" i="7" s="1"/>
  <c r="AN108" i="7"/>
  <c r="AO108" i="7" s="1"/>
  <c r="AN157" i="7"/>
  <c r="AO157" i="7" s="1"/>
  <c r="AN79" i="7"/>
  <c r="AO79" i="7" s="1"/>
  <c r="AU65" i="7"/>
  <c r="AU89" i="7"/>
  <c r="AD98" i="7"/>
  <c r="AU98" i="7"/>
  <c r="AB112" i="7"/>
  <c r="AB137" i="7"/>
  <c r="AS138" i="7"/>
  <c r="AB145" i="7"/>
  <c r="AS158" i="7"/>
  <c r="AB5" i="7"/>
  <c r="AS10" i="7"/>
  <c r="AS20" i="7"/>
  <c r="AD56" i="7"/>
  <c r="AU60" i="7"/>
  <c r="AV60" i="7" s="1"/>
  <c r="AA63" i="7"/>
  <c r="AE63" i="7"/>
  <c r="AA75" i="7"/>
  <c r="AE75" i="7"/>
  <c r="AB77" i="7"/>
  <c r="AA111" i="7"/>
  <c r="AE111" i="7"/>
  <c r="AA126" i="7"/>
  <c r="AE126" i="7"/>
  <c r="AS134" i="7"/>
  <c r="AU151" i="7"/>
  <c r="AA159" i="7"/>
  <c r="AE159" i="7"/>
  <c r="AB160" i="7"/>
  <c r="AB161" i="7"/>
  <c r="AA168" i="7"/>
  <c r="AE168" i="7"/>
  <c r="AU168" i="7"/>
  <c r="AV168" i="7" s="1"/>
  <c r="AA173" i="7"/>
  <c r="AE173" i="7"/>
  <c r="AT173" i="7"/>
  <c r="AT6" i="7"/>
  <c r="AA9" i="7"/>
  <c r="AE9" i="7"/>
  <c r="AB12" i="7"/>
  <c r="AA107" i="7"/>
  <c r="AE107" i="7"/>
  <c r="AS67" i="7"/>
  <c r="AC73" i="7"/>
  <c r="AB93" i="7"/>
  <c r="AS97" i="7"/>
  <c r="AC99" i="7"/>
  <c r="AT99" i="7"/>
  <c r="AA108" i="7"/>
  <c r="AE108" i="7"/>
  <c r="AU108" i="7"/>
  <c r="AA109" i="7"/>
  <c r="AD114" i="7"/>
  <c r="AE121" i="7"/>
  <c r="AA121" i="7"/>
  <c r="AB141" i="7"/>
  <c r="AS141" i="7"/>
  <c r="AE148" i="7"/>
  <c r="AB157" i="7"/>
  <c r="AS157" i="7"/>
  <c r="AE166" i="7"/>
  <c r="AA166" i="7"/>
  <c r="AS169" i="7"/>
  <c r="AE172" i="7"/>
  <c r="AC177" i="7"/>
  <c r="AS177" i="7"/>
  <c r="AD11" i="7"/>
  <c r="AO16" i="7"/>
  <c r="AN50" i="7"/>
  <c r="AO50" i="7" s="1"/>
  <c r="AU173" i="7"/>
  <c r="AU6" i="7"/>
  <c r="AD73" i="7"/>
  <c r="AD99" i="7"/>
  <c r="AU99" i="7"/>
  <c r="AE114" i="7"/>
  <c r="AV177" i="7"/>
  <c r="AE11" i="7"/>
  <c r="AC19" i="7"/>
  <c r="AB19" i="7"/>
  <c r="AA19" i="7"/>
  <c r="AN92" i="7"/>
  <c r="AO92" i="7" s="1"/>
  <c r="AC63" i="7"/>
  <c r="AC75" i="7"/>
  <c r="AT76" i="7"/>
  <c r="AV76" i="7" s="1"/>
  <c r="AC111" i="7"/>
  <c r="AC126" i="7"/>
  <c r="AT140" i="7"/>
  <c r="AN151" i="7"/>
  <c r="AO151" i="7" s="1"/>
  <c r="AC159" i="7"/>
  <c r="AT159" i="7"/>
  <c r="AN160" i="7"/>
  <c r="AO160" i="7" s="1"/>
  <c r="AD161" i="7"/>
  <c r="AN161" i="7"/>
  <c r="AO161" i="7" s="1"/>
  <c r="AC168" i="7"/>
  <c r="AC173" i="7"/>
  <c r="AC9" i="7"/>
  <c r="AT9" i="7"/>
  <c r="AN12" i="7"/>
  <c r="AO12" i="7" s="1"/>
  <c r="AC107" i="7"/>
  <c r="AT107" i="7"/>
  <c r="AA73" i="7"/>
  <c r="AE73" i="7"/>
  <c r="AT73" i="7"/>
  <c r="AV73" i="7" s="1"/>
  <c r="AN93" i="7"/>
  <c r="AO93" i="7" s="1"/>
  <c r="AA99" i="7"/>
  <c r="AE99" i="7"/>
  <c r="AC108" i="7"/>
  <c r="AD109" i="7"/>
  <c r="AT109" i="7"/>
  <c r="AV109" i="7" s="1"/>
  <c r="AA114" i="7"/>
  <c r="AN121" i="7"/>
  <c r="AO121" i="7" s="1"/>
  <c r="AU121" i="7"/>
  <c r="AE141" i="7"/>
  <c r="AN166" i="7"/>
  <c r="AO166" i="7" s="1"/>
  <c r="AU166" i="7"/>
  <c r="AE177" i="7"/>
  <c r="AU87" i="7"/>
  <c r="AA11" i="7"/>
  <c r="AU11" i="7"/>
  <c r="AN14" i="7"/>
  <c r="AO14" i="7" s="1"/>
  <c r="AD19" i="7"/>
  <c r="AU19" i="7"/>
  <c r="AT108" i="7"/>
  <c r="AE109" i="7"/>
  <c r="AC114" i="7"/>
  <c r="AE157" i="7"/>
  <c r="AA157" i="7"/>
  <c r="AB11" i="7"/>
  <c r="AE19" i="7"/>
  <c r="AO117" i="7"/>
  <c r="AS120" i="7"/>
  <c r="AT120" i="7"/>
  <c r="AE94" i="7"/>
  <c r="AA94" i="7"/>
  <c r="AB94" i="7"/>
  <c r="AO94" i="7"/>
  <c r="AS95" i="7"/>
  <c r="AT95" i="7"/>
  <c r="AD128" i="7"/>
  <c r="AE128" i="7"/>
  <c r="AE163" i="7"/>
  <c r="AA163" i="7"/>
  <c r="AC163" i="7"/>
  <c r="AB163" i="7"/>
  <c r="AT174" i="7"/>
  <c r="AS174" i="7"/>
  <c r="V4" i="18"/>
  <c r="U4" i="18"/>
  <c r="AB113" i="7"/>
  <c r="AC113" i="7"/>
  <c r="AE115" i="7"/>
  <c r="AA115" i="7"/>
  <c r="AB115" i="7"/>
  <c r="AS116" i="7"/>
  <c r="AT116" i="7"/>
  <c r="AN164" i="7"/>
  <c r="AO164" i="7" s="1"/>
  <c r="F9" i="2"/>
  <c r="E17" i="2"/>
  <c r="I24" i="2"/>
  <c r="J24" i="2"/>
  <c r="P4" i="18"/>
  <c r="O4" i="18"/>
  <c r="AT14" i="7"/>
  <c r="AV14" i="7" s="1"/>
  <c r="AT16" i="7"/>
  <c r="AU79" i="7"/>
  <c r="AD50" i="7"/>
  <c r="AC92" i="7"/>
  <c r="AE100" i="7"/>
  <c r="AA100" i="7"/>
  <c r="AT100" i="7"/>
  <c r="AA113" i="7"/>
  <c r="AN113" i="7"/>
  <c r="AO113" i="7" s="1"/>
  <c r="AC115" i="7"/>
  <c r="AN115" i="7"/>
  <c r="AO115" i="7" s="1"/>
  <c r="AU120" i="7"/>
  <c r="AD94" i="7"/>
  <c r="AU95" i="7"/>
  <c r="AU174" i="7"/>
  <c r="J4" i="18"/>
  <c r="I4" i="18"/>
  <c r="AE50" i="7"/>
  <c r="AE92" i="7"/>
  <c r="AU100" i="7"/>
  <c r="AD113" i="7"/>
  <c r="AD115" i="7"/>
  <c r="AN120" i="7"/>
  <c r="AO120" i="7" s="1"/>
  <c r="AO17" i="7"/>
  <c r="AN95" i="7"/>
  <c r="AO95" i="7" s="1"/>
  <c r="AU116" i="7"/>
  <c r="AN174" i="7"/>
  <c r="AO174" i="7" s="1"/>
  <c r="I10" i="2"/>
  <c r="J11" i="2"/>
  <c r="H12" i="2" s="1"/>
  <c r="I12" i="2" s="1"/>
  <c r="J10" i="2"/>
  <c r="D4" i="18"/>
  <c r="C4" i="18"/>
  <c r="AB4" i="18"/>
  <c r="AA4" i="18"/>
  <c r="AA117" i="7"/>
  <c r="AA120" i="7"/>
  <c r="AE120" i="7"/>
  <c r="AA17" i="7"/>
  <c r="AA155" i="7"/>
  <c r="AE155" i="7"/>
  <c r="AA95" i="7"/>
  <c r="AE95" i="7"/>
  <c r="AA164" i="7"/>
  <c r="AE164" i="7"/>
  <c r="AT164" i="7"/>
  <c r="AV164" i="7" s="1"/>
  <c r="AC175" i="7"/>
  <c r="L6" i="18"/>
  <c r="M6" i="18"/>
  <c r="X6" i="18"/>
  <c r="Y6" i="18"/>
  <c r="D7" i="18"/>
  <c r="C7" i="18"/>
  <c r="P7" i="18"/>
  <c r="O7" i="18"/>
  <c r="AB7" i="18"/>
  <c r="AA7" i="18"/>
  <c r="F8" i="18"/>
  <c r="G8" i="18"/>
  <c r="R8" i="18"/>
  <c r="S8" i="18"/>
  <c r="AD8" i="18"/>
  <c r="AE8" i="18"/>
  <c r="J9" i="18"/>
  <c r="I9" i="18"/>
  <c r="V9" i="18"/>
  <c r="U9" i="18"/>
  <c r="L10" i="18"/>
  <c r="M10" i="18"/>
  <c r="X10" i="18"/>
  <c r="Y10" i="18"/>
  <c r="AS128" i="7"/>
  <c r="AB164" i="7"/>
  <c r="AS175" i="7"/>
  <c r="H3" i="4"/>
  <c r="B2" i="6"/>
  <c r="F29" i="2"/>
  <c r="F27" i="2"/>
  <c r="F24" i="2"/>
  <c r="F28" i="2"/>
  <c r="F23" i="2"/>
  <c r="M31" i="2"/>
  <c r="C6" i="18"/>
  <c r="D6" i="18"/>
  <c r="O6" i="18"/>
  <c r="P6" i="18"/>
  <c r="AA6" i="18"/>
  <c r="AB6" i="18"/>
  <c r="G7" i="18"/>
  <c r="F7" i="18"/>
  <c r="S7" i="18"/>
  <c r="R7" i="18"/>
  <c r="AE7" i="18"/>
  <c r="AD7" i="18"/>
  <c r="I8" i="18"/>
  <c r="J8" i="18"/>
  <c r="U8" i="18"/>
  <c r="V8" i="18"/>
  <c r="M9" i="18"/>
  <c r="L9" i="18"/>
  <c r="Y9" i="18"/>
  <c r="X9" i="18"/>
  <c r="C10" i="18"/>
  <c r="D10" i="18"/>
  <c r="O10" i="18"/>
  <c r="P10" i="18"/>
  <c r="AA10" i="18"/>
  <c r="AB10" i="18"/>
  <c r="F6" i="18"/>
  <c r="G6" i="18"/>
  <c r="R6" i="18"/>
  <c r="S6" i="18"/>
  <c r="AD6" i="18"/>
  <c r="AE6" i="18"/>
  <c r="J7" i="18"/>
  <c r="I7" i="18"/>
  <c r="V7" i="18"/>
  <c r="U7" i="18"/>
  <c r="L8" i="18"/>
  <c r="M8" i="18"/>
  <c r="X8" i="18"/>
  <c r="Y8" i="18"/>
  <c r="D9" i="18"/>
  <c r="C9" i="18"/>
  <c r="P9" i="18"/>
  <c r="O9" i="18"/>
  <c r="AB9" i="18"/>
  <c r="AA9" i="18"/>
  <c r="F10" i="18"/>
  <c r="G10" i="18"/>
  <c r="R10" i="18"/>
  <c r="S10" i="18"/>
  <c r="AD10" i="18"/>
  <c r="AE10" i="18"/>
  <c r="I6" i="18"/>
  <c r="J6" i="18"/>
  <c r="U6" i="18"/>
  <c r="V6" i="18"/>
  <c r="M7" i="18"/>
  <c r="L7" i="18"/>
  <c r="Y7" i="18"/>
  <c r="X7" i="18"/>
  <c r="C8" i="18"/>
  <c r="D8" i="18"/>
  <c r="O8" i="18"/>
  <c r="P8" i="18"/>
  <c r="AA8" i="18"/>
  <c r="AB8" i="18"/>
  <c r="G9" i="18"/>
  <c r="F9" i="18"/>
  <c r="S9" i="18"/>
  <c r="R9" i="18"/>
  <c r="AE9" i="18"/>
  <c r="AD9" i="18"/>
  <c r="I10" i="18"/>
  <c r="J10" i="18"/>
  <c r="U10" i="18"/>
  <c r="V10" i="18"/>
  <c r="B34" i="2"/>
  <c r="M34" i="2" s="1"/>
  <c r="R6" i="10"/>
  <c r="K6" i="10" s="1"/>
  <c r="R2" i="10"/>
  <c r="K2" i="10" s="1"/>
  <c r="R4" i="10"/>
  <c r="K4" i="10" s="1"/>
  <c r="R5" i="10"/>
  <c r="K5" i="10" s="1"/>
  <c r="R3" i="10"/>
  <c r="K3" i="10" s="1"/>
  <c r="AV65" i="7" l="1"/>
  <c r="AV87" i="7"/>
  <c r="AV15" i="7"/>
  <c r="AV43" i="7"/>
  <c r="AV103" i="7"/>
  <c r="I25" i="2"/>
  <c r="H25" i="2"/>
  <c r="AV118" i="7"/>
  <c r="AV16" i="7"/>
  <c r="AV78" i="7"/>
  <c r="AV121" i="7"/>
  <c r="AV107" i="7"/>
  <c r="AV79" i="7"/>
  <c r="AV110" i="7"/>
  <c r="V75" i="7"/>
  <c r="B19" i="2"/>
  <c r="C19" i="2" s="1"/>
  <c r="B16" i="2"/>
  <c r="C16" i="2" s="1"/>
  <c r="B14" i="2"/>
  <c r="C14" i="2" s="1"/>
  <c r="B12" i="2"/>
  <c r="C12" i="2" s="1"/>
  <c r="B20" i="2"/>
  <c r="C20" i="2" s="1"/>
  <c r="B15" i="2"/>
  <c r="C15" i="2" s="1"/>
  <c r="B11" i="2"/>
  <c r="B18" i="2"/>
  <c r="C18" i="2" s="1"/>
  <c r="B17" i="2"/>
  <c r="C17" i="2" s="1"/>
  <c r="B13" i="2"/>
  <c r="C13" i="2" s="1"/>
  <c r="AV170" i="7"/>
  <c r="AV175" i="7"/>
  <c r="AV33" i="7"/>
  <c r="AV113" i="7"/>
  <c r="AV141" i="7"/>
  <c r="AV26" i="7"/>
  <c r="AV91" i="7"/>
  <c r="AV62" i="7"/>
  <c r="AV89" i="7"/>
  <c r="AV7" i="7"/>
  <c r="AV127" i="7"/>
  <c r="AV56" i="7"/>
  <c r="AV166" i="7"/>
  <c r="AV171" i="7"/>
  <c r="AV169" i="7"/>
  <c r="AV97" i="7"/>
  <c r="AV9" i="7"/>
  <c r="AV149" i="7"/>
  <c r="AV31" i="7"/>
  <c r="AV122" i="7"/>
  <c r="AV81" i="7"/>
  <c r="AV108" i="7"/>
  <c r="AV135" i="7"/>
  <c r="AV51" i="7"/>
  <c r="AV125" i="7"/>
  <c r="AV67" i="7"/>
  <c r="AV172" i="7"/>
  <c r="AV105" i="7"/>
  <c r="AV163" i="7"/>
  <c r="AV10" i="7"/>
  <c r="AV128" i="7"/>
  <c r="AV32" i="7"/>
  <c r="AV115" i="7"/>
  <c r="AV93" i="7"/>
  <c r="AV139" i="7"/>
  <c r="AV57" i="7"/>
  <c r="AV130" i="7"/>
  <c r="AV88" i="7"/>
  <c r="AV144" i="7"/>
  <c r="AV159" i="7"/>
  <c r="AV46" i="7"/>
  <c r="AV161" i="7"/>
  <c r="AV80" i="7"/>
  <c r="AV77" i="7"/>
  <c r="AV131" i="7"/>
  <c r="B19" i="18"/>
  <c r="AV11" i="7"/>
  <c r="AV140" i="7"/>
  <c r="H16" i="2"/>
  <c r="H17" i="2" s="1"/>
  <c r="H18" i="2" s="1"/>
  <c r="H19" i="2" s="1"/>
  <c r="H20" i="2" s="1"/>
  <c r="H21" i="2" s="1"/>
  <c r="B16" i="18"/>
  <c r="AV160" i="7"/>
  <c r="AV117" i="7"/>
  <c r="AV124" i="7"/>
  <c r="AV36" i="7"/>
  <c r="AV147" i="7"/>
  <c r="D16" i="18"/>
  <c r="C16" i="18"/>
  <c r="AV19" i="7"/>
  <c r="AV151" i="7"/>
  <c r="J5" i="2"/>
  <c r="AV50" i="7"/>
  <c r="AV156" i="7"/>
  <c r="AV64" i="7"/>
  <c r="B15" i="18"/>
  <c r="H13" i="2"/>
  <c r="I13" i="2" s="1"/>
  <c r="F17" i="2"/>
  <c r="AV98" i="7"/>
  <c r="AV157" i="7"/>
  <c r="AV112" i="7"/>
  <c r="AV45" i="7"/>
  <c r="AV145" i="7"/>
  <c r="J6" i="2"/>
  <c r="D20" i="18"/>
  <c r="C20" i="18"/>
  <c r="B21" i="18"/>
  <c r="B17" i="18"/>
  <c r="AV174" i="7"/>
  <c r="AV95" i="7"/>
  <c r="AV6" i="7"/>
  <c r="G5" i="2"/>
  <c r="F5" i="2"/>
  <c r="AV111" i="7"/>
  <c r="AV150" i="7"/>
  <c r="G4" i="2"/>
  <c r="F4" i="2"/>
  <c r="G3" i="2"/>
  <c r="F3" i="2"/>
  <c r="AV30" i="7"/>
  <c r="AV82" i="7"/>
  <c r="AV41" i="7"/>
  <c r="B7" i="2"/>
  <c r="AV100" i="7"/>
  <c r="AV99" i="7"/>
  <c r="AV173" i="7"/>
  <c r="AO122" i="7"/>
  <c r="B4" i="2"/>
  <c r="AV54" i="7"/>
  <c r="G2" i="2"/>
  <c r="G7" i="2" s="1"/>
  <c r="F2" i="2"/>
  <c r="K5" i="2"/>
  <c r="K6" i="2" s="1"/>
  <c r="B18" i="18"/>
  <c r="AV120" i="7"/>
  <c r="AV44" i="7"/>
  <c r="AV152" i="7"/>
  <c r="B8" i="2"/>
  <c r="C8" i="2" s="1"/>
  <c r="D19" i="18"/>
  <c r="C19" i="18"/>
  <c r="B20" i="18"/>
  <c r="D21" i="18"/>
  <c r="C21" i="18"/>
  <c r="D17" i="18"/>
  <c r="C17" i="18"/>
  <c r="D18" i="18"/>
  <c r="C18" i="18"/>
  <c r="D15" i="18"/>
  <c r="C15" i="18"/>
  <c r="K11" i="2"/>
  <c r="K10" i="2"/>
  <c r="AV116" i="7"/>
  <c r="AV28" i="7"/>
  <c r="AV132" i="7"/>
  <c r="AV52" i="7"/>
  <c r="AV71" i="7"/>
  <c r="C11" i="2" l="1"/>
  <c r="B21" i="2"/>
  <c r="C21" i="2" s="1"/>
  <c r="B23" i="18"/>
  <c r="H4" i="2"/>
  <c r="H5" i="2"/>
  <c r="H3" i="2"/>
  <c r="B56" i="2"/>
  <c r="D56" i="2" s="1"/>
  <c r="H2" i="2"/>
  <c r="F7" i="2"/>
  <c r="C7" i="2"/>
  <c r="C9" i="2" s="1"/>
  <c r="B9" i="2"/>
  <c r="L5" i="2"/>
  <c r="L6" i="2"/>
  <c r="E56" i="2" l="1"/>
  <c r="H7" i="2"/>
  <c r="I2" i="2" s="1"/>
  <c r="I6" i="2" l="1"/>
  <c r="I3" i="2"/>
  <c r="K2" i="2" s="1"/>
  <c r="I5" i="2"/>
  <c r="I4" i="2"/>
  <c r="I7" i="2" l="1"/>
  <c r="K3" i="2"/>
</calcChain>
</file>

<file path=xl/sharedStrings.xml><?xml version="1.0" encoding="utf-8"?>
<sst xmlns="http://schemas.openxmlformats.org/spreadsheetml/2006/main" count="4053" uniqueCount="839">
  <si>
    <t>NOM</t>
  </si>
  <si>
    <t>Prénom</t>
  </si>
  <si>
    <t>Educateur</t>
  </si>
  <si>
    <t>Tél</t>
  </si>
  <si>
    <t>Né(e) le</t>
  </si>
  <si>
    <t>Age</t>
  </si>
  <si>
    <t>Sexe</t>
  </si>
  <si>
    <t>Scolarité</t>
  </si>
  <si>
    <t>Admission</t>
  </si>
  <si>
    <t>Sortie</t>
  </si>
  <si>
    <t>Durée PC</t>
  </si>
  <si>
    <t>Orientation</t>
  </si>
  <si>
    <t>Montgeron</t>
  </si>
  <si>
    <t>M</t>
  </si>
  <si>
    <t>Primaire</t>
  </si>
  <si>
    <t>Draveil</t>
  </si>
  <si>
    <t>D</t>
  </si>
  <si>
    <t>Collège</t>
  </si>
  <si>
    <t>Maternelle</t>
  </si>
  <si>
    <t>Vigneux</t>
  </si>
  <si>
    <t>V</t>
  </si>
  <si>
    <t>F</t>
  </si>
  <si>
    <t>Déménagement</t>
  </si>
  <si>
    <t>Placement</t>
  </si>
  <si>
    <t>Juge</t>
  </si>
  <si>
    <t>Crosne</t>
  </si>
  <si>
    <t>Garçons</t>
  </si>
  <si>
    <t>Filles</t>
  </si>
  <si>
    <t>Total</t>
  </si>
  <si>
    <t>Présents</t>
  </si>
  <si>
    <t>Moyenne d'enfants par famille =</t>
  </si>
  <si>
    <t>nbre garçons</t>
  </si>
  <si>
    <t>15-18 ans</t>
  </si>
  <si>
    <t>nbre filles</t>
  </si>
  <si>
    <t>Total filles/garçons</t>
  </si>
  <si>
    <t>Durée de PC</t>
  </si>
  <si>
    <t>%</t>
  </si>
  <si>
    <t>Yerres</t>
  </si>
  <si>
    <t>TOTAL</t>
  </si>
  <si>
    <t>Lycée</t>
  </si>
  <si>
    <t>Durée moyenne</t>
  </si>
  <si>
    <t>ans</t>
  </si>
  <si>
    <t>mois</t>
  </si>
  <si>
    <t xml:space="preserve">                       Sortis</t>
  </si>
  <si>
    <t xml:space="preserve">               Sortis</t>
  </si>
  <si>
    <t xml:space="preserve">                  Sortis</t>
  </si>
  <si>
    <t xml:space="preserve">                   Présents</t>
  </si>
  <si>
    <t xml:space="preserve">          Présents</t>
  </si>
  <si>
    <t xml:space="preserve">             Présents</t>
  </si>
  <si>
    <t>Total enfants</t>
  </si>
  <si>
    <t xml:space="preserve">                       Sortis </t>
  </si>
  <si>
    <t>Total présents</t>
  </si>
  <si>
    <t xml:space="preserve">           Présents</t>
  </si>
  <si>
    <t>Enfants admis</t>
  </si>
  <si>
    <t>Moyenne d'enfants admis par famille =</t>
  </si>
  <si>
    <t>Dont extentions</t>
  </si>
  <si>
    <t>Enfants nouvelles familles</t>
  </si>
  <si>
    <t>Enfants sortis</t>
  </si>
  <si>
    <t>Orientations</t>
  </si>
  <si>
    <t>Taux de rotation</t>
  </si>
  <si>
    <t>Absence d'adhésion</t>
  </si>
  <si>
    <t>Durée de pc des sortants</t>
  </si>
  <si>
    <t>E</t>
  </si>
  <si>
    <t>G</t>
  </si>
  <si>
    <t>Taux de rotation des enfants admis    =</t>
  </si>
  <si>
    <t>Non scol</t>
  </si>
  <si>
    <t>S</t>
  </si>
  <si>
    <t>A</t>
  </si>
  <si>
    <t>Entrée dans
 l'année</t>
  </si>
  <si>
    <t>Nombre 
journées</t>
  </si>
  <si>
    <t>Florence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</si>
  <si>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</si>
  <si>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</si>
  <si>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</si>
  <si>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</si>
  <si>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</si>
  <si>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</si>
  <si>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</si>
  <si>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</si>
  <si>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</si>
  <si>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</si>
  <si>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</si>
  <si>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</si>
  <si>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REALISEES</t>
  </si>
  <si>
    <t>ECART</t>
  </si>
  <si>
    <t>Brunoy</t>
  </si>
  <si>
    <t>REALISE PAR MOIS</t>
  </si>
  <si>
    <t>Martial</t>
  </si>
  <si>
    <t>ECART %</t>
  </si>
  <si>
    <t>Agitation</t>
  </si>
  <si>
    <t>Apprentissage</t>
  </si>
  <si>
    <t>Inhibition</t>
  </si>
  <si>
    <t>violence</t>
  </si>
  <si>
    <t>Irrespect autorité</t>
  </si>
  <si>
    <t>Retard dévelop</t>
  </si>
  <si>
    <t>Prédélinquance</t>
  </si>
  <si>
    <t>Absenteisme</t>
  </si>
  <si>
    <t>Difficultés psy</t>
  </si>
  <si>
    <t>Diffi sépar autonom</t>
  </si>
  <si>
    <t>Autres</t>
  </si>
  <si>
    <t>O</t>
  </si>
  <si>
    <t>0-6 ans</t>
  </si>
  <si>
    <t>6-11 ans</t>
  </si>
  <si>
    <t>11-15 ans</t>
  </si>
  <si>
    <t>+ 18 ans</t>
  </si>
  <si>
    <t>&lt; 2 ans</t>
  </si>
  <si>
    <t>&lt; 4 ans</t>
  </si>
  <si>
    <t>Enseig Spécial</t>
  </si>
  <si>
    <t>&gt;= 4 ans</t>
  </si>
  <si>
    <t>6-11</t>
  </si>
  <si>
    <t>11-15</t>
  </si>
  <si>
    <t>15-18</t>
  </si>
  <si>
    <t>+ 18</t>
  </si>
  <si>
    <t>LEP</t>
  </si>
  <si>
    <t>0-6</t>
  </si>
  <si>
    <t>Prévisions avec
 les rappels à faire</t>
  </si>
  <si>
    <t>A REALISER
par mois</t>
  </si>
  <si>
    <t>A REALISER
en cumul</t>
  </si>
  <si>
    <t>Nbre journées de l'année</t>
  </si>
  <si>
    <t>Prévisions avec 
les rappels à faire</t>
  </si>
  <si>
    <t>ECART
en cumul</t>
  </si>
  <si>
    <t>Ecart
 en cumul</t>
  </si>
  <si>
    <t>Ecart
 en %</t>
  </si>
  <si>
    <t>rue et code postal</t>
  </si>
  <si>
    <t>Adresse autre parent</t>
  </si>
  <si>
    <t>Tél autre parent</t>
  </si>
  <si>
    <t>Ecole</t>
  </si>
  <si>
    <t>Classe</t>
  </si>
  <si>
    <t>Suivi spécialisé</t>
  </si>
  <si>
    <t>Activité extra scol</t>
  </si>
  <si>
    <t>AS de secteur</t>
  </si>
  <si>
    <t>Admis</t>
  </si>
  <si>
    <t>Total admis</t>
  </si>
  <si>
    <t>Ecart</t>
  </si>
  <si>
    <t>Total sortis</t>
  </si>
  <si>
    <t xml:space="preserve">             Sortis</t>
  </si>
  <si>
    <t>Christelle          Total</t>
  </si>
  <si>
    <t>Martial             Total</t>
  </si>
  <si>
    <t>Christelle</t>
  </si>
  <si>
    <t>Résolutive</t>
  </si>
  <si>
    <t>J</t>
  </si>
  <si>
    <t>N</t>
  </si>
  <si>
    <t xml:space="preserve">Moyenne </t>
  </si>
  <si>
    <t>Sortis</t>
  </si>
  <si>
    <t>NOMBRE DE JOURNEES MENSUELLES PAR EDUCATEUR</t>
  </si>
  <si>
    <t>CB</t>
  </si>
  <si>
    <t>FR</t>
  </si>
  <si>
    <t>MV</t>
  </si>
  <si>
    <t>MDS</t>
  </si>
  <si>
    <t>Calcul 
pour chaque mois</t>
  </si>
  <si>
    <t>Epinay sous sénart</t>
  </si>
  <si>
    <t>Quincy sous sénart</t>
  </si>
  <si>
    <t>Varenne-Jarcy</t>
  </si>
  <si>
    <t>Boussy saint Antoine</t>
  </si>
  <si>
    <t>MDS DRAVEIL</t>
  </si>
  <si>
    <t>MDS BRUNOY</t>
  </si>
  <si>
    <t>B</t>
  </si>
  <si>
    <t>Q</t>
  </si>
  <si>
    <t>Sarah</t>
  </si>
  <si>
    <t>Majorité</t>
  </si>
  <si>
    <t>Y</t>
  </si>
  <si>
    <t>Mickaël</t>
  </si>
  <si>
    <t>C</t>
  </si>
  <si>
    <t>Yanis</t>
  </si>
  <si>
    <t>MDS Mongteron</t>
  </si>
  <si>
    <t>MDS Brunoy</t>
  </si>
  <si>
    <t>MDS Draveil</t>
  </si>
  <si>
    <t xml:space="preserve">                                                                                                                            </t>
  </si>
  <si>
    <t>Florence      Total</t>
  </si>
  <si>
    <t>Bernard      Total</t>
  </si>
  <si>
    <t xml:space="preserve">0-11 ans </t>
  </si>
  <si>
    <t>Moyenne</t>
  </si>
  <si>
    <t>Moyen/Educ</t>
  </si>
  <si>
    <t>Pourcentage</t>
  </si>
  <si>
    <t>Durée PC
Années</t>
  </si>
  <si>
    <t>Durée PC
Mois</t>
  </si>
  <si>
    <t>Nombre 
journées
depuis le 1/1</t>
  </si>
  <si>
    <t>Nbre journées - le mois en cours</t>
  </si>
  <si>
    <t>Carla     Total</t>
  </si>
  <si>
    <t>Carla</t>
  </si>
  <si>
    <t>CR</t>
  </si>
  <si>
    <t>AL</t>
  </si>
  <si>
    <t>11-18 ans</t>
  </si>
  <si>
    <t>Aline</t>
  </si>
  <si>
    <t>Moyenne année</t>
  </si>
  <si>
    <t>Journées</t>
  </si>
  <si>
    <t>Nassim</t>
  </si>
  <si>
    <t>Steven</t>
  </si>
  <si>
    <t>Joshua</t>
  </si>
  <si>
    <t>BENALI</t>
  </si>
  <si>
    <t>Luca</t>
  </si>
  <si>
    <t>Kevin</t>
  </si>
  <si>
    <t>DAVILLE</t>
  </si>
  <si>
    <t>Dylan</t>
  </si>
  <si>
    <t>Nicolas</t>
  </si>
  <si>
    <t>DICK</t>
  </si>
  <si>
    <t>Lukas</t>
  </si>
  <si>
    <t>Loïc</t>
  </si>
  <si>
    <t>FABER</t>
  </si>
  <si>
    <t>Ritchy</t>
  </si>
  <si>
    <t>FABER-THELEME</t>
  </si>
  <si>
    <t>Julie</t>
  </si>
  <si>
    <t>Océane</t>
  </si>
  <si>
    <t>Ismaël</t>
  </si>
  <si>
    <t>Mégane</t>
  </si>
  <si>
    <t>MAGLOIRE</t>
  </si>
  <si>
    <t>Kelcia</t>
  </si>
  <si>
    <t>MAVOUNGOU</t>
  </si>
  <si>
    <t>Yannis</t>
  </si>
  <si>
    <t>Tristan</t>
  </si>
  <si>
    <t>Mehdi</t>
  </si>
  <si>
    <t>David</t>
  </si>
  <si>
    <t>PARAMESVARIN</t>
  </si>
  <si>
    <t>Patrice</t>
  </si>
  <si>
    <t>PIERRET</t>
  </si>
  <si>
    <t>Enzo</t>
  </si>
  <si>
    <t>SEDOUD</t>
  </si>
  <si>
    <t>Samy</t>
  </si>
  <si>
    <t>Rayan</t>
  </si>
  <si>
    <t>Lucas</t>
  </si>
  <si>
    <t>Victor</t>
  </si>
  <si>
    <t>Sofiane</t>
  </si>
  <si>
    <t>Jonathan</t>
  </si>
  <si>
    <t>MIREDIN</t>
  </si>
  <si>
    <t>Joevin</t>
  </si>
  <si>
    <t>Bo</t>
  </si>
  <si>
    <t>Ilyasse</t>
  </si>
  <si>
    <t>DRABO</t>
  </si>
  <si>
    <t>Mathilde</t>
  </si>
  <si>
    <t>&lt; 1 an</t>
  </si>
  <si>
    <t>de 1 à 2 ans</t>
  </si>
  <si>
    <t>de 2 à 4 ans</t>
  </si>
  <si>
    <t>Aline         Total</t>
  </si>
  <si>
    <t>Matilde      Total</t>
  </si>
  <si>
    <t>Date pour calcul age</t>
  </si>
  <si>
    <t>Nbre enfants</t>
  </si>
  <si>
    <t>LEROY</t>
  </si>
  <si>
    <t>NSIMBA</t>
  </si>
  <si>
    <t>Grégory</t>
  </si>
  <si>
    <t>Date pour le calcul de l'âge</t>
  </si>
  <si>
    <t>WAFFLER</t>
  </si>
  <si>
    <t>July</t>
  </si>
  <si>
    <t>FOLIGNE</t>
  </si>
  <si>
    <t>STEPHAN</t>
  </si>
  <si>
    <t>Maria</t>
  </si>
  <si>
    <t>Nathan</t>
  </si>
  <si>
    <t>CALMON</t>
  </si>
  <si>
    <t>CHESTIER</t>
  </si>
  <si>
    <t>Matthieu</t>
  </si>
  <si>
    <t>Adrien</t>
  </si>
  <si>
    <t>Mélanie</t>
  </si>
  <si>
    <t>MARTIN</t>
  </si>
  <si>
    <t>Kynna</t>
  </si>
  <si>
    <t>Act. / 100%</t>
  </si>
  <si>
    <t>Activité budgétée</t>
  </si>
  <si>
    <t>Sur l'année</t>
  </si>
  <si>
    <t>Au mois</t>
  </si>
  <si>
    <t>Date 1er appel famille</t>
  </si>
  <si>
    <t>Autres appels</t>
  </si>
  <si>
    <t>Prévision</t>
  </si>
  <si>
    <t>(+ 3 situations de Catherine qui étaient sorties avant son départ)</t>
  </si>
  <si>
    <t>Act. / 98%</t>
  </si>
  <si>
    <t>Délai attente (jours)</t>
  </si>
  <si>
    <t>Réception de la demande</t>
  </si>
  <si>
    <t>Attente avant admission</t>
  </si>
  <si>
    <t>Date réception demande</t>
  </si>
  <si>
    <t>Alberto</t>
  </si>
  <si>
    <t>KIMBEMBE</t>
  </si>
  <si>
    <t>Educateur e</t>
  </si>
  <si>
    <t>Synthèse</t>
  </si>
  <si>
    <t>10h15</t>
  </si>
  <si>
    <t>11h30</t>
  </si>
  <si>
    <t>11h00</t>
  </si>
  <si>
    <t>10h30</t>
  </si>
  <si>
    <t>14h00</t>
  </si>
  <si>
    <t>15h00</t>
  </si>
  <si>
    <t>09h15</t>
  </si>
  <si>
    <t>Famille</t>
  </si>
  <si>
    <t>Variables</t>
  </si>
  <si>
    <t>Horaires</t>
  </si>
  <si>
    <t>REP</t>
  </si>
  <si>
    <t>REP - Date retenue</t>
  </si>
  <si>
    <t>REP - Horaire</t>
  </si>
  <si>
    <t>Synthèse - Date retenue</t>
  </si>
  <si>
    <t>Synthèse - Horaire</t>
  </si>
  <si>
    <t>Échéance (rappel) - Ne pas modifier</t>
  </si>
  <si>
    <t>Sortie (rappel) - Ne pas modifier</t>
  </si>
  <si>
    <t>Synthèse - Date théorique - ne pas modifier</t>
  </si>
  <si>
    <t>Réunion élaboration projet - Date théorique - Ne pas modifier</t>
  </si>
  <si>
    <t>Type</t>
  </si>
  <si>
    <t>Activité budgétée (100%)</t>
  </si>
  <si>
    <t>Activité acceptée (98%)</t>
  </si>
  <si>
    <t>Ecart par rapport à l'act. Budgétée</t>
  </si>
  <si>
    <t xml:space="preserve">STEPHAN </t>
  </si>
  <si>
    <t>DOS REIS</t>
  </si>
  <si>
    <t>Olivier</t>
  </si>
  <si>
    <t>MARTY</t>
  </si>
  <si>
    <t>LAMARQUE</t>
  </si>
  <si>
    <t>Mélissa</t>
  </si>
  <si>
    <t>LIEGEOIS</t>
  </si>
  <si>
    <t>Malycia</t>
  </si>
  <si>
    <t>Rosan Junior</t>
  </si>
  <si>
    <t>DEMAY</t>
  </si>
  <si>
    <t>Maeva</t>
  </si>
  <si>
    <t>Lylia</t>
  </si>
  <si>
    <t>Nolan</t>
  </si>
  <si>
    <t>PONS</t>
  </si>
  <si>
    <t>Matéo</t>
  </si>
  <si>
    <t>GUEDRI-BARTHELEMY</t>
  </si>
  <si>
    <t>BOURDON</t>
  </si>
  <si>
    <t>Anne</t>
  </si>
  <si>
    <t>AR</t>
  </si>
  <si>
    <t>MOËSON</t>
  </si>
  <si>
    <t>SIDIBE</t>
  </si>
  <si>
    <t>Adama</t>
  </si>
  <si>
    <t>CHARLES</t>
  </si>
  <si>
    <t>PAPA</t>
  </si>
  <si>
    <t>Mélina</t>
  </si>
  <si>
    <t>BIKOUMOU</t>
  </si>
  <si>
    <t>AKA</t>
  </si>
  <si>
    <t>Franck Arnaud</t>
  </si>
  <si>
    <t>VOISIN</t>
  </si>
  <si>
    <t>Wesley</t>
  </si>
  <si>
    <t>PPE</t>
  </si>
  <si>
    <t>PAP</t>
  </si>
  <si>
    <t>Date</t>
  </si>
  <si>
    <t>PICARD</t>
  </si>
  <si>
    <t>N'DIAYE</t>
  </si>
  <si>
    <t>Jean-Farell</t>
  </si>
  <si>
    <t>Awa</t>
  </si>
  <si>
    <t>NDODJIO</t>
  </si>
  <si>
    <t>Marie</t>
  </si>
  <si>
    <t>LAZAR</t>
  </si>
  <si>
    <t>Brahim</t>
  </si>
  <si>
    <t>DE OLIVEIRA E SILVA</t>
  </si>
  <si>
    <t>Tiago</t>
  </si>
  <si>
    <t>GAMBIE</t>
  </si>
  <si>
    <t>BARTHELERY</t>
  </si>
  <si>
    <t>Kéwan</t>
  </si>
  <si>
    <t>DIPC</t>
  </si>
  <si>
    <t>Transmis</t>
  </si>
  <si>
    <t>DOS SANTOS FURTADO</t>
  </si>
  <si>
    <t>Melvin</t>
  </si>
  <si>
    <t>ABDILLAH</t>
  </si>
  <si>
    <t>Amirdine</t>
  </si>
  <si>
    <t>POTIER</t>
  </si>
  <si>
    <t>Stephen</t>
  </si>
  <si>
    <t>CONIL</t>
  </si>
  <si>
    <t>Chloé</t>
  </si>
  <si>
    <t>ANEST</t>
  </si>
  <si>
    <t>SAUZER</t>
  </si>
  <si>
    <t>Naomie</t>
  </si>
  <si>
    <t>Sherley</t>
  </si>
  <si>
    <t>ROIG</t>
  </si>
  <si>
    <t>Johann</t>
  </si>
  <si>
    <t>Proposition  1er RV</t>
  </si>
  <si>
    <t>10h00</t>
  </si>
  <si>
    <t>9h30</t>
  </si>
  <si>
    <t>MWAKU</t>
  </si>
  <si>
    <t>Innosent</t>
  </si>
  <si>
    <t>HONORE</t>
  </si>
  <si>
    <t>TRAORE</t>
  </si>
  <si>
    <t>Boubacar Djibril</t>
  </si>
  <si>
    <t>Co-évaluateur</t>
  </si>
  <si>
    <t>Léa</t>
  </si>
  <si>
    <t>FRANCHITTI</t>
  </si>
  <si>
    <t>Ludivine</t>
  </si>
  <si>
    <t>ALEPEE</t>
  </si>
  <si>
    <t>PITSCHI</t>
  </si>
  <si>
    <t>Junior</t>
  </si>
  <si>
    <t>KIKOLI KIBAKA</t>
  </si>
  <si>
    <t>Bradley Franck</t>
  </si>
  <si>
    <t>Bryhana Stacy</t>
  </si>
  <si>
    <t>Mendjhy</t>
  </si>
  <si>
    <t>MANUEL</t>
  </si>
  <si>
    <t>Andréza</t>
  </si>
  <si>
    <t>GOMES DA SILVA</t>
  </si>
  <si>
    <t>Priscilla</t>
  </si>
  <si>
    <t>BOUHASSOUN</t>
  </si>
  <si>
    <t>THEVENET</t>
  </si>
  <si>
    <t>Mathys</t>
  </si>
  <si>
    <t>Code</t>
  </si>
  <si>
    <t>Ville</t>
  </si>
  <si>
    <t>Distance</t>
  </si>
  <si>
    <t>Durée</t>
  </si>
  <si>
    <t>Boussy</t>
  </si>
  <si>
    <t>Crosnes</t>
  </si>
  <si>
    <t>Epinay</t>
  </si>
  <si>
    <t>Quincy</t>
  </si>
  <si>
    <t>T</t>
  </si>
  <si>
    <t>Tigery</t>
  </si>
  <si>
    <t>Va</t>
  </si>
  <si>
    <t>Varennes-Jarcy</t>
  </si>
  <si>
    <t>Nbre</t>
  </si>
  <si>
    <t>Dist</t>
  </si>
  <si>
    <t>Dur</t>
  </si>
  <si>
    <t>Récap</t>
  </si>
  <si>
    <t>BOKINO</t>
  </si>
  <si>
    <t>Ménaël</t>
  </si>
  <si>
    <t>COZZUTTI</t>
  </si>
  <si>
    <t>09h30</t>
  </si>
  <si>
    <t>PEREUILHET</t>
  </si>
  <si>
    <t>Kocila</t>
  </si>
  <si>
    <t>Nanssa</t>
  </si>
  <si>
    <t/>
  </si>
  <si>
    <t>14H00</t>
  </si>
  <si>
    <t>ROBERT VERROENS</t>
  </si>
  <si>
    <t>Enf/Fam</t>
  </si>
  <si>
    <t>Enfants</t>
  </si>
  <si>
    <t>Familles</t>
  </si>
  <si>
    <t>FAMILLE</t>
  </si>
  <si>
    <t>AKA/MONNEY/N'DIAYE</t>
  </si>
  <si>
    <t>BARTHELERY/GAMBIE</t>
  </si>
  <si>
    <t>BONHOMME/MAGLOIRE</t>
  </si>
  <si>
    <t>DEMAY/GUEDRI-BARTHELEMY</t>
  </si>
  <si>
    <t>FABER/FABER-THELEME</t>
  </si>
  <si>
    <t>NSIMBA/DITAMBA</t>
  </si>
  <si>
    <t>DRABO/SOKO</t>
  </si>
  <si>
    <t>Échéance mesure en cours</t>
  </si>
  <si>
    <t>Début mesure en cours</t>
  </si>
  <si>
    <t>Savannah-Jade</t>
  </si>
  <si>
    <t>MASSON</t>
  </si>
  <si>
    <t>PERETEATCU</t>
  </si>
  <si>
    <t>Bordereau accord parental</t>
  </si>
  <si>
    <t>NON</t>
  </si>
  <si>
    <t>SOMMIER</t>
  </si>
  <si>
    <t>Virginie</t>
  </si>
  <si>
    <t>KOUMTOUMI FETMOTA</t>
  </si>
  <si>
    <t>Cyril</t>
  </si>
  <si>
    <t>POLLET</t>
  </si>
  <si>
    <t>Dimitri</t>
  </si>
  <si>
    <t>Ulrich</t>
  </si>
  <si>
    <t>ROUSSELOT</t>
  </si>
  <si>
    <t>Mauriane</t>
  </si>
  <si>
    <t>KRIMAT</t>
  </si>
  <si>
    <t>Kernold</t>
  </si>
  <si>
    <t>OUI</t>
  </si>
  <si>
    <t>Stacy</t>
  </si>
  <si>
    <t>16H00</t>
  </si>
  <si>
    <t>BARBOU</t>
  </si>
  <si>
    <t>Nathanaël</t>
  </si>
  <si>
    <t>BAILLY</t>
  </si>
  <si>
    <t>BAILLY/KOUMTOUMI FETMOTA</t>
  </si>
  <si>
    <t>16h00</t>
  </si>
  <si>
    <t>MIAKIZABI</t>
  </si>
  <si>
    <t>Jada</t>
  </si>
  <si>
    <t>Imara</t>
  </si>
  <si>
    <t>Shammah</t>
  </si>
  <si>
    <t>ABDOU</t>
  </si>
  <si>
    <t>Djazilati</t>
  </si>
  <si>
    <t>MEKKOUI</t>
  </si>
  <si>
    <t>CORNU</t>
  </si>
  <si>
    <t>Jennifer</t>
  </si>
  <si>
    <t>BAVOTA</t>
  </si>
  <si>
    <t>Eléonore</t>
  </si>
  <si>
    <t>GIRODIAS</t>
  </si>
  <si>
    <t>Corentin</t>
  </si>
  <si>
    <t>ALIEVA</t>
  </si>
  <si>
    <t>Anastasiya Alievna</t>
  </si>
  <si>
    <t>LEBCIR</t>
  </si>
  <si>
    <t>9h00</t>
  </si>
  <si>
    <t>14h30</t>
  </si>
  <si>
    <t>KRIMAT/KOSYGIN</t>
  </si>
  <si>
    <t>POLLET/BAVOTA</t>
  </si>
  <si>
    <t>BRAND-ROULETTE</t>
  </si>
  <si>
    <t>Noa</t>
  </si>
  <si>
    <t>GRAVERON</t>
  </si>
  <si>
    <t>Ema</t>
  </si>
  <si>
    <t>HAMADA</t>
  </si>
  <si>
    <t>Anzilati</t>
  </si>
  <si>
    <t>SOHBI</t>
  </si>
  <si>
    <t>Nacer</t>
  </si>
  <si>
    <t>JAHID</t>
  </si>
  <si>
    <t>Nohaila</t>
  </si>
  <si>
    <t>Refus de Madame</t>
  </si>
  <si>
    <t>KHELIFI</t>
  </si>
  <si>
    <t>Adam</t>
  </si>
  <si>
    <t>15h30</t>
  </si>
  <si>
    <t>ILUNGA</t>
  </si>
  <si>
    <t>Elie</t>
  </si>
  <si>
    <t>Laurélie</t>
  </si>
  <si>
    <t>LUBULA</t>
  </si>
  <si>
    <t>Exaucé</t>
  </si>
  <si>
    <t>MPIANA</t>
  </si>
  <si>
    <t>Ryan</t>
  </si>
  <si>
    <t>GUEYE</t>
  </si>
  <si>
    <t>El Hadji</t>
  </si>
  <si>
    <t>BARET</t>
  </si>
  <si>
    <t>Léo</t>
  </si>
  <si>
    <r>
      <t>GRAVERON</t>
    </r>
    <r>
      <rPr>
        <sz val="10"/>
        <rFont val="Arial"/>
        <family val="2"/>
      </rPr>
      <t>/GRIMONT-VALLEE</t>
    </r>
  </si>
  <si>
    <t>Déménagement sur Nantes</t>
  </si>
  <si>
    <t>DE JESUS LOPES</t>
  </si>
  <si>
    <t>Victoria</t>
  </si>
  <si>
    <t>ABDOU/AHAMADA</t>
  </si>
  <si>
    <t>KALOMBA KENGE</t>
  </si>
  <si>
    <t>Corneille</t>
  </si>
  <si>
    <t>KIALUNDA</t>
  </si>
  <si>
    <t>Hénoc</t>
  </si>
  <si>
    <t>GRAVERON/GRIMONT-VALLEE</t>
  </si>
  <si>
    <t>HAYOUN</t>
  </si>
  <si>
    <t>Elina</t>
  </si>
  <si>
    <t>ILUNGA/LUBULA/MPIANA</t>
  </si>
  <si>
    <t>MOURCHED</t>
  </si>
  <si>
    <t>Feirouz</t>
  </si>
  <si>
    <t>Zakarya</t>
  </si>
  <si>
    <t>BUNDHOO</t>
  </si>
  <si>
    <t>Manisha</t>
  </si>
  <si>
    <t>Refus des parents</t>
  </si>
  <si>
    <t>GUILBAUD/MICHEL</t>
  </si>
  <si>
    <t>GUILBAUD</t>
  </si>
  <si>
    <t>Eloïse</t>
  </si>
  <si>
    <t>DOL</t>
  </si>
  <si>
    <t>Kessy</t>
  </si>
  <si>
    <t>Nolann</t>
  </si>
  <si>
    <t>FUANDU MOPIANO OTSHUDI</t>
  </si>
  <si>
    <t>Camille</t>
  </si>
  <si>
    <t>BOULET</t>
  </si>
  <si>
    <t>CHERTOUK</t>
  </si>
  <si>
    <t>Safwane</t>
  </si>
  <si>
    <t xml:space="preserve">B </t>
  </si>
  <si>
    <t>FANTON</t>
  </si>
  <si>
    <t>Loan</t>
  </si>
  <si>
    <t>BAL</t>
  </si>
  <si>
    <t>Birane</t>
  </si>
  <si>
    <t>HERBAIN</t>
  </si>
  <si>
    <t>HERMELINE</t>
  </si>
  <si>
    <t>Maxime</t>
  </si>
  <si>
    <r>
      <t>DOS REIS/</t>
    </r>
    <r>
      <rPr>
        <sz val="10"/>
        <rFont val="Arial"/>
        <family val="2"/>
      </rPr>
      <t>GONCALVES DE FREITAS</t>
    </r>
  </si>
  <si>
    <t>WAFFLER/KUCZMA</t>
  </si>
  <si>
    <t>MEKKADAM</t>
  </si>
  <si>
    <t>BEHILIL</t>
  </si>
  <si>
    <t>Iliès</t>
  </si>
  <si>
    <t>Courrier liste d'attente</t>
  </si>
  <si>
    <t>MIALUNDAMA</t>
  </si>
  <si>
    <t>CAMILLE</t>
  </si>
  <si>
    <t>Alexandra</t>
  </si>
  <si>
    <t>Refus du père</t>
  </si>
  <si>
    <t>KALOMBA KENGE/KIALUNDA</t>
  </si>
  <si>
    <r>
      <t>FANTON</t>
    </r>
    <r>
      <rPr>
        <sz val="10"/>
        <rFont val="Arial"/>
        <family val="2"/>
      </rPr>
      <t>/MABROUK</t>
    </r>
  </si>
  <si>
    <t>ADIBEKYAN</t>
  </si>
  <si>
    <t>Yerem</t>
  </si>
  <si>
    <t>Anahit</t>
  </si>
  <si>
    <t>ATLAN</t>
  </si>
  <si>
    <t>Mathis</t>
  </si>
  <si>
    <t>Marion</t>
  </si>
  <si>
    <t>FUANDU MOPIANO OTSHUDI/MAPAKASA</t>
  </si>
  <si>
    <r>
      <t>KHELIFI</t>
    </r>
    <r>
      <rPr>
        <sz val="10"/>
        <rFont val="Arial"/>
        <family val="2"/>
      </rPr>
      <t>/ARAB</t>
    </r>
  </si>
  <si>
    <r>
      <t>PONS/</t>
    </r>
    <r>
      <rPr>
        <sz val="10"/>
        <rFont val="Arial"/>
        <family val="2"/>
      </rPr>
      <t>GIRARD</t>
    </r>
  </si>
  <si>
    <r>
      <t>BEHILIL</t>
    </r>
    <r>
      <rPr>
        <sz val="10"/>
        <rFont val="Arial"/>
        <family val="2"/>
      </rPr>
      <t>/TERBECHE</t>
    </r>
  </si>
  <si>
    <r>
      <t>MEKKADAM</t>
    </r>
    <r>
      <rPr>
        <sz val="10"/>
        <rFont val="Arial"/>
        <family val="2"/>
      </rPr>
      <t>/TALEB</t>
    </r>
  </si>
  <si>
    <t>MOREAU</t>
  </si>
  <si>
    <t>BADIE ZOGBA</t>
  </si>
  <si>
    <t>BEDULHO</t>
  </si>
  <si>
    <t>Théo</t>
  </si>
  <si>
    <t>BORDJEM</t>
  </si>
  <si>
    <t>Samir</t>
  </si>
  <si>
    <t>BENTITI</t>
  </si>
  <si>
    <t>NTUMBA</t>
  </si>
  <si>
    <r>
      <t>DICK/</t>
    </r>
    <r>
      <rPr>
        <sz val="10"/>
        <rFont val="Arial"/>
        <family val="2"/>
      </rPr>
      <t>AMOUIN</t>
    </r>
  </si>
  <si>
    <r>
      <t>PAPA/</t>
    </r>
    <r>
      <rPr>
        <sz val="10"/>
        <rFont val="Arial"/>
        <family val="2"/>
      </rPr>
      <t>LEFEBVRE</t>
    </r>
  </si>
  <si>
    <t>KHONGORZUL</t>
  </si>
  <si>
    <t>Khulan</t>
  </si>
  <si>
    <t>CHELLALI</t>
  </si>
  <si>
    <t>ZERROUKI</t>
  </si>
  <si>
    <t>Inès</t>
  </si>
  <si>
    <t>Kelly</t>
  </si>
  <si>
    <r>
      <t>HERMELINE</t>
    </r>
    <r>
      <rPr>
        <sz val="10"/>
        <rFont val="Arial"/>
        <family val="2"/>
      </rPr>
      <t>/MOHAMMEDI</t>
    </r>
  </si>
  <si>
    <t>DUMAIS</t>
  </si>
  <si>
    <t>Axel</t>
  </si>
  <si>
    <t>BEHILIL/TERBECHE</t>
  </si>
  <si>
    <t>FANTON/MABROUK</t>
  </si>
  <si>
    <t>MEKKADAM/TALEB</t>
  </si>
  <si>
    <t>HERMELINE/MOHAMMEDI</t>
  </si>
  <si>
    <t>BAL/N'DIAYE</t>
  </si>
  <si>
    <t>SEDOUD/LELLOUCHE</t>
  </si>
  <si>
    <r>
      <t>ABDILLAH/</t>
    </r>
    <r>
      <rPr>
        <sz val="10"/>
        <color rgb="FFFF00FF"/>
        <rFont val="Arial"/>
        <family val="2"/>
      </rPr>
      <t>IBRAHIM</t>
    </r>
  </si>
  <si>
    <t>LOPEZ</t>
  </si>
  <si>
    <t>KHODOR</t>
  </si>
  <si>
    <t>Jaffar</t>
  </si>
  <si>
    <t>Muhamad</t>
  </si>
  <si>
    <t>KHAIRAT</t>
  </si>
  <si>
    <t>Nabil</t>
  </si>
  <si>
    <t>LOUEMBA</t>
  </si>
  <si>
    <t>Warren</t>
  </si>
  <si>
    <t>HILL</t>
  </si>
  <si>
    <t>GHRIB</t>
  </si>
  <si>
    <t>Naïm</t>
  </si>
  <si>
    <t>Joao Paulo</t>
  </si>
  <si>
    <t>NAMIA</t>
  </si>
  <si>
    <r>
      <t>BAL</t>
    </r>
    <r>
      <rPr>
        <sz val="10"/>
        <rFont val="Arial"/>
        <family val="2"/>
      </rPr>
      <t>/N'DIAYE</t>
    </r>
  </si>
  <si>
    <r>
      <t>ADIBEKYAN</t>
    </r>
    <r>
      <rPr>
        <sz val="10"/>
        <rFont val="Arial"/>
        <family val="2"/>
      </rPr>
      <t>/GALSTYAN</t>
    </r>
  </si>
  <si>
    <r>
      <t>BORDJEM</t>
    </r>
    <r>
      <rPr>
        <sz val="10"/>
        <rFont val="Arial"/>
        <family val="2"/>
      </rPr>
      <t>/BOUE</t>
    </r>
  </si>
  <si>
    <r>
      <t>MOREAU</t>
    </r>
    <r>
      <rPr>
        <sz val="10"/>
        <rFont val="Arial"/>
        <family val="2"/>
      </rPr>
      <t>/GUILLEMIN</t>
    </r>
  </si>
  <si>
    <t>FOFANA</t>
  </si>
  <si>
    <t>Nadia</t>
  </si>
  <si>
    <t>Anïs</t>
  </si>
  <si>
    <t>Sanâa</t>
  </si>
  <si>
    <t>LARROQUE</t>
  </si>
  <si>
    <t>DOS SANTOS DA SILVA</t>
  </si>
  <si>
    <t>Angéla</t>
  </si>
  <si>
    <t>CHASSAING</t>
  </si>
  <si>
    <t>Alizée</t>
  </si>
  <si>
    <t>CHEBIL</t>
  </si>
  <si>
    <t>Bilal</t>
  </si>
  <si>
    <t>CHIKHI</t>
  </si>
  <si>
    <t>Alaoui</t>
  </si>
  <si>
    <t>Ayoub Essama</t>
  </si>
  <si>
    <t>EL FALLAH EL ALAOUI</t>
  </si>
  <si>
    <t>Yasmina</t>
  </si>
  <si>
    <t>Claudia</t>
  </si>
  <si>
    <t>IANGA</t>
  </si>
  <si>
    <t>Béti</t>
  </si>
  <si>
    <r>
      <t>CHESTIER/</t>
    </r>
    <r>
      <rPr>
        <sz val="10"/>
        <rFont val="Arial"/>
        <family val="2"/>
      </rPr>
      <t>BIBAUT</t>
    </r>
  </si>
  <si>
    <r>
      <t>VOISIN/</t>
    </r>
    <r>
      <rPr>
        <sz val="10"/>
        <rFont val="Arial"/>
        <family val="2"/>
      </rPr>
      <t>MENARD</t>
    </r>
  </si>
  <si>
    <r>
      <t>KHONGORZUL</t>
    </r>
    <r>
      <rPr>
        <sz val="10"/>
        <rFont val="Arial"/>
        <family val="2"/>
      </rPr>
      <t xml:space="preserve"> / TURTOGTUKH</t>
    </r>
  </si>
  <si>
    <r>
      <t xml:space="preserve">BADIE ZOGBA </t>
    </r>
    <r>
      <rPr>
        <sz val="10"/>
        <rFont val="Arial"/>
        <family val="2"/>
      </rPr>
      <t>/ LAGO</t>
    </r>
  </si>
  <si>
    <r>
      <t>MWAKU/</t>
    </r>
    <r>
      <rPr>
        <sz val="10"/>
        <rFont val="Arial"/>
        <family val="2"/>
      </rPr>
      <t>BWANGILA</t>
    </r>
  </si>
  <si>
    <r>
      <t>BENTITI</t>
    </r>
    <r>
      <rPr>
        <sz val="10"/>
        <rFont val="Arial"/>
        <family val="2"/>
      </rPr>
      <t xml:space="preserve"> / SIMON</t>
    </r>
  </si>
  <si>
    <t>SILVA GONCALVES</t>
  </si>
  <si>
    <t>Nelson</t>
  </si>
  <si>
    <r>
      <t xml:space="preserve">CHELLALI / </t>
    </r>
    <r>
      <rPr>
        <sz val="10"/>
        <rFont val="Arial"/>
        <family val="2"/>
      </rPr>
      <t>TOGORA</t>
    </r>
  </si>
  <si>
    <r>
      <t>NSIMBA/</t>
    </r>
    <r>
      <rPr>
        <sz val="10"/>
        <rFont val="Arial"/>
        <family val="2"/>
      </rPr>
      <t>DITAMBA</t>
    </r>
  </si>
  <si>
    <t>Luigi</t>
  </si>
  <si>
    <t>Luna</t>
  </si>
  <si>
    <r>
      <t>CHARLES/</t>
    </r>
    <r>
      <rPr>
        <sz val="10"/>
        <rFont val="Arial"/>
        <family val="2"/>
      </rPr>
      <t>MAURANYAPIN</t>
    </r>
  </si>
  <si>
    <r>
      <t>BEDULHO</t>
    </r>
    <r>
      <rPr>
        <sz val="10"/>
        <rFont val="Arial"/>
        <family val="2"/>
      </rPr>
      <t xml:space="preserve"> / CORDEAU</t>
    </r>
  </si>
  <si>
    <r>
      <t>BARTHELERY/</t>
    </r>
    <r>
      <rPr>
        <sz val="10"/>
        <rFont val="Arial"/>
        <family val="2"/>
      </rPr>
      <t>GAMBIE</t>
    </r>
  </si>
  <si>
    <t>Proposition synthèse</t>
  </si>
  <si>
    <t>Renouvellement</t>
  </si>
  <si>
    <t>Au / Jusqu'au</t>
  </si>
  <si>
    <t>DUMAIS/PORTIER</t>
  </si>
  <si>
    <t>KHODOR/HOFFMAN</t>
  </si>
  <si>
    <t>GHRIB/LOISEAU</t>
  </si>
  <si>
    <t>EL FALLAH EL ALAOUI/JALIL</t>
  </si>
  <si>
    <r>
      <t>LAMARQUE/</t>
    </r>
    <r>
      <rPr>
        <sz val="10"/>
        <rFont val="Arial"/>
        <family val="2"/>
      </rPr>
      <t>CLIMENT</t>
    </r>
  </si>
  <si>
    <t>LARROQUE/VANDAMME</t>
  </si>
  <si>
    <t>CHASSAING/ARNAUD</t>
  </si>
  <si>
    <t>PALMA/MARTINS NOGUEIRA</t>
  </si>
  <si>
    <t>MAYALA</t>
  </si>
  <si>
    <t>Gloire Alexine</t>
  </si>
  <si>
    <t>ratio ETP</t>
  </si>
  <si>
    <t>Fatimata</t>
  </si>
  <si>
    <r>
      <t>CAMILLE</t>
    </r>
    <r>
      <rPr>
        <sz val="10"/>
        <rFont val="Arial"/>
        <family val="2"/>
      </rPr>
      <t>/PIERRE</t>
    </r>
  </si>
  <si>
    <t>HOUMADI HALIDI</t>
  </si>
  <si>
    <t>CAMARA</t>
  </si>
  <si>
    <t>Fatoumata</t>
  </si>
  <si>
    <t>Koumba</t>
  </si>
  <si>
    <t>Boubacary</t>
  </si>
  <si>
    <t>Bademou</t>
  </si>
  <si>
    <t>PALMA MARTINS</t>
  </si>
  <si>
    <t>Attente transfert Corbeil</t>
  </si>
  <si>
    <t>THEVENET/DARROQUY</t>
  </si>
  <si>
    <t>MOREAU/GUILLEMIN</t>
  </si>
  <si>
    <t>BORDJEM/BOUE</t>
  </si>
  <si>
    <t>KHONGORZUL / TURTOGTUKH</t>
  </si>
  <si>
    <t>BADIE ZOGBA / LAGO</t>
  </si>
  <si>
    <t>BEDULHO / CORDEAU</t>
  </si>
  <si>
    <t>BENTITI / SIMON</t>
  </si>
  <si>
    <t>CHELLALI / TOGORA</t>
  </si>
  <si>
    <t>MARTIN/GUILMENT</t>
  </si>
  <si>
    <t>ROUSSELOT/RICHEPIN</t>
  </si>
  <si>
    <t>BARBOU/HASCOAT</t>
  </si>
  <si>
    <t>MARTY/FOURMESTRAUX</t>
  </si>
  <si>
    <t>LEBCIR/POUSSEUR</t>
  </si>
  <si>
    <t>MEKKOUI/SAHED</t>
  </si>
  <si>
    <t>PONS/GIRARD</t>
  </si>
  <si>
    <t>CAMILLE/PIERRE</t>
  </si>
  <si>
    <t>XXX</t>
  </si>
  <si>
    <t>DOS REIS/GONCALVES DE FREITAS</t>
  </si>
  <si>
    <t>CHARLES/MAURANYAPIN</t>
  </si>
  <si>
    <t>DICK/AMOUIN</t>
  </si>
  <si>
    <t>PAPA/LEFEBVRE</t>
  </si>
  <si>
    <t>VOISIN/MENARD</t>
  </si>
  <si>
    <t>KHAIRAT/BENTAZI</t>
  </si>
  <si>
    <t xml:space="preserve"> </t>
  </si>
  <si>
    <t>CHOTARD/IDIRI</t>
  </si>
  <si>
    <t>CHOTARD</t>
  </si>
  <si>
    <t>MBAYA/MAYALA</t>
  </si>
  <si>
    <r>
      <t>ANEST/</t>
    </r>
    <r>
      <rPr>
        <sz val="10"/>
        <color rgb="FFFF00FF"/>
        <rFont val="Arial"/>
        <family val="2"/>
      </rPr>
      <t>DEPOIX</t>
    </r>
  </si>
  <si>
    <t>Louka</t>
  </si>
  <si>
    <t>COULIBALY</t>
  </si>
  <si>
    <t>Saly</t>
  </si>
  <si>
    <t>AUBERT</t>
  </si>
  <si>
    <t>Thibault</t>
  </si>
  <si>
    <t>BOKINO/BOKOMBE-MBEMBO</t>
  </si>
  <si>
    <t>TOLLE/ZOUARI</t>
  </si>
  <si>
    <t>TOLLE ZOUARI</t>
  </si>
  <si>
    <t>ZOUARI</t>
  </si>
  <si>
    <t>Thiphanie</t>
  </si>
  <si>
    <t>HOUMADI HALIBI</t>
  </si>
  <si>
    <t>YANCAL</t>
  </si>
  <si>
    <t>Rose-Manuella</t>
  </si>
  <si>
    <t>MOESON</t>
  </si>
  <si>
    <t>CAMUS</t>
  </si>
  <si>
    <t>LAAJILI</t>
  </si>
  <si>
    <t>Nisrine</t>
  </si>
  <si>
    <t>Wiame</t>
  </si>
  <si>
    <t>Fabrice</t>
  </si>
  <si>
    <t>Date signature 1er DIPC</t>
  </si>
  <si>
    <t>Date signature 1ER DIPC</t>
  </si>
  <si>
    <t>Synthèse - Date théorique</t>
  </si>
  <si>
    <t>Arrêt ?</t>
  </si>
  <si>
    <t>Selon situation</t>
  </si>
  <si>
    <r>
      <t>LEROY/</t>
    </r>
    <r>
      <rPr>
        <sz val="10"/>
        <rFont val="Arial"/>
        <family val="2"/>
      </rPr>
      <t>PONCELET</t>
    </r>
  </si>
  <si>
    <t>SOMMIER/SAUVAGE</t>
  </si>
  <si>
    <t>ALIEVA/KARIA</t>
  </si>
  <si>
    <t>ADIBEKYAN/GALSTYAN</t>
  </si>
  <si>
    <t>KHELIFI/ARAB</t>
  </si>
  <si>
    <t>POTIER/DEHOUX</t>
  </si>
  <si>
    <t>HERBAIN/BONNEFOY</t>
  </si>
  <si>
    <r>
      <t>DOS SANTOS FURTADO/</t>
    </r>
    <r>
      <rPr>
        <sz val="10"/>
        <rFont val="Arial"/>
        <family val="2"/>
      </rPr>
      <t>LOPES BORGES</t>
    </r>
  </si>
  <si>
    <t>Kertuna</t>
  </si>
  <si>
    <t>Refus de la Madame</t>
  </si>
  <si>
    <r>
      <t>MAVOUNGOU/</t>
    </r>
    <r>
      <rPr>
        <sz val="10"/>
        <rFont val="Arial"/>
        <family val="2"/>
      </rPr>
      <t>JACQUES</t>
    </r>
  </si>
  <si>
    <t>Laetitia</t>
  </si>
  <si>
    <t>LM</t>
  </si>
  <si>
    <t>TOLLE / ZOUARI</t>
  </si>
  <si>
    <t>SANCA/LOPEZ</t>
  </si>
  <si>
    <t>SANCA/IANGA</t>
  </si>
  <si>
    <t>Adelino</t>
  </si>
  <si>
    <t>MAKHLOUFI</t>
  </si>
  <si>
    <t>Hakim</t>
  </si>
  <si>
    <t>NAIT-AKLI</t>
  </si>
  <si>
    <t>Ynès</t>
  </si>
  <si>
    <t>Kylian</t>
  </si>
  <si>
    <t>Thiphaine</t>
  </si>
  <si>
    <t xml:space="preserve">JANVIER </t>
  </si>
  <si>
    <t>BEAUCHET</t>
  </si>
  <si>
    <r>
      <t>DE OLIVEIRA E SILVA/</t>
    </r>
    <r>
      <rPr>
        <sz val="10"/>
        <rFont val="Arial"/>
        <family val="2"/>
      </rPr>
      <t>ROUX</t>
    </r>
  </si>
  <si>
    <r>
      <t>BEAUCHET</t>
    </r>
    <r>
      <rPr>
        <sz val="10"/>
        <rFont val="Arial"/>
        <family val="2"/>
      </rPr>
      <t>/THIEBAUT</t>
    </r>
  </si>
  <si>
    <t>pas d'adhésion des parents</t>
  </si>
  <si>
    <t>à la place du 14 matin</t>
  </si>
  <si>
    <t>Analyse des pratiques professionnelles</t>
  </si>
  <si>
    <t>à la place du 21 matin</t>
  </si>
  <si>
    <t>CHOTARD/IDIRE</t>
  </si>
  <si>
    <t>FABER/BAZUNGULA - FABER</t>
  </si>
  <si>
    <t>Jordan</t>
  </si>
  <si>
    <t>LAMARQUE/CLIMENT</t>
  </si>
  <si>
    <t>9h15</t>
  </si>
  <si>
    <t>Arrêt</t>
  </si>
  <si>
    <t>Renouvellement JUSQU’À MAJORITE</t>
  </si>
  <si>
    <t>Arrêt au PPE ?</t>
  </si>
  <si>
    <t>prévu</t>
  </si>
  <si>
    <r>
      <t>BOKINO/</t>
    </r>
    <r>
      <rPr>
        <sz val="10"/>
        <color rgb="FF008000"/>
        <rFont val="Arial"/>
        <family val="2"/>
      </rPr>
      <t>BOKOMBE-MBEMBO</t>
    </r>
  </si>
  <si>
    <t>Renouvellement 6 mois</t>
  </si>
  <si>
    <t>CHAABI - PEREZ</t>
  </si>
  <si>
    <t>CHAABI</t>
  </si>
  <si>
    <t>Yanes</t>
  </si>
  <si>
    <r>
      <t>KIKOLI KIBAKA/</t>
    </r>
    <r>
      <rPr>
        <sz val="10"/>
        <rFont val="Arial"/>
        <family val="2"/>
      </rPr>
      <t>DICKO</t>
    </r>
  </si>
  <si>
    <t>MAKHLOUFI/OUISSA</t>
  </si>
  <si>
    <t>Renouvellement 1an</t>
  </si>
  <si>
    <t>Arrêt - date en fonction courrier de Mme</t>
  </si>
  <si>
    <t>GUEZGOUZ</t>
  </si>
  <si>
    <t>Ahmed</t>
  </si>
  <si>
    <t>Martia</t>
  </si>
  <si>
    <t>GONTHIER</t>
  </si>
  <si>
    <t>SERVILLE MENDES FERNANDES</t>
  </si>
  <si>
    <t>Kenji</t>
  </si>
  <si>
    <t>Thalis</t>
  </si>
  <si>
    <t>MENDES FERNANDES</t>
  </si>
  <si>
    <r>
      <t>MARTIN/</t>
    </r>
    <r>
      <rPr>
        <sz val="10"/>
        <color rgb="FFFF00FF"/>
        <rFont val="Arial"/>
        <family val="2"/>
      </rPr>
      <t>GUILMENT</t>
    </r>
  </si>
  <si>
    <r>
      <t>BOUHASSOUN/</t>
    </r>
    <r>
      <rPr>
        <sz val="10"/>
        <rFont val="Arial"/>
        <family val="2"/>
      </rPr>
      <t>SAKHO</t>
    </r>
  </si>
  <si>
    <t>DOMPIERRE</t>
  </si>
  <si>
    <t>Kévin</t>
  </si>
  <si>
    <t>Sébastien</t>
  </si>
  <si>
    <t>FEDDAOUI</t>
  </si>
  <si>
    <t>PAINCO</t>
  </si>
  <si>
    <t>Myla</t>
  </si>
  <si>
    <t>Jason</t>
  </si>
  <si>
    <t>VIZEA</t>
  </si>
  <si>
    <t>Raoul</t>
  </si>
  <si>
    <t>ESSOMBA</t>
  </si>
  <si>
    <t>Rosy</t>
  </si>
  <si>
    <t>NDIAYE</t>
  </si>
  <si>
    <t>Joseph</t>
  </si>
  <si>
    <t>Renouvellement si mme se présente</t>
  </si>
  <si>
    <r>
      <t>THEVENET/</t>
    </r>
    <r>
      <rPr>
        <sz val="10"/>
        <color rgb="FF008000"/>
        <rFont val="Arial"/>
        <family val="2"/>
      </rPr>
      <t>DARROQUY</t>
    </r>
  </si>
  <si>
    <t>DEVEAUX</t>
  </si>
  <si>
    <t>Laura</t>
  </si>
  <si>
    <t>MOINE</t>
  </si>
  <si>
    <t>BULAKIO</t>
  </si>
  <si>
    <t>Juliette</t>
  </si>
  <si>
    <t>LUIMOR/KOMBUAMWILA MUILA</t>
  </si>
  <si>
    <t>LUMOR</t>
  </si>
  <si>
    <t>Ouenessa</t>
  </si>
  <si>
    <r>
      <t>FRANCHITTI/</t>
    </r>
    <r>
      <rPr>
        <sz val="10"/>
        <color theme="1"/>
        <rFont val="Arial"/>
        <family val="2"/>
      </rPr>
      <t>KNAPP</t>
    </r>
  </si>
  <si>
    <r>
      <t>STEPHAN/</t>
    </r>
    <r>
      <rPr>
        <sz val="10"/>
        <color theme="1"/>
        <rFont val="Arial"/>
        <family val="2"/>
      </rPr>
      <t>DAFI</t>
    </r>
  </si>
  <si>
    <t>Jolhan</t>
  </si>
  <si>
    <t>Extension</t>
  </si>
  <si>
    <r>
      <t>ROUSSELOT</t>
    </r>
    <r>
      <rPr>
        <sz val="10"/>
        <color rgb="FFFF00FF"/>
        <rFont val="Arial"/>
        <family val="2"/>
      </rPr>
      <t>/RICHEPIN</t>
    </r>
  </si>
  <si>
    <r>
      <t>BARBOU</t>
    </r>
    <r>
      <rPr>
        <sz val="10"/>
        <color rgb="FFFF00FF"/>
        <rFont val="Arial"/>
        <family val="2"/>
      </rPr>
      <t>/HASCOAT</t>
    </r>
  </si>
  <si>
    <r>
      <t>MARTY/</t>
    </r>
    <r>
      <rPr>
        <sz val="10"/>
        <color rgb="FFFF00FF"/>
        <rFont val="Arial"/>
        <family val="2"/>
      </rPr>
      <t>FOURMESTRAUX</t>
    </r>
  </si>
  <si>
    <t>PAINCO/MARQUES</t>
  </si>
  <si>
    <t>LUMOR/KOMBUAMWILA MUILA</t>
  </si>
  <si>
    <r>
      <t>CONIL/</t>
    </r>
    <r>
      <rPr>
        <sz val="10"/>
        <rFont val="Arial"/>
        <family val="2"/>
      </rPr>
      <t>GUTFREUND</t>
    </r>
  </si>
  <si>
    <r>
      <t>ALEPEE/</t>
    </r>
    <r>
      <rPr>
        <sz val="10"/>
        <rFont val="Arial"/>
        <family val="2"/>
      </rPr>
      <t>CHAPON</t>
    </r>
  </si>
  <si>
    <r>
      <t>CALMON/</t>
    </r>
    <r>
      <rPr>
        <sz val="10"/>
        <rFont val="Arial"/>
        <family val="2"/>
      </rPr>
      <t>LEVEQUE</t>
    </r>
  </si>
  <si>
    <t xml:space="preserve">Florence </t>
  </si>
  <si>
    <t xml:space="preserve">Arret </t>
  </si>
  <si>
    <t>Lekpely Eric</t>
  </si>
  <si>
    <t>SIATULA</t>
  </si>
  <si>
    <t>Jean-Anderson</t>
  </si>
  <si>
    <t>COMBACON</t>
  </si>
  <si>
    <t>A renseigner, toujours en attente</t>
  </si>
  <si>
    <t>AYEMIN</t>
  </si>
  <si>
    <t>Daniel</t>
  </si>
  <si>
    <t>Ruth</t>
  </si>
  <si>
    <t>DOMPIERRE/OLIVEIRA</t>
  </si>
  <si>
    <t xml:space="preserve">MENDY/MOULIER </t>
  </si>
  <si>
    <t xml:space="preserve">MENDY </t>
  </si>
  <si>
    <t>ABDILLAH/IBRAHIM</t>
  </si>
  <si>
    <t>DE OLIVEIRA E SILVA/ROUX</t>
  </si>
  <si>
    <t>DOS SANTOS FURTADO/LOPES BORGES</t>
  </si>
  <si>
    <t>MAVOUNGOU/JACQUES</t>
  </si>
  <si>
    <t>STEPHAN/DAFI</t>
  </si>
  <si>
    <t>CALMON/LEVEQUE</t>
  </si>
  <si>
    <t>CHESTIER/BIBAUT</t>
  </si>
  <si>
    <t>ANEST/DEPOIX</t>
  </si>
  <si>
    <t>BEAUCHET/THIEBAUT</t>
  </si>
  <si>
    <t>BOUHASSOUN/SAKHO</t>
  </si>
  <si>
    <t>MWAKU/BWANGILA</t>
  </si>
  <si>
    <t>FRANCHITTI/KNAPP</t>
  </si>
  <si>
    <t>ALEPEE/CHAPON</t>
  </si>
  <si>
    <t>KIKOLI KIBAKA/DICKO</t>
  </si>
  <si>
    <t>LEROY/PONCELET</t>
  </si>
  <si>
    <t>CONIL/GUTFREUND</t>
  </si>
  <si>
    <r>
      <t>KIMBEMBE/</t>
    </r>
    <r>
      <rPr>
        <sz val="10"/>
        <color rgb="FFFF0000"/>
        <rFont val="Arial"/>
        <family val="2"/>
      </rPr>
      <t>BILOMBO</t>
    </r>
  </si>
  <si>
    <t>KIMBEMBE/BILOMBO</t>
  </si>
  <si>
    <r>
      <t>POLLET/</t>
    </r>
    <r>
      <rPr>
        <sz val="10"/>
        <rFont val="Arial"/>
        <family val="2"/>
      </rPr>
      <t>BAVOTA</t>
    </r>
  </si>
  <si>
    <r>
      <t>CHAABI /</t>
    </r>
    <r>
      <rPr>
        <sz val="10"/>
        <rFont val="Arial"/>
        <family val="2"/>
      </rPr>
      <t xml:space="preserve"> PEREZ</t>
    </r>
  </si>
  <si>
    <r>
      <t xml:space="preserve">CHASSAING/ </t>
    </r>
    <r>
      <rPr>
        <sz val="10"/>
        <rFont val="Arial"/>
        <family val="2"/>
      </rPr>
      <t>ARNAUD</t>
    </r>
  </si>
  <si>
    <r>
      <t xml:space="preserve">CHESTIER/ </t>
    </r>
    <r>
      <rPr>
        <sz val="10"/>
        <rFont val="Arial"/>
        <family val="2"/>
      </rPr>
      <t>BIBAUT</t>
    </r>
  </si>
  <si>
    <r>
      <t>DOMPIERRE/</t>
    </r>
    <r>
      <rPr>
        <sz val="10"/>
        <color rgb="FF0000FF"/>
        <rFont val="Arial"/>
        <family val="2"/>
      </rPr>
      <t>OLIVEIRA</t>
    </r>
  </si>
  <si>
    <r>
      <t xml:space="preserve">FUANDU MOPIANO OTSHUDI/ </t>
    </r>
    <r>
      <rPr>
        <sz val="10"/>
        <rFont val="Arial"/>
        <family val="2"/>
      </rPr>
      <t>MAPAKASA</t>
    </r>
  </si>
  <si>
    <r>
      <t xml:space="preserve">BARTHELERY/ </t>
    </r>
    <r>
      <rPr>
        <sz val="10"/>
        <rFont val="Arial"/>
        <family val="2"/>
      </rPr>
      <t>GAMBIE</t>
    </r>
  </si>
  <si>
    <r>
      <t xml:space="preserve">DEMAY/ </t>
    </r>
    <r>
      <rPr>
        <sz val="10"/>
        <color rgb="FFFF00FF"/>
        <rFont val="Arial"/>
        <family val="2"/>
      </rPr>
      <t>GUEDRI-BARTHELEMY</t>
    </r>
  </si>
  <si>
    <r>
      <t xml:space="preserve">KALOMBA KENGE/ </t>
    </r>
    <r>
      <rPr>
        <sz val="10"/>
        <rFont val="Arial"/>
        <family val="2"/>
      </rPr>
      <t>KIALUNDA</t>
    </r>
  </si>
  <si>
    <r>
      <t>BAILLY/</t>
    </r>
    <r>
      <rPr>
        <sz val="10"/>
        <color rgb="FF008000"/>
        <rFont val="Arial"/>
        <family val="2"/>
      </rPr>
      <t xml:space="preserve"> KOUMTOUMI FETMOTA</t>
    </r>
  </si>
  <si>
    <r>
      <t xml:space="preserve">MOINE / </t>
    </r>
    <r>
      <rPr>
        <sz val="10"/>
        <color rgb="FF0000FF"/>
        <rFont val="Arial"/>
        <family val="2"/>
      </rPr>
      <t>CARTIER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</si>
</sst>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d/m/yy"/>
    <numFmt numFmtId="165" formatCode="0;[Red]0"/>
    <numFmt numFmtId="166" formatCode="0_ ;\-0\ "/>
    <numFmt numFmtId="167" formatCode="#,##0;[Red]#,##0"/>
    <numFmt numFmtId="168" formatCode="d/m/yy;@"/>
    <numFmt numFmtId="169" formatCode="0.000"/>
    <numFmt numFmtId="170" formatCode="dd/mm/yy;@"/>
    <numFmt numFmtId="171" formatCode="_-* #,##0\ _F_-;\-* #,##0\ _F_-;_-* &quot;-&quot;??\ _F_-;_-@_-"/>
    <numFmt numFmtId="172" formatCode="0.0"/>
    <numFmt numFmtId="173" formatCode="dddd\ d/mm/yy"/>
  </numFmts>
  <fonts count="9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1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sz val="10"/>
      <color indexed="17"/>
      <name val="Arial"/>
      <family val="2"/>
    </font>
    <font>
      <b/>
      <sz val="10"/>
      <color indexed="11"/>
      <name val="Arial"/>
      <family val="2"/>
    </font>
    <font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57"/>
      <name val="Arial"/>
      <family val="2"/>
    </font>
    <font>
      <b/>
      <sz val="9"/>
      <color indexed="8"/>
      <name val="Arial"/>
      <family val="2"/>
    </font>
    <font>
      <b/>
      <sz val="10"/>
      <color indexed="53"/>
      <name val="Arial"/>
      <family val="2"/>
    </font>
    <font>
      <b/>
      <sz val="7"/>
      <color indexed="14"/>
      <name val="Arial"/>
      <family val="2"/>
    </font>
    <font>
      <b/>
      <sz val="9"/>
      <color indexed="17"/>
      <name val="Arial"/>
      <family val="2"/>
    </font>
    <font>
      <sz val="10"/>
      <color indexed="8"/>
      <name val="Arial"/>
      <family val="2"/>
    </font>
    <font>
      <sz val="10"/>
      <color indexed="57"/>
      <name val="Arial"/>
      <family val="2"/>
    </font>
    <font>
      <sz val="14"/>
      <color indexed="10"/>
      <name val="Arial"/>
      <family val="2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16"/>
      <name val="Arial"/>
      <family val="2"/>
    </font>
    <font>
      <b/>
      <sz val="9"/>
      <name val="Arial"/>
      <family val="2"/>
    </font>
    <font>
      <sz val="8"/>
      <color indexed="60"/>
      <name val="Arial"/>
      <family val="2"/>
    </font>
    <font>
      <sz val="9"/>
      <name val="Arial"/>
      <family val="2"/>
    </font>
    <font>
      <b/>
      <i/>
      <sz val="8"/>
      <color indexed="8"/>
      <name val="Arial"/>
      <family val="2"/>
    </font>
    <font>
      <sz val="10"/>
      <color rgb="FFFF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10"/>
      <color rgb="FF00B050"/>
      <name val="Arial"/>
      <family val="2"/>
    </font>
    <font>
      <b/>
      <sz val="10"/>
      <color rgb="FF0000FF"/>
      <name val="Arial"/>
      <family val="2"/>
    </font>
    <font>
      <sz val="10"/>
      <color rgb="FF00CC00"/>
      <name val="Arial"/>
      <family val="2"/>
    </font>
    <font>
      <b/>
      <sz val="10"/>
      <color rgb="FF008000"/>
      <name val="Arial"/>
      <family val="2"/>
    </font>
    <font>
      <b/>
      <sz val="10"/>
      <color rgb="FF00B050"/>
      <name val="Arial"/>
      <family val="2"/>
    </font>
    <font>
      <i/>
      <sz val="8"/>
      <color rgb="FF0000FF"/>
      <name val="Arial"/>
      <family val="2"/>
    </font>
    <font>
      <i/>
      <sz val="8"/>
      <color rgb="FFFF0000"/>
      <name val="Arial"/>
      <family val="2"/>
    </font>
    <font>
      <strike/>
      <sz val="10"/>
      <color rgb="FFFF0000"/>
      <name val="Arial"/>
      <family val="2"/>
    </font>
    <font>
      <i/>
      <sz val="9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0000FF"/>
      <name val="Calibri"/>
      <family val="2"/>
      <scheme val="minor"/>
    </font>
    <font>
      <i/>
      <sz val="8"/>
      <name val="Arial"/>
      <family val="2"/>
    </font>
    <font>
      <sz val="8"/>
      <color rgb="FFFF00FF"/>
      <name val="Arial"/>
      <family val="2"/>
    </font>
    <font>
      <b/>
      <sz val="10"/>
      <color rgb="FFFF00FF"/>
      <name val="Arial"/>
      <family val="2"/>
    </font>
    <font>
      <i/>
      <sz val="8"/>
      <color rgb="FFFF00FF"/>
      <name val="Arial"/>
      <family val="2"/>
    </font>
    <font>
      <i/>
      <sz val="9"/>
      <color rgb="FFFF00FF"/>
      <name val="Calibri"/>
      <family val="2"/>
      <scheme val="minor"/>
    </font>
    <font>
      <sz val="10"/>
      <color rgb="FF00B0F0"/>
      <name val="Arial"/>
      <family val="2"/>
    </font>
    <font>
      <sz val="8"/>
      <color rgb="FF008000"/>
      <name val="Arial"/>
      <family val="2"/>
    </font>
    <font>
      <b/>
      <strike/>
      <sz val="10"/>
      <color rgb="FFFF0000"/>
      <name val="Arial"/>
      <family val="2"/>
    </font>
    <font>
      <i/>
      <sz val="8"/>
      <color rgb="FF008000"/>
      <name val="Arial"/>
      <family val="2"/>
    </font>
    <font>
      <i/>
      <sz val="9"/>
      <color rgb="FF00800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0"/>
      <color rgb="FFFF00FF"/>
      <name val="Arial"/>
      <family val="2"/>
    </font>
    <font>
      <b/>
      <i/>
      <sz val="10"/>
      <color rgb="FF008000"/>
      <name val="Arial"/>
      <family val="2"/>
    </font>
    <font>
      <i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FF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rgb="FF00B050"/>
      <name val="Arial"/>
      <family val="2"/>
    </font>
    <font>
      <sz val="8"/>
      <color rgb="FF00B050"/>
      <name val="Arial"/>
      <family val="2"/>
    </font>
    <font>
      <i/>
      <sz val="9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106">
    <border>
      <left/>
      <right/>
      <top/>
      <bottom/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7"/>
      </left>
      <right/>
      <top/>
      <bottom style="thick">
        <color indexed="17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ck">
        <color indexed="12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1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17"/>
      </left>
      <right/>
      <top style="thick">
        <color indexed="8"/>
      </top>
      <bottom/>
      <diagonal/>
    </border>
    <border>
      <left style="thick">
        <color indexed="17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/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37"/>
      </right>
      <top style="thick">
        <color indexed="37"/>
      </top>
      <bottom/>
      <diagonal/>
    </border>
    <border>
      <left/>
      <right style="thick">
        <color indexed="37"/>
      </right>
      <top/>
      <bottom/>
      <diagonal/>
    </border>
    <border>
      <left/>
      <right style="thick">
        <color indexed="37"/>
      </right>
      <top/>
      <bottom style="thick">
        <color indexed="37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37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52">
    <xf numFmtId="0" fontId="0" fillId="0" borderId="0" xfId="0"/>
    <xf numFmtId="0" fontId="5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Continuous"/>
    </xf>
    <xf numFmtId="9" fontId="8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/>
    <xf numFmtId="0" fontId="10" fillId="0" borderId="2" xfId="0" applyFont="1" applyFill="1" applyBorder="1" applyAlignment="1">
      <alignment horizontal="center"/>
    </xf>
    <xf numFmtId="0" fontId="10" fillId="0" borderId="3" xfId="0" applyFont="1" applyBorder="1" applyAlignment="1">
      <alignment horizontal="centerContinuous"/>
    </xf>
    <xf numFmtId="0" fontId="11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Fill="1" applyBorder="1" applyAlignment="1">
      <alignment horizontal="centerContinuous"/>
    </xf>
    <xf numFmtId="2" fontId="11" fillId="0" borderId="5" xfId="0" applyNumberFormat="1" applyFont="1" applyBorder="1"/>
    <xf numFmtId="0" fontId="10" fillId="0" borderId="5" xfId="0" applyFont="1" applyBorder="1"/>
    <xf numFmtId="0" fontId="7" fillId="0" borderId="6" xfId="0" applyFont="1" applyBorder="1" applyAlignment="1">
      <alignment horizontal="centerContinuous"/>
    </xf>
    <xf numFmtId="0" fontId="3" fillId="0" borderId="7" xfId="0" applyFont="1" applyBorder="1"/>
    <xf numFmtId="9" fontId="3" fillId="0" borderId="8" xfId="0" applyNumberFormat="1" applyFont="1" applyBorder="1"/>
    <xf numFmtId="0" fontId="6" fillId="0" borderId="0" xfId="0" applyFont="1" applyBorder="1" applyAlignment="1">
      <alignment horizontal="center"/>
    </xf>
    <xf numFmtId="9" fontId="3" fillId="0" borderId="0" xfId="0" applyNumberFormat="1" applyFont="1" applyBorder="1"/>
    <xf numFmtId="9" fontId="6" fillId="0" borderId="0" xfId="0" applyNumberFormat="1" applyFont="1" applyBorder="1"/>
    <xf numFmtId="0" fontId="1" fillId="0" borderId="0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0" fillId="0" borderId="0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/>
    <xf numFmtId="0" fontId="14" fillId="0" borderId="0" xfId="0" applyFont="1"/>
    <xf numFmtId="0" fontId="12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 applyAlignment="1">
      <alignment horizontal="center"/>
    </xf>
    <xf numFmtId="0" fontId="6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 applyAlignment="1">
      <alignment horizontal="center"/>
    </xf>
    <xf numFmtId="9" fontId="12" fillId="0" borderId="4" xfId="0" applyNumberFormat="1" applyFont="1" applyBorder="1" applyAlignment="1">
      <alignment horizontal="center"/>
    </xf>
    <xf numFmtId="0" fontId="10" fillId="0" borderId="18" xfId="0" applyFont="1" applyBorder="1"/>
    <xf numFmtId="9" fontId="12" fillId="0" borderId="0" xfId="0" applyNumberFormat="1" applyFont="1" applyBorder="1" applyAlignment="1">
      <alignment horizontal="center"/>
    </xf>
    <xf numFmtId="9" fontId="7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9" xfId="0" applyFont="1" applyBorder="1"/>
    <xf numFmtId="0" fontId="8" fillId="0" borderId="20" xfId="0" applyFont="1" applyBorder="1" applyAlignment="1">
      <alignment horizontal="center"/>
    </xf>
    <xf numFmtId="9" fontId="8" fillId="0" borderId="21" xfId="0" applyNumberFormat="1" applyFont="1" applyBorder="1"/>
    <xf numFmtId="9" fontId="7" fillId="0" borderId="21" xfId="0" applyNumberFormat="1" applyFont="1" applyBorder="1" applyAlignment="1">
      <alignment horizontal="center"/>
    </xf>
    <xf numFmtId="9" fontId="9" fillId="0" borderId="22" xfId="0" applyNumberFormat="1" applyFont="1" applyBorder="1" applyAlignment="1">
      <alignment horizontal="center"/>
    </xf>
    <xf numFmtId="0" fontId="8" fillId="0" borderId="0" xfId="0" applyFont="1" applyBorder="1"/>
    <xf numFmtId="9" fontId="8" fillId="0" borderId="0" xfId="0" applyNumberFormat="1" applyFont="1" applyBorder="1"/>
    <xf numFmtId="9" fontId="6" fillId="0" borderId="23" xfId="0" applyNumberFormat="1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/>
    <xf numFmtId="9" fontId="1" fillId="0" borderId="28" xfId="0" applyNumberFormat="1" applyFont="1" applyBorder="1" applyAlignment="1">
      <alignment horizontal="center"/>
    </xf>
    <xf numFmtId="0" fontId="0" fillId="0" borderId="29" xfId="0" applyBorder="1"/>
    <xf numFmtId="0" fontId="17" fillId="0" borderId="6" xfId="0" applyFont="1" applyBorder="1"/>
    <xf numFmtId="0" fontId="17" fillId="0" borderId="9" xfId="0" applyFont="1" applyBorder="1" applyAlignment="1">
      <alignment horizontal="center"/>
    </xf>
    <xf numFmtId="9" fontId="17" fillId="0" borderId="10" xfId="0" applyNumberFormat="1" applyFont="1" applyBorder="1"/>
    <xf numFmtId="0" fontId="17" fillId="0" borderId="7" xfId="0" applyFont="1" applyBorder="1"/>
    <xf numFmtId="0" fontId="17" fillId="0" borderId="0" xfId="0" applyFont="1" applyBorder="1" applyAlignment="1">
      <alignment horizontal="center"/>
    </xf>
    <xf numFmtId="9" fontId="17" fillId="0" borderId="8" xfId="0" applyNumberFormat="1" applyFont="1" applyBorder="1"/>
    <xf numFmtId="9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9" xfId="0" applyFont="1" applyBorder="1"/>
    <xf numFmtId="0" fontId="7" fillId="0" borderId="20" xfId="0" applyFont="1" applyBorder="1" applyAlignment="1">
      <alignment horizontal="center"/>
    </xf>
    <xf numFmtId="9" fontId="17" fillId="0" borderId="10" xfId="0" applyNumberFormat="1" applyFont="1" applyBorder="1" applyAlignment="1">
      <alignment horizontal="center"/>
    </xf>
    <xf numFmtId="9" fontId="17" fillId="0" borderId="8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9" fontId="10" fillId="0" borderId="11" xfId="0" applyNumberFormat="1" applyFont="1" applyBorder="1" applyAlignment="1">
      <alignment horizontal="center"/>
    </xf>
    <xf numFmtId="0" fontId="15" fillId="0" borderId="1" xfId="0" applyFont="1" applyBorder="1"/>
    <xf numFmtId="0" fontId="15" fillId="0" borderId="2" xfId="0" applyFont="1" applyBorder="1" applyAlignment="1">
      <alignment horizontal="center"/>
    </xf>
    <xf numFmtId="9" fontId="15" fillId="0" borderId="3" xfId="0" applyNumberFormat="1" applyFont="1" applyBorder="1" applyAlignment="1">
      <alignment horizontal="center"/>
    </xf>
    <xf numFmtId="0" fontId="15" fillId="0" borderId="5" xfId="0" applyFont="1" applyBorder="1"/>
    <xf numFmtId="9" fontId="15" fillId="0" borderId="4" xfId="0" applyNumberFormat="1" applyFont="1" applyBorder="1" applyAlignment="1">
      <alignment horizontal="center"/>
    </xf>
    <xf numFmtId="0" fontId="10" fillId="0" borderId="0" xfId="0" applyFont="1" applyBorder="1"/>
    <xf numFmtId="9" fontId="10" fillId="0" borderId="0" xfId="0" applyNumberFormat="1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0" xfId="0" applyFont="1" applyBorder="1"/>
    <xf numFmtId="2" fontId="1" fillId="0" borderId="0" xfId="0" applyNumberFormat="1" applyFont="1" applyAlignment="1">
      <alignment horizontal="left"/>
    </xf>
    <xf numFmtId="0" fontId="13" fillId="0" borderId="0" xfId="0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/>
    <xf numFmtId="0" fontId="19" fillId="0" borderId="0" xfId="0" quotePrefix="1" applyFont="1" applyAlignment="1">
      <alignment horizontal="left"/>
    </xf>
    <xf numFmtId="0" fontId="2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2" fontId="12" fillId="0" borderId="18" xfId="0" applyNumberFormat="1" applyFont="1" applyBorder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165" fontId="13" fillId="0" borderId="33" xfId="0" applyNumberFormat="1" applyFont="1" applyBorder="1" applyAlignment="1">
      <alignment horizontal="center" vertical="center"/>
    </xf>
    <xf numFmtId="14" fontId="13" fillId="0" borderId="33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14" fontId="13" fillId="0" borderId="35" xfId="0" applyNumberFormat="1" applyFont="1" applyBorder="1" applyAlignment="1">
      <alignment horizontal="center" vertical="center"/>
    </xf>
    <xf numFmtId="14" fontId="7" fillId="0" borderId="36" xfId="0" applyNumberFormat="1" applyFont="1" applyBorder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10" fontId="25" fillId="0" borderId="37" xfId="0" applyNumberFormat="1" applyFont="1" applyBorder="1" applyAlignment="1">
      <alignment horizontal="center"/>
    </xf>
    <xf numFmtId="10" fontId="25" fillId="0" borderId="33" xfId="0" applyNumberFormat="1" applyFont="1" applyBorder="1" applyAlignment="1">
      <alignment horizontal="center"/>
    </xf>
    <xf numFmtId="10" fontId="25" fillId="0" borderId="35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10" fontId="0" fillId="0" borderId="0" xfId="0" applyNumberFormat="1" applyAlignment="1">
      <alignment horizontal="center"/>
    </xf>
    <xf numFmtId="0" fontId="15" fillId="0" borderId="5" xfId="0" applyFont="1" applyBorder="1" applyAlignment="1">
      <alignment horizontal="center"/>
    </xf>
    <xf numFmtId="0" fontId="9" fillId="0" borderId="0" xfId="0" applyFont="1" applyBorder="1"/>
    <xf numFmtId="9" fontId="6" fillId="0" borderId="13" xfId="0" applyNumberFormat="1" applyFont="1" applyBorder="1" applyAlignment="1">
      <alignment horizontal="center"/>
    </xf>
    <xf numFmtId="0" fontId="0" fillId="0" borderId="38" xfId="0" applyBorder="1" applyAlignment="1"/>
    <xf numFmtId="0" fontId="13" fillId="0" borderId="2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9" fontId="1" fillId="0" borderId="40" xfId="0" applyNumberFormat="1" applyFont="1" applyBorder="1" applyAlignment="1">
      <alignment horizontal="center"/>
    </xf>
    <xf numFmtId="9" fontId="1" fillId="0" borderId="41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9" fontId="12" fillId="0" borderId="3" xfId="0" applyNumberFormat="1" applyFont="1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10" fontId="10" fillId="0" borderId="11" xfId="0" applyNumberFormat="1" applyFont="1" applyBorder="1" applyAlignment="1">
      <alignment horizontal="center" vertical="center"/>
    </xf>
    <xf numFmtId="49" fontId="9" fillId="0" borderId="15" xfId="0" applyNumberFormat="1" applyFont="1" applyBorder="1"/>
    <xf numFmtId="49" fontId="1" fillId="0" borderId="27" xfId="0" applyNumberFormat="1" applyFont="1" applyBorder="1"/>
    <xf numFmtId="0" fontId="1" fillId="0" borderId="40" xfId="0" applyNumberFormat="1" applyFont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28" fillId="0" borderId="5" xfId="0" applyFont="1" applyBorder="1" applyAlignment="1">
      <alignment horizontal="center"/>
    </xf>
    <xf numFmtId="9" fontId="11" fillId="0" borderId="4" xfId="0" applyNumberFormat="1" applyFont="1" applyFill="1" applyBorder="1" applyAlignment="1">
      <alignment horizontal="center"/>
    </xf>
    <xf numFmtId="9" fontId="11" fillId="0" borderId="11" xfId="0" applyNumberFormat="1" applyFont="1" applyFill="1" applyBorder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0" fontId="13" fillId="0" borderId="0" xfId="0" quotePrefix="1" applyFont="1" applyAlignment="1">
      <alignment horizontal="left"/>
    </xf>
    <xf numFmtId="0" fontId="13" fillId="0" borderId="0" xfId="0" applyFont="1"/>
    <xf numFmtId="10" fontId="22" fillId="0" borderId="37" xfId="0" applyNumberFormat="1" applyFont="1" applyBorder="1" applyAlignment="1">
      <alignment horizontal="center" vertical="center"/>
    </xf>
    <xf numFmtId="10" fontId="22" fillId="0" borderId="33" xfId="0" applyNumberFormat="1" applyFont="1" applyBorder="1" applyAlignment="1">
      <alignment horizontal="center" vertical="center"/>
    </xf>
    <xf numFmtId="10" fontId="22" fillId="0" borderId="35" xfId="0" applyNumberFormat="1" applyFont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13" fillId="0" borderId="42" xfId="0" applyFont="1" applyBorder="1" applyAlignment="1" applyProtection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31" xfId="0" applyNumberFormat="1" applyFont="1" applyBorder="1" applyAlignment="1">
      <alignment horizontal="center" vertical="center" wrapText="1"/>
    </xf>
    <xf numFmtId="0" fontId="31" fillId="0" borderId="0" xfId="0" applyFont="1"/>
    <xf numFmtId="0" fontId="22" fillId="0" borderId="35" xfId="0" applyFont="1" applyBorder="1" applyAlignment="1">
      <alignment horizontal="center" vertical="center"/>
    </xf>
    <xf numFmtId="0" fontId="23" fillId="0" borderId="0" xfId="0" applyFont="1"/>
    <xf numFmtId="0" fontId="19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wrapText="1"/>
    </xf>
    <xf numFmtId="10" fontId="10" fillId="0" borderId="37" xfId="0" applyNumberFormat="1" applyFont="1" applyBorder="1" applyAlignment="1">
      <alignment horizontal="center"/>
    </xf>
    <xf numFmtId="10" fontId="10" fillId="0" borderId="33" xfId="0" applyNumberFormat="1" applyFont="1" applyBorder="1" applyAlignment="1">
      <alignment horizontal="center"/>
    </xf>
    <xf numFmtId="10" fontId="10" fillId="0" borderId="35" xfId="0" applyNumberFormat="1" applyFont="1" applyBorder="1" applyAlignment="1">
      <alignment horizontal="center"/>
    </xf>
    <xf numFmtId="0" fontId="32" fillId="0" borderId="31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27" fillId="0" borderId="35" xfId="0" applyNumberFormat="1" applyFont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42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 wrapText="1"/>
    </xf>
    <xf numFmtId="0" fontId="13" fillId="3" borderId="43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/>
    </xf>
    <xf numFmtId="10" fontId="14" fillId="0" borderId="0" xfId="0" applyNumberFormat="1" applyFont="1"/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10" fillId="0" borderId="1" xfId="0" applyFont="1" applyBorder="1"/>
    <xf numFmtId="0" fontId="0" fillId="0" borderId="0" xfId="0" applyFill="1"/>
    <xf numFmtId="0" fontId="13" fillId="4" borderId="43" xfId="0" applyFont="1" applyFill="1" applyBorder="1" applyAlignment="1">
      <alignment horizontal="center" vertical="center"/>
    </xf>
    <xf numFmtId="2" fontId="13" fillId="4" borderId="31" xfId="0" applyNumberFormat="1" applyFont="1" applyFill="1" applyBorder="1" applyAlignment="1">
      <alignment horizontal="center" vertical="center"/>
    </xf>
    <xf numFmtId="9" fontId="13" fillId="4" borderId="44" xfId="0" applyNumberFormat="1" applyFont="1" applyFill="1" applyBorder="1" applyAlignment="1" applyProtection="1">
      <alignment horizontal="center" vertical="center"/>
    </xf>
    <xf numFmtId="165" fontId="13" fillId="4" borderId="44" xfId="0" applyNumberFormat="1" applyFont="1" applyFill="1" applyBorder="1" applyAlignment="1">
      <alignment horizontal="center" vertical="center"/>
    </xf>
    <xf numFmtId="10" fontId="13" fillId="4" borderId="31" xfId="0" applyNumberFormat="1" applyFont="1" applyFill="1" applyBorder="1" applyAlignment="1">
      <alignment horizontal="center" vertical="center"/>
    </xf>
    <xf numFmtId="0" fontId="13" fillId="4" borderId="44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2" fontId="22" fillId="4" borderId="31" xfId="0" applyNumberFormat="1" applyFont="1" applyFill="1" applyBorder="1" applyAlignment="1">
      <alignment horizontal="center" vertical="center"/>
    </xf>
    <xf numFmtId="2" fontId="22" fillId="4" borderId="37" xfId="0" applyNumberFormat="1" applyFont="1" applyFill="1" applyBorder="1" applyAlignment="1">
      <alignment horizontal="center" vertical="center"/>
    </xf>
    <xf numFmtId="2" fontId="0" fillId="5" borderId="44" xfId="0" applyNumberFormat="1" applyFill="1" applyBorder="1" applyAlignment="1">
      <alignment horizontal="center" vertical="center"/>
    </xf>
    <xf numFmtId="2" fontId="33" fillId="5" borderId="33" xfId="0" applyNumberFormat="1" applyFont="1" applyFill="1" applyBorder="1" applyAlignment="1">
      <alignment horizontal="center" vertical="center"/>
    </xf>
    <xf numFmtId="2" fontId="33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33" fillId="5" borderId="31" xfId="0" applyNumberFormat="1" applyFont="1" applyFill="1" applyBorder="1" applyAlignment="1">
      <alignment horizontal="center" vertical="center"/>
    </xf>
    <xf numFmtId="2" fontId="33" fillId="5" borderId="44" xfId="0" applyNumberFormat="1" applyFont="1" applyFill="1" applyBorder="1" applyAlignment="1">
      <alignment horizontal="center" vertical="center"/>
    </xf>
    <xf numFmtId="1" fontId="0" fillId="0" borderId="32" xfId="0" applyNumberFormat="1" applyBorder="1"/>
    <xf numFmtId="0" fontId="0" fillId="0" borderId="34" xfId="0" applyBorder="1"/>
    <xf numFmtId="0" fontId="0" fillId="0" borderId="32" xfId="0" applyBorder="1"/>
    <xf numFmtId="0" fontId="1" fillId="0" borderId="32" xfId="0" applyFont="1" applyBorder="1"/>
    <xf numFmtId="0" fontId="1" fillId="0" borderId="34" xfId="0" applyFont="1" applyBorder="1"/>
    <xf numFmtId="2" fontId="1" fillId="0" borderId="45" xfId="0" applyNumberFormat="1" applyFont="1" applyBorder="1"/>
    <xf numFmtId="0" fontId="1" fillId="0" borderId="46" xfId="0" applyFont="1" applyBorder="1"/>
    <xf numFmtId="167" fontId="7" fillId="0" borderId="36" xfId="0" applyNumberFormat="1" applyFont="1" applyBorder="1" applyAlignment="1">
      <alignment horizontal="center" vertical="center"/>
    </xf>
    <xf numFmtId="3" fontId="13" fillId="0" borderId="33" xfId="0" applyNumberFormat="1" applyFont="1" applyBorder="1" applyAlignment="1">
      <alignment horizontal="center" vertical="center"/>
    </xf>
    <xf numFmtId="3" fontId="13" fillId="0" borderId="35" xfId="0" applyNumberFormat="1" applyFont="1" applyBorder="1" applyAlignment="1">
      <alignment horizontal="center" vertical="center"/>
    </xf>
    <xf numFmtId="3" fontId="22" fillId="0" borderId="31" xfId="0" applyNumberFormat="1" applyFont="1" applyBorder="1" applyAlignment="1">
      <alignment horizontal="center"/>
    </xf>
    <xf numFmtId="3" fontId="10" fillId="0" borderId="37" xfId="0" applyNumberFormat="1" applyFont="1" applyBorder="1" applyAlignment="1">
      <alignment horizontal="center"/>
    </xf>
    <xf numFmtId="3" fontId="10" fillId="0" borderId="37" xfId="0" applyNumberFormat="1" applyFont="1" applyBorder="1" applyAlignment="1">
      <alignment horizontal="center" vertical="center"/>
    </xf>
    <xf numFmtId="3" fontId="10" fillId="0" borderId="33" xfId="0" applyNumberFormat="1" applyFont="1" applyBorder="1" applyAlignment="1">
      <alignment horizontal="center"/>
    </xf>
    <xf numFmtId="3" fontId="10" fillId="0" borderId="33" xfId="0" applyNumberFormat="1" applyFont="1" applyBorder="1" applyAlignment="1">
      <alignment horizontal="center" vertical="center"/>
    </xf>
    <xf numFmtId="3" fontId="10" fillId="0" borderId="35" xfId="0" applyNumberFormat="1" applyFont="1" applyBorder="1" applyAlignment="1">
      <alignment horizontal="center"/>
    </xf>
    <xf numFmtId="3" fontId="10" fillId="0" borderId="35" xfId="0" applyNumberFormat="1" applyFont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10" fillId="0" borderId="47" xfId="0" applyNumberFormat="1" applyFont="1" applyBorder="1" applyAlignment="1">
      <alignment horizontal="center"/>
    </xf>
    <xf numFmtId="3" fontId="10" fillId="0" borderId="32" xfId="0" applyNumberFormat="1" applyFont="1" applyBorder="1" applyAlignment="1">
      <alignment horizontal="center"/>
    </xf>
    <xf numFmtId="3" fontId="10" fillId="0" borderId="45" xfId="0" applyNumberFormat="1" applyFont="1" applyBorder="1" applyAlignment="1">
      <alignment horizontal="center"/>
    </xf>
    <xf numFmtId="3" fontId="24" fillId="0" borderId="37" xfId="0" applyNumberFormat="1" applyFont="1" applyBorder="1" applyAlignment="1">
      <alignment horizontal="center" vertical="center"/>
    </xf>
    <xf numFmtId="3" fontId="24" fillId="0" borderId="33" xfId="0" applyNumberFormat="1" applyFont="1" applyBorder="1" applyAlignment="1">
      <alignment horizontal="center" vertical="center"/>
    </xf>
    <xf numFmtId="3" fontId="24" fillId="0" borderId="35" xfId="0" applyNumberFormat="1" applyFont="1" applyBorder="1" applyAlignment="1">
      <alignment horizontal="center" vertical="center"/>
    </xf>
    <xf numFmtId="0" fontId="36" fillId="0" borderId="0" xfId="0" applyFont="1"/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right"/>
    </xf>
    <xf numFmtId="14" fontId="13" fillId="0" borderId="0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 applyProtection="1">
      <alignment horizontal="center" vertical="center"/>
    </xf>
    <xf numFmtId="1" fontId="4" fillId="0" borderId="0" xfId="0" applyNumberFormat="1" applyFont="1" applyBorder="1" applyAlignment="1" applyProtection="1">
      <alignment horizontal="center" vertical="center"/>
    </xf>
    <xf numFmtId="10" fontId="25" fillId="0" borderId="0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10" fontId="10" fillId="0" borderId="0" xfId="0" applyNumberFormat="1" applyFont="1" applyBorder="1" applyAlignment="1">
      <alignment horizontal="center"/>
    </xf>
    <xf numFmtId="0" fontId="22" fillId="4" borderId="31" xfId="0" applyFont="1" applyFill="1" applyBorder="1" applyAlignment="1">
      <alignment horizontal="left" vertical="center"/>
    </xf>
    <xf numFmtId="0" fontId="22" fillId="4" borderId="33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22" fillId="0" borderId="31" xfId="0" applyNumberFormat="1" applyFont="1" applyBorder="1" applyAlignment="1">
      <alignment horizontal="center" vertical="center"/>
    </xf>
    <xf numFmtId="0" fontId="22" fillId="0" borderId="44" xfId="0" applyNumberFormat="1" applyFont="1" applyBorder="1" applyAlignment="1">
      <alignment horizontal="center" vertical="center"/>
    </xf>
    <xf numFmtId="2" fontId="0" fillId="5" borderId="31" xfId="0" applyNumberFormat="1" applyFill="1" applyBorder="1" applyAlignment="1">
      <alignment horizontal="center"/>
    </xf>
    <xf numFmtId="14" fontId="13" fillId="0" borderId="33" xfId="0" applyNumberFormat="1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14" fontId="13" fillId="0" borderId="35" xfId="0" applyNumberFormat="1" applyFont="1" applyBorder="1" applyAlignment="1">
      <alignment horizontal="left" vertical="center"/>
    </xf>
    <xf numFmtId="168" fontId="13" fillId="3" borderId="42" xfId="0" applyNumberFormat="1" applyFont="1" applyFill="1" applyBorder="1" applyAlignment="1">
      <alignment horizontal="center" vertical="center"/>
    </xf>
    <xf numFmtId="0" fontId="27" fillId="0" borderId="35" xfId="0" applyFont="1" applyBorder="1" applyAlignment="1" applyProtection="1">
      <alignment horizontal="center" vertical="center" wrapText="1"/>
    </xf>
    <xf numFmtId="0" fontId="27" fillId="0" borderId="46" xfId="0" applyFont="1" applyBorder="1" applyAlignment="1" applyProtection="1">
      <alignment horizontal="center" vertical="center" wrapText="1"/>
    </xf>
    <xf numFmtId="3" fontId="7" fillId="0" borderId="48" xfId="0" applyNumberFormat="1" applyFont="1" applyBorder="1" applyAlignment="1">
      <alignment horizontal="center"/>
    </xf>
    <xf numFmtId="10" fontId="7" fillId="0" borderId="36" xfId="0" applyNumberFormat="1" applyFont="1" applyBorder="1" applyAlignment="1">
      <alignment horizontal="center" vertical="center"/>
    </xf>
    <xf numFmtId="9" fontId="9" fillId="0" borderId="14" xfId="0" applyNumberFormat="1" applyFont="1" applyBorder="1" applyAlignment="1">
      <alignment horizontal="center"/>
    </xf>
    <xf numFmtId="9" fontId="9" fillId="0" borderId="23" xfId="0" applyNumberFormat="1" applyFont="1" applyBorder="1" applyAlignment="1">
      <alignment horizontal="center"/>
    </xf>
    <xf numFmtId="0" fontId="36" fillId="0" borderId="49" xfId="0" applyFont="1" applyFill="1" applyBorder="1"/>
    <xf numFmtId="0" fontId="36" fillId="0" borderId="50" xfId="0" applyFont="1" applyBorder="1" applyAlignment="1">
      <alignment horizontal="center"/>
    </xf>
    <xf numFmtId="0" fontId="36" fillId="0" borderId="51" xfId="0" applyFont="1" applyFill="1" applyBorder="1"/>
    <xf numFmtId="0" fontId="36" fillId="0" borderId="0" xfId="0" applyFont="1" applyBorder="1" applyAlignment="1">
      <alignment horizontal="center"/>
    </xf>
    <xf numFmtId="0" fontId="38" fillId="0" borderId="52" xfId="0" applyFont="1" applyFill="1" applyBorder="1" applyAlignment="1">
      <alignment horizontal="right"/>
    </xf>
    <xf numFmtId="0" fontId="38" fillId="0" borderId="53" xfId="0" applyFont="1" applyBorder="1" applyAlignment="1">
      <alignment horizontal="center"/>
    </xf>
    <xf numFmtId="10" fontId="38" fillId="0" borderId="53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2" fontId="22" fillId="0" borderId="0" xfId="0" applyNumberFormat="1" applyFont="1" applyAlignment="1">
      <alignment horizontal="left"/>
    </xf>
    <xf numFmtId="0" fontId="13" fillId="0" borderId="0" xfId="0" applyNumberFormat="1" applyFont="1" applyBorder="1" applyAlignment="1">
      <alignment horizontal="center"/>
    </xf>
    <xf numFmtId="0" fontId="10" fillId="0" borderId="0" xfId="0" applyFont="1" applyFill="1" applyBorder="1"/>
    <xf numFmtId="0" fontId="10" fillId="0" borderId="30" xfId="0" applyFont="1" applyFill="1" applyBorder="1" applyAlignment="1">
      <alignment horizontal="center" vertical="center"/>
    </xf>
    <xf numFmtId="0" fontId="9" fillId="0" borderId="13" xfId="0" applyFont="1" applyBorder="1"/>
    <xf numFmtId="9" fontId="8" fillId="0" borderId="21" xfId="0" applyNumberFormat="1" applyFont="1" applyBorder="1" applyAlignment="1">
      <alignment horizontal="center"/>
    </xf>
    <xf numFmtId="14" fontId="16" fillId="0" borderId="0" xfId="0" applyNumberFormat="1" applyFont="1" applyAlignment="1">
      <alignment horizontal="center"/>
    </xf>
    <xf numFmtId="4" fontId="13" fillId="0" borderId="33" xfId="0" applyNumberFormat="1" applyFont="1" applyBorder="1" applyAlignment="1" applyProtection="1">
      <alignment horizontal="center" vertical="center"/>
    </xf>
    <xf numFmtId="4" fontId="13" fillId="0" borderId="35" xfId="0" applyNumberFormat="1" applyFont="1" applyBorder="1" applyAlignment="1" applyProtection="1">
      <alignment horizontal="center" vertical="center"/>
    </xf>
    <xf numFmtId="2" fontId="4" fillId="0" borderId="37" xfId="0" applyNumberFormat="1" applyFont="1" applyBorder="1" applyAlignment="1" applyProtection="1">
      <alignment horizontal="center" vertical="center"/>
    </xf>
    <xf numFmtId="2" fontId="4" fillId="0" borderId="33" xfId="0" applyNumberFormat="1" applyFont="1" applyBorder="1" applyAlignment="1" applyProtection="1">
      <alignment horizontal="center" vertical="center"/>
    </xf>
    <xf numFmtId="2" fontId="4" fillId="0" borderId="35" xfId="0" applyNumberFormat="1" applyFont="1" applyBorder="1" applyAlignment="1" applyProtection="1">
      <alignment horizontal="center" vertical="center"/>
    </xf>
    <xf numFmtId="10" fontId="36" fillId="0" borderId="50" xfId="0" applyNumberFormat="1" applyFont="1" applyBorder="1" applyAlignment="1">
      <alignment horizontal="center"/>
    </xf>
    <xf numFmtId="10" fontId="36" fillId="0" borderId="0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6" fillId="0" borderId="54" xfId="0" applyFont="1" applyBorder="1" applyAlignment="1">
      <alignment horizontal="center"/>
    </xf>
    <xf numFmtId="0" fontId="36" fillId="0" borderId="55" xfId="0" applyFont="1" applyBorder="1" applyAlignment="1">
      <alignment horizontal="center"/>
    </xf>
    <xf numFmtId="0" fontId="38" fillId="0" borderId="56" xfId="0" applyFont="1" applyBorder="1" applyAlignment="1">
      <alignment horizontal="center"/>
    </xf>
    <xf numFmtId="167" fontId="7" fillId="0" borderId="36" xfId="0" applyNumberFormat="1" applyFont="1" applyBorder="1" applyAlignment="1">
      <alignment horizontal="center"/>
    </xf>
    <xf numFmtId="10" fontId="17" fillId="0" borderId="10" xfId="0" applyNumberFormat="1" applyFont="1" applyBorder="1" applyAlignment="1">
      <alignment horizontal="center"/>
    </xf>
    <xf numFmtId="10" fontId="17" fillId="0" borderId="8" xfId="0" applyNumberFormat="1" applyFont="1" applyBorder="1" applyAlignment="1">
      <alignment horizontal="center"/>
    </xf>
    <xf numFmtId="0" fontId="9" fillId="0" borderId="57" xfId="0" applyFont="1" applyBorder="1"/>
    <xf numFmtId="0" fontId="6" fillId="0" borderId="58" xfId="0" applyFont="1" applyBorder="1" applyAlignment="1">
      <alignment horizontal="center"/>
    </xf>
    <xf numFmtId="0" fontId="9" fillId="0" borderId="59" xfId="0" applyFont="1" applyFill="1" applyBorder="1"/>
    <xf numFmtId="0" fontId="9" fillId="0" borderId="60" xfId="0" applyFont="1" applyBorder="1" applyAlignment="1">
      <alignment horizontal="center"/>
    </xf>
    <xf numFmtId="2" fontId="15" fillId="0" borderId="5" xfId="0" applyNumberFormat="1" applyFont="1" applyBorder="1"/>
    <xf numFmtId="169" fontId="11" fillId="0" borderId="5" xfId="0" applyNumberFormat="1" applyFont="1" applyBorder="1"/>
    <xf numFmtId="0" fontId="15" fillId="0" borderId="0" xfId="0" applyFont="1" applyBorder="1" applyAlignment="1">
      <alignment horizontal="center"/>
    </xf>
    <xf numFmtId="2" fontId="11" fillId="0" borderId="5" xfId="0" applyNumberFormat="1" applyFont="1" applyFill="1" applyBorder="1"/>
    <xf numFmtId="1" fontId="0" fillId="0" borderId="0" xfId="0" applyNumberFormat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0" fillId="0" borderId="47" xfId="0" applyBorder="1" applyAlignment="1">
      <alignment horizontal="center"/>
    </xf>
    <xf numFmtId="9" fontId="0" fillId="0" borderId="61" xfId="0" applyNumberFormat="1" applyBorder="1"/>
    <xf numFmtId="0" fontId="0" fillId="0" borderId="45" xfId="0" applyBorder="1" applyAlignment="1">
      <alignment horizontal="center"/>
    </xf>
    <xf numFmtId="9" fontId="0" fillId="0" borderId="46" xfId="0" applyNumberFormat="1" applyBorder="1"/>
    <xf numFmtId="2" fontId="2" fillId="5" borderId="33" xfId="0" applyNumberFormat="1" applyFont="1" applyFill="1" applyBorder="1" applyAlignment="1">
      <alignment horizontal="center" vertical="center"/>
    </xf>
    <xf numFmtId="2" fontId="2" fillId="5" borderId="31" xfId="0" applyNumberFormat="1" applyFont="1" applyFill="1" applyBorder="1" applyAlignment="1">
      <alignment horizontal="center" vertical="center"/>
    </xf>
    <xf numFmtId="2" fontId="2" fillId="5" borderId="3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4" fillId="0" borderId="33" xfId="0" applyNumberFormat="1" applyFont="1" applyBorder="1" applyAlignment="1">
      <alignment horizontal="center" vertical="center"/>
    </xf>
    <xf numFmtId="0" fontId="24" fillId="0" borderId="31" xfId="0" applyNumberFormat="1" applyFon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0" borderId="43" xfId="0" applyNumberFormat="1" applyBorder="1" applyAlignment="1">
      <alignment horizontal="center" vertical="center"/>
    </xf>
    <xf numFmtId="0" fontId="24" fillId="0" borderId="44" xfId="0" applyFont="1" applyBorder="1" applyAlignment="1">
      <alignment horizontal="center"/>
    </xf>
    <xf numFmtId="3" fontId="0" fillId="0" borderId="31" xfId="0" applyNumberForma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2" fontId="22" fillId="5" borderId="31" xfId="0" applyNumberFormat="1" applyFont="1" applyFill="1" applyBorder="1" applyAlignment="1">
      <alignment horizontal="center"/>
    </xf>
    <xf numFmtId="2" fontId="22" fillId="0" borderId="42" xfId="0" applyNumberFormat="1" applyFont="1" applyBorder="1" applyAlignment="1">
      <alignment horizontal="center" vertical="center"/>
    </xf>
    <xf numFmtId="2" fontId="22" fillId="0" borderId="31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10" fontId="22" fillId="0" borderId="31" xfId="0" applyNumberFormat="1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" fontId="0" fillId="0" borderId="0" xfId="0" applyNumberFormat="1"/>
    <xf numFmtId="0" fontId="29" fillId="4" borderId="31" xfId="0" applyFont="1" applyFill="1" applyBorder="1" applyAlignment="1">
      <alignment horizontal="center" vertical="center"/>
    </xf>
    <xf numFmtId="0" fontId="44" fillId="0" borderId="32" xfId="0" applyNumberFormat="1" applyFont="1" applyBorder="1" applyAlignment="1">
      <alignment horizontal="center" vertical="center"/>
    </xf>
    <xf numFmtId="0" fontId="44" fillId="0" borderId="33" xfId="0" applyNumberFormat="1" applyFont="1" applyBorder="1" applyAlignment="1">
      <alignment horizontal="center" vertical="center"/>
    </xf>
    <xf numFmtId="0" fontId="44" fillId="0" borderId="0" xfId="0" applyNumberFormat="1" applyFont="1" applyBorder="1" applyAlignment="1">
      <alignment horizontal="center" vertical="center"/>
    </xf>
    <xf numFmtId="3" fontId="46" fillId="0" borderId="32" xfId="0" applyNumberFormat="1" applyFont="1" applyBorder="1" applyAlignment="1" applyProtection="1">
      <alignment horizontal="center" vertical="center"/>
    </xf>
    <xf numFmtId="0" fontId="22" fillId="3" borderId="43" xfId="0" applyFont="1" applyFill="1" applyBorder="1" applyAlignment="1">
      <alignment horizontal="center" vertical="center"/>
    </xf>
    <xf numFmtId="0" fontId="22" fillId="3" borderId="31" xfId="0" applyFont="1" applyFill="1" applyBorder="1" applyAlignment="1">
      <alignment horizontal="center" vertical="center"/>
    </xf>
    <xf numFmtId="164" fontId="39" fillId="3" borderId="43" xfId="0" applyNumberFormat="1" applyFont="1" applyFill="1" applyBorder="1" applyAlignment="1">
      <alignment horizontal="center" vertical="center"/>
    </xf>
    <xf numFmtId="168" fontId="22" fillId="3" borderId="31" xfId="0" applyNumberFormat="1" applyFont="1" applyFill="1" applyBorder="1" applyAlignment="1">
      <alignment horizontal="center" vertical="center"/>
    </xf>
    <xf numFmtId="168" fontId="22" fillId="3" borderId="42" xfId="0" applyNumberFormat="1" applyFont="1" applyFill="1" applyBorder="1" applyAlignment="1">
      <alignment horizontal="center" vertical="center"/>
    </xf>
    <xf numFmtId="0" fontId="22" fillId="3" borderId="42" xfId="0" applyFont="1" applyFill="1" applyBorder="1" applyAlignment="1">
      <alignment horizontal="center" vertical="center"/>
    </xf>
    <xf numFmtId="0" fontId="22" fillId="3" borderId="31" xfId="0" applyFont="1" applyFill="1" applyBorder="1" applyAlignment="1">
      <alignment horizontal="center" vertical="center" wrapText="1"/>
    </xf>
    <xf numFmtId="0" fontId="22" fillId="3" borderId="43" xfId="0" applyFont="1" applyFill="1" applyBorder="1" applyAlignment="1">
      <alignment horizontal="center" vertical="center" wrapText="1"/>
    </xf>
    <xf numFmtId="164" fontId="22" fillId="3" borderId="31" xfId="0" applyNumberFormat="1" applyFont="1" applyFill="1" applyBorder="1" applyAlignment="1">
      <alignment horizontal="center" vertical="center" wrapText="1"/>
    </xf>
    <xf numFmtId="2" fontId="22" fillId="3" borderId="31" xfId="0" applyNumberFormat="1" applyFont="1" applyFill="1" applyBorder="1" applyAlignment="1">
      <alignment horizontal="center" vertical="center" wrapText="1"/>
    </xf>
    <xf numFmtId="49" fontId="22" fillId="3" borderId="42" xfId="0" applyNumberFormat="1" applyFont="1" applyFill="1" applyBorder="1" applyAlignment="1">
      <alignment horizontal="center" vertical="center"/>
    </xf>
    <xf numFmtId="49" fontId="22" fillId="3" borderId="31" xfId="0" applyNumberFormat="1" applyFont="1" applyFill="1" applyBorder="1" applyAlignment="1">
      <alignment horizontal="center" vertical="center"/>
    </xf>
    <xf numFmtId="0" fontId="22" fillId="3" borderId="42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 wrapText="1"/>
    </xf>
    <xf numFmtId="0" fontId="22" fillId="6" borderId="31" xfId="0" applyNumberFormat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45" fillId="0" borderId="33" xfId="0" applyNumberFormat="1" applyFont="1" applyBorder="1" applyAlignment="1">
      <alignment horizontal="left" vertical="center"/>
    </xf>
    <xf numFmtId="14" fontId="45" fillId="0" borderId="33" xfId="0" applyNumberFormat="1" applyFont="1" applyBorder="1" applyAlignment="1">
      <alignment horizontal="left" vertical="center"/>
    </xf>
    <xf numFmtId="0" fontId="45" fillId="0" borderId="33" xfId="0" applyFont="1" applyBorder="1" applyAlignment="1">
      <alignment horizontal="left" vertical="center"/>
    </xf>
    <xf numFmtId="0" fontId="44" fillId="0" borderId="33" xfId="0" applyFont="1" applyBorder="1" applyAlignment="1">
      <alignment horizontal="center" vertical="center"/>
    </xf>
    <xf numFmtId="165" fontId="48" fillId="0" borderId="33" xfId="0" applyNumberFormat="1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0" fillId="0" borderId="62" xfId="0" applyFont="1" applyBorder="1" applyAlignment="1">
      <alignment horizontal="center"/>
    </xf>
    <xf numFmtId="10" fontId="10" fillId="0" borderId="37" xfId="0" applyNumberFormat="1" applyFont="1" applyBorder="1" applyAlignment="1">
      <alignment horizontal="center" vertical="center"/>
    </xf>
    <xf numFmtId="10" fontId="10" fillId="0" borderId="33" xfId="0" applyNumberFormat="1" applyFont="1" applyBorder="1" applyAlignment="1">
      <alignment horizontal="center" vertical="center"/>
    </xf>
    <xf numFmtId="10" fontId="10" fillId="0" borderId="35" xfId="0" applyNumberFormat="1" applyFont="1" applyBorder="1" applyAlignment="1">
      <alignment horizontal="center" vertical="center"/>
    </xf>
    <xf numFmtId="0" fontId="45" fillId="6" borderId="31" xfId="0" applyNumberFormat="1" applyFont="1" applyFill="1" applyBorder="1" applyAlignment="1">
      <alignment horizontal="center" vertical="center" wrapText="1"/>
    </xf>
    <xf numFmtId="168" fontId="46" fillId="6" borderId="31" xfId="0" applyNumberFormat="1" applyFont="1" applyFill="1" applyBorder="1" applyAlignment="1">
      <alignment horizontal="center" vertical="center" wrapText="1"/>
    </xf>
    <xf numFmtId="0" fontId="50" fillId="0" borderId="34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33" xfId="0" applyNumberFormat="1" applyFont="1" applyBorder="1" applyAlignment="1">
      <alignment horizontal="center" vertical="center"/>
    </xf>
    <xf numFmtId="164" fontId="48" fillId="0" borderId="32" xfId="0" applyNumberFormat="1" applyFont="1" applyFill="1" applyBorder="1" applyAlignment="1">
      <alignment horizontal="center" vertical="center"/>
    </xf>
    <xf numFmtId="168" fontId="48" fillId="0" borderId="33" xfId="0" applyNumberFormat="1" applyFont="1" applyBorder="1" applyAlignment="1">
      <alignment horizontal="center" vertical="center"/>
    </xf>
    <xf numFmtId="164" fontId="48" fillId="0" borderId="33" xfId="0" applyNumberFormat="1" applyFont="1" applyFill="1" applyBorder="1" applyAlignment="1">
      <alignment horizontal="center" vertical="center"/>
    </xf>
    <xf numFmtId="2" fontId="48" fillId="0" borderId="33" xfId="0" applyNumberFormat="1" applyFont="1" applyFill="1" applyBorder="1" applyAlignment="1">
      <alignment horizontal="center" vertical="center"/>
    </xf>
    <xf numFmtId="164" fontId="48" fillId="0" borderId="32" xfId="0" applyNumberFormat="1" applyFont="1" applyBorder="1" applyAlignment="1">
      <alignment horizontal="center" vertical="center"/>
    </xf>
    <xf numFmtId="165" fontId="48" fillId="0" borderId="33" xfId="0" applyNumberFormat="1" applyFont="1" applyFill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46" fillId="2" borderId="63" xfId="0" applyFont="1" applyFill="1" applyBorder="1" applyAlignment="1">
      <alignment vertical="center"/>
    </xf>
    <xf numFmtId="4" fontId="0" fillId="0" borderId="0" xfId="0" applyNumberFormat="1"/>
    <xf numFmtId="9" fontId="22" fillId="0" borderId="0" xfId="0" applyNumberFormat="1" applyFont="1" applyAlignment="1">
      <alignment horizontal="center"/>
    </xf>
    <xf numFmtId="0" fontId="22" fillId="2" borderId="32" xfId="0" applyFont="1" applyFill="1" applyBorder="1" applyAlignment="1">
      <alignment vertical="center"/>
    </xf>
    <xf numFmtId="0" fontId="2" fillId="0" borderId="33" xfId="0" applyFont="1" applyBorder="1" applyAlignment="1">
      <alignment horizontal="left" vertical="center"/>
    </xf>
    <xf numFmtId="164" fontId="2" fillId="0" borderId="32" xfId="0" applyNumberFormat="1" applyFont="1" applyBorder="1" applyAlignment="1">
      <alignment horizontal="center" vertical="center"/>
    </xf>
    <xf numFmtId="168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164" fontId="2" fillId="0" borderId="33" xfId="0" applyNumberFormat="1" applyFont="1" applyFill="1" applyBorder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8" fillId="0" borderId="33" xfId="0" applyFont="1" applyBorder="1" applyAlignment="1">
      <alignment horizontal="left" vertical="center"/>
    </xf>
    <xf numFmtId="0" fontId="48" fillId="0" borderId="34" xfId="0" applyFont="1" applyBorder="1" applyAlignment="1">
      <alignment horizontal="center" vertical="center"/>
    </xf>
    <xf numFmtId="0" fontId="48" fillId="0" borderId="33" xfId="0" applyFont="1" applyBorder="1" applyAlignment="1">
      <alignment vertical="center"/>
    </xf>
    <xf numFmtId="0" fontId="48" fillId="0" borderId="32" xfId="0" applyFont="1" applyBorder="1" applyAlignment="1">
      <alignment horizontal="center" vertical="center"/>
    </xf>
    <xf numFmtId="2" fontId="48" fillId="0" borderId="33" xfId="0" applyNumberFormat="1" applyFont="1" applyBorder="1" applyAlignment="1">
      <alignment horizontal="center" vertical="center"/>
    </xf>
    <xf numFmtId="0" fontId="49" fillId="0" borderId="0" xfId="0" applyFont="1" applyAlignment="1">
      <alignment vertical="center"/>
    </xf>
    <xf numFmtId="2" fontId="2" fillId="0" borderId="33" xfId="0" applyNumberFormat="1" applyFont="1" applyFill="1" applyBorder="1" applyAlignment="1">
      <alignment horizontal="center" vertical="center"/>
    </xf>
    <xf numFmtId="164" fontId="2" fillId="0" borderId="32" xfId="0" applyNumberFormat="1" applyFont="1" applyFill="1" applyBorder="1" applyAlignment="1">
      <alignment horizontal="center" vertical="center"/>
    </xf>
    <xf numFmtId="168" fontId="2" fillId="0" borderId="34" xfId="0" applyNumberFormat="1" applyFont="1" applyBorder="1" applyAlignment="1">
      <alignment horizontal="center" vertical="center"/>
    </xf>
    <xf numFmtId="0" fontId="48" fillId="0" borderId="0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53" fillId="2" borderId="63" xfId="0" applyFont="1" applyFill="1" applyBorder="1" applyAlignment="1">
      <alignment vertical="center"/>
    </xf>
    <xf numFmtId="0" fontId="49" fillId="0" borderId="33" xfId="0" applyFont="1" applyBorder="1" applyAlignment="1">
      <alignment horizontal="left" vertical="center"/>
    </xf>
    <xf numFmtId="164" fontId="49" fillId="0" borderId="32" xfId="0" applyNumberFormat="1" applyFont="1" applyBorder="1" applyAlignment="1">
      <alignment horizontal="center" vertical="center"/>
    </xf>
    <xf numFmtId="168" fontId="49" fillId="0" borderId="33" xfId="0" applyNumberFormat="1" applyFont="1" applyBorder="1" applyAlignment="1">
      <alignment horizontal="center" vertical="center"/>
    </xf>
    <xf numFmtId="168" fontId="49" fillId="0" borderId="34" xfId="0" applyNumberFormat="1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49" fillId="0" borderId="33" xfId="0" applyFont="1" applyBorder="1" applyAlignment="1">
      <alignment vertical="center"/>
    </xf>
    <xf numFmtId="0" fontId="49" fillId="0" borderId="32" xfId="0" applyFont="1" applyBorder="1" applyAlignment="1">
      <alignment horizontal="center" vertical="center"/>
    </xf>
    <xf numFmtId="164" fontId="49" fillId="0" borderId="33" xfId="0" applyNumberFormat="1" applyFont="1" applyFill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center" vertical="center"/>
    </xf>
    <xf numFmtId="0" fontId="10" fillId="0" borderId="0" xfId="0" quotePrefix="1" applyFont="1" applyAlignment="1">
      <alignment horizontal="right"/>
    </xf>
    <xf numFmtId="2" fontId="45" fillId="3" borderId="31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/>
    </xf>
    <xf numFmtId="0" fontId="54" fillId="0" borderId="0" xfId="0" applyFont="1" applyAlignment="1">
      <alignment vertical="center"/>
    </xf>
    <xf numFmtId="3" fontId="32" fillId="0" borderId="31" xfId="0" applyNumberFormat="1" applyFont="1" applyBorder="1" applyAlignment="1">
      <alignment horizontal="center" vertical="center" wrapText="1"/>
    </xf>
    <xf numFmtId="3" fontId="10" fillId="0" borderId="31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22" fillId="0" borderId="0" xfId="0" applyFont="1"/>
    <xf numFmtId="168" fontId="48" fillId="0" borderId="34" xfId="0" applyNumberFormat="1" applyFont="1" applyBorder="1" applyAlignment="1">
      <alignment horizontal="center" vertical="center"/>
    </xf>
    <xf numFmtId="10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2" fillId="0" borderId="0" xfId="0" applyNumberFormat="1" applyFont="1"/>
    <xf numFmtId="0" fontId="47" fillId="0" borderId="34" xfId="0" applyFont="1" applyBorder="1" applyAlignment="1">
      <alignment horizontal="center" vertical="center"/>
    </xf>
    <xf numFmtId="168" fontId="52" fillId="0" borderId="0" xfId="0" applyNumberFormat="1" applyFont="1" applyBorder="1" applyAlignment="1">
      <alignment horizontal="center" vertical="center"/>
    </xf>
    <xf numFmtId="168" fontId="56" fillId="6" borderId="44" xfId="0" applyNumberFormat="1" applyFont="1" applyFill="1" applyBorder="1" applyAlignment="1">
      <alignment horizontal="center" vertical="center" wrapText="1"/>
    </xf>
    <xf numFmtId="2" fontId="49" fillId="0" borderId="33" xfId="0" applyNumberFormat="1" applyFont="1" applyFill="1" applyBorder="1" applyAlignment="1">
      <alignment horizontal="center" vertical="center"/>
    </xf>
    <xf numFmtId="168" fontId="48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39" fillId="0" borderId="45" xfId="0" applyFont="1" applyBorder="1" applyAlignment="1">
      <alignment horizontal="left" vertical="center"/>
    </xf>
    <xf numFmtId="0" fontId="41" fillId="0" borderId="65" xfId="0" applyFont="1" applyBorder="1" applyAlignment="1">
      <alignment horizontal="left" vertical="center"/>
    </xf>
    <xf numFmtId="0" fontId="0" fillId="0" borderId="34" xfId="0" applyBorder="1" applyAlignment="1">
      <alignment horizontal="right"/>
    </xf>
    <xf numFmtId="3" fontId="0" fillId="0" borderId="34" xfId="0" applyNumberFormat="1" applyBorder="1" applyAlignment="1">
      <alignment horizontal="right"/>
    </xf>
    <xf numFmtId="10" fontId="39" fillId="0" borderId="46" xfId="1" applyNumberFormat="1" applyFont="1" applyBorder="1" applyAlignment="1">
      <alignment horizontal="right" vertical="center"/>
    </xf>
    <xf numFmtId="0" fontId="22" fillId="0" borderId="47" xfId="0" applyFont="1" applyBorder="1" applyAlignment="1"/>
    <xf numFmtId="0" fontId="22" fillId="0" borderId="66" xfId="0" applyFont="1" applyBorder="1" applyAlignment="1"/>
    <xf numFmtId="0" fontId="22" fillId="0" borderId="61" xfId="0" applyFont="1" applyBorder="1" applyAlignment="1"/>
    <xf numFmtId="14" fontId="0" fillId="0" borderId="0" xfId="0" applyNumberFormat="1"/>
    <xf numFmtId="17" fontId="0" fillId="0" borderId="0" xfId="0" applyNumberFormat="1"/>
    <xf numFmtId="0" fontId="26" fillId="0" borderId="75" xfId="0" applyFont="1" applyBorder="1"/>
    <xf numFmtId="0" fontId="26" fillId="0" borderId="77" xfId="0" applyFont="1" applyBorder="1"/>
    <xf numFmtId="0" fontId="26" fillId="0" borderId="72" xfId="0" applyFont="1" applyBorder="1"/>
    <xf numFmtId="0" fontId="0" fillId="0" borderId="0" xfId="0" applyFill="1" applyBorder="1"/>
    <xf numFmtId="0" fontId="2" fillId="0" borderId="32" xfId="0" applyNumberFormat="1" applyFont="1" applyFill="1" applyBorder="1" applyAlignment="1">
      <alignment horizontal="center" vertical="center"/>
    </xf>
    <xf numFmtId="0" fontId="2" fillId="0" borderId="31" xfId="0" applyNumberFormat="1" applyFont="1" applyFill="1" applyBorder="1" applyAlignment="1">
      <alignment horizontal="center" vertical="center"/>
    </xf>
    <xf numFmtId="0" fontId="2" fillId="0" borderId="44" xfId="0" applyNumberFormat="1" applyFont="1" applyFill="1" applyBorder="1" applyAlignment="1">
      <alignment horizontal="center" vertical="center"/>
    </xf>
    <xf numFmtId="0" fontId="42" fillId="8" borderId="37" xfId="0" applyFont="1" applyFill="1" applyBorder="1" applyAlignment="1">
      <alignment horizontal="center" vertical="center" wrapText="1"/>
    </xf>
    <xf numFmtId="14" fontId="48" fillId="0" borderId="32" xfId="0" applyNumberFormat="1" applyFont="1" applyBorder="1" applyAlignment="1">
      <alignment horizontal="center" vertical="center"/>
    </xf>
    <xf numFmtId="14" fontId="49" fillId="0" borderId="32" xfId="0" applyNumberFormat="1" applyFont="1" applyBorder="1" applyAlignment="1">
      <alignment horizontal="center" vertical="center"/>
    </xf>
    <xf numFmtId="164" fontId="39" fillId="3" borderId="43" xfId="0" applyNumberFormat="1" applyFont="1" applyFill="1" applyBorder="1" applyAlignment="1">
      <alignment horizontal="center" vertical="center" wrapText="1"/>
    </xf>
    <xf numFmtId="1" fontId="57" fillId="10" borderId="32" xfId="0" applyNumberFormat="1" applyFont="1" applyFill="1" applyBorder="1" applyAlignment="1">
      <alignment horizontal="center" vertical="center"/>
    </xf>
    <xf numFmtId="168" fontId="49" fillId="0" borderId="33" xfId="0" applyNumberFormat="1" applyFont="1" applyBorder="1" applyAlignment="1">
      <alignment horizontal="center"/>
    </xf>
    <xf numFmtId="168" fontId="2" fillId="0" borderId="32" xfId="0" applyNumberFormat="1" applyFont="1" applyBorder="1" applyAlignment="1">
      <alignment horizontal="center" vertical="center"/>
    </xf>
    <xf numFmtId="14" fontId="13" fillId="3" borderId="31" xfId="0" applyNumberFormat="1" applyFont="1" applyFill="1" applyBorder="1" applyAlignment="1">
      <alignment horizontal="right" vertical="center" wrapText="1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Border="1" applyAlignment="1">
      <alignment vertical="center"/>
    </xf>
    <xf numFmtId="168" fontId="49" fillId="0" borderId="32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4" fontId="2" fillId="0" borderId="34" xfId="0" applyNumberFormat="1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0" borderId="34" xfId="0" applyNumberFormat="1" applyFont="1" applyFill="1" applyBorder="1" applyAlignment="1">
      <alignment horizontal="center" vertical="center"/>
    </xf>
    <xf numFmtId="14" fontId="2" fillId="0" borderId="34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70" fontId="60" fillId="11" borderId="0" xfId="0" applyNumberFormat="1" applyFont="1" applyFill="1" applyAlignment="1">
      <alignment horizontal="center" vertical="center"/>
    </xf>
    <xf numFmtId="170" fontId="60" fillId="11" borderId="32" xfId="0" applyNumberFormat="1" applyFont="1" applyFill="1" applyBorder="1" applyAlignment="1">
      <alignment horizontal="center" vertical="center"/>
    </xf>
    <xf numFmtId="0" fontId="60" fillId="11" borderId="0" xfId="0" applyFont="1" applyFill="1" applyAlignment="1">
      <alignment horizontal="center" vertical="center"/>
    </xf>
    <xf numFmtId="0" fontId="39" fillId="11" borderId="44" xfId="0" applyFont="1" applyFill="1" applyBorder="1" applyAlignment="1">
      <alignment horizontal="center" vertical="center" wrapText="1"/>
    </xf>
    <xf numFmtId="0" fontId="39" fillId="11" borderId="45" xfId="0" applyFont="1" applyFill="1" applyBorder="1" applyAlignment="1">
      <alignment horizontal="center" vertical="center" wrapText="1"/>
    </xf>
    <xf numFmtId="14" fontId="39" fillId="0" borderId="65" xfId="0" applyNumberFormat="1" applyFont="1" applyBorder="1" applyAlignment="1">
      <alignment horizontal="center" vertical="center" wrapText="1"/>
    </xf>
    <xf numFmtId="0" fontId="39" fillId="0" borderId="65" xfId="0" applyFont="1" applyBorder="1" applyAlignment="1">
      <alignment horizontal="center" vertical="center" wrapText="1"/>
    </xf>
    <xf numFmtId="14" fontId="39" fillId="0" borderId="46" xfId="0" applyNumberFormat="1" applyFont="1" applyBorder="1" applyAlignment="1">
      <alignment horizontal="center" vertical="center" wrapText="1"/>
    </xf>
    <xf numFmtId="0" fontId="1" fillId="2" borderId="32" xfId="0" applyFont="1" applyFill="1" applyBorder="1" applyAlignment="1">
      <alignment vertical="center"/>
    </xf>
    <xf numFmtId="170" fontId="61" fillId="11" borderId="0" xfId="0" applyNumberFormat="1" applyFont="1" applyFill="1" applyAlignment="1">
      <alignment horizontal="center" vertical="center"/>
    </xf>
    <xf numFmtId="170" fontId="61" fillId="11" borderId="32" xfId="0" applyNumberFormat="1" applyFont="1" applyFill="1" applyBorder="1" applyAlignment="1">
      <alignment horizontal="center" vertical="center"/>
    </xf>
    <xf numFmtId="14" fontId="48" fillId="0" borderId="34" xfId="0" applyNumberFormat="1" applyFont="1" applyBorder="1" applyAlignment="1">
      <alignment horizontal="center" vertical="center"/>
    </xf>
    <xf numFmtId="14" fontId="48" fillId="0" borderId="0" xfId="0" applyNumberFormat="1" applyFont="1" applyBorder="1" applyAlignment="1">
      <alignment horizontal="center" vertical="center"/>
    </xf>
    <xf numFmtId="0" fontId="1" fillId="2" borderId="63" xfId="0" applyFont="1" applyFill="1" applyBorder="1" applyAlignment="1">
      <alignment vertical="center"/>
    </xf>
    <xf numFmtId="14" fontId="2" fillId="0" borderId="32" xfId="0" applyNumberFormat="1" applyFont="1" applyBorder="1" applyAlignment="1">
      <alignment horizontal="center" vertical="center"/>
    </xf>
    <xf numFmtId="170" fontId="62" fillId="11" borderId="0" xfId="0" applyNumberFormat="1" applyFont="1" applyFill="1" applyAlignment="1">
      <alignment horizontal="center" vertical="center"/>
    </xf>
    <xf numFmtId="170" fontId="62" fillId="11" borderId="32" xfId="0" applyNumberFormat="1" applyFont="1" applyFill="1" applyBorder="1" applyAlignment="1">
      <alignment horizontal="center" vertical="center"/>
    </xf>
    <xf numFmtId="0" fontId="49" fillId="0" borderId="0" xfId="0" applyFont="1" applyBorder="1" applyAlignment="1">
      <alignment vertical="center"/>
    </xf>
    <xf numFmtId="0" fontId="44" fillId="0" borderId="0" xfId="0" applyNumberFormat="1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/>
    </xf>
    <xf numFmtId="14" fontId="60" fillId="11" borderId="32" xfId="0" applyNumberFormat="1" applyFont="1" applyFill="1" applyBorder="1" applyAlignment="1">
      <alignment horizontal="center" vertical="center"/>
    </xf>
    <xf numFmtId="14" fontId="62" fillId="11" borderId="32" xfId="0" applyNumberFormat="1" applyFont="1" applyFill="1" applyBorder="1" applyAlignment="1">
      <alignment horizontal="center" vertical="center"/>
    </xf>
    <xf numFmtId="14" fontId="61" fillId="11" borderId="32" xfId="0" applyNumberFormat="1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164" fontId="49" fillId="0" borderId="33" xfId="0" applyNumberFormat="1" applyFont="1" applyBorder="1" applyAlignment="1">
      <alignment horizontal="center" vertical="center"/>
    </xf>
    <xf numFmtId="170" fontId="62" fillId="11" borderId="0" xfId="0" applyNumberFormat="1" applyFont="1" applyFill="1" applyBorder="1" applyAlignment="1">
      <alignment horizontal="center" vertical="center"/>
    </xf>
    <xf numFmtId="0" fontId="2" fillId="0" borderId="35" xfId="0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164" fontId="49" fillId="0" borderId="32" xfId="0" applyNumberFormat="1" applyFont="1" applyFill="1" applyBorder="1" applyAlignment="1">
      <alignment horizontal="center" vertical="center"/>
    </xf>
    <xf numFmtId="165" fontId="49" fillId="0" borderId="33" xfId="0" applyNumberFormat="1" applyFont="1" applyFill="1" applyBorder="1" applyAlignment="1">
      <alignment horizontal="center" vertical="center"/>
    </xf>
    <xf numFmtId="0" fontId="59" fillId="0" borderId="33" xfId="0" applyFont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49" fillId="0" borderId="34" xfId="0" applyFont="1" applyBorder="1" applyAlignment="1">
      <alignment horizontal="center"/>
    </xf>
    <xf numFmtId="3" fontId="46" fillId="0" borderId="45" xfId="0" applyNumberFormat="1" applyFont="1" applyBorder="1" applyAlignment="1" applyProtection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4" fontId="49" fillId="0" borderId="34" xfId="0" applyNumberFormat="1" applyFont="1" applyBorder="1" applyAlignment="1">
      <alignment horizontal="center" vertical="center"/>
    </xf>
    <xf numFmtId="14" fontId="62" fillId="11" borderId="0" xfId="0" applyNumberFormat="1" applyFont="1" applyFill="1" applyBorder="1" applyAlignment="1">
      <alignment horizontal="center" vertical="center"/>
    </xf>
    <xf numFmtId="14" fontId="49" fillId="0" borderId="0" xfId="0" applyNumberFormat="1" applyFont="1" applyBorder="1" applyAlignment="1">
      <alignment horizontal="center" vertical="center"/>
    </xf>
    <xf numFmtId="164" fontId="48" fillId="0" borderId="33" xfId="0" applyNumberFormat="1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2" fontId="22" fillId="0" borderId="37" xfId="0" applyNumberFormat="1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2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2" fontId="22" fillId="0" borderId="0" xfId="0" applyNumberFormat="1" applyFont="1" applyFill="1" applyBorder="1" applyAlignment="1">
      <alignment horizontal="center" vertical="center"/>
    </xf>
    <xf numFmtId="10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/>
    <xf numFmtId="17" fontId="0" fillId="0" borderId="0" xfId="0" applyNumberFormat="1" applyFill="1" applyBorder="1"/>
    <xf numFmtId="3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/>
    <xf numFmtId="0" fontId="39" fillId="0" borderId="0" xfId="0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10" fontId="39" fillId="0" borderId="0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3" borderId="4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left" vertical="center"/>
    </xf>
    <xf numFmtId="14" fontId="49" fillId="0" borderId="0" xfId="0" applyNumberFormat="1" applyFont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59" fillId="7" borderId="63" xfId="0" applyFont="1" applyFill="1" applyBorder="1" applyAlignment="1">
      <alignment vertical="center"/>
    </xf>
    <xf numFmtId="0" fontId="59" fillId="0" borderId="32" xfId="0" applyFont="1" applyFill="1" applyBorder="1" applyAlignment="1">
      <alignment vertical="center"/>
    </xf>
    <xf numFmtId="0" fontId="59" fillId="0" borderId="0" xfId="0" applyFont="1" applyAlignment="1">
      <alignment vertical="center"/>
    </xf>
    <xf numFmtId="0" fontId="59" fillId="0" borderId="33" xfId="0" applyFont="1" applyBorder="1" applyAlignment="1">
      <alignment vertical="center"/>
    </xf>
    <xf numFmtId="14" fontId="59" fillId="0" borderId="0" xfId="0" applyNumberFormat="1" applyFont="1" applyAlignment="1">
      <alignment horizontal="right" vertical="center"/>
    </xf>
    <xf numFmtId="14" fontId="59" fillId="0" borderId="33" xfId="0" applyNumberFormat="1" applyFont="1" applyBorder="1" applyAlignment="1">
      <alignment vertical="center"/>
    </xf>
    <xf numFmtId="0" fontId="48" fillId="0" borderId="34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4" fontId="49" fillId="0" borderId="34" xfId="0" applyNumberFormat="1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1" fillId="0" borderId="43" xfId="0" applyNumberFormat="1" applyFont="1" applyBorder="1" applyAlignment="1">
      <alignment horizontal="center" vertical="center"/>
    </xf>
    <xf numFmtId="0" fontId="49" fillId="0" borderId="0" xfId="0" applyFont="1" applyBorder="1" applyAlignment="1">
      <alignment horizontal="right" vertical="center"/>
    </xf>
    <xf numFmtId="170" fontId="49" fillId="0" borderId="34" xfId="0" applyNumberFormat="1" applyFont="1" applyBorder="1" applyAlignment="1">
      <alignment horizontal="center" vertical="center"/>
    </xf>
    <xf numFmtId="0" fontId="43" fillId="0" borderId="33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34" xfId="0" applyFont="1" applyBorder="1" applyAlignment="1">
      <alignment horizontal="center" vertical="center"/>
    </xf>
    <xf numFmtId="0" fontId="43" fillId="0" borderId="33" xfId="0" applyFont="1" applyBorder="1" applyAlignment="1">
      <alignment vertical="center"/>
    </xf>
    <xf numFmtId="0" fontId="43" fillId="0" borderId="33" xfId="0" applyNumberFormat="1" applyFont="1" applyBorder="1" applyAlignment="1">
      <alignment horizontal="center" vertical="center"/>
    </xf>
    <xf numFmtId="170" fontId="67" fillId="11" borderId="32" xfId="0" applyNumberFormat="1" applyFont="1" applyFill="1" applyBorder="1" applyAlignment="1">
      <alignment horizontal="center" vertical="center"/>
    </xf>
    <xf numFmtId="14" fontId="43" fillId="0" borderId="0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right" vertical="center"/>
    </xf>
    <xf numFmtId="14" fontId="43" fillId="0" borderId="34" xfId="0" applyNumberFormat="1" applyFont="1" applyBorder="1" applyAlignment="1">
      <alignment horizontal="center" vertical="center"/>
    </xf>
    <xf numFmtId="14" fontId="67" fillId="11" borderId="32" xfId="0" applyNumberFormat="1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14" fontId="43" fillId="0" borderId="0" xfId="0" applyNumberFormat="1" applyFont="1" applyBorder="1" applyAlignment="1">
      <alignment vertical="center"/>
    </xf>
    <xf numFmtId="0" fontId="43" fillId="0" borderId="33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vertical="center"/>
    </xf>
    <xf numFmtId="165" fontId="2" fillId="0" borderId="33" xfId="0" applyNumberFormat="1" applyFont="1" applyFill="1" applyBorder="1" applyAlignment="1">
      <alignment horizontal="center" vertical="center"/>
    </xf>
    <xf numFmtId="0" fontId="47" fillId="11" borderId="0" xfId="0" applyFont="1" applyFill="1" applyAlignment="1">
      <alignment vertical="center"/>
    </xf>
    <xf numFmtId="170" fontId="2" fillId="0" borderId="34" xfId="0" applyNumberFormat="1" applyFont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43" fillId="7" borderId="63" xfId="0" applyFont="1" applyFill="1" applyBorder="1" applyAlignment="1">
      <alignment vertical="center"/>
    </xf>
    <xf numFmtId="0" fontId="43" fillId="0" borderId="32" xfId="0" applyFont="1" applyFill="1" applyBorder="1" applyAlignment="1">
      <alignment vertical="center"/>
    </xf>
    <xf numFmtId="14" fontId="43" fillId="0" borderId="0" xfId="0" applyNumberFormat="1" applyFont="1" applyAlignment="1">
      <alignment horizontal="right" vertical="center"/>
    </xf>
    <xf numFmtId="14" fontId="43" fillId="0" borderId="33" xfId="0" applyNumberFormat="1" applyFont="1" applyBorder="1" applyAlignment="1">
      <alignment vertical="center"/>
    </xf>
    <xf numFmtId="0" fontId="64" fillId="8" borderId="33" xfId="0" applyFont="1" applyFill="1" applyBorder="1" applyAlignment="1">
      <alignment vertical="center"/>
    </xf>
    <xf numFmtId="168" fontId="48" fillId="0" borderId="32" xfId="0" applyNumberFormat="1" applyFont="1" applyBorder="1" applyAlignment="1">
      <alignment horizontal="center" vertical="center"/>
    </xf>
    <xf numFmtId="171" fontId="43" fillId="0" borderId="0" xfId="0" applyNumberFormat="1" applyFont="1" applyAlignment="1">
      <alignment horizontal="center" vertical="center"/>
    </xf>
    <xf numFmtId="1" fontId="58" fillId="14" borderId="32" xfId="0" applyNumberFormat="1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vertical="center"/>
    </xf>
    <xf numFmtId="0" fontId="49" fillId="0" borderId="32" xfId="0" applyFont="1" applyBorder="1" applyAlignment="1">
      <alignment horizontal="left" vertical="center"/>
    </xf>
    <xf numFmtId="168" fontId="49" fillId="0" borderId="32" xfId="0" applyNumberFormat="1" applyFont="1" applyBorder="1" applyAlignment="1">
      <alignment horizontal="center"/>
    </xf>
    <xf numFmtId="14" fontId="43" fillId="0" borderId="0" xfId="0" applyNumberFormat="1" applyFont="1" applyAlignment="1">
      <alignment horizontal="center" vertical="center"/>
    </xf>
    <xf numFmtId="0" fontId="26" fillId="0" borderId="7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77" xfId="0" applyFont="1" applyBorder="1" applyAlignment="1">
      <alignment horizontal="center"/>
    </xf>
    <xf numFmtId="0" fontId="26" fillId="0" borderId="0" xfId="0" applyFont="1" applyBorder="1"/>
    <xf numFmtId="0" fontId="2" fillId="0" borderId="73" xfId="0" applyFont="1" applyBorder="1"/>
    <xf numFmtId="0" fontId="26" fillId="0" borderId="73" xfId="0" applyFont="1" applyBorder="1"/>
    <xf numFmtId="0" fontId="26" fillId="0" borderId="74" xfId="0" applyFont="1" applyBorder="1"/>
    <xf numFmtId="0" fontId="2" fillId="0" borderId="76" xfId="0" applyFont="1" applyBorder="1"/>
    <xf numFmtId="0" fontId="26" fillId="0" borderId="76" xfId="0" applyFont="1" applyBorder="1"/>
    <xf numFmtId="0" fontId="2" fillId="0" borderId="70" xfId="0" applyFont="1" applyBorder="1"/>
    <xf numFmtId="0" fontId="26" fillId="0" borderId="70" xfId="0" applyFont="1" applyBorder="1"/>
    <xf numFmtId="0" fontId="26" fillId="0" borderId="71" xfId="0" applyFont="1" applyBorder="1"/>
    <xf numFmtId="172" fontId="0" fillId="0" borderId="67" xfId="0" applyNumberFormat="1" applyBorder="1"/>
    <xf numFmtId="0" fontId="0" fillId="0" borderId="73" xfId="0" applyBorder="1"/>
    <xf numFmtId="0" fontId="0" fillId="0" borderId="75" xfId="0" applyBorder="1"/>
    <xf numFmtId="172" fontId="0" fillId="0" borderId="68" xfId="0" applyNumberFormat="1" applyBorder="1"/>
    <xf numFmtId="0" fontId="0" fillId="0" borderId="76" xfId="0" applyBorder="1"/>
    <xf numFmtId="0" fontId="0" fillId="0" borderId="77" xfId="0" applyBorder="1"/>
    <xf numFmtId="172" fontId="0" fillId="0" borderId="69" xfId="0" applyNumberFormat="1" applyBorder="1"/>
    <xf numFmtId="0" fontId="0" fillId="0" borderId="70" xfId="0" applyBorder="1"/>
    <xf numFmtId="0" fontId="0" fillId="0" borderId="72" xfId="0" applyBorder="1"/>
    <xf numFmtId="172" fontId="0" fillId="0" borderId="0" xfId="0" applyNumberFormat="1"/>
    <xf numFmtId="0" fontId="43" fillId="0" borderId="32" xfId="0" applyFont="1" applyBorder="1" applyAlignment="1">
      <alignment horizontal="center" vertical="center"/>
    </xf>
    <xf numFmtId="168" fontId="43" fillId="0" borderId="33" xfId="0" applyNumberFormat="1" applyFont="1" applyBorder="1" applyAlignment="1">
      <alignment horizontal="center" vertical="center"/>
    </xf>
    <xf numFmtId="0" fontId="43" fillId="0" borderId="32" xfId="0" applyFont="1" applyFill="1" applyBorder="1" applyAlignment="1">
      <alignment horizontal="center" vertical="center"/>
    </xf>
    <xf numFmtId="170" fontId="43" fillId="0" borderId="3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9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/>
    </xf>
    <xf numFmtId="1" fontId="58" fillId="10" borderId="32" xfId="0" applyNumberFormat="1" applyFont="1" applyFill="1" applyBorder="1" applyAlignment="1">
      <alignment horizontal="center" vertical="center"/>
    </xf>
    <xf numFmtId="168" fontId="48" fillId="0" borderId="32" xfId="0" applyNumberFormat="1" applyFont="1" applyBorder="1" applyAlignment="1">
      <alignment horizontal="center"/>
    </xf>
    <xf numFmtId="1" fontId="48" fillId="0" borderId="34" xfId="0" applyNumberFormat="1" applyFont="1" applyBorder="1" applyAlignment="1">
      <alignment horizontal="center" vertical="center"/>
    </xf>
    <xf numFmtId="1" fontId="48" fillId="0" borderId="33" xfId="0" applyNumberFormat="1" applyFont="1" applyBorder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168" fontId="48" fillId="0" borderId="33" xfId="0" applyNumberFormat="1" applyFont="1" applyBorder="1" applyAlignment="1">
      <alignment horizontal="center"/>
    </xf>
    <xf numFmtId="0" fontId="48" fillId="0" borderId="32" xfId="0" applyFont="1" applyBorder="1" applyAlignment="1">
      <alignment horizontal="left" vertical="center"/>
    </xf>
    <xf numFmtId="1" fontId="48" fillId="0" borderId="32" xfId="0" applyNumberFormat="1" applyFont="1" applyFill="1" applyBorder="1" applyAlignment="1">
      <alignment horizontal="center" vertical="center"/>
    </xf>
    <xf numFmtId="14" fontId="48" fillId="0" borderId="0" xfId="0" applyNumberFormat="1" applyFont="1" applyBorder="1" applyAlignment="1">
      <alignment vertical="center"/>
    </xf>
    <xf numFmtId="170" fontId="48" fillId="0" borderId="34" xfId="0" applyNumberFormat="1" applyFont="1" applyBorder="1" applyAlignment="1">
      <alignment horizontal="center" vertical="center"/>
    </xf>
    <xf numFmtId="0" fontId="46" fillId="2" borderId="32" xfId="0" applyFont="1" applyFill="1" applyBorder="1" applyAlignment="1">
      <alignment vertical="center"/>
    </xf>
    <xf numFmtId="1" fontId="48" fillId="0" borderId="32" xfId="0" applyNumberFormat="1" applyFont="1" applyBorder="1" applyAlignment="1">
      <alignment horizontal="center" vertical="center"/>
    </xf>
    <xf numFmtId="0" fontId="48" fillId="0" borderId="0" xfId="0" applyNumberFormat="1" applyFont="1" applyBorder="1" applyAlignment="1">
      <alignment horizontal="center" vertical="center"/>
    </xf>
    <xf numFmtId="0" fontId="48" fillId="12" borderId="0" xfId="0" applyFont="1" applyFill="1" applyBorder="1" applyAlignment="1">
      <alignment horizontal="center" vertical="center"/>
    </xf>
    <xf numFmtId="0" fontId="55" fillId="0" borderId="0" xfId="0" applyFont="1" applyAlignment="1">
      <alignment vertical="center"/>
    </xf>
    <xf numFmtId="0" fontId="53" fillId="2" borderId="32" xfId="0" applyFont="1" applyFill="1" applyBorder="1" applyAlignment="1">
      <alignment vertical="center"/>
    </xf>
    <xf numFmtId="0" fontId="49" fillId="0" borderId="0" xfId="0" applyFont="1" applyFill="1" applyAlignment="1">
      <alignment vertical="center"/>
    </xf>
    <xf numFmtId="0" fontId="49" fillId="0" borderId="33" xfId="0" applyFont="1" applyBorder="1" applyAlignment="1">
      <alignment horizontal="left"/>
    </xf>
    <xf numFmtId="0" fontId="49" fillId="0" borderId="33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32" xfId="0" applyFont="1" applyBorder="1" applyAlignment="1">
      <alignment horizontal="center"/>
    </xf>
    <xf numFmtId="164" fontId="49" fillId="0" borderId="33" xfId="0" applyNumberFormat="1" applyFont="1" applyFill="1" applyBorder="1" applyAlignment="1">
      <alignment horizontal="center"/>
    </xf>
    <xf numFmtId="0" fontId="0" fillId="13" borderId="0" xfId="0" applyFill="1" applyBorder="1"/>
    <xf numFmtId="0" fontId="2" fillId="7" borderId="67" xfId="0" applyFont="1" applyFill="1" applyBorder="1" applyAlignment="1">
      <alignment horizontal="center"/>
    </xf>
    <xf numFmtId="0" fontId="1" fillId="2" borderId="81" xfId="0" applyFont="1" applyFill="1" applyBorder="1" applyAlignment="1">
      <alignment vertical="center"/>
    </xf>
    <xf numFmtId="0" fontId="53" fillId="7" borderId="63" xfId="0" applyFont="1" applyFill="1" applyBorder="1"/>
    <xf numFmtId="0" fontId="49" fillId="0" borderId="33" xfId="0" applyFont="1" applyFill="1" applyBorder="1"/>
    <xf numFmtId="0" fontId="53" fillId="2" borderId="81" xfId="0" applyFont="1" applyFill="1" applyBorder="1" applyAlignment="1">
      <alignment vertical="center"/>
    </xf>
    <xf numFmtId="0" fontId="49" fillId="9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66" fontId="48" fillId="0" borderId="33" xfId="0" applyNumberFormat="1" applyFont="1" applyBorder="1" applyAlignment="1">
      <alignment horizontal="center" vertical="center"/>
    </xf>
    <xf numFmtId="0" fontId="48" fillId="0" borderId="33" xfId="0" applyFont="1" applyFill="1" applyBorder="1" applyAlignment="1">
      <alignment horizontal="center" vertical="center"/>
    </xf>
    <xf numFmtId="0" fontId="48" fillId="0" borderId="34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168" fontId="48" fillId="0" borderId="34" xfId="0" applyNumberFormat="1" applyFont="1" applyFill="1" applyBorder="1" applyAlignment="1">
      <alignment horizontal="center" vertical="center"/>
    </xf>
    <xf numFmtId="14" fontId="48" fillId="0" borderId="0" xfId="0" applyNumberFormat="1" applyFont="1" applyFill="1" applyBorder="1" applyAlignment="1">
      <alignment vertical="center"/>
    </xf>
    <xf numFmtId="0" fontId="48" fillId="0" borderId="0" xfId="0" applyFont="1" applyFill="1" applyAlignment="1">
      <alignment vertical="center"/>
    </xf>
    <xf numFmtId="0" fontId="59" fillId="0" borderId="32" xfId="0" applyFont="1" applyFill="1" applyBorder="1" applyAlignment="1">
      <alignment horizontal="center" vertical="center"/>
    </xf>
    <xf numFmtId="14" fontId="59" fillId="0" borderId="0" xfId="0" applyNumberFormat="1" applyFont="1" applyAlignment="1">
      <alignment horizontal="center" vertical="center"/>
    </xf>
    <xf numFmtId="0" fontId="53" fillId="7" borderId="81" xfId="0" applyFont="1" applyFill="1" applyBorder="1"/>
    <xf numFmtId="0" fontId="46" fillId="2" borderId="63" xfId="0" applyFont="1" applyFill="1" applyBorder="1" applyAlignment="1">
      <alignment horizontal="left"/>
    </xf>
    <xf numFmtId="0" fontId="48" fillId="0" borderId="33" xfId="0" applyFont="1" applyBorder="1" applyAlignment="1">
      <alignment horizontal="left"/>
    </xf>
    <xf numFmtId="0" fontId="48" fillId="0" borderId="33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32" xfId="0" applyFont="1" applyBorder="1" applyAlignment="1">
      <alignment horizontal="center"/>
    </xf>
    <xf numFmtId="14" fontId="48" fillId="0" borderId="32" xfId="0" applyNumberFormat="1" applyFont="1" applyBorder="1" applyAlignment="1">
      <alignment horizontal="center"/>
    </xf>
    <xf numFmtId="164" fontId="48" fillId="0" borderId="32" xfId="0" applyNumberFormat="1" applyFont="1" applyBorder="1" applyAlignment="1">
      <alignment horizontal="center"/>
    </xf>
    <xf numFmtId="0" fontId="48" fillId="0" borderId="34" xfId="0" applyFont="1" applyBorder="1" applyAlignment="1">
      <alignment horizontal="center"/>
    </xf>
    <xf numFmtId="164" fontId="48" fillId="0" borderId="33" xfId="0" applyNumberFormat="1" applyFont="1" applyFill="1" applyBorder="1" applyAlignment="1">
      <alignment horizontal="center"/>
    </xf>
    <xf numFmtId="14" fontId="48" fillId="0" borderId="0" xfId="0" applyNumberFormat="1" applyFont="1" applyBorder="1" applyAlignment="1">
      <alignment horizontal="center"/>
    </xf>
    <xf numFmtId="0" fontId="48" fillId="0" borderId="0" xfId="0" applyFont="1" applyAlignment="1">
      <alignment horizontal="center"/>
    </xf>
    <xf numFmtId="14" fontId="48" fillId="0" borderId="0" xfId="0" applyNumberFormat="1" applyFont="1" applyAlignment="1">
      <alignment horizontal="center"/>
    </xf>
    <xf numFmtId="14" fontId="48" fillId="0" borderId="34" xfId="0" applyNumberFormat="1" applyFont="1" applyBorder="1" applyAlignment="1">
      <alignment horizontal="center"/>
    </xf>
    <xf numFmtId="14" fontId="48" fillId="0" borderId="0" xfId="0" applyNumberFormat="1" applyFont="1" applyAlignment="1">
      <alignment vertical="center"/>
    </xf>
    <xf numFmtId="14" fontId="48" fillId="0" borderId="33" xfId="0" applyNumberFormat="1" applyFont="1" applyBorder="1" applyAlignment="1">
      <alignment vertical="center"/>
    </xf>
    <xf numFmtId="0" fontId="50" fillId="8" borderId="33" xfId="0" applyFont="1" applyFill="1" applyBorder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14" fontId="48" fillId="0" borderId="34" xfId="0" applyNumberFormat="1" applyFont="1" applyBorder="1" applyAlignment="1">
      <alignment vertical="center"/>
    </xf>
    <xf numFmtId="0" fontId="68" fillId="0" borderId="0" xfId="0" applyFont="1" applyAlignment="1">
      <alignment vertical="center"/>
    </xf>
    <xf numFmtId="0" fontId="46" fillId="2" borderId="81" xfId="0" applyFont="1" applyFill="1" applyBorder="1" applyAlignment="1">
      <alignment vertical="center"/>
    </xf>
    <xf numFmtId="170" fontId="61" fillId="11" borderId="0" xfId="0" applyNumberFormat="1" applyFont="1" applyFill="1" applyBorder="1" applyAlignment="1">
      <alignment horizontal="center" vertical="center"/>
    </xf>
    <xf numFmtId="171" fontId="50" fillId="0" borderId="0" xfId="0" applyNumberFormat="1" applyFont="1" applyAlignment="1">
      <alignment horizontal="center" vertical="center" wrapText="1"/>
    </xf>
    <xf numFmtId="14" fontId="49" fillId="0" borderId="0" xfId="0" applyNumberFormat="1" applyFont="1" applyFill="1" applyBorder="1" applyAlignment="1">
      <alignment horizontal="center" vertical="center"/>
    </xf>
    <xf numFmtId="171" fontId="48" fillId="0" borderId="0" xfId="0" applyNumberFormat="1" applyFont="1" applyAlignment="1">
      <alignment horizontal="center" vertical="center"/>
    </xf>
    <xf numFmtId="0" fontId="46" fillId="7" borderId="63" xfId="0" applyFont="1" applyFill="1" applyBorder="1"/>
    <xf numFmtId="170" fontId="48" fillId="0" borderId="33" xfId="0" applyNumberFormat="1" applyFont="1" applyFill="1" applyBorder="1" applyAlignment="1">
      <alignment horizontal="center" vertical="center"/>
    </xf>
    <xf numFmtId="0" fontId="48" fillId="0" borderId="33" xfId="0" applyFont="1" applyFill="1" applyBorder="1"/>
    <xf numFmtId="0" fontId="48" fillId="9" borderId="0" xfId="0" applyFont="1" applyFill="1" applyAlignment="1">
      <alignment vertical="center"/>
    </xf>
    <xf numFmtId="14" fontId="48" fillId="0" borderId="0" xfId="0" applyNumberFormat="1" applyFont="1" applyFill="1" applyBorder="1" applyAlignment="1">
      <alignment horizontal="center" vertical="center"/>
    </xf>
    <xf numFmtId="0" fontId="70" fillId="0" borderId="32" xfId="0" applyFont="1" applyFill="1" applyBorder="1" applyAlignment="1">
      <alignment horizontal="center" vertical="center"/>
    </xf>
    <xf numFmtId="14" fontId="59" fillId="0" borderId="33" xfId="0" applyNumberFormat="1" applyFont="1" applyBorder="1" applyAlignment="1">
      <alignment horizontal="center" vertical="center"/>
    </xf>
    <xf numFmtId="3" fontId="55" fillId="0" borderId="47" xfId="0" applyNumberFormat="1" applyFont="1" applyBorder="1" applyAlignment="1" applyProtection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3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0" fontId="1" fillId="7" borderId="63" xfId="0" applyFont="1" applyFill="1" applyBorder="1"/>
    <xf numFmtId="0" fontId="65" fillId="2" borderId="63" xfId="0" applyFont="1" applyFill="1" applyBorder="1" applyAlignment="1">
      <alignment vertical="center"/>
    </xf>
    <xf numFmtId="0" fontId="1" fillId="2" borderId="63" xfId="0" applyFont="1" applyFill="1" applyBorder="1" applyAlignment="1">
      <alignment horizontal="left"/>
    </xf>
    <xf numFmtId="0" fontId="2" fillId="0" borderId="33" xfId="0" applyFont="1" applyFill="1" applyBorder="1"/>
    <xf numFmtId="0" fontId="43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horizontal="left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center"/>
    </xf>
    <xf numFmtId="0" fontId="43" fillId="0" borderId="33" xfId="0" applyFont="1" applyBorder="1" applyAlignment="1">
      <alignment horizontal="center"/>
    </xf>
    <xf numFmtId="14" fontId="43" fillId="0" borderId="32" xfId="0" applyNumberFormat="1" applyFont="1" applyBorder="1" applyAlignment="1">
      <alignment horizontal="center" vertical="center"/>
    </xf>
    <xf numFmtId="164" fontId="43" fillId="0" borderId="32" xfId="0" applyNumberFormat="1" applyFont="1" applyBorder="1" applyAlignment="1">
      <alignment horizontal="center" vertical="center"/>
    </xf>
    <xf numFmtId="1" fontId="63" fillId="10" borderId="32" xfId="0" applyNumberFormat="1" applyFont="1" applyFill="1" applyBorder="1" applyAlignment="1">
      <alignment horizontal="center" vertical="center"/>
    </xf>
    <xf numFmtId="1" fontId="63" fillId="14" borderId="32" xfId="0" applyNumberFormat="1" applyFont="1" applyFill="1" applyBorder="1" applyAlignment="1">
      <alignment horizontal="center" vertical="center"/>
    </xf>
    <xf numFmtId="1" fontId="66" fillId="10" borderId="32" xfId="0" applyNumberFormat="1" applyFont="1" applyFill="1" applyBorder="1" applyAlignment="1">
      <alignment horizontal="center" vertical="center"/>
    </xf>
    <xf numFmtId="168" fontId="2" fillId="0" borderId="33" xfId="0" applyNumberFormat="1" applyFont="1" applyBorder="1" applyAlignment="1">
      <alignment horizontal="center"/>
    </xf>
    <xf numFmtId="164" fontId="43" fillId="0" borderId="33" xfId="0" applyNumberFormat="1" applyFont="1" applyBorder="1" applyAlignment="1">
      <alignment horizontal="center" vertical="center"/>
    </xf>
    <xf numFmtId="168" fontId="43" fillId="0" borderId="33" xfId="0" applyNumberFormat="1" applyFont="1" applyBorder="1" applyAlignment="1">
      <alignment horizontal="center"/>
    </xf>
    <xf numFmtId="168" fontId="43" fillId="0" borderId="34" xfId="0" applyNumberFormat="1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7" fillId="0" borderId="33" xfId="0" applyFont="1" applyBorder="1" applyAlignment="1">
      <alignment vertical="center"/>
    </xf>
    <xf numFmtId="164" fontId="43" fillId="0" borderId="33" xfId="0" applyNumberFormat="1" applyFont="1" applyFill="1" applyBorder="1" applyAlignment="1">
      <alignment horizontal="center" vertical="center"/>
    </xf>
    <xf numFmtId="164" fontId="2" fillId="0" borderId="33" xfId="0" applyNumberFormat="1" applyFont="1" applyFill="1" applyBorder="1" applyAlignment="1">
      <alignment horizontal="center"/>
    </xf>
    <xf numFmtId="0" fontId="2" fillId="0" borderId="33" xfId="0" applyNumberFormat="1" applyFont="1" applyFill="1" applyBorder="1" applyAlignment="1">
      <alignment horizontal="center" vertical="center"/>
    </xf>
    <xf numFmtId="168" fontId="52" fillId="0" borderId="33" xfId="0" applyNumberFormat="1" applyFont="1" applyBorder="1" applyAlignment="1">
      <alignment horizontal="center" vertical="center"/>
    </xf>
    <xf numFmtId="0" fontId="65" fillId="7" borderId="63" xfId="0" applyFont="1" applyFill="1" applyBorder="1"/>
    <xf numFmtId="14" fontId="48" fillId="0" borderId="0" xfId="0" applyNumberFormat="1" applyFont="1" applyAlignment="1">
      <alignment horizontal="center" vertical="center"/>
    </xf>
    <xf numFmtId="170" fontId="67" fillId="11" borderId="0" xfId="0" applyNumberFormat="1" applyFont="1" applyFill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168" fontId="47" fillId="0" borderId="33" xfId="0" applyNumberFormat="1" applyFont="1" applyBorder="1" applyAlignment="1">
      <alignment horizontal="center" vertical="center"/>
    </xf>
    <xf numFmtId="168" fontId="47" fillId="0" borderId="33" xfId="0" applyNumberFormat="1" applyFont="1" applyBorder="1" applyAlignment="1">
      <alignment horizontal="center"/>
    </xf>
    <xf numFmtId="164" fontId="47" fillId="0" borderId="33" xfId="0" applyNumberFormat="1" applyFont="1" applyFill="1" applyBorder="1" applyAlignment="1">
      <alignment horizontal="center" vertical="center"/>
    </xf>
    <xf numFmtId="0" fontId="47" fillId="0" borderId="33" xfId="0" applyNumberFormat="1" applyFont="1" applyBorder="1" applyAlignment="1">
      <alignment horizontal="center" vertical="center"/>
    </xf>
    <xf numFmtId="14" fontId="47" fillId="0" borderId="0" xfId="0" applyNumberFormat="1" applyFont="1" applyBorder="1" applyAlignment="1">
      <alignment horizontal="center" vertical="center"/>
    </xf>
    <xf numFmtId="14" fontId="47" fillId="0" borderId="34" xfId="0" applyNumberFormat="1" applyFont="1" applyBorder="1" applyAlignment="1">
      <alignment horizontal="center" vertical="center"/>
    </xf>
    <xf numFmtId="0" fontId="53" fillId="0" borderId="0" xfId="0" applyFont="1" applyAlignment="1">
      <alignment vertical="center"/>
    </xf>
    <xf numFmtId="170" fontId="73" fillId="11" borderId="0" xfId="0" applyNumberFormat="1" applyFont="1" applyFill="1" applyAlignment="1">
      <alignment horizontal="center" vertical="center"/>
    </xf>
    <xf numFmtId="170" fontId="73" fillId="11" borderId="32" xfId="0" applyNumberFormat="1" applyFont="1" applyFill="1" applyBorder="1" applyAlignment="1">
      <alignment horizontal="center" vertical="center"/>
    </xf>
    <xf numFmtId="14" fontId="73" fillId="11" borderId="3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5" fillId="2" borderId="63" xfId="0" applyFont="1" applyFill="1" applyBorder="1" applyAlignment="1">
      <alignment vertical="center"/>
    </xf>
    <xf numFmtId="0" fontId="47" fillId="0" borderId="33" xfId="0" applyFont="1" applyBorder="1" applyAlignment="1">
      <alignment horizontal="left" vertical="center"/>
    </xf>
    <xf numFmtId="164" fontId="47" fillId="0" borderId="33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46" fillId="0" borderId="33" xfId="0" applyFont="1" applyBorder="1" applyAlignment="1">
      <alignment horizontal="center" vertical="center"/>
    </xf>
    <xf numFmtId="0" fontId="46" fillId="0" borderId="33" xfId="0" applyFont="1" applyBorder="1" applyAlignment="1">
      <alignment vertical="center"/>
    </xf>
    <xf numFmtId="0" fontId="46" fillId="0" borderId="32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8" fillId="0" borderId="32" xfId="0" applyFont="1" applyFill="1" applyBorder="1" applyAlignment="1">
      <alignment horizontal="left" vertical="center"/>
    </xf>
    <xf numFmtId="0" fontId="46" fillId="0" borderId="0" xfId="0" applyFont="1" applyAlignment="1">
      <alignment vertical="center"/>
    </xf>
    <xf numFmtId="3" fontId="55" fillId="0" borderId="32" xfId="0" applyNumberFormat="1" applyFont="1" applyBorder="1" applyAlignment="1" applyProtection="1">
      <alignment horizontal="center" vertical="center"/>
    </xf>
    <xf numFmtId="170" fontId="47" fillId="0" borderId="34" xfId="0" applyNumberFormat="1" applyFont="1" applyBorder="1" applyAlignment="1">
      <alignment horizontal="center" vertical="center"/>
    </xf>
    <xf numFmtId="0" fontId="47" fillId="0" borderId="0" xfId="0" applyFont="1" applyFill="1" applyBorder="1" applyAlignment="1">
      <alignment vertical="center"/>
    </xf>
    <xf numFmtId="0" fontId="43" fillId="0" borderId="32" xfId="0" applyFont="1" applyBorder="1" applyAlignment="1">
      <alignment horizontal="left" vertical="center"/>
    </xf>
    <xf numFmtId="168" fontId="43" fillId="0" borderId="32" xfId="0" applyNumberFormat="1" applyFont="1" applyBorder="1" applyAlignment="1">
      <alignment horizontal="center" vertical="center"/>
    </xf>
    <xf numFmtId="168" fontId="43" fillId="0" borderId="32" xfId="0" applyNumberFormat="1" applyFont="1" applyBorder="1" applyAlignment="1">
      <alignment horizontal="center"/>
    </xf>
    <xf numFmtId="0" fontId="43" fillId="0" borderId="33" xfId="0" applyFont="1" applyFill="1" applyBorder="1"/>
    <xf numFmtId="14" fontId="47" fillId="0" borderId="0" xfId="0" applyNumberFormat="1" applyFont="1" applyFill="1" applyBorder="1" applyAlignment="1">
      <alignment horizontal="center" vertical="center"/>
    </xf>
    <xf numFmtId="10" fontId="0" fillId="0" borderId="0" xfId="1" applyNumberFormat="1" applyFont="1"/>
    <xf numFmtId="0" fontId="22" fillId="16" borderId="31" xfId="0" applyFont="1" applyFill="1" applyBorder="1" applyAlignment="1">
      <alignment horizontal="center" vertical="center" wrapText="1"/>
    </xf>
    <xf numFmtId="0" fontId="22" fillId="16" borderId="43" xfId="0" applyFont="1" applyFill="1" applyBorder="1" applyAlignment="1">
      <alignment horizontal="center" vertical="center" wrapText="1"/>
    </xf>
    <xf numFmtId="0" fontId="22" fillId="16" borderId="31" xfId="0" applyFont="1" applyFill="1" applyBorder="1" applyAlignment="1">
      <alignment horizontal="center" vertical="center"/>
    </xf>
    <xf numFmtId="0" fontId="22" fillId="16" borderId="42" xfId="0" applyFont="1" applyFill="1" applyBorder="1" applyAlignment="1">
      <alignment horizontal="center" vertical="center"/>
    </xf>
    <xf numFmtId="0" fontId="22" fillId="16" borderId="42" xfId="0" applyFont="1" applyFill="1" applyBorder="1" applyAlignment="1">
      <alignment horizontal="center" vertical="center" wrapText="1"/>
    </xf>
    <xf numFmtId="164" fontId="39" fillId="16" borderId="43" xfId="0" applyNumberFormat="1" applyFont="1" applyFill="1" applyBorder="1" applyAlignment="1">
      <alignment horizontal="center" vertical="center" wrapText="1"/>
    </xf>
    <xf numFmtId="2" fontId="45" fillId="10" borderId="31" xfId="0" applyNumberFormat="1" applyFont="1" applyFill="1" applyBorder="1" applyAlignment="1">
      <alignment horizontal="center" vertical="center" wrapText="1"/>
    </xf>
    <xf numFmtId="2" fontId="43" fillId="10" borderId="33" xfId="0" applyNumberFormat="1" applyFont="1" applyFill="1" applyBorder="1" applyAlignment="1">
      <alignment horizontal="center" vertical="center"/>
    </xf>
    <xf numFmtId="2" fontId="48" fillId="10" borderId="33" xfId="0" applyNumberFormat="1" applyFont="1" applyFill="1" applyBorder="1" applyAlignment="1">
      <alignment horizontal="center" vertical="center"/>
    </xf>
    <xf numFmtId="2" fontId="2" fillId="10" borderId="33" xfId="0" applyNumberFormat="1" applyFont="1" applyFill="1" applyBorder="1" applyAlignment="1">
      <alignment horizontal="center" vertical="center"/>
    </xf>
    <xf numFmtId="2" fontId="47" fillId="10" borderId="33" xfId="0" applyNumberFormat="1" applyFont="1" applyFill="1" applyBorder="1" applyAlignment="1">
      <alignment horizontal="center" vertical="center"/>
    </xf>
    <xf numFmtId="0" fontId="44" fillId="10" borderId="33" xfId="0" applyFont="1" applyFill="1" applyBorder="1" applyAlignment="1">
      <alignment horizontal="center" vertical="center"/>
    </xf>
    <xf numFmtId="0" fontId="25" fillId="10" borderId="43" xfId="0" applyFont="1" applyFill="1" applyBorder="1" applyAlignment="1">
      <alignment horizontal="center" vertical="center" wrapText="1"/>
    </xf>
    <xf numFmtId="0" fontId="43" fillId="10" borderId="33" xfId="0" applyFont="1" applyFill="1" applyBorder="1" applyAlignment="1">
      <alignment horizontal="center" vertical="center"/>
    </xf>
    <xf numFmtId="0" fontId="48" fillId="10" borderId="34" xfId="0" applyFont="1" applyFill="1" applyBorder="1" applyAlignment="1">
      <alignment horizontal="center" vertical="center"/>
    </xf>
    <xf numFmtId="0" fontId="48" fillId="10" borderId="33" xfId="0" applyFont="1" applyFill="1" applyBorder="1" applyAlignment="1">
      <alignment horizontal="center" vertical="center"/>
    </xf>
    <xf numFmtId="0" fontId="48" fillId="10" borderId="32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47" fillId="10" borderId="33" xfId="0" applyFont="1" applyFill="1" applyBorder="1" applyAlignment="1">
      <alignment horizontal="center" vertical="center"/>
    </xf>
    <xf numFmtId="1" fontId="2" fillId="10" borderId="33" xfId="0" applyNumberFormat="1" applyFont="1" applyFill="1" applyBorder="1" applyAlignment="1">
      <alignment horizontal="center" vertical="center"/>
    </xf>
    <xf numFmtId="1" fontId="48" fillId="10" borderId="34" xfId="0" applyNumberFormat="1" applyFont="1" applyFill="1" applyBorder="1" applyAlignment="1">
      <alignment horizontal="center" vertical="center"/>
    </xf>
    <xf numFmtId="1" fontId="48" fillId="10" borderId="33" xfId="0" applyNumberFormat="1" applyFont="1" applyFill="1" applyBorder="1" applyAlignment="1">
      <alignment horizontal="center" vertical="center"/>
    </xf>
    <xf numFmtId="1" fontId="48" fillId="10" borderId="32" xfId="0" applyNumberFormat="1" applyFont="1" applyFill="1" applyBorder="1" applyAlignment="1">
      <alignment horizontal="center" vertical="center"/>
    </xf>
    <xf numFmtId="1" fontId="47" fillId="10" borderId="33" xfId="0" applyNumberFormat="1" applyFont="1" applyFill="1" applyBorder="1" applyAlignment="1">
      <alignment horizontal="center" vertical="center"/>
    </xf>
    <xf numFmtId="1" fontId="43" fillId="10" borderId="33" xfId="0" applyNumberFormat="1" applyFont="1" applyFill="1" applyBorder="1" applyAlignment="1">
      <alignment horizontal="center" vertical="center"/>
    </xf>
    <xf numFmtId="0" fontId="49" fillId="10" borderId="33" xfId="0" applyFont="1" applyFill="1" applyBorder="1" applyAlignment="1">
      <alignment horizontal="center" vertical="center"/>
    </xf>
    <xf numFmtId="0" fontId="49" fillId="10" borderId="34" xfId="0" applyFont="1" applyFill="1" applyBorder="1" applyAlignment="1">
      <alignment horizontal="center" vertical="center"/>
    </xf>
    <xf numFmtId="0" fontId="26" fillId="10" borderId="33" xfId="0" applyFont="1" applyFill="1" applyBorder="1" applyAlignment="1">
      <alignment horizontal="center" vertical="center"/>
    </xf>
    <xf numFmtId="164" fontId="2" fillId="10" borderId="33" xfId="0" applyNumberFormat="1" applyFont="1" applyFill="1" applyBorder="1" applyAlignment="1">
      <alignment horizontal="center" vertical="center"/>
    </xf>
    <xf numFmtId="164" fontId="48" fillId="10" borderId="32" xfId="0" applyNumberFormat="1" applyFont="1" applyFill="1" applyBorder="1" applyAlignment="1">
      <alignment horizontal="center" vertical="center"/>
    </xf>
    <xf numFmtId="0" fontId="45" fillId="10" borderId="31" xfId="0" applyNumberFormat="1" applyFont="1" applyFill="1" applyBorder="1" applyAlignment="1">
      <alignment horizontal="center" vertical="center" wrapText="1"/>
    </xf>
    <xf numFmtId="168" fontId="46" fillId="10" borderId="31" xfId="0" applyNumberFormat="1" applyFont="1" applyFill="1" applyBorder="1" applyAlignment="1">
      <alignment horizontal="center" vertical="center" wrapText="1"/>
    </xf>
    <xf numFmtId="165" fontId="43" fillId="10" borderId="33" xfId="0" applyNumberFormat="1" applyFont="1" applyFill="1" applyBorder="1" applyAlignment="1">
      <alignment horizontal="center" vertical="center"/>
    </xf>
    <xf numFmtId="0" fontId="43" fillId="10" borderId="33" xfId="0" applyNumberFormat="1" applyFont="1" applyFill="1" applyBorder="1" applyAlignment="1">
      <alignment horizontal="center" vertical="center"/>
    </xf>
    <xf numFmtId="165" fontId="48" fillId="10" borderId="33" xfId="0" applyNumberFormat="1" applyFont="1" applyFill="1" applyBorder="1" applyAlignment="1">
      <alignment horizontal="center" vertical="center"/>
    </xf>
    <xf numFmtId="0" fontId="48" fillId="10" borderId="33" xfId="0" applyNumberFormat="1" applyFont="1" applyFill="1" applyBorder="1" applyAlignment="1">
      <alignment horizontal="center" vertical="center"/>
    </xf>
    <xf numFmtId="165" fontId="2" fillId="10" borderId="33" xfId="0" applyNumberFormat="1" applyFont="1" applyFill="1" applyBorder="1" applyAlignment="1">
      <alignment horizontal="center" vertical="center"/>
    </xf>
    <xf numFmtId="0" fontId="2" fillId="10" borderId="33" xfId="0" applyNumberFormat="1" applyFont="1" applyFill="1" applyBorder="1" applyAlignment="1">
      <alignment horizontal="center" vertical="center"/>
    </xf>
    <xf numFmtId="165" fontId="47" fillId="10" borderId="33" xfId="0" applyNumberFormat="1" applyFont="1" applyFill="1" applyBorder="1" applyAlignment="1">
      <alignment horizontal="center" vertical="center"/>
    </xf>
    <xf numFmtId="0" fontId="47" fillId="10" borderId="33" xfId="0" applyNumberFormat="1" applyFont="1" applyFill="1" applyBorder="1" applyAlignment="1">
      <alignment horizontal="center" vertical="center"/>
    </xf>
    <xf numFmtId="166" fontId="2" fillId="10" borderId="33" xfId="0" applyNumberFormat="1" applyFont="1" applyFill="1" applyBorder="1" applyAlignment="1">
      <alignment horizontal="center" vertical="center"/>
    </xf>
    <xf numFmtId="2" fontId="13" fillId="10" borderId="31" xfId="0" applyNumberFormat="1" applyFont="1" applyFill="1" applyBorder="1" applyAlignment="1">
      <alignment horizontal="center" vertical="center" wrapText="1"/>
    </xf>
    <xf numFmtId="2" fontId="43" fillId="10" borderId="32" xfId="0" applyNumberFormat="1" applyFont="1" applyFill="1" applyBorder="1" applyAlignment="1">
      <alignment horizontal="center" vertical="center"/>
    </xf>
    <xf numFmtId="2" fontId="59" fillId="10" borderId="32" xfId="0" applyNumberFormat="1" applyFont="1" applyFill="1" applyBorder="1" applyAlignment="1">
      <alignment horizontal="center" vertical="center"/>
    </xf>
    <xf numFmtId="0" fontId="0" fillId="10" borderId="0" xfId="0" applyFill="1"/>
    <xf numFmtId="14" fontId="43" fillId="0" borderId="33" xfId="0" applyNumberFormat="1" applyFont="1" applyBorder="1" applyAlignment="1">
      <alignment horizontal="center" vertical="center"/>
    </xf>
    <xf numFmtId="2" fontId="49" fillId="10" borderId="33" xfId="0" applyNumberFormat="1" applyFont="1" applyFill="1" applyBorder="1" applyAlignment="1">
      <alignment horizontal="center" vertical="center"/>
    </xf>
    <xf numFmtId="0" fontId="49" fillId="10" borderId="32" xfId="0" applyFont="1" applyFill="1" applyBorder="1" applyAlignment="1">
      <alignment horizontal="center" vertical="center"/>
    </xf>
    <xf numFmtId="0" fontId="49" fillId="0" borderId="33" xfId="0" applyFont="1" applyFill="1" applyBorder="1" applyAlignment="1">
      <alignment horizontal="center" vertical="center"/>
    </xf>
    <xf numFmtId="0" fontId="46" fillId="2" borderId="82" xfId="0" applyFont="1" applyFill="1" applyBorder="1" applyAlignment="1">
      <alignment vertical="center"/>
    </xf>
    <xf numFmtId="2" fontId="48" fillId="0" borderId="34" xfId="0" applyNumberFormat="1" applyFont="1" applyBorder="1" applyAlignment="1">
      <alignment horizontal="center" vertical="center"/>
    </xf>
    <xf numFmtId="3" fontId="10" fillId="0" borderId="33" xfId="0" applyNumberFormat="1" applyFont="1" applyFill="1" applyBorder="1" applyAlignment="1">
      <alignment horizontal="center"/>
    </xf>
    <xf numFmtId="0" fontId="74" fillId="7" borderId="63" xfId="0" applyFont="1" applyFill="1" applyBorder="1" applyAlignment="1">
      <alignment vertical="center"/>
    </xf>
    <xf numFmtId="0" fontId="74" fillId="0" borderId="32" xfId="0" applyFont="1" applyFill="1" applyBorder="1" applyAlignment="1">
      <alignment vertical="center"/>
    </xf>
    <xf numFmtId="0" fontId="75" fillId="0" borderId="32" xfId="0" applyFont="1" applyFill="1" applyBorder="1" applyAlignment="1">
      <alignment horizontal="center" vertical="center"/>
    </xf>
    <xf numFmtId="0" fontId="74" fillId="0" borderId="33" xfId="0" applyFont="1" applyBorder="1" applyAlignment="1">
      <alignment horizontal="center" vertical="center"/>
    </xf>
    <xf numFmtId="14" fontId="74" fillId="0" borderId="33" xfId="0" applyNumberFormat="1" applyFont="1" applyBorder="1" applyAlignment="1">
      <alignment horizontal="center" vertical="center"/>
    </xf>
    <xf numFmtId="0" fontId="74" fillId="0" borderId="33" xfId="0" applyFont="1" applyBorder="1" applyAlignment="1">
      <alignment vertical="center"/>
    </xf>
    <xf numFmtId="0" fontId="74" fillId="0" borderId="33" xfId="0" applyFont="1" applyFill="1" applyBorder="1" applyAlignment="1">
      <alignment horizontal="center" vertical="center"/>
    </xf>
    <xf numFmtId="14" fontId="74" fillId="0" borderId="0" xfId="0" applyNumberFormat="1" applyFont="1" applyAlignment="1">
      <alignment horizontal="center" vertical="center"/>
    </xf>
    <xf numFmtId="2" fontId="74" fillId="10" borderId="32" xfId="0" applyNumberFormat="1" applyFont="1" applyFill="1" applyBorder="1" applyAlignment="1">
      <alignment horizontal="center" vertical="center"/>
    </xf>
    <xf numFmtId="14" fontId="74" fillId="0" borderId="33" xfId="0" applyNumberFormat="1" applyFont="1" applyBorder="1" applyAlignment="1">
      <alignment vertical="center"/>
    </xf>
    <xf numFmtId="171" fontId="74" fillId="0" borderId="0" xfId="0" applyNumberFormat="1" applyFont="1" applyAlignment="1">
      <alignment horizontal="center" vertical="center"/>
    </xf>
    <xf numFmtId="0" fontId="66" fillId="8" borderId="33" xfId="0" applyFont="1" applyFill="1" applyBorder="1" applyAlignment="1">
      <alignment vertical="center"/>
    </xf>
    <xf numFmtId="14" fontId="76" fillId="0" borderId="0" xfId="0" applyNumberFormat="1" applyFont="1" applyAlignment="1">
      <alignment vertical="center"/>
    </xf>
    <xf numFmtId="0" fontId="7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Border="1" applyAlignment="1">
      <alignment horizontal="center" vertical="center"/>
    </xf>
    <xf numFmtId="166" fontId="47" fillId="10" borderId="33" xfId="0" applyNumberFormat="1" applyFont="1" applyFill="1" applyBorder="1" applyAlignment="1">
      <alignment horizontal="center" vertical="center"/>
    </xf>
    <xf numFmtId="0" fontId="43" fillId="6" borderId="33" xfId="0" applyFont="1" applyFill="1" applyBorder="1" applyAlignment="1">
      <alignment horizontal="center" vertical="center"/>
    </xf>
    <xf numFmtId="0" fontId="65" fillId="0" borderId="0" xfId="0" applyFont="1" applyAlignment="1">
      <alignment vertical="center"/>
    </xf>
    <xf numFmtId="0" fontId="65" fillId="0" borderId="0" xfId="0" applyFont="1" applyFill="1" applyBorder="1" applyAlignment="1">
      <alignment vertical="center"/>
    </xf>
    <xf numFmtId="0" fontId="48" fillId="0" borderId="0" xfId="0" applyFont="1"/>
    <xf numFmtId="0" fontId="48" fillId="0" borderId="0" xfId="0" applyFont="1" applyFill="1"/>
    <xf numFmtId="0" fontId="53" fillId="7" borderId="32" xfId="0" applyFont="1" applyFill="1" applyBorder="1"/>
    <xf numFmtId="0" fontId="49" fillId="0" borderId="32" xfId="0" applyFont="1" applyFill="1" applyBorder="1"/>
    <xf numFmtId="0" fontId="49" fillId="0" borderId="0" xfId="0" applyFont="1" applyFill="1" applyBorder="1" applyAlignment="1">
      <alignment horizontal="center" vertical="center"/>
    </xf>
    <xf numFmtId="14" fontId="49" fillId="0" borderId="32" xfId="0" applyNumberFormat="1" applyFont="1" applyFill="1" applyBorder="1"/>
    <xf numFmtId="0" fontId="2" fillId="0" borderId="33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2" fontId="0" fillId="0" borderId="0" xfId="0" applyNumberFormat="1"/>
    <xf numFmtId="0" fontId="1" fillId="2" borderId="64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77" fillId="15" borderId="89" xfId="0" applyFont="1" applyFill="1" applyBorder="1" applyAlignment="1">
      <alignment horizontal="center" vertical="center" wrapText="1"/>
    </xf>
    <xf numFmtId="0" fontId="77" fillId="15" borderId="90" xfId="0" applyFont="1" applyFill="1" applyBorder="1" applyAlignment="1">
      <alignment horizontal="center" vertical="center" wrapText="1"/>
    </xf>
    <xf numFmtId="0" fontId="77" fillId="15" borderId="91" xfId="0" applyFont="1" applyFill="1" applyBorder="1" applyAlignment="1">
      <alignment horizontal="center" vertical="center" wrapText="1"/>
    </xf>
    <xf numFmtId="0" fontId="77" fillId="15" borderId="92" xfId="0" applyFont="1" applyFill="1" applyBorder="1" applyAlignment="1">
      <alignment horizontal="center" vertical="center" wrapText="1"/>
    </xf>
    <xf numFmtId="0" fontId="78" fillId="0" borderId="84" xfId="0" applyFont="1" applyBorder="1"/>
    <xf numFmtId="0" fontId="78" fillId="0" borderId="83" xfId="0" applyFont="1" applyBorder="1"/>
    <xf numFmtId="0" fontId="78" fillId="0" borderId="83" xfId="0" applyFont="1" applyBorder="1" applyAlignment="1">
      <alignment horizontal="left"/>
    </xf>
    <xf numFmtId="14" fontId="78" fillId="0" borderId="83" xfId="0" applyNumberFormat="1" applyFont="1" applyBorder="1"/>
    <xf numFmtId="0" fontId="78" fillId="0" borderId="83" xfId="0" applyFont="1" applyBorder="1" applyAlignment="1">
      <alignment horizontal="right"/>
    </xf>
    <xf numFmtId="0" fontId="78" fillId="0" borderId="85" xfId="0" applyFont="1" applyBorder="1"/>
    <xf numFmtId="0" fontId="78" fillId="0" borderId="86" xfId="0" applyFont="1" applyBorder="1"/>
    <xf numFmtId="0" fontId="78" fillId="0" borderId="87" xfId="0" applyFont="1" applyBorder="1"/>
    <xf numFmtId="0" fontId="78" fillId="0" borderId="87" xfId="0" applyFont="1" applyBorder="1" applyAlignment="1">
      <alignment horizontal="left"/>
    </xf>
    <xf numFmtId="14" fontId="78" fillId="0" borderId="87" xfId="0" applyNumberFormat="1" applyFont="1" applyBorder="1"/>
    <xf numFmtId="0" fontId="78" fillId="0" borderId="87" xfId="0" applyFont="1" applyBorder="1" applyAlignment="1">
      <alignment horizontal="right"/>
    </xf>
    <xf numFmtId="0" fontId="78" fillId="0" borderId="88" xfId="0" applyFont="1" applyBorder="1"/>
    <xf numFmtId="0" fontId="78" fillId="0" borderId="69" xfId="0" applyFont="1" applyBorder="1" applyAlignment="1">
      <alignment horizontal="right"/>
    </xf>
    <xf numFmtId="0" fontId="79" fillId="0" borderId="83" xfId="0" applyFont="1" applyFill="1" applyBorder="1" applyAlignment="1">
      <alignment vertical="center"/>
    </xf>
    <xf numFmtId="0" fontId="79" fillId="0" borderId="83" xfId="0" applyFont="1" applyBorder="1" applyAlignment="1">
      <alignment horizontal="left" vertical="center"/>
    </xf>
    <xf numFmtId="14" fontId="79" fillId="0" borderId="83" xfId="0" applyNumberFormat="1" applyFont="1" applyBorder="1" applyAlignment="1">
      <alignment horizontal="center" vertical="center"/>
    </xf>
    <xf numFmtId="164" fontId="79" fillId="0" borderId="83" xfId="0" applyNumberFormat="1" applyFont="1" applyBorder="1" applyAlignment="1">
      <alignment horizontal="center" vertical="center"/>
    </xf>
    <xf numFmtId="0" fontId="73" fillId="0" borderId="83" xfId="0" applyFont="1" applyFill="1" applyBorder="1" applyAlignment="1">
      <alignment vertical="center"/>
    </xf>
    <xf numFmtId="0" fontId="73" fillId="0" borderId="83" xfId="0" applyFont="1" applyBorder="1" applyAlignment="1">
      <alignment horizontal="left" vertical="center"/>
    </xf>
    <xf numFmtId="14" fontId="73" fillId="0" borderId="83" xfId="0" applyNumberFormat="1" applyFont="1" applyBorder="1" applyAlignment="1">
      <alignment horizontal="center" vertical="center"/>
    </xf>
    <xf numFmtId="164" fontId="73" fillId="0" borderId="83" xfId="0" applyNumberFormat="1" applyFont="1" applyBorder="1" applyAlignment="1">
      <alignment horizontal="center" vertical="center"/>
    </xf>
    <xf numFmtId="0" fontId="79" fillId="0" borderId="83" xfId="0" applyFont="1" applyFill="1" applyBorder="1"/>
    <xf numFmtId="0" fontId="80" fillId="0" borderId="83" xfId="0" applyFont="1" applyFill="1" applyBorder="1" applyAlignment="1">
      <alignment vertical="center"/>
    </xf>
    <xf numFmtId="0" fontId="80" fillId="0" borderId="83" xfId="0" applyFont="1" applyBorder="1" applyAlignment="1">
      <alignment horizontal="left" vertical="center"/>
    </xf>
    <xf numFmtId="14" fontId="80" fillId="0" borderId="83" xfId="0" applyNumberFormat="1" applyFont="1" applyBorder="1" applyAlignment="1">
      <alignment horizontal="center" vertical="center"/>
    </xf>
    <xf numFmtId="164" fontId="80" fillId="0" borderId="83" xfId="0" applyNumberFormat="1" applyFont="1" applyBorder="1" applyAlignment="1">
      <alignment horizontal="center" vertical="center"/>
    </xf>
    <xf numFmtId="0" fontId="81" fillId="0" borderId="83" xfId="0" applyFont="1" applyFill="1" applyBorder="1" applyAlignment="1">
      <alignment horizontal="left"/>
    </xf>
    <xf numFmtId="0" fontId="81" fillId="0" borderId="83" xfId="0" applyFont="1" applyBorder="1" applyAlignment="1">
      <alignment horizontal="left" vertical="center"/>
    </xf>
    <xf numFmtId="14" fontId="81" fillId="0" borderId="83" xfId="0" applyNumberFormat="1" applyFont="1" applyBorder="1" applyAlignment="1">
      <alignment horizontal="center" vertical="center"/>
    </xf>
    <xf numFmtId="164" fontId="81" fillId="0" borderId="83" xfId="0" applyNumberFormat="1" applyFont="1" applyBorder="1" applyAlignment="1">
      <alignment horizontal="center" vertical="center"/>
    </xf>
    <xf numFmtId="0" fontId="82" fillId="0" borderId="83" xfId="0" applyFont="1" applyFill="1" applyBorder="1" applyAlignment="1">
      <alignment vertical="center"/>
    </xf>
    <xf numFmtId="0" fontId="82" fillId="0" borderId="83" xfId="0" applyFont="1" applyBorder="1" applyAlignment="1">
      <alignment horizontal="left" vertical="center"/>
    </xf>
    <xf numFmtId="14" fontId="82" fillId="0" borderId="83" xfId="0" applyNumberFormat="1" applyFont="1" applyBorder="1" applyAlignment="1">
      <alignment horizontal="center" vertical="center"/>
    </xf>
    <xf numFmtId="164" fontId="82" fillId="0" borderId="83" xfId="0" applyNumberFormat="1" applyFont="1" applyBorder="1" applyAlignment="1">
      <alignment horizontal="center" vertical="center"/>
    </xf>
    <xf numFmtId="0" fontId="73" fillId="0" borderId="83" xfId="0" applyFont="1" applyFill="1" applyBorder="1"/>
    <xf numFmtId="0" fontId="79" fillId="0" borderId="83" xfId="0" applyFont="1" applyFill="1" applyBorder="1" applyAlignment="1">
      <alignment horizontal="left"/>
    </xf>
    <xf numFmtId="0" fontId="79" fillId="0" borderId="83" xfId="0" applyFont="1" applyBorder="1" applyAlignment="1">
      <alignment horizontal="left"/>
    </xf>
    <xf numFmtId="14" fontId="79" fillId="0" borderId="83" xfId="0" applyNumberFormat="1" applyFont="1" applyBorder="1" applyAlignment="1">
      <alignment horizontal="center"/>
    </xf>
    <xf numFmtId="164" fontId="79" fillId="0" borderId="83" xfId="0" applyNumberFormat="1" applyFont="1" applyBorder="1" applyAlignment="1">
      <alignment horizontal="center"/>
    </xf>
    <xf numFmtId="0" fontId="73" fillId="0" borderId="84" xfId="0" applyFont="1" applyFill="1" applyBorder="1" applyAlignment="1">
      <alignment vertical="center"/>
    </xf>
    <xf numFmtId="168" fontId="73" fillId="0" borderId="85" xfId="0" applyNumberFormat="1" applyFont="1" applyBorder="1" applyAlignment="1">
      <alignment horizontal="center"/>
    </xf>
    <xf numFmtId="0" fontId="79" fillId="0" borderId="84" xfId="0" applyFont="1" applyFill="1" applyBorder="1" applyAlignment="1">
      <alignment vertical="center"/>
    </xf>
    <xf numFmtId="168" fontId="79" fillId="0" borderId="85" xfId="0" applyNumberFormat="1" applyFont="1" applyBorder="1" applyAlignment="1">
      <alignment horizontal="center"/>
    </xf>
    <xf numFmtId="0" fontId="79" fillId="0" borderId="84" xfId="0" applyFont="1" applyFill="1" applyBorder="1"/>
    <xf numFmtId="168" fontId="79" fillId="0" borderId="85" xfId="0" applyNumberFormat="1" applyFont="1" applyBorder="1" applyAlignment="1">
      <alignment horizontal="center" vertical="center"/>
    </xf>
    <xf numFmtId="0" fontId="80" fillId="0" borderId="84" xfId="0" applyFont="1" applyFill="1" applyBorder="1" applyAlignment="1">
      <alignment vertical="center"/>
    </xf>
    <xf numFmtId="168" fontId="80" fillId="0" borderId="85" xfId="0" applyNumberFormat="1" applyFont="1" applyBorder="1" applyAlignment="1">
      <alignment horizontal="center" vertical="center"/>
    </xf>
    <xf numFmtId="0" fontId="81" fillId="0" borderId="84" xfId="0" applyFont="1" applyFill="1" applyBorder="1" applyAlignment="1">
      <alignment horizontal="left"/>
    </xf>
    <xf numFmtId="168" fontId="81" fillId="0" borderId="85" xfId="0" applyNumberFormat="1" applyFont="1" applyBorder="1" applyAlignment="1">
      <alignment horizontal="center" vertical="center"/>
    </xf>
    <xf numFmtId="0" fontId="82" fillId="0" borderId="84" xfId="0" applyFont="1" applyFill="1" applyBorder="1" applyAlignment="1">
      <alignment vertical="center"/>
    </xf>
    <xf numFmtId="168" fontId="82" fillId="0" borderId="85" xfId="0" applyNumberFormat="1" applyFont="1" applyBorder="1" applyAlignment="1">
      <alignment horizontal="center" vertical="center"/>
    </xf>
    <xf numFmtId="168" fontId="82" fillId="0" borderId="85" xfId="0" applyNumberFormat="1" applyFont="1" applyBorder="1" applyAlignment="1">
      <alignment horizontal="center"/>
    </xf>
    <xf numFmtId="168" fontId="73" fillId="0" borderId="85" xfId="0" applyNumberFormat="1" applyFont="1" applyBorder="1" applyAlignment="1">
      <alignment horizontal="center" vertical="center"/>
    </xf>
    <xf numFmtId="0" fontId="73" fillId="0" borderId="84" xfId="0" applyFont="1" applyFill="1" applyBorder="1"/>
    <xf numFmtId="0" fontId="79" fillId="0" borderId="84" xfId="0" applyFont="1" applyFill="1" applyBorder="1" applyAlignment="1">
      <alignment horizontal="left"/>
    </xf>
    <xf numFmtId="0" fontId="83" fillId="3" borderId="95" xfId="0" applyFont="1" applyFill="1" applyBorder="1" applyAlignment="1">
      <alignment horizontal="center" vertical="center"/>
    </xf>
    <xf numFmtId="0" fontId="83" fillId="3" borderId="96" xfId="0" applyFont="1" applyFill="1" applyBorder="1" applyAlignment="1">
      <alignment horizontal="center" vertical="center"/>
    </xf>
    <xf numFmtId="164" fontId="83" fillId="3" borderId="96" xfId="0" applyNumberFormat="1" applyFont="1" applyFill="1" applyBorder="1" applyAlignment="1">
      <alignment horizontal="center" vertical="center" wrapText="1"/>
    </xf>
    <xf numFmtId="164" fontId="83" fillId="3" borderId="96" xfId="0" applyNumberFormat="1" applyFont="1" applyFill="1" applyBorder="1" applyAlignment="1">
      <alignment horizontal="center" vertical="center"/>
    </xf>
    <xf numFmtId="164" fontId="83" fillId="3" borderId="97" xfId="0" applyNumberFormat="1" applyFont="1" applyFill="1" applyBorder="1" applyAlignment="1">
      <alignment horizontal="center" vertical="center" wrapText="1"/>
    </xf>
    <xf numFmtId="0" fontId="73" fillId="0" borderId="93" xfId="0" applyFont="1" applyFill="1" applyBorder="1" applyAlignment="1">
      <alignment vertical="center"/>
    </xf>
    <xf numFmtId="0" fontId="79" fillId="0" borderId="86" xfId="0" applyFont="1" applyFill="1" applyBorder="1" applyAlignment="1">
      <alignment vertical="center"/>
    </xf>
    <xf numFmtId="0" fontId="73" fillId="0" borderId="69" xfId="0" applyFont="1" applyFill="1" applyBorder="1" applyAlignment="1">
      <alignment vertical="center"/>
    </xf>
    <xf numFmtId="0" fontId="79" fillId="0" borderId="87" xfId="0" applyFont="1" applyFill="1" applyBorder="1" applyAlignment="1">
      <alignment vertical="center"/>
    </xf>
    <xf numFmtId="0" fontId="73" fillId="0" borderId="69" xfId="0" applyFont="1" applyBorder="1" applyAlignment="1">
      <alignment horizontal="left" vertical="center"/>
    </xf>
    <xf numFmtId="0" fontId="79" fillId="0" borderId="87" xfId="0" applyFont="1" applyBorder="1" applyAlignment="1">
      <alignment horizontal="left" vertical="center"/>
    </xf>
    <xf numFmtId="14" fontId="73" fillId="0" borderId="69" xfId="0" applyNumberFormat="1" applyFont="1" applyBorder="1" applyAlignment="1">
      <alignment horizontal="center" vertical="center"/>
    </xf>
    <xf numFmtId="14" fontId="79" fillId="0" borderId="87" xfId="0" applyNumberFormat="1" applyFont="1" applyBorder="1" applyAlignment="1">
      <alignment horizontal="center" vertical="center"/>
    </xf>
    <xf numFmtId="164" fontId="73" fillId="0" borderId="69" xfId="0" applyNumberFormat="1" applyFont="1" applyBorder="1" applyAlignment="1">
      <alignment horizontal="center" vertical="center"/>
    </xf>
    <xf numFmtId="164" fontId="79" fillId="0" borderId="87" xfId="0" applyNumberFormat="1" applyFont="1" applyBorder="1" applyAlignment="1">
      <alignment horizontal="center" vertical="center"/>
    </xf>
    <xf numFmtId="168" fontId="73" fillId="0" borderId="94" xfId="0" applyNumberFormat="1" applyFont="1" applyBorder="1" applyAlignment="1">
      <alignment horizontal="center" vertical="center"/>
    </xf>
    <xf numFmtId="168" fontId="79" fillId="0" borderId="88" xfId="0" applyNumberFormat="1" applyFont="1" applyBorder="1" applyAlignment="1">
      <alignment horizontal="center" vertical="center"/>
    </xf>
    <xf numFmtId="0" fontId="60" fillId="11" borderId="32" xfId="0" applyFont="1" applyFill="1" applyBorder="1" applyAlignment="1">
      <alignment horizontal="center" vertical="center"/>
    </xf>
    <xf numFmtId="0" fontId="61" fillId="11" borderId="0" xfId="0" applyFont="1" applyFill="1" applyAlignment="1">
      <alignment horizontal="center"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horizontal="center" vertical="center"/>
    </xf>
    <xf numFmtId="0" fontId="48" fillId="0" borderId="33" xfId="0" applyNumberFormat="1" applyFont="1" applyFill="1" applyBorder="1" applyAlignment="1">
      <alignment horizontal="center" vertical="center"/>
    </xf>
    <xf numFmtId="0" fontId="53" fillId="2" borderId="63" xfId="0" applyFont="1" applyFill="1" applyBorder="1" applyAlignment="1">
      <alignment horizontal="left"/>
    </xf>
    <xf numFmtId="14" fontId="49" fillId="0" borderId="32" xfId="0" applyNumberFormat="1" applyFont="1" applyBorder="1" applyAlignment="1">
      <alignment horizontal="center"/>
    </xf>
    <xf numFmtId="14" fontId="49" fillId="0" borderId="33" xfId="0" applyNumberFormat="1" applyFont="1" applyBorder="1" applyAlignment="1">
      <alignment horizontal="center" vertical="center"/>
    </xf>
    <xf numFmtId="164" fontId="49" fillId="0" borderId="32" xfId="0" applyNumberFormat="1" applyFont="1" applyBorder="1" applyAlignment="1">
      <alignment horizontal="center"/>
    </xf>
    <xf numFmtId="0" fontId="46" fillId="7" borderId="32" xfId="0" applyFont="1" applyFill="1" applyBorder="1"/>
    <xf numFmtId="0" fontId="61" fillId="11" borderId="32" xfId="0" applyFont="1" applyFill="1" applyBorder="1" applyAlignment="1">
      <alignment horizontal="center" vertical="center"/>
    </xf>
    <xf numFmtId="14" fontId="61" fillId="11" borderId="0" xfId="0" applyNumberFormat="1" applyFont="1" applyFill="1" applyBorder="1" applyAlignment="1">
      <alignment horizontal="center" vertical="center"/>
    </xf>
    <xf numFmtId="0" fontId="46" fillId="0" borderId="34" xfId="0" applyFont="1" applyBorder="1" applyAlignment="1">
      <alignment vertical="center"/>
    </xf>
    <xf numFmtId="170" fontId="48" fillId="0" borderId="0" xfId="0" applyNumberFormat="1" applyFont="1" applyBorder="1" applyAlignment="1">
      <alignment horizontal="center" vertical="center"/>
    </xf>
    <xf numFmtId="1" fontId="48" fillId="0" borderId="34" xfId="0" applyNumberFormat="1" applyFont="1" applyFill="1" applyBorder="1" applyAlignment="1">
      <alignment horizontal="center" vertical="center"/>
    </xf>
    <xf numFmtId="1" fontId="48" fillId="0" borderId="33" xfId="0" applyNumberFormat="1" applyFont="1" applyFill="1" applyBorder="1" applyAlignment="1">
      <alignment horizontal="center" vertical="center"/>
    </xf>
    <xf numFmtId="0" fontId="48" fillId="0" borderId="32" xfId="0" applyFont="1" applyFill="1" applyBorder="1" applyAlignment="1">
      <alignment horizontal="center" vertical="center"/>
    </xf>
    <xf numFmtId="166" fontId="48" fillId="0" borderId="33" xfId="0" applyNumberFormat="1" applyFont="1" applyFill="1" applyBorder="1" applyAlignment="1">
      <alignment horizontal="center" vertical="center"/>
    </xf>
    <xf numFmtId="0" fontId="46" fillId="2" borderId="64" xfId="0" applyFont="1" applyFill="1" applyBorder="1" applyAlignment="1">
      <alignment vertical="center"/>
    </xf>
    <xf numFmtId="0" fontId="48" fillId="0" borderId="0" xfId="0" applyNumberFormat="1" applyFont="1" applyFill="1" applyBorder="1" applyAlignment="1">
      <alignment horizontal="center" vertical="center"/>
    </xf>
    <xf numFmtId="0" fontId="43" fillId="0" borderId="33" xfId="0" applyNumberFormat="1" applyFont="1" applyFill="1" applyBorder="1" applyAlignment="1">
      <alignment horizontal="center" vertical="center"/>
    </xf>
    <xf numFmtId="2" fontId="43" fillId="0" borderId="33" xfId="0" applyNumberFormat="1" applyFont="1" applyFill="1" applyBorder="1" applyAlignment="1">
      <alignment horizontal="center" vertical="center"/>
    </xf>
    <xf numFmtId="0" fontId="65" fillId="2" borderId="81" xfId="0" applyFont="1" applyFill="1" applyBorder="1" applyAlignment="1">
      <alignment vertical="center"/>
    </xf>
    <xf numFmtId="1" fontId="57" fillId="14" borderId="32" xfId="0" applyNumberFormat="1" applyFont="1" applyFill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1" fontId="43" fillId="0" borderId="33" xfId="0" applyNumberFormat="1" applyFont="1" applyFill="1" applyBorder="1" applyAlignment="1">
      <alignment horizontal="center" vertical="center"/>
    </xf>
    <xf numFmtId="0" fontId="49" fillId="0" borderId="33" xfId="0" applyNumberFormat="1" applyFont="1" applyFill="1" applyBorder="1" applyAlignment="1">
      <alignment horizontal="center" vertical="center"/>
    </xf>
    <xf numFmtId="1" fontId="49" fillId="0" borderId="33" xfId="0" applyNumberFormat="1" applyFont="1" applyFill="1" applyBorder="1" applyAlignment="1">
      <alignment horizontal="center" vertical="center"/>
    </xf>
    <xf numFmtId="1" fontId="2" fillId="0" borderId="33" xfId="0" applyNumberFormat="1" applyFont="1" applyFill="1" applyBorder="1" applyAlignment="1">
      <alignment horizontal="center" vertical="center"/>
    </xf>
    <xf numFmtId="165" fontId="43" fillId="0" borderId="33" xfId="0" applyNumberFormat="1" applyFont="1" applyFill="1" applyBorder="1" applyAlignment="1">
      <alignment horizontal="center" vertical="center"/>
    </xf>
    <xf numFmtId="0" fontId="51" fillId="0" borderId="33" xfId="0" applyFont="1" applyFill="1" applyBorder="1" applyAlignment="1">
      <alignment horizontal="center" vertical="center"/>
    </xf>
    <xf numFmtId="168" fontId="49" fillId="0" borderId="33" xfId="0" applyNumberFormat="1" applyFont="1" applyFill="1" applyBorder="1" applyAlignment="1">
      <alignment horizontal="center" vertical="center"/>
    </xf>
    <xf numFmtId="0" fontId="26" fillId="0" borderId="33" xfId="0" applyFont="1" applyFill="1" applyBorder="1" applyAlignment="1">
      <alignment horizontal="center" vertical="center"/>
    </xf>
    <xf numFmtId="168" fontId="2" fillId="0" borderId="33" xfId="0" applyNumberFormat="1" applyFont="1" applyFill="1" applyBorder="1" applyAlignment="1">
      <alignment horizontal="center" vertical="center"/>
    </xf>
    <xf numFmtId="0" fontId="64" fillId="0" borderId="33" xfId="0" applyFont="1" applyFill="1" applyBorder="1" applyAlignment="1">
      <alignment horizontal="center" vertical="center"/>
    </xf>
    <xf numFmtId="168" fontId="43" fillId="0" borderId="33" xfId="0" applyNumberFormat="1" applyFont="1" applyFill="1" applyBorder="1" applyAlignment="1">
      <alignment horizontal="center" vertical="center"/>
    </xf>
    <xf numFmtId="14" fontId="2" fillId="0" borderId="33" xfId="0" applyNumberFormat="1" applyFont="1" applyFill="1" applyBorder="1" applyAlignment="1">
      <alignment vertical="center"/>
    </xf>
    <xf numFmtId="14" fontId="2" fillId="0" borderId="33" xfId="0" applyNumberFormat="1" applyFont="1" applyFill="1" applyBorder="1" applyAlignment="1">
      <alignment horizontal="center" vertical="center"/>
    </xf>
    <xf numFmtId="0" fontId="60" fillId="0" borderId="3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vertical="center"/>
    </xf>
    <xf numFmtId="170" fontId="62" fillId="11" borderId="33" xfId="0" applyNumberFormat="1" applyFont="1" applyFill="1" applyBorder="1" applyAlignment="1">
      <alignment horizontal="center" vertical="center"/>
    </xf>
    <xf numFmtId="170" fontId="60" fillId="11" borderId="33" xfId="0" applyNumberFormat="1" applyFont="1" applyFill="1" applyBorder="1" applyAlignment="1">
      <alignment horizontal="center" vertical="center"/>
    </xf>
    <xf numFmtId="170" fontId="67" fillId="11" borderId="33" xfId="0" applyNumberFormat="1" applyFont="1" applyFill="1" applyBorder="1" applyAlignment="1">
      <alignment horizontal="center" vertical="center"/>
    </xf>
    <xf numFmtId="0" fontId="65" fillId="2" borderId="83" xfId="0" applyFont="1" applyFill="1" applyBorder="1" applyAlignment="1">
      <alignment vertical="center"/>
    </xf>
    <xf numFmtId="0" fontId="43" fillId="0" borderId="34" xfId="0" applyFont="1" applyBorder="1" applyAlignment="1">
      <alignment horizontal="left" vertical="center"/>
    </xf>
    <xf numFmtId="0" fontId="53" fillId="2" borderId="83" xfId="0" applyFont="1" applyFill="1" applyBorder="1" applyAlignment="1">
      <alignment vertical="center"/>
    </xf>
    <xf numFmtId="0" fontId="53" fillId="2" borderId="85" xfId="0" applyFont="1" applyFill="1" applyBorder="1" applyAlignment="1">
      <alignment vertical="center"/>
    </xf>
    <xf numFmtId="0" fontId="49" fillId="0" borderId="34" xfId="0" applyFont="1" applyBorder="1" applyAlignment="1">
      <alignment horizontal="left" vertical="center"/>
    </xf>
    <xf numFmtId="0" fontId="49" fillId="10" borderId="0" xfId="0" applyFont="1" applyFill="1" applyBorder="1" applyAlignment="1">
      <alignment horizontal="center" vertical="center"/>
    </xf>
    <xf numFmtId="0" fontId="65" fillId="2" borderId="85" xfId="0" applyFont="1" applyFill="1" applyBorder="1" applyAlignment="1">
      <alignment vertical="center"/>
    </xf>
    <xf numFmtId="14" fontId="49" fillId="0" borderId="33" xfId="0" applyNumberFormat="1" applyFont="1" applyFill="1" applyBorder="1" applyAlignment="1">
      <alignment vertical="center"/>
    </xf>
    <xf numFmtId="14" fontId="49" fillId="0" borderId="33" xfId="0" applyNumberFormat="1" applyFont="1" applyFill="1" applyBorder="1" applyAlignment="1">
      <alignment horizontal="right" vertical="center"/>
    </xf>
    <xf numFmtId="0" fontId="62" fillId="0" borderId="33" xfId="0" applyFont="1" applyFill="1" applyBorder="1" applyAlignment="1">
      <alignment horizontal="center" vertical="center"/>
    </xf>
    <xf numFmtId="14" fontId="49" fillId="0" borderId="33" xfId="0" applyNumberFormat="1" applyFont="1" applyFill="1" applyBorder="1" applyAlignment="1">
      <alignment horizontal="center" vertical="center"/>
    </xf>
    <xf numFmtId="0" fontId="49" fillId="0" borderId="33" xfId="0" applyFont="1" applyFill="1" applyBorder="1" applyAlignment="1">
      <alignment vertical="center"/>
    </xf>
    <xf numFmtId="0" fontId="49" fillId="0" borderId="34" xfId="0" applyFont="1" applyFill="1" applyBorder="1" applyAlignment="1">
      <alignment horizontal="center" vertical="center"/>
    </xf>
    <xf numFmtId="0" fontId="49" fillId="0" borderId="32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/>
    </xf>
    <xf numFmtId="0" fontId="49" fillId="0" borderId="0" xfId="0" applyNumberFormat="1" applyFont="1" applyFill="1" applyBorder="1" applyAlignment="1">
      <alignment horizontal="center" vertical="center"/>
    </xf>
    <xf numFmtId="0" fontId="50" fillId="0" borderId="34" xfId="0" applyFont="1" applyFill="1" applyBorder="1" applyAlignment="1">
      <alignment horizontal="center" vertical="center"/>
    </xf>
    <xf numFmtId="168" fontId="2" fillId="0" borderId="0" xfId="0" applyNumberFormat="1" applyFont="1" applyFill="1" applyBorder="1" applyAlignment="1">
      <alignment horizontal="center" vertical="center"/>
    </xf>
    <xf numFmtId="168" fontId="48" fillId="0" borderId="0" xfId="0" applyNumberFormat="1" applyFont="1" applyFill="1" applyBorder="1" applyAlignment="1">
      <alignment horizontal="center" vertical="center"/>
    </xf>
    <xf numFmtId="168" fontId="49" fillId="0" borderId="0" xfId="0" applyNumberFormat="1" applyFont="1" applyFill="1" applyBorder="1" applyAlignment="1">
      <alignment horizontal="center" vertical="center"/>
    </xf>
    <xf numFmtId="0" fontId="49" fillId="0" borderId="34" xfId="0" applyFont="1" applyBorder="1" applyAlignment="1">
      <alignment vertical="center"/>
    </xf>
    <xf numFmtId="0" fontId="49" fillId="0" borderId="32" xfId="0" applyFont="1" applyBorder="1" applyAlignment="1">
      <alignment vertical="center"/>
    </xf>
    <xf numFmtId="14" fontId="67" fillId="11" borderId="0" xfId="0" applyNumberFormat="1" applyFont="1" applyFill="1" applyBorder="1" applyAlignment="1">
      <alignment horizontal="center" vertical="center"/>
    </xf>
    <xf numFmtId="1" fontId="43" fillId="0" borderId="34" xfId="0" applyNumberFormat="1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64" fillId="0" borderId="34" xfId="0" applyFont="1" applyFill="1" applyBorder="1" applyAlignment="1">
      <alignment horizontal="center" vertical="center"/>
    </xf>
    <xf numFmtId="164" fontId="43" fillId="0" borderId="32" xfId="0" applyNumberFormat="1" applyFont="1" applyFill="1" applyBorder="1" applyAlignment="1">
      <alignment horizontal="center" vertical="center"/>
    </xf>
    <xf numFmtId="0" fontId="43" fillId="0" borderId="0" xfId="0" applyNumberFormat="1" applyFont="1" applyFill="1" applyBorder="1" applyAlignment="1">
      <alignment horizontal="center" vertical="center"/>
    </xf>
    <xf numFmtId="168" fontId="43" fillId="0" borderId="0" xfId="0" applyNumberFormat="1" applyFont="1" applyFill="1" applyBorder="1" applyAlignment="1">
      <alignment horizontal="center" vertical="center"/>
    </xf>
    <xf numFmtId="1" fontId="49" fillId="0" borderId="34" xfId="0" applyNumberFormat="1" applyFont="1" applyFill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vertical="center"/>
    </xf>
    <xf numFmtId="1" fontId="49" fillId="0" borderId="32" xfId="0" applyNumberFormat="1" applyFont="1" applyFill="1" applyBorder="1" applyAlignment="1">
      <alignment horizontal="center" vertical="center"/>
    </xf>
    <xf numFmtId="0" fontId="2" fillId="0" borderId="34" xfId="0" applyNumberFormat="1" applyFont="1" applyFill="1" applyBorder="1" applyAlignment="1">
      <alignment horizontal="center" vertical="center"/>
    </xf>
    <xf numFmtId="168" fontId="2" fillId="0" borderId="34" xfId="0" applyNumberFormat="1" applyFont="1" applyFill="1" applyBorder="1" applyAlignment="1">
      <alignment horizontal="center" vertical="center"/>
    </xf>
    <xf numFmtId="0" fontId="60" fillId="0" borderId="32" xfId="0" applyFont="1" applyFill="1" applyBorder="1" applyAlignment="1">
      <alignment horizontal="center" vertical="center"/>
    </xf>
    <xf numFmtId="14" fontId="2" fillId="0" borderId="34" xfId="0" applyNumberFormat="1" applyFont="1" applyFill="1" applyBorder="1" applyAlignment="1">
      <alignment vertical="center"/>
    </xf>
    <xf numFmtId="14" fontId="2" fillId="0" borderId="32" xfId="0" applyNumberFormat="1" applyFont="1" applyFill="1" applyBorder="1" applyAlignment="1">
      <alignment horizontal="right" vertical="center"/>
    </xf>
    <xf numFmtId="0" fontId="78" fillId="0" borderId="98" xfId="0" applyFont="1" applyBorder="1"/>
    <xf numFmtId="0" fontId="78" fillId="0" borderId="99" xfId="0" applyFont="1" applyBorder="1"/>
    <xf numFmtId="0" fontId="78" fillId="0" borderId="99" xfId="0" applyFont="1" applyBorder="1" applyAlignment="1">
      <alignment horizontal="left"/>
    </xf>
    <xf numFmtId="14" fontId="78" fillId="0" borderId="99" xfId="0" applyNumberFormat="1" applyFont="1" applyBorder="1"/>
    <xf numFmtId="173" fontId="78" fillId="0" borderId="99" xfId="0" applyNumberFormat="1" applyFont="1" applyBorder="1"/>
    <xf numFmtId="0" fontId="78" fillId="0" borderId="99" xfId="0" applyFont="1" applyBorder="1" applyAlignment="1">
      <alignment horizontal="right"/>
    </xf>
    <xf numFmtId="0" fontId="78" fillId="0" borderId="100" xfId="0" applyFont="1" applyBorder="1"/>
    <xf numFmtId="173" fontId="78" fillId="0" borderId="83" xfId="0" applyNumberFormat="1" applyFont="1" applyBorder="1"/>
    <xf numFmtId="173" fontId="78" fillId="0" borderId="87" xfId="0" applyNumberFormat="1" applyFont="1" applyBorder="1"/>
    <xf numFmtId="0" fontId="0" fillId="0" borderId="0" xfId="0" applyFont="1"/>
    <xf numFmtId="0" fontId="78" fillId="17" borderId="98" xfId="0" applyFont="1" applyFill="1" applyBorder="1"/>
    <xf numFmtId="0" fontId="78" fillId="17" borderId="99" xfId="0" applyFont="1" applyFill="1" applyBorder="1"/>
    <xf numFmtId="0" fontId="78" fillId="17" borderId="99" xfId="0" applyFont="1" applyFill="1" applyBorder="1" applyAlignment="1">
      <alignment horizontal="left"/>
    </xf>
    <xf numFmtId="14" fontId="78" fillId="17" borderId="99" xfId="0" applyNumberFormat="1" applyFont="1" applyFill="1" applyBorder="1"/>
    <xf numFmtId="173" fontId="78" fillId="17" borderId="99" xfId="0" applyNumberFormat="1" applyFont="1" applyFill="1" applyBorder="1"/>
    <xf numFmtId="0" fontId="78" fillId="17" borderId="99" xfId="0" applyFont="1" applyFill="1" applyBorder="1" applyAlignment="1">
      <alignment horizontal="right"/>
    </xf>
    <xf numFmtId="0" fontId="78" fillId="17" borderId="100" xfId="0" applyFont="1" applyFill="1" applyBorder="1"/>
    <xf numFmtId="0" fontId="78" fillId="18" borderId="84" xfId="0" applyFont="1" applyFill="1" applyBorder="1"/>
    <xf numFmtId="0" fontId="78" fillId="18" borderId="83" xfId="0" applyFont="1" applyFill="1" applyBorder="1"/>
    <xf numFmtId="0" fontId="78" fillId="18" borderId="83" xfId="0" applyFont="1" applyFill="1" applyBorder="1" applyAlignment="1">
      <alignment horizontal="left"/>
    </xf>
    <xf numFmtId="14" fontId="78" fillId="18" borderId="83" xfId="0" applyNumberFormat="1" applyFont="1" applyFill="1" applyBorder="1"/>
    <xf numFmtId="173" fontId="78" fillId="18" borderId="83" xfId="0" applyNumberFormat="1" applyFont="1" applyFill="1" applyBorder="1"/>
    <xf numFmtId="0" fontId="78" fillId="18" borderId="83" xfId="0" applyFont="1" applyFill="1" applyBorder="1" applyAlignment="1">
      <alignment horizontal="right"/>
    </xf>
    <xf numFmtId="0" fontId="78" fillId="18" borderId="85" xfId="0" applyFont="1" applyFill="1" applyBorder="1"/>
    <xf numFmtId="0" fontId="78" fillId="17" borderId="84" xfId="0" applyFont="1" applyFill="1" applyBorder="1"/>
    <xf numFmtId="0" fontId="78" fillId="17" borderId="83" xfId="0" applyFont="1" applyFill="1" applyBorder="1"/>
    <xf numFmtId="0" fontId="78" fillId="17" borderId="83" xfId="0" applyFont="1" applyFill="1" applyBorder="1" applyAlignment="1">
      <alignment horizontal="left"/>
    </xf>
    <xf numFmtId="14" fontId="78" fillId="17" borderId="83" xfId="0" applyNumberFormat="1" applyFont="1" applyFill="1" applyBorder="1"/>
    <xf numFmtId="173" fontId="78" fillId="17" borderId="83" xfId="0" applyNumberFormat="1" applyFont="1" applyFill="1" applyBorder="1"/>
    <xf numFmtId="0" fontId="78" fillId="17" borderId="83" xfId="0" applyFont="1" applyFill="1" applyBorder="1" applyAlignment="1">
      <alignment horizontal="right"/>
    </xf>
    <xf numFmtId="0" fontId="78" fillId="17" borderId="85" xfId="0" applyFont="1" applyFill="1" applyBorder="1"/>
    <xf numFmtId="173" fontId="78" fillId="17" borderId="87" xfId="0" applyNumberFormat="1" applyFont="1" applyFill="1" applyBorder="1"/>
    <xf numFmtId="0" fontId="78" fillId="17" borderId="87" xfId="0" applyFont="1" applyFill="1" applyBorder="1" applyAlignment="1">
      <alignment horizontal="right"/>
    </xf>
    <xf numFmtId="0" fontId="78" fillId="17" borderId="88" xfId="0" applyFont="1" applyFill="1" applyBorder="1"/>
    <xf numFmtId="0" fontId="78" fillId="0" borderId="103" xfId="0" applyFont="1" applyBorder="1"/>
    <xf numFmtId="0" fontId="78" fillId="0" borderId="67" xfId="0" applyFont="1" applyBorder="1"/>
    <xf numFmtId="0" fontId="78" fillId="0" borderId="67" xfId="0" applyFont="1" applyBorder="1" applyAlignment="1">
      <alignment horizontal="left"/>
    </xf>
    <xf numFmtId="14" fontId="78" fillId="0" borderId="67" xfId="0" applyNumberFormat="1" applyFont="1" applyBorder="1"/>
    <xf numFmtId="0" fontId="78" fillId="0" borderId="104" xfId="0" applyFont="1" applyBorder="1"/>
    <xf numFmtId="0" fontId="78" fillId="17" borderId="86" xfId="0" applyFont="1" applyFill="1" applyBorder="1"/>
    <xf numFmtId="0" fontId="78" fillId="17" borderId="87" xfId="0" applyFont="1" applyFill="1" applyBorder="1"/>
    <xf numFmtId="0" fontId="78" fillId="17" borderId="87" xfId="0" applyFont="1" applyFill="1" applyBorder="1" applyAlignment="1">
      <alignment horizontal="left"/>
    </xf>
    <xf numFmtId="165" fontId="49" fillId="10" borderId="33" xfId="0" applyNumberFormat="1" applyFont="1" applyFill="1" applyBorder="1" applyAlignment="1">
      <alignment horizontal="center" vertical="center"/>
    </xf>
    <xf numFmtId="0" fontId="49" fillId="10" borderId="33" xfId="0" applyNumberFormat="1" applyFont="1" applyFill="1" applyBorder="1" applyAlignment="1">
      <alignment horizontal="center" vertical="center"/>
    </xf>
    <xf numFmtId="0" fontId="78" fillId="0" borderId="84" xfId="0" applyFont="1" applyFill="1" applyBorder="1"/>
    <xf numFmtId="0" fontId="78" fillId="0" borderId="83" xfId="0" applyFont="1" applyFill="1" applyBorder="1"/>
    <xf numFmtId="0" fontId="78" fillId="0" borderId="83" xfId="0" applyFont="1" applyFill="1" applyBorder="1" applyAlignment="1">
      <alignment horizontal="left"/>
    </xf>
    <xf numFmtId="14" fontId="78" fillId="0" borderId="83" xfId="0" applyNumberFormat="1" applyFont="1" applyFill="1" applyBorder="1"/>
    <xf numFmtId="0" fontId="78" fillId="0" borderId="83" xfId="0" applyFont="1" applyFill="1" applyBorder="1" applyAlignment="1">
      <alignment horizontal="right"/>
    </xf>
    <xf numFmtId="0" fontId="78" fillId="0" borderId="85" xfId="0" applyFont="1" applyFill="1" applyBorder="1"/>
    <xf numFmtId="0" fontId="78" fillId="0" borderId="89" xfId="0" applyFont="1" applyBorder="1"/>
    <xf numFmtId="0" fontId="78" fillId="0" borderId="91" xfId="0" applyFont="1" applyBorder="1"/>
    <xf numFmtId="0" fontId="78" fillId="0" borderId="91" xfId="0" applyFont="1" applyBorder="1" applyAlignment="1">
      <alignment horizontal="left"/>
    </xf>
    <xf numFmtId="14" fontId="78" fillId="0" borderId="91" xfId="0" applyNumberFormat="1" applyFont="1" applyBorder="1"/>
    <xf numFmtId="0" fontId="49" fillId="0" borderId="33" xfId="0" applyNumberFormat="1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168" fontId="1" fillId="3" borderId="31" xfId="0" applyNumberFormat="1" applyFont="1" applyFill="1" applyBorder="1" applyAlignment="1">
      <alignment horizontal="center" vertical="center"/>
    </xf>
    <xf numFmtId="168" fontId="1" fillId="3" borderId="42" xfId="0" applyNumberFormat="1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49" fontId="1" fillId="10" borderId="42" xfId="0" applyNumberFormat="1" applyFont="1" applyFill="1" applyBorder="1" applyAlignment="1">
      <alignment horizontal="center" vertical="center"/>
    </xf>
    <xf numFmtId="49" fontId="1" fillId="10" borderId="31" xfId="0" applyNumberFormat="1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10" borderId="42" xfId="0" applyFont="1" applyFill="1" applyBorder="1" applyAlignment="1">
      <alignment horizontal="center" vertical="center"/>
    </xf>
    <xf numFmtId="0" fontId="1" fillId="10" borderId="42" xfId="0" applyFont="1" applyFill="1" applyBorder="1" applyAlignment="1">
      <alignment horizontal="center" vertical="center" wrapText="1"/>
    </xf>
    <xf numFmtId="2" fontId="1" fillId="10" borderId="31" xfId="0" applyNumberFormat="1" applyFont="1" applyFill="1" applyBorder="1" applyAlignment="1">
      <alignment horizontal="center" vertical="center" wrapText="1"/>
    </xf>
    <xf numFmtId="164" fontId="1" fillId="10" borderId="31" xfId="0" applyNumberFormat="1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0" borderId="31" xfId="0" applyNumberFormat="1" applyFont="1" applyFill="1" applyBorder="1" applyAlignment="1">
      <alignment horizontal="center" vertical="center" wrapText="1"/>
    </xf>
    <xf numFmtId="0" fontId="1" fillId="6" borderId="31" xfId="0" applyNumberFormat="1" applyFont="1" applyFill="1" applyBorder="1" applyAlignment="1">
      <alignment horizontal="center" vertical="center" wrapText="1"/>
    </xf>
    <xf numFmtId="14" fontId="47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0" applyFont="1" applyFill="1" applyAlignment="1">
      <alignment vertical="center"/>
    </xf>
    <xf numFmtId="0" fontId="1" fillId="7" borderId="63" xfId="0" applyFont="1" applyFill="1" applyBorder="1" applyAlignment="1">
      <alignment vertical="center"/>
    </xf>
    <xf numFmtId="0" fontId="48" fillId="0" borderId="32" xfId="0" applyFont="1" applyBorder="1" applyAlignment="1"/>
    <xf numFmtId="164" fontId="49" fillId="10" borderId="33" xfId="0" applyNumberFormat="1" applyFont="1" applyFill="1" applyBorder="1" applyAlignment="1">
      <alignment horizontal="center" vertical="center"/>
    </xf>
    <xf numFmtId="0" fontId="69" fillId="0" borderId="33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1" fontId="66" fillId="10" borderId="33" xfId="0" applyNumberFormat="1" applyFont="1" applyFill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/>
    </xf>
    <xf numFmtId="1" fontId="63" fillId="10" borderId="33" xfId="0" applyNumberFormat="1" applyFont="1" applyFill="1" applyBorder="1" applyAlignment="1">
      <alignment horizontal="center" vertical="center"/>
    </xf>
    <xf numFmtId="1" fontId="63" fillId="14" borderId="33" xfId="0" applyNumberFormat="1" applyFont="1" applyFill="1" applyBorder="1" applyAlignment="1">
      <alignment horizontal="center" vertical="center"/>
    </xf>
    <xf numFmtId="0" fontId="64" fillId="0" borderId="33" xfId="0" applyFont="1" applyBorder="1" applyAlignment="1">
      <alignment horizontal="center" vertical="center"/>
    </xf>
    <xf numFmtId="164" fontId="43" fillId="10" borderId="33" xfId="0" applyNumberFormat="1" applyFont="1" applyFill="1" applyBorder="1" applyAlignment="1">
      <alignment horizontal="center" vertical="center"/>
    </xf>
    <xf numFmtId="14" fontId="47" fillId="0" borderId="33" xfId="0" applyNumberFormat="1" applyFont="1" applyBorder="1" applyAlignment="1">
      <alignment horizontal="center" vertical="center"/>
    </xf>
    <xf numFmtId="1" fontId="71" fillId="14" borderId="33" xfId="0" applyNumberFormat="1" applyFont="1" applyFill="1" applyBorder="1" applyAlignment="1">
      <alignment horizontal="center" vertical="center"/>
    </xf>
    <xf numFmtId="168" fontId="43" fillId="0" borderId="37" xfId="0" applyNumberFormat="1" applyFont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0" fontId="43" fillId="0" borderId="37" xfId="0" applyFont="1" applyBorder="1" applyAlignment="1">
      <alignment vertical="center"/>
    </xf>
    <xf numFmtId="164" fontId="43" fillId="0" borderId="37" xfId="0" applyNumberFormat="1" applyFont="1" applyFill="1" applyBorder="1" applyAlignment="1">
      <alignment horizontal="center" vertical="center"/>
    </xf>
    <xf numFmtId="0" fontId="51" fillId="0" borderId="33" xfId="0" applyFont="1" applyBorder="1" applyAlignment="1">
      <alignment horizontal="center" vertical="center"/>
    </xf>
    <xf numFmtId="0" fontId="65" fillId="2" borderId="37" xfId="0" applyFont="1" applyFill="1" applyBorder="1" applyAlignment="1">
      <alignment vertical="center"/>
    </xf>
    <xf numFmtId="0" fontId="43" fillId="0" borderId="37" xfId="0" applyFont="1" applyBorder="1" applyAlignment="1">
      <alignment horizontal="left" vertical="center"/>
    </xf>
    <xf numFmtId="14" fontId="43" fillId="0" borderId="37" xfId="0" applyNumberFormat="1" applyFont="1" applyBorder="1" applyAlignment="1">
      <alignment horizontal="center" vertical="center"/>
    </xf>
    <xf numFmtId="164" fontId="43" fillId="0" borderId="37" xfId="0" applyNumberFormat="1" applyFont="1" applyBorder="1" applyAlignment="1">
      <alignment horizontal="center" vertical="center"/>
    </xf>
    <xf numFmtId="1" fontId="66" fillId="10" borderId="37" xfId="0" applyNumberFormat="1" applyFont="1" applyFill="1" applyBorder="1" applyAlignment="1">
      <alignment horizontal="center" vertical="center"/>
    </xf>
    <xf numFmtId="2" fontId="43" fillId="10" borderId="37" xfId="0" applyNumberFormat="1" applyFont="1" applyFill="1" applyBorder="1" applyAlignment="1">
      <alignment horizontal="center" vertical="center"/>
    </xf>
    <xf numFmtId="0" fontId="43" fillId="10" borderId="37" xfId="0" applyFont="1" applyFill="1" applyBorder="1" applyAlignment="1">
      <alignment horizontal="center" vertical="center"/>
    </xf>
    <xf numFmtId="0" fontId="64" fillId="0" borderId="37" xfId="0" applyFont="1" applyBorder="1" applyAlignment="1">
      <alignment horizontal="center" vertical="center"/>
    </xf>
    <xf numFmtId="164" fontId="43" fillId="10" borderId="37" xfId="0" applyNumberFormat="1" applyFont="1" applyFill="1" applyBorder="1" applyAlignment="1">
      <alignment horizontal="center" vertical="center"/>
    </xf>
    <xf numFmtId="165" fontId="43" fillId="10" borderId="37" xfId="0" applyNumberFormat="1" applyFont="1" applyFill="1" applyBorder="1" applyAlignment="1">
      <alignment horizontal="center" vertical="center"/>
    </xf>
    <xf numFmtId="0" fontId="43" fillId="10" borderId="37" xfId="0" applyNumberFormat="1" applyFont="1" applyFill="1" applyBorder="1" applyAlignment="1">
      <alignment horizontal="center" vertical="center"/>
    </xf>
    <xf numFmtId="0" fontId="43" fillId="0" borderId="37" xfId="0" applyNumberFormat="1" applyFont="1" applyBorder="1" applyAlignment="1">
      <alignment horizontal="center" vertical="center"/>
    </xf>
    <xf numFmtId="170" fontId="67" fillId="11" borderId="37" xfId="0" applyNumberFormat="1" applyFont="1" applyFill="1" applyBorder="1" applyAlignment="1">
      <alignment horizontal="center" vertical="center"/>
    </xf>
    <xf numFmtId="0" fontId="43" fillId="0" borderId="37" xfId="0" applyFont="1" applyBorder="1" applyAlignment="1">
      <alignment horizontal="right" vertical="center"/>
    </xf>
    <xf numFmtId="14" fontId="67" fillId="11" borderId="37" xfId="0" applyNumberFormat="1" applyFont="1" applyFill="1" applyBorder="1" applyAlignment="1">
      <alignment horizontal="center" vertical="center"/>
    </xf>
    <xf numFmtId="0" fontId="2" fillId="0" borderId="33" xfId="0" applyFont="1" applyBorder="1" applyAlignment="1">
      <alignment horizontal="right" vertical="center"/>
    </xf>
    <xf numFmtId="14" fontId="60" fillId="11" borderId="33" xfId="0" applyNumberFormat="1" applyFont="1" applyFill="1" applyBorder="1" applyAlignment="1">
      <alignment horizontal="center" vertical="center"/>
    </xf>
    <xf numFmtId="14" fontId="2" fillId="0" borderId="33" xfId="0" applyNumberFormat="1" applyFont="1" applyBorder="1" applyAlignment="1">
      <alignment vertical="center"/>
    </xf>
    <xf numFmtId="0" fontId="43" fillId="0" borderId="33" xfId="0" applyFont="1" applyBorder="1" applyAlignment="1">
      <alignment horizontal="right" vertical="center"/>
    </xf>
    <xf numFmtId="14" fontId="67" fillId="11" borderId="33" xfId="0" applyNumberFormat="1" applyFont="1" applyFill="1" applyBorder="1" applyAlignment="1">
      <alignment horizontal="center" vertical="center"/>
    </xf>
    <xf numFmtId="1" fontId="57" fillId="14" borderId="33" xfId="0" applyNumberFormat="1" applyFont="1" applyFill="1" applyBorder="1" applyAlignment="1">
      <alignment horizontal="center" vertical="center"/>
    </xf>
    <xf numFmtId="14" fontId="49" fillId="0" borderId="33" xfId="0" applyNumberFormat="1" applyFont="1" applyBorder="1" applyAlignment="1">
      <alignment vertical="center"/>
    </xf>
    <xf numFmtId="0" fontId="49" fillId="0" borderId="33" xfId="0" applyFont="1" applyBorder="1" applyAlignment="1">
      <alignment horizontal="right" vertical="center"/>
    </xf>
    <xf numFmtId="14" fontId="62" fillId="11" borderId="33" xfId="0" applyNumberFormat="1" applyFont="1" applyFill="1" applyBorder="1" applyAlignment="1">
      <alignment horizontal="center" vertical="center"/>
    </xf>
    <xf numFmtId="1" fontId="71" fillId="10" borderId="33" xfId="0" applyNumberFormat="1" applyFont="1" applyFill="1" applyBorder="1" applyAlignment="1">
      <alignment horizontal="center" vertical="center"/>
    </xf>
    <xf numFmtId="164" fontId="47" fillId="10" borderId="33" xfId="0" applyNumberFormat="1" applyFont="1" applyFill="1" applyBorder="1" applyAlignment="1">
      <alignment horizontal="center" vertical="center"/>
    </xf>
    <xf numFmtId="170" fontId="72" fillId="11" borderId="33" xfId="0" applyNumberFormat="1" applyFont="1" applyFill="1" applyBorder="1" applyAlignment="1">
      <alignment horizontal="center" vertical="center"/>
    </xf>
    <xf numFmtId="14" fontId="47" fillId="0" borderId="33" xfId="0" applyNumberFormat="1" applyFont="1" applyBorder="1" applyAlignment="1">
      <alignment vertical="center"/>
    </xf>
    <xf numFmtId="0" fontId="47" fillId="0" borderId="33" xfId="0" applyFont="1" applyBorder="1" applyAlignment="1">
      <alignment horizontal="right" vertical="center"/>
    </xf>
    <xf numFmtId="14" fontId="72" fillId="11" borderId="33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vertical="center"/>
    </xf>
    <xf numFmtId="0" fontId="60" fillId="11" borderId="33" xfId="0" applyFont="1" applyFill="1" applyBorder="1" applyAlignment="1">
      <alignment horizontal="center" vertical="center"/>
    </xf>
    <xf numFmtId="0" fontId="52" fillId="0" borderId="33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right" vertical="center"/>
    </xf>
    <xf numFmtId="14" fontId="2" fillId="0" borderId="33" xfId="0" applyNumberFormat="1" applyFont="1" applyBorder="1" applyAlignment="1">
      <alignment horizontal="center"/>
    </xf>
    <xf numFmtId="164" fontId="2" fillId="0" borderId="33" xfId="0" applyNumberFormat="1" applyFont="1" applyBorder="1" applyAlignment="1">
      <alignment horizontal="center"/>
    </xf>
    <xf numFmtId="0" fontId="2" fillId="0" borderId="33" xfId="0" applyFont="1" applyBorder="1" applyAlignment="1">
      <alignment horizontal="right"/>
    </xf>
    <xf numFmtId="1" fontId="66" fillId="14" borderId="33" xfId="0" applyNumberFormat="1" applyFont="1" applyFill="1" applyBorder="1" applyAlignment="1">
      <alignment horizontal="center" vertical="center"/>
    </xf>
    <xf numFmtId="0" fontId="72" fillId="11" borderId="3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right" vertical="center"/>
    </xf>
    <xf numFmtId="0" fontId="53" fillId="2" borderId="33" xfId="0" applyFont="1" applyFill="1" applyBorder="1" applyAlignment="1">
      <alignment vertical="center"/>
    </xf>
    <xf numFmtId="14" fontId="48" fillId="0" borderId="33" xfId="0" applyNumberFormat="1" applyFont="1" applyBorder="1" applyAlignment="1">
      <alignment horizontal="center" vertical="center"/>
    </xf>
    <xf numFmtId="1" fontId="58" fillId="10" borderId="33" xfId="0" applyNumberFormat="1" applyFont="1" applyFill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164" fontId="48" fillId="10" borderId="33" xfId="0" applyNumberFormat="1" applyFont="1" applyFill="1" applyBorder="1" applyAlignment="1">
      <alignment horizontal="center" vertical="center"/>
    </xf>
    <xf numFmtId="170" fontId="61" fillId="11" borderId="33" xfId="0" applyNumberFormat="1" applyFont="1" applyFill="1" applyBorder="1" applyAlignment="1">
      <alignment horizontal="center" vertical="center"/>
    </xf>
    <xf numFmtId="0" fontId="48" fillId="0" borderId="33" xfId="0" applyFont="1" applyBorder="1" applyAlignment="1">
      <alignment horizontal="right" vertical="center"/>
    </xf>
    <xf numFmtId="14" fontId="61" fillId="11" borderId="33" xfId="0" applyNumberFormat="1" applyFont="1" applyFill="1" applyBorder="1" applyAlignment="1">
      <alignment horizontal="center" vertical="center"/>
    </xf>
    <xf numFmtId="168" fontId="2" fillId="10" borderId="33" xfId="0" applyNumberFormat="1" applyFont="1" applyFill="1" applyBorder="1" applyAlignment="1">
      <alignment horizontal="center" vertical="center"/>
    </xf>
    <xf numFmtId="170" fontId="62" fillId="10" borderId="32" xfId="0" applyNumberFormat="1" applyFont="1" applyFill="1" applyBorder="1" applyAlignment="1">
      <alignment horizontal="center" vertical="center"/>
    </xf>
    <xf numFmtId="0" fontId="45" fillId="2" borderId="63" xfId="0" applyFont="1" applyFill="1" applyBorder="1" applyAlignment="1">
      <alignment vertical="center"/>
    </xf>
    <xf numFmtId="0" fontId="44" fillId="0" borderId="33" xfId="0" applyFont="1" applyBorder="1" applyAlignment="1">
      <alignment horizontal="left" vertical="center"/>
    </xf>
    <xf numFmtId="14" fontId="44" fillId="0" borderId="33" xfId="0" applyNumberFormat="1" applyFont="1" applyBorder="1" applyAlignment="1">
      <alignment horizontal="center" vertical="center"/>
    </xf>
    <xf numFmtId="164" fontId="44" fillId="0" borderId="33" xfId="0" applyNumberFormat="1" applyFont="1" applyBorder="1" applyAlignment="1">
      <alignment horizontal="center" vertical="center"/>
    </xf>
    <xf numFmtId="1" fontId="85" fillId="10" borderId="33" xfId="0" applyNumberFormat="1" applyFont="1" applyFill="1" applyBorder="1" applyAlignment="1">
      <alignment horizontal="center" vertical="center"/>
    </xf>
    <xf numFmtId="168" fontId="44" fillId="0" borderId="33" xfId="0" applyNumberFormat="1" applyFont="1" applyBorder="1" applyAlignment="1">
      <alignment horizontal="center" vertical="center"/>
    </xf>
    <xf numFmtId="0" fontId="44" fillId="0" borderId="33" xfId="0" applyFont="1" applyBorder="1" applyAlignment="1">
      <alignment vertical="center"/>
    </xf>
    <xf numFmtId="164" fontId="44" fillId="0" borderId="33" xfId="0" applyNumberFormat="1" applyFont="1" applyFill="1" applyBorder="1" applyAlignment="1">
      <alignment horizontal="center" vertical="center"/>
    </xf>
    <xf numFmtId="2" fontId="44" fillId="10" borderId="33" xfId="0" applyNumberFormat="1" applyFont="1" applyFill="1" applyBorder="1" applyAlignment="1">
      <alignment horizontal="center" vertical="center"/>
    </xf>
    <xf numFmtId="0" fontId="86" fillId="0" borderId="33" xfId="0" applyFont="1" applyBorder="1" applyAlignment="1">
      <alignment horizontal="center" vertical="center"/>
    </xf>
    <xf numFmtId="164" fontId="44" fillId="10" borderId="33" xfId="0" applyNumberFormat="1" applyFont="1" applyFill="1" applyBorder="1" applyAlignment="1">
      <alignment horizontal="center" vertical="center"/>
    </xf>
    <xf numFmtId="165" fontId="44" fillId="10" borderId="33" xfId="0" applyNumberFormat="1" applyFont="1" applyFill="1" applyBorder="1" applyAlignment="1">
      <alignment horizontal="center" vertical="center"/>
    </xf>
    <xf numFmtId="0" fontId="44" fillId="10" borderId="33" xfId="0" applyNumberFormat="1" applyFont="1" applyFill="1" applyBorder="1" applyAlignment="1">
      <alignment horizontal="center" vertical="center"/>
    </xf>
    <xf numFmtId="170" fontId="87" fillId="11" borderId="33" xfId="0" applyNumberFormat="1" applyFont="1" applyFill="1" applyBorder="1" applyAlignment="1">
      <alignment horizontal="center" vertical="center"/>
    </xf>
    <xf numFmtId="14" fontId="44" fillId="0" borderId="33" xfId="0" applyNumberFormat="1" applyFont="1" applyBorder="1" applyAlignment="1">
      <alignment vertical="center"/>
    </xf>
    <xf numFmtId="0" fontId="44" fillId="0" borderId="33" xfId="0" applyFont="1" applyBorder="1" applyAlignment="1">
      <alignment horizontal="right" vertical="center"/>
    </xf>
    <xf numFmtId="14" fontId="87" fillId="11" borderId="33" xfId="0" applyNumberFormat="1" applyFont="1" applyFill="1" applyBorder="1" applyAlignment="1">
      <alignment horizontal="center" vertical="center"/>
    </xf>
    <xf numFmtId="14" fontId="44" fillId="0" borderId="0" xfId="0" applyNumberFormat="1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14" fontId="44" fillId="0" borderId="34" xfId="0" applyNumberFormat="1" applyFont="1" applyBorder="1" applyAlignment="1">
      <alignment horizontal="center" vertical="center"/>
    </xf>
    <xf numFmtId="170" fontId="44" fillId="0" borderId="34" xfId="0" applyNumberFormat="1" applyFont="1" applyBorder="1" applyAlignment="1">
      <alignment horizontal="center" vertical="center"/>
    </xf>
    <xf numFmtId="1" fontId="85" fillId="14" borderId="33" xfId="0" applyNumberFormat="1" applyFont="1" applyFill="1" applyBorder="1" applyAlignment="1">
      <alignment horizontal="center" vertical="center"/>
    </xf>
    <xf numFmtId="1" fontId="44" fillId="10" borderId="33" xfId="0" applyNumberFormat="1" applyFont="1" applyFill="1" applyBorder="1" applyAlignment="1">
      <alignment horizontal="center" vertical="center"/>
    </xf>
    <xf numFmtId="14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34" xfId="0" applyFont="1" applyBorder="1" applyAlignment="1">
      <alignment horizontal="center" vertical="center"/>
    </xf>
    <xf numFmtId="168" fontId="44" fillId="0" borderId="33" xfId="0" applyNumberFormat="1" applyFont="1" applyBorder="1" applyAlignment="1">
      <alignment horizontal="center"/>
    </xf>
    <xf numFmtId="0" fontId="44" fillId="0" borderId="0" xfId="0" applyFont="1" applyBorder="1" applyAlignment="1">
      <alignment vertical="center"/>
    </xf>
    <xf numFmtId="0" fontId="44" fillId="0" borderId="32" xfId="0" applyFont="1" applyBorder="1" applyAlignment="1">
      <alignment horizontal="center" vertical="center"/>
    </xf>
    <xf numFmtId="14" fontId="44" fillId="0" borderId="32" xfId="0" applyNumberFormat="1" applyFont="1" applyBorder="1" applyAlignment="1">
      <alignment horizontal="center" vertical="center"/>
    </xf>
    <xf numFmtId="164" fontId="44" fillId="0" borderId="32" xfId="0" applyNumberFormat="1" applyFont="1" applyBorder="1" applyAlignment="1">
      <alignment horizontal="center" vertical="center"/>
    </xf>
    <xf numFmtId="1" fontId="85" fillId="14" borderId="32" xfId="0" applyNumberFormat="1" applyFont="1" applyFill="1" applyBorder="1" applyAlignment="1">
      <alignment horizontal="center" vertical="center"/>
    </xf>
    <xf numFmtId="168" fontId="44" fillId="0" borderId="34" xfId="0" applyNumberFormat="1" applyFont="1" applyBorder="1" applyAlignment="1">
      <alignment horizontal="center" vertical="center"/>
    </xf>
    <xf numFmtId="0" fontId="44" fillId="10" borderId="34" xfId="0" applyFont="1" applyFill="1" applyBorder="1" applyAlignment="1">
      <alignment horizontal="center" vertical="center"/>
    </xf>
    <xf numFmtId="0" fontId="44" fillId="10" borderId="32" xfId="0" applyFont="1" applyFill="1" applyBorder="1" applyAlignment="1">
      <alignment horizontal="center" vertical="center"/>
    </xf>
    <xf numFmtId="0" fontId="86" fillId="0" borderId="34" xfId="0" applyFont="1" applyBorder="1" applyAlignment="1">
      <alignment horizontal="center" vertical="center"/>
    </xf>
    <xf numFmtId="164" fontId="44" fillId="10" borderId="32" xfId="0" applyNumberFormat="1" applyFont="1" applyFill="1" applyBorder="1" applyAlignment="1">
      <alignment horizontal="center" vertical="center"/>
    </xf>
    <xf numFmtId="170" fontId="87" fillId="11" borderId="32" xfId="0" applyNumberFormat="1" applyFont="1" applyFill="1" applyBorder="1" applyAlignment="1">
      <alignment horizontal="center" vertical="center"/>
    </xf>
    <xf numFmtId="168" fontId="44" fillId="0" borderId="32" xfId="0" applyNumberFormat="1" applyFont="1" applyBorder="1" applyAlignment="1">
      <alignment horizontal="center" vertical="center"/>
    </xf>
    <xf numFmtId="168" fontId="44" fillId="0" borderId="0" xfId="0" applyNumberFormat="1" applyFont="1" applyAlignment="1">
      <alignment horizontal="center" vertical="center"/>
    </xf>
    <xf numFmtId="14" fontId="44" fillId="0" borderId="0" xfId="0" applyNumberFormat="1" applyFont="1" applyAlignment="1">
      <alignment vertical="center"/>
    </xf>
    <xf numFmtId="0" fontId="44" fillId="0" borderId="0" xfId="0" applyFont="1" applyAlignment="1">
      <alignment horizontal="right" vertical="center"/>
    </xf>
    <xf numFmtId="0" fontId="44" fillId="0" borderId="33" xfId="0" applyNumberFormat="1" applyFont="1" applyFill="1" applyBorder="1" applyAlignment="1">
      <alignment horizontal="center" vertical="center"/>
    </xf>
    <xf numFmtId="170" fontId="87" fillId="11" borderId="0" xfId="0" applyNumberFormat="1" applyFont="1" applyFill="1" applyBorder="1" applyAlignment="1">
      <alignment horizontal="center" vertical="center"/>
    </xf>
    <xf numFmtId="14" fontId="87" fillId="11" borderId="32" xfId="0" applyNumberFormat="1" applyFont="1" applyFill="1" applyBorder="1" applyAlignment="1">
      <alignment horizontal="center" vertical="center"/>
    </xf>
    <xf numFmtId="14" fontId="44" fillId="0" borderId="0" xfId="0" applyNumberFormat="1" applyFont="1" applyBorder="1" applyAlignment="1">
      <alignment vertical="center"/>
    </xf>
    <xf numFmtId="1" fontId="85" fillId="10" borderId="32" xfId="0" applyNumberFormat="1" applyFont="1" applyFill="1" applyBorder="1" applyAlignment="1">
      <alignment horizontal="center" vertical="center"/>
    </xf>
    <xf numFmtId="0" fontId="87" fillId="11" borderId="0" xfId="0" applyFont="1" applyFill="1" applyAlignment="1">
      <alignment horizontal="center" vertical="center"/>
    </xf>
    <xf numFmtId="0" fontId="44" fillId="0" borderId="34" xfId="0" applyFont="1" applyBorder="1" applyAlignment="1">
      <alignment vertical="center"/>
    </xf>
    <xf numFmtId="170" fontId="87" fillId="11" borderId="0" xfId="0" applyNumberFormat="1" applyFont="1" applyFill="1" applyAlignment="1">
      <alignment horizontal="center" vertical="center"/>
    </xf>
    <xf numFmtId="0" fontId="44" fillId="0" borderId="0" xfId="0" applyFont="1" applyBorder="1" applyAlignment="1">
      <alignment horizontal="right" vertical="center"/>
    </xf>
    <xf numFmtId="164" fontId="2" fillId="10" borderId="32" xfId="0" applyNumberFormat="1" applyFont="1" applyFill="1" applyBorder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0" fontId="87" fillId="11" borderId="33" xfId="0" applyFont="1" applyFill="1" applyBorder="1" applyAlignment="1">
      <alignment horizontal="center" vertical="center"/>
    </xf>
    <xf numFmtId="2" fontId="44" fillId="0" borderId="33" xfId="0" applyNumberFormat="1" applyFont="1" applyFill="1" applyBorder="1" applyAlignment="1">
      <alignment horizontal="center" vertical="center"/>
    </xf>
    <xf numFmtId="1" fontId="44" fillId="10" borderId="34" xfId="0" applyNumberFormat="1" applyFont="1" applyFill="1" applyBorder="1" applyAlignment="1">
      <alignment horizontal="center" vertical="center"/>
    </xf>
    <xf numFmtId="0" fontId="44" fillId="0" borderId="33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170" fontId="87" fillId="10" borderId="32" xfId="0" applyNumberFormat="1" applyFont="1" applyFill="1" applyBorder="1" applyAlignment="1">
      <alignment horizontal="center" vertical="center"/>
    </xf>
    <xf numFmtId="0" fontId="86" fillId="0" borderId="34" xfId="0" applyFont="1" applyFill="1" applyBorder="1" applyAlignment="1">
      <alignment horizontal="center" vertical="center"/>
    </xf>
    <xf numFmtId="164" fontId="44" fillId="0" borderId="3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45" fillId="0" borderId="0" xfId="0" applyFont="1" applyFill="1" applyBorder="1" applyAlignment="1">
      <alignment vertical="center"/>
    </xf>
    <xf numFmtId="0" fontId="65" fillId="2" borderId="63" xfId="0" applyFont="1" applyFill="1" applyBorder="1" applyAlignment="1">
      <alignment horizontal="left"/>
    </xf>
    <xf numFmtId="0" fontId="43" fillId="0" borderId="33" xfId="0" applyFont="1" applyBorder="1" applyAlignment="1">
      <alignment horizontal="left"/>
    </xf>
    <xf numFmtId="14" fontId="43" fillId="0" borderId="33" xfId="0" applyNumberFormat="1" applyFont="1" applyBorder="1" applyAlignment="1">
      <alignment horizontal="center"/>
    </xf>
    <xf numFmtId="164" fontId="43" fillId="0" borderId="33" xfId="0" applyNumberFormat="1" applyFont="1" applyBorder="1" applyAlignment="1">
      <alignment horizontal="center"/>
    </xf>
    <xf numFmtId="164" fontId="43" fillId="0" borderId="33" xfId="0" applyNumberFormat="1" applyFont="1" applyFill="1" applyBorder="1" applyAlignment="1">
      <alignment horizontal="center"/>
    </xf>
    <xf numFmtId="14" fontId="43" fillId="0" borderId="34" xfId="0" applyNumberFormat="1" applyFont="1" applyBorder="1" applyAlignment="1">
      <alignment vertical="center"/>
    </xf>
    <xf numFmtId="0" fontId="43" fillId="0" borderId="0" xfId="0" applyFont="1" applyBorder="1" applyAlignment="1">
      <alignment horizontal="center"/>
    </xf>
    <xf numFmtId="0" fontId="56" fillId="2" borderId="63" xfId="0" applyFont="1" applyFill="1" applyBorder="1" applyAlignment="1">
      <alignment vertical="center"/>
    </xf>
    <xf numFmtId="0" fontId="52" fillId="0" borderId="33" xfId="0" applyFont="1" applyBorder="1" applyAlignment="1">
      <alignment horizontal="left" vertical="center"/>
    </xf>
    <xf numFmtId="0" fontId="52" fillId="0" borderId="33" xfId="0" applyFont="1" applyBorder="1" applyAlignment="1">
      <alignment horizontal="center" vertical="center"/>
    </xf>
    <xf numFmtId="14" fontId="52" fillId="0" borderId="33" xfId="0" applyNumberFormat="1" applyFont="1" applyBorder="1" applyAlignment="1">
      <alignment horizontal="center" vertical="center"/>
    </xf>
    <xf numFmtId="164" fontId="52" fillId="0" borderId="33" xfId="0" applyNumberFormat="1" applyFont="1" applyBorder="1" applyAlignment="1">
      <alignment horizontal="center" vertical="center"/>
    </xf>
    <xf numFmtId="1" fontId="88" fillId="10" borderId="33" xfId="0" applyNumberFormat="1" applyFont="1" applyFill="1" applyBorder="1" applyAlignment="1">
      <alignment horizontal="center" vertical="center"/>
    </xf>
    <xf numFmtId="168" fontId="52" fillId="0" borderId="33" xfId="0" applyNumberFormat="1" applyFont="1" applyBorder="1" applyAlignment="1">
      <alignment horizontal="center"/>
    </xf>
    <xf numFmtId="0" fontId="52" fillId="0" borderId="33" xfId="0" applyFont="1" applyBorder="1" applyAlignment="1">
      <alignment vertical="center"/>
    </xf>
    <xf numFmtId="164" fontId="52" fillId="0" borderId="33" xfId="0" applyNumberFormat="1" applyFont="1" applyFill="1" applyBorder="1" applyAlignment="1">
      <alignment horizontal="center" vertical="center"/>
    </xf>
    <xf numFmtId="2" fontId="52" fillId="10" borderId="33" xfId="0" applyNumberFormat="1" applyFont="1" applyFill="1" applyBorder="1" applyAlignment="1">
      <alignment horizontal="center" vertical="center"/>
    </xf>
    <xf numFmtId="0" fontId="52" fillId="6" borderId="33" xfId="0" applyFont="1" applyFill="1" applyBorder="1" applyAlignment="1">
      <alignment horizontal="center" vertical="center"/>
    </xf>
    <xf numFmtId="1" fontId="52" fillId="10" borderId="33" xfId="0" applyNumberFormat="1" applyFont="1" applyFill="1" applyBorder="1" applyAlignment="1">
      <alignment horizontal="center" vertical="center"/>
    </xf>
    <xf numFmtId="0" fontId="52" fillId="10" borderId="33" xfId="0" applyFont="1" applyFill="1" applyBorder="1" applyAlignment="1">
      <alignment horizontal="center" vertical="center"/>
    </xf>
    <xf numFmtId="0" fontId="89" fillId="0" borderId="33" xfId="0" applyFont="1" applyBorder="1" applyAlignment="1">
      <alignment horizontal="center" vertical="center"/>
    </xf>
    <xf numFmtId="164" fontId="52" fillId="10" borderId="33" xfId="0" applyNumberFormat="1" applyFont="1" applyFill="1" applyBorder="1" applyAlignment="1">
      <alignment horizontal="center" vertical="center"/>
    </xf>
    <xf numFmtId="165" fontId="52" fillId="10" borderId="33" xfId="0" applyNumberFormat="1" applyFont="1" applyFill="1" applyBorder="1" applyAlignment="1">
      <alignment horizontal="center" vertical="center"/>
    </xf>
    <xf numFmtId="0" fontId="52" fillId="0" borderId="33" xfId="0" applyNumberFormat="1" applyFont="1" applyBorder="1" applyAlignment="1">
      <alignment horizontal="center" vertical="center"/>
    </xf>
    <xf numFmtId="170" fontId="90" fillId="11" borderId="33" xfId="0" applyNumberFormat="1" applyFont="1" applyFill="1" applyBorder="1" applyAlignment="1">
      <alignment horizontal="center" vertical="center"/>
    </xf>
    <xf numFmtId="14" fontId="52" fillId="0" borderId="33" xfId="0" applyNumberFormat="1" applyFont="1" applyBorder="1" applyAlignment="1">
      <alignment vertical="center"/>
    </xf>
    <xf numFmtId="0" fontId="52" fillId="0" borderId="33" xfId="0" applyFont="1" applyBorder="1" applyAlignment="1">
      <alignment horizontal="right" vertical="center"/>
    </xf>
    <xf numFmtId="14" fontId="90" fillId="11" borderId="33" xfId="0" applyNumberFormat="1" applyFont="1" applyFill="1" applyBorder="1" applyAlignment="1">
      <alignment horizontal="center" vertical="center"/>
    </xf>
    <xf numFmtId="14" fontId="52" fillId="0" borderId="0" xfId="0" applyNumberFormat="1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14" fontId="52" fillId="0" borderId="34" xfId="0" applyNumberFormat="1" applyFont="1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0" fontId="52" fillId="0" borderId="34" xfId="0" applyFont="1" applyBorder="1" applyAlignment="1">
      <alignment horizontal="center" vertical="center"/>
    </xf>
    <xf numFmtId="0" fontId="52" fillId="0" borderId="0" xfId="0" applyFont="1" applyFill="1" applyBorder="1" applyAlignment="1">
      <alignment vertical="center"/>
    </xf>
    <xf numFmtId="0" fontId="45" fillId="2" borderId="33" xfId="0" applyFont="1" applyFill="1" applyBorder="1" applyAlignment="1">
      <alignment vertical="center"/>
    </xf>
    <xf numFmtId="0" fontId="46" fillId="0" borderId="0" xfId="0" applyFont="1" applyFill="1" applyBorder="1" applyAlignment="1">
      <alignment vertical="center"/>
    </xf>
    <xf numFmtId="0" fontId="47" fillId="6" borderId="33" xfId="0" applyFont="1" applyFill="1" applyBorder="1" applyAlignment="1">
      <alignment horizontal="center" vertical="center"/>
    </xf>
    <xf numFmtId="0" fontId="43" fillId="11" borderId="0" xfId="0" applyFont="1" applyFill="1" applyAlignment="1">
      <alignment vertical="center"/>
    </xf>
    <xf numFmtId="0" fontId="55" fillId="2" borderId="33" xfId="0" applyFont="1" applyFill="1" applyBorder="1" applyAlignment="1">
      <alignment vertical="center"/>
    </xf>
    <xf numFmtId="1" fontId="2" fillId="10" borderId="34" xfId="0" applyNumberFormat="1" applyFont="1" applyFill="1" applyBorder="1" applyAlignment="1">
      <alignment horizontal="center" vertical="center"/>
    </xf>
    <xf numFmtId="170" fontId="60" fillId="11" borderId="0" xfId="0" applyNumberFormat="1" applyFont="1" applyFill="1" applyBorder="1" applyAlignment="1">
      <alignment horizontal="center" vertical="center"/>
    </xf>
    <xf numFmtId="0" fontId="47" fillId="0" borderId="32" xfId="0" applyFont="1" applyBorder="1" applyAlignment="1">
      <alignment horizontal="center" vertical="center"/>
    </xf>
    <xf numFmtId="14" fontId="47" fillId="0" borderId="32" xfId="0" applyNumberFormat="1" applyFont="1" applyBorder="1" applyAlignment="1">
      <alignment horizontal="center" vertical="center"/>
    </xf>
    <xf numFmtId="164" fontId="47" fillId="0" borderId="32" xfId="0" applyNumberFormat="1" applyFont="1" applyBorder="1" applyAlignment="1">
      <alignment horizontal="center" vertical="center"/>
    </xf>
    <xf numFmtId="1" fontId="71" fillId="14" borderId="32" xfId="0" applyNumberFormat="1" applyFont="1" applyFill="1" applyBorder="1" applyAlignment="1">
      <alignment horizontal="center" vertical="center"/>
    </xf>
    <xf numFmtId="168" fontId="47" fillId="0" borderId="32" xfId="0" applyNumberFormat="1" applyFont="1" applyBorder="1" applyAlignment="1">
      <alignment horizontal="center" vertical="center"/>
    </xf>
    <xf numFmtId="168" fontId="47" fillId="0" borderId="34" xfId="0" applyNumberFormat="1" applyFont="1" applyBorder="1" applyAlignment="1">
      <alignment horizontal="center" vertical="center"/>
    </xf>
    <xf numFmtId="0" fontId="47" fillId="10" borderId="34" xfId="0" applyFont="1" applyFill="1" applyBorder="1" applyAlignment="1">
      <alignment horizontal="center" vertical="center"/>
    </xf>
    <xf numFmtId="0" fontId="47" fillId="10" borderId="32" xfId="0" applyFont="1" applyFill="1" applyBorder="1" applyAlignment="1">
      <alignment horizontal="center" vertical="center"/>
    </xf>
    <xf numFmtId="0" fontId="69" fillId="0" borderId="34" xfId="0" applyFont="1" applyBorder="1" applyAlignment="1">
      <alignment horizontal="center" vertical="center"/>
    </xf>
    <xf numFmtId="164" fontId="47" fillId="10" borderId="32" xfId="0" applyNumberFormat="1" applyFont="1" applyFill="1" applyBorder="1" applyAlignment="1">
      <alignment horizontal="center" vertical="center"/>
    </xf>
    <xf numFmtId="0" fontId="47" fillId="0" borderId="0" xfId="0" applyNumberFormat="1" applyFont="1" applyBorder="1" applyAlignment="1">
      <alignment horizontal="center" vertical="center"/>
    </xf>
    <xf numFmtId="168" fontId="47" fillId="0" borderId="0" xfId="0" applyNumberFormat="1" applyFont="1" applyBorder="1" applyAlignment="1">
      <alignment horizontal="center" vertical="center"/>
    </xf>
    <xf numFmtId="170" fontId="72" fillId="11" borderId="0" xfId="0" applyNumberFormat="1" applyFont="1" applyFill="1" applyBorder="1" applyAlignment="1">
      <alignment horizontal="center" vertical="center"/>
    </xf>
    <xf numFmtId="170" fontId="72" fillId="11" borderId="32" xfId="0" applyNumberFormat="1" applyFont="1" applyFill="1" applyBorder="1" applyAlignment="1">
      <alignment horizontal="center" vertical="center"/>
    </xf>
    <xf numFmtId="14" fontId="47" fillId="0" borderId="0" xfId="0" applyNumberFormat="1" applyFont="1" applyBorder="1" applyAlignment="1">
      <alignment vertical="center"/>
    </xf>
    <xf numFmtId="0" fontId="47" fillId="0" borderId="0" xfId="0" applyFont="1" applyBorder="1" applyAlignment="1">
      <alignment horizontal="right" vertical="center"/>
    </xf>
    <xf numFmtId="14" fontId="72" fillId="11" borderId="32" xfId="0" applyNumberFormat="1" applyFont="1" applyFill="1" applyBorder="1" applyAlignment="1">
      <alignment horizontal="center" vertical="center"/>
    </xf>
    <xf numFmtId="0" fontId="47" fillId="0" borderId="32" xfId="0" applyFont="1" applyBorder="1" applyAlignment="1">
      <alignment vertical="center"/>
    </xf>
    <xf numFmtId="0" fontId="48" fillId="7" borderId="63" xfId="0" applyFont="1" applyFill="1" applyBorder="1" applyAlignment="1">
      <alignment vertical="center"/>
    </xf>
    <xf numFmtId="0" fontId="1" fillId="0" borderId="83" xfId="0" applyFont="1" applyFill="1" applyBorder="1" applyAlignment="1">
      <alignment horizontal="center" vertical="center"/>
    </xf>
    <xf numFmtId="0" fontId="43" fillId="0" borderId="83" xfId="0" applyFont="1" applyFill="1" applyBorder="1" applyAlignment="1">
      <alignment vertical="center"/>
    </xf>
    <xf numFmtId="0" fontId="2" fillId="0" borderId="83" xfId="0" applyFont="1" applyFill="1" applyBorder="1" applyAlignment="1">
      <alignment vertical="center"/>
    </xf>
    <xf numFmtId="0" fontId="44" fillId="0" borderId="83" xfId="0" applyFont="1" applyFill="1" applyBorder="1" applyAlignment="1">
      <alignment vertical="center"/>
    </xf>
    <xf numFmtId="0" fontId="2" fillId="0" borderId="83" xfId="0" applyFont="1" applyFill="1" applyBorder="1"/>
    <xf numFmtId="0" fontId="49" fillId="0" borderId="83" xfId="0" applyFont="1" applyFill="1" applyBorder="1" applyAlignment="1">
      <alignment vertical="center"/>
    </xf>
    <xf numFmtId="0" fontId="2" fillId="0" borderId="83" xfId="0" applyFont="1" applyFill="1" applyBorder="1" applyAlignment="1">
      <alignment horizontal="left"/>
    </xf>
    <xf numFmtId="0" fontId="47" fillId="0" borderId="83" xfId="0" applyFont="1" applyFill="1" applyBorder="1" applyAlignment="1">
      <alignment vertical="center"/>
    </xf>
    <xf numFmtId="0" fontId="43" fillId="0" borderId="83" xfId="0" applyFont="1" applyFill="1" applyBorder="1" applyAlignment="1">
      <alignment horizontal="left"/>
    </xf>
    <xf numFmtId="0" fontId="52" fillId="0" borderId="83" xfId="0" applyFont="1" applyFill="1" applyBorder="1" applyAlignment="1">
      <alignment vertical="center"/>
    </xf>
    <xf numFmtId="0" fontId="43" fillId="0" borderId="83" xfId="0" applyFont="1" applyFill="1" applyBorder="1"/>
    <xf numFmtId="164" fontId="1" fillId="0" borderId="83" xfId="0" applyNumberFormat="1" applyFont="1" applyFill="1" applyBorder="1" applyAlignment="1">
      <alignment horizontal="center" vertical="center"/>
    </xf>
    <xf numFmtId="164" fontId="1" fillId="0" borderId="83" xfId="0" applyNumberFormat="1" applyFont="1" applyFill="1" applyBorder="1" applyAlignment="1">
      <alignment horizontal="center" vertical="center" wrapText="1"/>
    </xf>
    <xf numFmtId="168" fontId="1" fillId="0" borderId="83" xfId="0" applyNumberFormat="1" applyFont="1" applyFill="1" applyBorder="1" applyAlignment="1">
      <alignment horizontal="center" vertical="center"/>
    </xf>
    <xf numFmtId="0" fontId="43" fillId="0" borderId="83" xfId="0" applyFont="1" applyFill="1" applyBorder="1" applyAlignment="1">
      <alignment horizontal="left" vertical="center"/>
    </xf>
    <xf numFmtId="0" fontId="43" fillId="0" borderId="83" xfId="0" applyFont="1" applyFill="1" applyBorder="1" applyAlignment="1">
      <alignment horizontal="center" vertical="center"/>
    </xf>
    <xf numFmtId="164" fontId="43" fillId="0" borderId="83" xfId="0" applyNumberFormat="1" applyFont="1" applyFill="1" applyBorder="1" applyAlignment="1">
      <alignment horizontal="center" vertical="center"/>
    </xf>
    <xf numFmtId="168" fontId="43" fillId="0" borderId="83" xfId="0" applyNumberFormat="1" applyFont="1" applyFill="1" applyBorder="1" applyAlignment="1">
      <alignment horizontal="center" vertical="center"/>
    </xf>
    <xf numFmtId="0" fontId="2" fillId="0" borderId="83" xfId="0" applyFont="1" applyFill="1" applyBorder="1" applyAlignment="1">
      <alignment horizontal="left" vertical="center"/>
    </xf>
    <xf numFmtId="0" fontId="2" fillId="0" borderId="83" xfId="0" applyFont="1" applyFill="1" applyBorder="1" applyAlignment="1">
      <alignment horizontal="center" vertical="center"/>
    </xf>
    <xf numFmtId="164" fontId="2" fillId="0" borderId="83" xfId="0" applyNumberFormat="1" applyFont="1" applyFill="1" applyBorder="1" applyAlignment="1">
      <alignment horizontal="center" vertical="center"/>
    </xf>
    <xf numFmtId="168" fontId="2" fillId="0" borderId="83" xfId="0" applyNumberFormat="1" applyFont="1" applyFill="1" applyBorder="1" applyAlignment="1">
      <alignment horizontal="center"/>
    </xf>
    <xf numFmtId="168" fontId="2" fillId="0" borderId="83" xfId="0" applyNumberFormat="1" applyFont="1" applyFill="1" applyBorder="1" applyAlignment="1">
      <alignment horizontal="center" vertical="center"/>
    </xf>
    <xf numFmtId="0" fontId="44" fillId="0" borderId="83" xfId="0" applyFont="1" applyFill="1" applyBorder="1" applyAlignment="1">
      <alignment horizontal="left" vertical="center"/>
    </xf>
    <xf numFmtId="0" fontId="44" fillId="0" borderId="83" xfId="0" applyFont="1" applyFill="1" applyBorder="1" applyAlignment="1">
      <alignment horizontal="center" vertical="center"/>
    </xf>
    <xf numFmtId="164" fontId="44" fillId="0" borderId="83" xfId="0" applyNumberFormat="1" applyFont="1" applyFill="1" applyBorder="1" applyAlignment="1">
      <alignment horizontal="center" vertical="center"/>
    </xf>
    <xf numFmtId="168" fontId="44" fillId="0" borderId="83" xfId="0" applyNumberFormat="1" applyFont="1" applyFill="1" applyBorder="1" applyAlignment="1">
      <alignment horizontal="center"/>
    </xf>
    <xf numFmtId="168" fontId="44" fillId="0" borderId="83" xfId="0" applyNumberFormat="1" applyFont="1" applyFill="1" applyBorder="1" applyAlignment="1">
      <alignment horizontal="center" vertical="center"/>
    </xf>
    <xf numFmtId="0" fontId="2" fillId="0" borderId="83" xfId="0" applyFont="1" applyFill="1" applyBorder="1" applyAlignment="1">
      <alignment horizontal="center"/>
    </xf>
    <xf numFmtId="0" fontId="49" fillId="0" borderId="83" xfId="0" applyFont="1" applyFill="1" applyBorder="1" applyAlignment="1">
      <alignment horizontal="left" vertical="center"/>
    </xf>
    <xf numFmtId="0" fontId="49" fillId="0" borderId="83" xfId="0" applyFont="1" applyFill="1" applyBorder="1" applyAlignment="1">
      <alignment horizontal="center" vertical="center"/>
    </xf>
    <xf numFmtId="164" fontId="49" fillId="0" borderId="83" xfId="0" applyNumberFormat="1" applyFont="1" applyFill="1" applyBorder="1" applyAlignment="1">
      <alignment horizontal="center" vertical="center"/>
    </xf>
    <xf numFmtId="168" fontId="49" fillId="0" borderId="83" xfId="0" applyNumberFormat="1" applyFont="1" applyFill="1" applyBorder="1" applyAlignment="1">
      <alignment horizontal="center" vertical="center"/>
    </xf>
    <xf numFmtId="168" fontId="43" fillId="0" borderId="83" xfId="0" applyNumberFormat="1" applyFont="1" applyFill="1" applyBorder="1" applyAlignment="1">
      <alignment horizontal="center"/>
    </xf>
    <xf numFmtId="164" fontId="2" fillId="0" borderId="83" xfId="0" applyNumberFormat="1" applyFont="1" applyFill="1" applyBorder="1" applyAlignment="1">
      <alignment horizontal="center"/>
    </xf>
    <xf numFmtId="0" fontId="47" fillId="0" borderId="83" xfId="0" applyFont="1" applyFill="1" applyBorder="1" applyAlignment="1">
      <alignment horizontal="left" vertical="center"/>
    </xf>
    <xf numFmtId="0" fontId="47" fillId="0" borderId="83" xfId="0" applyFont="1" applyFill="1" applyBorder="1" applyAlignment="1">
      <alignment horizontal="center" vertical="center"/>
    </xf>
    <xf numFmtId="164" fontId="47" fillId="0" borderId="83" xfId="0" applyNumberFormat="1" applyFont="1" applyFill="1" applyBorder="1" applyAlignment="1">
      <alignment horizontal="center" vertical="center"/>
    </xf>
    <xf numFmtId="168" fontId="47" fillId="0" borderId="83" xfId="0" applyNumberFormat="1" applyFont="1" applyFill="1" applyBorder="1" applyAlignment="1">
      <alignment horizontal="center"/>
    </xf>
    <xf numFmtId="0" fontId="43" fillId="0" borderId="83" xfId="0" applyFont="1" applyFill="1" applyBorder="1" applyAlignment="1">
      <alignment horizontal="center"/>
    </xf>
    <xf numFmtId="164" fontId="43" fillId="0" borderId="83" xfId="0" applyNumberFormat="1" applyFont="1" applyFill="1" applyBorder="1" applyAlignment="1">
      <alignment horizontal="center"/>
    </xf>
    <xf numFmtId="0" fontId="52" fillId="0" borderId="83" xfId="0" applyFont="1" applyFill="1" applyBorder="1" applyAlignment="1">
      <alignment horizontal="left" vertical="center"/>
    </xf>
    <xf numFmtId="0" fontId="52" fillId="0" borderId="83" xfId="0" applyFont="1" applyFill="1" applyBorder="1" applyAlignment="1">
      <alignment horizontal="center" vertical="center"/>
    </xf>
    <xf numFmtId="164" fontId="52" fillId="0" borderId="83" xfId="0" applyNumberFormat="1" applyFont="1" applyFill="1" applyBorder="1" applyAlignment="1">
      <alignment horizontal="center" vertical="center"/>
    </xf>
    <xf numFmtId="168" fontId="52" fillId="0" borderId="83" xfId="0" applyNumberFormat="1" applyFont="1" applyFill="1" applyBorder="1" applyAlignment="1">
      <alignment horizontal="center"/>
    </xf>
    <xf numFmtId="168" fontId="47" fillId="0" borderId="83" xfId="0" applyNumberFormat="1" applyFont="1" applyFill="1" applyBorder="1" applyAlignment="1">
      <alignment horizontal="center" vertical="center"/>
    </xf>
    <xf numFmtId="0" fontId="1" fillId="7" borderId="105" xfId="0" applyFont="1" applyFill="1" applyBorder="1"/>
    <xf numFmtId="1" fontId="2" fillId="10" borderId="32" xfId="0" applyNumberFormat="1" applyFont="1" applyFill="1" applyBorder="1" applyAlignment="1">
      <alignment horizontal="center" vertical="center"/>
    </xf>
    <xf numFmtId="0" fontId="51" fillId="0" borderId="34" xfId="0" applyFont="1" applyBorder="1" applyAlignment="1">
      <alignment horizontal="center" vertical="center"/>
    </xf>
    <xf numFmtId="164" fontId="49" fillId="10" borderId="32" xfId="0" applyNumberFormat="1" applyFont="1" applyFill="1" applyBorder="1" applyAlignment="1">
      <alignment horizontal="center" vertical="center"/>
    </xf>
    <xf numFmtId="168" fontId="49" fillId="0" borderId="0" xfId="0" applyNumberFormat="1" applyFont="1" applyBorder="1" applyAlignment="1">
      <alignment horizontal="center" vertical="center"/>
    </xf>
    <xf numFmtId="0" fontId="43" fillId="0" borderId="32" xfId="0" applyFont="1" applyBorder="1" applyAlignment="1">
      <alignment vertical="center"/>
    </xf>
    <xf numFmtId="170" fontId="60" fillId="10" borderId="32" xfId="0" applyNumberFormat="1" applyFont="1" applyFill="1" applyBorder="1" applyAlignment="1">
      <alignment horizontal="center" vertical="center"/>
    </xf>
    <xf numFmtId="1" fontId="58" fillId="14" borderId="33" xfId="0" applyNumberFormat="1" applyFont="1" applyFill="1" applyBorder="1" applyAlignment="1">
      <alignment horizontal="center" vertical="center"/>
    </xf>
    <xf numFmtId="171" fontId="48" fillId="0" borderId="33" xfId="0" applyNumberFormat="1" applyFont="1" applyBorder="1" applyAlignment="1">
      <alignment horizontal="center" vertical="center"/>
    </xf>
    <xf numFmtId="14" fontId="74" fillId="0" borderId="33" xfId="0" applyNumberFormat="1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47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3" fillId="3" borderId="43" xfId="0" applyNumberFormat="1" applyFont="1" applyFill="1" applyBorder="1" applyAlignment="1">
      <alignment horizontal="center" vertical="center"/>
    </xf>
    <xf numFmtId="0" fontId="13" fillId="3" borderId="44" xfId="0" applyNumberFormat="1" applyFont="1" applyFill="1" applyBorder="1" applyAlignment="1">
      <alignment horizontal="center" vertical="center"/>
    </xf>
    <xf numFmtId="0" fontId="13" fillId="3" borderId="42" xfId="0" applyNumberFormat="1" applyFont="1" applyFill="1" applyBorder="1" applyAlignment="1">
      <alignment horizontal="center" vertical="center"/>
    </xf>
    <xf numFmtId="0" fontId="22" fillId="0" borderId="66" xfId="0" applyFont="1" applyBorder="1" applyAlignment="1">
      <alignment horizontal="center" vertical="center" wrapText="1"/>
    </xf>
    <xf numFmtId="0" fontId="22" fillId="0" borderId="61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37" fillId="0" borderId="0" xfId="0" applyFont="1" applyAlignment="1">
      <alignment horizontal="right"/>
    </xf>
    <xf numFmtId="0" fontId="1" fillId="0" borderId="47" xfId="0" applyFont="1" applyBorder="1" applyAlignment="1">
      <alignment horizontal="left"/>
    </xf>
    <xf numFmtId="0" fontId="22" fillId="0" borderId="66" xfId="0" applyFont="1" applyBorder="1" applyAlignment="1">
      <alignment horizontal="left"/>
    </xf>
    <xf numFmtId="0" fontId="22" fillId="0" borderId="61" xfId="0" applyFont="1" applyBorder="1" applyAlignment="1">
      <alignment horizontal="left"/>
    </xf>
    <xf numFmtId="0" fontId="2" fillId="7" borderId="78" xfId="0" applyFont="1" applyFill="1" applyBorder="1" applyAlignment="1">
      <alignment horizontal="center"/>
    </xf>
    <xf numFmtId="0" fontId="2" fillId="7" borderId="80" xfId="0" applyFont="1" applyFill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2" fillId="0" borderId="74" xfId="0" applyFont="1" applyBorder="1" applyAlignment="1">
      <alignment horizontal="center"/>
    </xf>
    <xf numFmtId="0" fontId="2" fillId="0" borderId="75" xfId="0" applyFont="1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2" fillId="7" borderId="79" xfId="0" applyFont="1" applyFill="1" applyBorder="1" applyAlignment="1">
      <alignment horizontal="center"/>
    </xf>
    <xf numFmtId="0" fontId="84" fillId="17" borderId="101" xfId="0" applyFont="1" applyFill="1" applyBorder="1" applyAlignment="1">
      <alignment horizontal="center" vertical="center"/>
    </xf>
    <xf numFmtId="0" fontId="84" fillId="17" borderId="74" xfId="0" applyFont="1" applyFill="1" applyBorder="1" applyAlignment="1">
      <alignment horizontal="center" vertical="center"/>
    </xf>
    <xf numFmtId="0" fontId="84" fillId="17" borderId="75" xfId="0" applyFont="1" applyFill="1" applyBorder="1" applyAlignment="1">
      <alignment horizontal="center" vertical="center"/>
    </xf>
    <xf numFmtId="0" fontId="84" fillId="17" borderId="32" xfId="0" applyFont="1" applyFill="1" applyBorder="1" applyAlignment="1">
      <alignment horizontal="center" vertical="center"/>
    </xf>
    <xf numFmtId="0" fontId="84" fillId="17" borderId="0" xfId="0" applyFont="1" applyFill="1" applyBorder="1" applyAlignment="1">
      <alignment horizontal="center" vertical="center"/>
    </xf>
    <xf numFmtId="0" fontId="84" fillId="17" borderId="77" xfId="0" applyFont="1" applyFill="1" applyBorder="1" applyAlignment="1">
      <alignment horizontal="center" vertical="center"/>
    </xf>
    <xf numFmtId="0" fontId="84" fillId="17" borderId="45" xfId="0" applyFont="1" applyFill="1" applyBorder="1" applyAlignment="1">
      <alignment horizontal="center" vertical="center"/>
    </xf>
    <xf numFmtId="0" fontId="84" fillId="17" borderId="65" xfId="0" applyFont="1" applyFill="1" applyBorder="1" applyAlignment="1">
      <alignment horizontal="center" vertical="center"/>
    </xf>
    <xf numFmtId="0" fontId="84" fillId="17" borderId="102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5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colors>
    <mruColors>
      <color rgb="FF0000FF"/>
      <color rgb="FFFF00FF"/>
      <color rgb="FF008000"/>
      <color rgb="FFFFFF00"/>
      <color rgb="FFFFF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151</xdr:row>
      <xdr:rowOff>2465</xdr:rowOff>
    </xdr:from>
    <xdr:to>
      <xdr:col>21</xdr:col>
      <xdr:colOff>0</xdr:colOff>
      <xdr:row>151</xdr:row>
      <xdr:rowOff>2465</xdr:rowOff>
    </xdr:to>
    <xdr:sp macro="" textlink="">
      <xdr:nvSpPr>
        <xdr:cNvPr id="7169" name="Texte 1"/>
        <xdr:cNvSpPr txBox="1">
          <a:spLocks noChangeArrowheads="1"/>
        </xdr:cNvSpPr>
      </xdr:nvSpPr>
      <xdr:spPr bwMode="auto">
        <a:xfrm>
          <a:off x="17154525" y="14630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7170" name="Texte 1"/>
        <xdr:cNvSpPr txBox="1">
          <a:spLocks noChangeArrowheads="1"/>
        </xdr:cNvSpPr>
      </xdr:nvSpPr>
      <xdr:spPr bwMode="auto">
        <a:xfrm>
          <a:off x="17154525" y="33851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7171" name="Texte 1"/>
        <xdr:cNvSpPr txBox="1">
          <a:spLocks noChangeArrowheads="1"/>
        </xdr:cNvSpPr>
      </xdr:nvSpPr>
      <xdr:spPr bwMode="auto">
        <a:xfrm>
          <a:off x="17154525" y="33851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115</xdr:row>
      <xdr:rowOff>40678</xdr:rowOff>
    </xdr:from>
    <xdr:to>
      <xdr:col>21</xdr:col>
      <xdr:colOff>0</xdr:colOff>
      <xdr:row>115</xdr:row>
      <xdr:rowOff>40678</xdr:rowOff>
    </xdr:to>
    <xdr:sp macro="" textlink="">
      <xdr:nvSpPr>
        <xdr:cNvPr id="7366" name="Texte 1"/>
        <xdr:cNvSpPr txBox="1">
          <a:spLocks noChangeArrowheads="1"/>
        </xdr:cNvSpPr>
      </xdr:nvSpPr>
      <xdr:spPr bwMode="auto">
        <a:xfrm>
          <a:off x="5775960" y="63474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115</xdr:row>
      <xdr:rowOff>40678</xdr:rowOff>
    </xdr:from>
    <xdr:to>
      <xdr:col>21</xdr:col>
      <xdr:colOff>0</xdr:colOff>
      <xdr:row>115</xdr:row>
      <xdr:rowOff>40678</xdr:rowOff>
    </xdr:to>
    <xdr:sp macro="" textlink="">
      <xdr:nvSpPr>
        <xdr:cNvPr id="7367" name="Texte 1"/>
        <xdr:cNvSpPr txBox="1">
          <a:spLocks noChangeArrowheads="1"/>
        </xdr:cNvSpPr>
      </xdr:nvSpPr>
      <xdr:spPr bwMode="auto">
        <a:xfrm>
          <a:off x="5775960" y="63474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0</xdr:colOff>
      <xdr:row>0</xdr:row>
      <xdr:rowOff>0</xdr:rowOff>
    </xdr:to>
    <xdr:sp macro="" textlink="">
      <xdr:nvSpPr>
        <xdr:cNvPr id="7369" name="Texte 1"/>
        <xdr:cNvSpPr txBox="1">
          <a:spLocks noChangeArrowheads="1"/>
        </xdr:cNvSpPr>
      </xdr:nvSpPr>
      <xdr:spPr bwMode="auto">
        <a:xfrm>
          <a:off x="577596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0</xdr:colOff>
      <xdr:row>0</xdr:row>
      <xdr:rowOff>0</xdr:rowOff>
    </xdr:to>
    <xdr:sp macro="" textlink="">
      <xdr:nvSpPr>
        <xdr:cNvPr id="7370" name="Texte 1"/>
        <xdr:cNvSpPr txBox="1">
          <a:spLocks noChangeArrowheads="1"/>
        </xdr:cNvSpPr>
      </xdr:nvSpPr>
      <xdr:spPr bwMode="auto">
        <a:xfrm>
          <a:off x="577596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115</xdr:row>
      <xdr:rowOff>30141</xdr:rowOff>
    </xdr:from>
    <xdr:to>
      <xdr:col>21</xdr:col>
      <xdr:colOff>0</xdr:colOff>
      <xdr:row>115</xdr:row>
      <xdr:rowOff>30141</xdr:rowOff>
    </xdr:to>
    <xdr:sp macro="" textlink="">
      <xdr:nvSpPr>
        <xdr:cNvPr id="15" name="Texte 1"/>
        <xdr:cNvSpPr txBox="1">
          <a:spLocks noChangeArrowheads="1"/>
        </xdr:cNvSpPr>
      </xdr:nvSpPr>
      <xdr:spPr bwMode="auto">
        <a:xfrm>
          <a:off x="5775960" y="19259774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115</xdr:row>
      <xdr:rowOff>30141</xdr:rowOff>
    </xdr:from>
    <xdr:to>
      <xdr:col>21</xdr:col>
      <xdr:colOff>0</xdr:colOff>
      <xdr:row>115</xdr:row>
      <xdr:rowOff>30141</xdr:rowOff>
    </xdr:to>
    <xdr:sp macro="" textlink="">
      <xdr:nvSpPr>
        <xdr:cNvPr id="16" name="Texte 1"/>
        <xdr:cNvSpPr txBox="1">
          <a:spLocks noChangeArrowheads="1"/>
        </xdr:cNvSpPr>
      </xdr:nvSpPr>
      <xdr:spPr bwMode="auto">
        <a:xfrm>
          <a:off x="5775960" y="19259774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151</xdr:row>
      <xdr:rowOff>2465</xdr:rowOff>
    </xdr:from>
    <xdr:to>
      <xdr:col>19</xdr:col>
      <xdr:colOff>0</xdr:colOff>
      <xdr:row>151</xdr:row>
      <xdr:rowOff>2465</xdr:rowOff>
    </xdr:to>
    <xdr:sp macro="" textlink="">
      <xdr:nvSpPr>
        <xdr:cNvPr id="43" name="Texte 1"/>
        <xdr:cNvSpPr txBox="1">
          <a:spLocks noChangeArrowheads="1"/>
        </xdr:cNvSpPr>
      </xdr:nvSpPr>
      <xdr:spPr bwMode="auto">
        <a:xfrm>
          <a:off x="5273040" y="305815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44" name="Texte 1"/>
        <xdr:cNvSpPr txBox="1">
          <a:spLocks noChangeArrowheads="1"/>
        </xdr:cNvSpPr>
      </xdr:nvSpPr>
      <xdr:spPr bwMode="auto">
        <a:xfrm>
          <a:off x="5273040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45" name="Texte 1"/>
        <xdr:cNvSpPr txBox="1">
          <a:spLocks noChangeArrowheads="1"/>
        </xdr:cNvSpPr>
      </xdr:nvSpPr>
      <xdr:spPr bwMode="auto">
        <a:xfrm>
          <a:off x="5273040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115</xdr:row>
      <xdr:rowOff>40678</xdr:rowOff>
    </xdr:from>
    <xdr:to>
      <xdr:col>19</xdr:col>
      <xdr:colOff>0</xdr:colOff>
      <xdr:row>115</xdr:row>
      <xdr:rowOff>40678</xdr:rowOff>
    </xdr:to>
    <xdr:sp macro="" textlink="">
      <xdr:nvSpPr>
        <xdr:cNvPr id="46" name="Texte 1"/>
        <xdr:cNvSpPr txBox="1">
          <a:spLocks noChangeArrowheads="1"/>
        </xdr:cNvSpPr>
      </xdr:nvSpPr>
      <xdr:spPr bwMode="auto">
        <a:xfrm>
          <a:off x="5273040" y="31793218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115</xdr:row>
      <xdr:rowOff>40678</xdr:rowOff>
    </xdr:from>
    <xdr:to>
      <xdr:col>19</xdr:col>
      <xdr:colOff>0</xdr:colOff>
      <xdr:row>115</xdr:row>
      <xdr:rowOff>40678</xdr:rowOff>
    </xdr:to>
    <xdr:sp macro="" textlink="">
      <xdr:nvSpPr>
        <xdr:cNvPr id="47" name="Texte 1"/>
        <xdr:cNvSpPr txBox="1">
          <a:spLocks noChangeArrowheads="1"/>
        </xdr:cNvSpPr>
      </xdr:nvSpPr>
      <xdr:spPr bwMode="auto">
        <a:xfrm>
          <a:off x="5273040" y="31793218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115</xdr:row>
      <xdr:rowOff>30141</xdr:rowOff>
    </xdr:from>
    <xdr:to>
      <xdr:col>19</xdr:col>
      <xdr:colOff>0</xdr:colOff>
      <xdr:row>115</xdr:row>
      <xdr:rowOff>30141</xdr:rowOff>
    </xdr:to>
    <xdr:sp macro="" textlink="">
      <xdr:nvSpPr>
        <xdr:cNvPr id="52" name="Texte 1"/>
        <xdr:cNvSpPr txBox="1">
          <a:spLocks noChangeArrowheads="1"/>
        </xdr:cNvSpPr>
      </xdr:nvSpPr>
      <xdr:spPr bwMode="auto">
        <a:xfrm>
          <a:off x="5273040" y="3178268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115</xdr:row>
      <xdr:rowOff>30141</xdr:rowOff>
    </xdr:from>
    <xdr:to>
      <xdr:col>19</xdr:col>
      <xdr:colOff>0</xdr:colOff>
      <xdr:row>115</xdr:row>
      <xdr:rowOff>30141</xdr:rowOff>
    </xdr:to>
    <xdr:sp macro="" textlink="">
      <xdr:nvSpPr>
        <xdr:cNvPr id="53" name="Texte 1"/>
        <xdr:cNvSpPr txBox="1">
          <a:spLocks noChangeArrowheads="1"/>
        </xdr:cNvSpPr>
      </xdr:nvSpPr>
      <xdr:spPr bwMode="auto">
        <a:xfrm>
          <a:off x="5273040" y="3178268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161</xdr:row>
      <xdr:rowOff>29135</xdr:rowOff>
    </xdr:from>
    <xdr:to>
      <xdr:col>21</xdr:col>
      <xdr:colOff>0</xdr:colOff>
      <xdr:row>161</xdr:row>
      <xdr:rowOff>29135</xdr:rowOff>
    </xdr:to>
    <xdr:sp macro="" textlink="">
      <xdr:nvSpPr>
        <xdr:cNvPr id="26" name="Texte 1"/>
        <xdr:cNvSpPr txBox="1">
          <a:spLocks noChangeArrowheads="1"/>
        </xdr:cNvSpPr>
      </xdr:nvSpPr>
      <xdr:spPr bwMode="auto">
        <a:xfrm>
          <a:off x="11858625" y="140073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161</xdr:row>
      <xdr:rowOff>29135</xdr:rowOff>
    </xdr:from>
    <xdr:to>
      <xdr:col>19</xdr:col>
      <xdr:colOff>0</xdr:colOff>
      <xdr:row>161</xdr:row>
      <xdr:rowOff>29135</xdr:rowOff>
    </xdr:to>
    <xdr:sp macro="" textlink="">
      <xdr:nvSpPr>
        <xdr:cNvPr id="27" name="Texte 1"/>
        <xdr:cNvSpPr txBox="1">
          <a:spLocks noChangeArrowheads="1"/>
        </xdr:cNvSpPr>
      </xdr:nvSpPr>
      <xdr:spPr bwMode="auto">
        <a:xfrm>
          <a:off x="11858625" y="140073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161</xdr:row>
      <xdr:rowOff>29135</xdr:rowOff>
    </xdr:from>
    <xdr:to>
      <xdr:col>21</xdr:col>
      <xdr:colOff>0</xdr:colOff>
      <xdr:row>161</xdr:row>
      <xdr:rowOff>29135</xdr:rowOff>
    </xdr:to>
    <xdr:sp macro="" textlink="">
      <xdr:nvSpPr>
        <xdr:cNvPr id="28" name="Texte 1"/>
        <xdr:cNvSpPr txBox="1">
          <a:spLocks noChangeArrowheads="1"/>
        </xdr:cNvSpPr>
      </xdr:nvSpPr>
      <xdr:spPr bwMode="auto">
        <a:xfrm>
          <a:off x="11858625" y="140073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161</xdr:row>
      <xdr:rowOff>29135</xdr:rowOff>
    </xdr:from>
    <xdr:to>
      <xdr:col>19</xdr:col>
      <xdr:colOff>0</xdr:colOff>
      <xdr:row>161</xdr:row>
      <xdr:rowOff>29135</xdr:rowOff>
    </xdr:to>
    <xdr:sp macro="" textlink="">
      <xdr:nvSpPr>
        <xdr:cNvPr id="29" name="Texte 1"/>
        <xdr:cNvSpPr txBox="1">
          <a:spLocks noChangeArrowheads="1"/>
        </xdr:cNvSpPr>
      </xdr:nvSpPr>
      <xdr:spPr bwMode="auto">
        <a:xfrm>
          <a:off x="11858625" y="140073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25" name="Texte 1"/>
        <xdr:cNvSpPr txBox="1">
          <a:spLocks noChangeArrowheads="1"/>
        </xdr:cNvSpPr>
      </xdr:nvSpPr>
      <xdr:spPr bwMode="auto">
        <a:xfrm>
          <a:off x="16878300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30" name="Texte 1"/>
        <xdr:cNvSpPr txBox="1">
          <a:spLocks noChangeArrowheads="1"/>
        </xdr:cNvSpPr>
      </xdr:nvSpPr>
      <xdr:spPr bwMode="auto">
        <a:xfrm>
          <a:off x="16878300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37" name="Texte 1"/>
        <xdr:cNvSpPr txBox="1">
          <a:spLocks noChangeArrowheads="1"/>
        </xdr:cNvSpPr>
      </xdr:nvSpPr>
      <xdr:spPr bwMode="auto">
        <a:xfrm>
          <a:off x="16878300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38" name="Texte 1"/>
        <xdr:cNvSpPr txBox="1">
          <a:spLocks noChangeArrowheads="1"/>
        </xdr:cNvSpPr>
      </xdr:nvSpPr>
      <xdr:spPr bwMode="auto">
        <a:xfrm>
          <a:off x="16878300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2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3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4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5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9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0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1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2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3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4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5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6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0</xdr:row>
      <xdr:rowOff>0</xdr:rowOff>
    </xdr:to>
    <xdr:sp macro="" textlink="">
      <xdr:nvSpPr>
        <xdr:cNvPr id="2057" name="Texte 1"/>
        <xdr:cNvSpPr txBox="1">
          <a:spLocks noChangeArrowheads="1"/>
        </xdr:cNvSpPr>
      </xdr:nvSpPr>
      <xdr:spPr bwMode="auto">
        <a:xfrm>
          <a:off x="21936075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59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0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1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2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3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4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5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6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7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68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0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1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2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3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4" name="Texte 1"/>
        <xdr:cNvSpPr txBox="1">
          <a:spLocks noChangeArrowheads="1"/>
        </xdr:cNvSpPr>
      </xdr:nvSpPr>
      <xdr:spPr bwMode="auto">
        <a:xfrm>
          <a:off x="16859250" y="11553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5" name="Texte 1"/>
        <xdr:cNvSpPr txBox="1">
          <a:spLocks noChangeArrowheads="1"/>
        </xdr:cNvSpPr>
      </xdr:nvSpPr>
      <xdr:spPr bwMode="auto">
        <a:xfrm>
          <a:off x="16859250" y="11553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6" name="Texte 1"/>
        <xdr:cNvSpPr txBox="1">
          <a:spLocks noChangeArrowheads="1"/>
        </xdr:cNvSpPr>
      </xdr:nvSpPr>
      <xdr:spPr bwMode="auto">
        <a:xfrm>
          <a:off x="16859250" y="11553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7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8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79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0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1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2" name="Texte 1"/>
        <xdr:cNvSpPr txBox="1">
          <a:spLocks noChangeArrowheads="1"/>
        </xdr:cNvSpPr>
      </xdr:nvSpPr>
      <xdr:spPr bwMode="auto">
        <a:xfrm>
          <a:off x="16859250" y="11391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3" name="Texte 1"/>
        <xdr:cNvSpPr txBox="1">
          <a:spLocks noChangeArrowheads="1"/>
        </xdr:cNvSpPr>
      </xdr:nvSpPr>
      <xdr:spPr bwMode="auto">
        <a:xfrm>
          <a:off x="16859250" y="94297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4" name="Texte 1"/>
        <xdr:cNvSpPr txBox="1">
          <a:spLocks noChangeArrowheads="1"/>
        </xdr:cNvSpPr>
      </xdr:nvSpPr>
      <xdr:spPr bwMode="auto">
        <a:xfrm>
          <a:off x="16859250" y="94297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6" name="Texte 1"/>
        <xdr:cNvSpPr txBox="1">
          <a:spLocks noChangeArrowheads="1"/>
        </xdr:cNvSpPr>
      </xdr:nvSpPr>
      <xdr:spPr bwMode="auto">
        <a:xfrm>
          <a:off x="16859250" y="4572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7" name="Texte 1"/>
        <xdr:cNvSpPr txBox="1">
          <a:spLocks noChangeArrowheads="1"/>
        </xdr:cNvSpPr>
      </xdr:nvSpPr>
      <xdr:spPr bwMode="auto">
        <a:xfrm>
          <a:off x="16859250" y="4733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8" name="Texte 1"/>
        <xdr:cNvSpPr txBox="1">
          <a:spLocks noChangeArrowheads="1"/>
        </xdr:cNvSpPr>
      </xdr:nvSpPr>
      <xdr:spPr bwMode="auto">
        <a:xfrm>
          <a:off x="16859250" y="4733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89" name="Texte 1"/>
        <xdr:cNvSpPr txBox="1">
          <a:spLocks noChangeArrowheads="1"/>
        </xdr:cNvSpPr>
      </xdr:nvSpPr>
      <xdr:spPr bwMode="auto">
        <a:xfrm>
          <a:off x="16859250" y="7324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93" name="Texte 1"/>
        <xdr:cNvSpPr txBox="1">
          <a:spLocks noChangeArrowheads="1"/>
        </xdr:cNvSpPr>
      </xdr:nvSpPr>
      <xdr:spPr bwMode="auto">
        <a:xfrm>
          <a:off x="16859250" y="105822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2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0</xdr:row>
      <xdr:rowOff>0</xdr:rowOff>
    </xdr:to>
    <xdr:sp macro="" textlink="">
      <xdr:nvSpPr>
        <xdr:cNvPr id="10829" name="Texte 1"/>
        <xdr:cNvSpPr txBox="1">
          <a:spLocks noChangeArrowheads="1"/>
        </xdr:cNvSpPr>
      </xdr:nvSpPr>
      <xdr:spPr bwMode="auto">
        <a:xfrm>
          <a:off x="61645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3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4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5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6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7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8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8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" name="Texte 1"/>
        <xdr:cNvSpPr txBox="1">
          <a:spLocks noChangeArrowheads="1"/>
        </xdr:cNvSpPr>
      </xdr:nvSpPr>
      <xdr:spPr bwMode="auto">
        <a:xfrm>
          <a:off x="16859250" y="11553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" name="Texte 1"/>
        <xdr:cNvSpPr txBox="1">
          <a:spLocks noChangeArrowheads="1"/>
        </xdr:cNvSpPr>
      </xdr:nvSpPr>
      <xdr:spPr bwMode="auto">
        <a:xfrm>
          <a:off x="16859250" y="11553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" name="Texte 1"/>
        <xdr:cNvSpPr txBox="1">
          <a:spLocks noChangeArrowheads="1"/>
        </xdr:cNvSpPr>
      </xdr:nvSpPr>
      <xdr:spPr bwMode="auto">
        <a:xfrm>
          <a:off x="16859250" y="11553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" name="Texte 1"/>
        <xdr:cNvSpPr txBox="1">
          <a:spLocks noChangeArrowheads="1"/>
        </xdr:cNvSpPr>
      </xdr:nvSpPr>
      <xdr:spPr bwMode="auto">
        <a:xfrm>
          <a:off x="16859250" y="105822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8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8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8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0</xdr:row>
      <xdr:rowOff>0</xdr:rowOff>
    </xdr:to>
    <xdr:sp macro="" textlink="">
      <xdr:nvSpPr>
        <xdr:cNvPr id="10895" name="Texte 1"/>
        <xdr:cNvSpPr txBox="1">
          <a:spLocks noChangeArrowheads="1"/>
        </xdr:cNvSpPr>
      </xdr:nvSpPr>
      <xdr:spPr bwMode="auto">
        <a:xfrm>
          <a:off x="61645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89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0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6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7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8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19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20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21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22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23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24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925" name="Texte 1"/>
        <xdr:cNvSpPr txBox="1">
          <a:spLocks noChangeArrowheads="1"/>
        </xdr:cNvSpPr>
      </xdr:nvSpPr>
      <xdr:spPr bwMode="auto">
        <a:xfrm>
          <a:off x="555498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214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0</xdr:row>
      <xdr:rowOff>561</xdr:rowOff>
    </xdr:from>
    <xdr:to>
      <xdr:col>21</xdr:col>
      <xdr:colOff>0</xdr:colOff>
      <xdr:row>0</xdr:row>
      <xdr:rowOff>561</xdr:rowOff>
    </xdr:to>
    <xdr:sp macro="" textlink="">
      <xdr:nvSpPr>
        <xdr:cNvPr id="219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229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0</xdr:row>
      <xdr:rowOff>561</xdr:rowOff>
    </xdr:from>
    <xdr:to>
      <xdr:col>19</xdr:col>
      <xdr:colOff>0</xdr:colOff>
      <xdr:row>0</xdr:row>
      <xdr:rowOff>561</xdr:rowOff>
    </xdr:to>
    <xdr:sp macro="" textlink="">
      <xdr:nvSpPr>
        <xdr:cNvPr id="230" name="Texte 1"/>
        <xdr:cNvSpPr txBox="1">
          <a:spLocks noChangeArrowheads="1"/>
        </xdr:cNvSpPr>
      </xdr:nvSpPr>
      <xdr:spPr bwMode="auto">
        <a:xfrm>
          <a:off x="11858625" y="56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66</xdr:row>
      <xdr:rowOff>29135</xdr:rowOff>
    </xdr:from>
    <xdr:to>
      <xdr:col>21</xdr:col>
      <xdr:colOff>0</xdr:colOff>
      <xdr:row>66</xdr:row>
      <xdr:rowOff>29135</xdr:rowOff>
    </xdr:to>
    <xdr:sp macro="" textlink="">
      <xdr:nvSpPr>
        <xdr:cNvPr id="147" name="Texte 1"/>
        <xdr:cNvSpPr txBox="1">
          <a:spLocks noChangeArrowheads="1"/>
        </xdr:cNvSpPr>
      </xdr:nvSpPr>
      <xdr:spPr bwMode="auto">
        <a:xfrm>
          <a:off x="11858625" y="2150801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66</xdr:row>
      <xdr:rowOff>29135</xdr:rowOff>
    </xdr:from>
    <xdr:to>
      <xdr:col>19</xdr:col>
      <xdr:colOff>0</xdr:colOff>
      <xdr:row>66</xdr:row>
      <xdr:rowOff>29135</xdr:rowOff>
    </xdr:to>
    <xdr:sp macro="" textlink="">
      <xdr:nvSpPr>
        <xdr:cNvPr id="148" name="Texte 1"/>
        <xdr:cNvSpPr txBox="1">
          <a:spLocks noChangeArrowheads="1"/>
        </xdr:cNvSpPr>
      </xdr:nvSpPr>
      <xdr:spPr bwMode="auto">
        <a:xfrm>
          <a:off x="11858625" y="2150801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66</xdr:row>
      <xdr:rowOff>29135</xdr:rowOff>
    </xdr:from>
    <xdr:to>
      <xdr:col>21</xdr:col>
      <xdr:colOff>0</xdr:colOff>
      <xdr:row>66</xdr:row>
      <xdr:rowOff>29135</xdr:rowOff>
    </xdr:to>
    <xdr:sp macro="" textlink="">
      <xdr:nvSpPr>
        <xdr:cNvPr id="149" name="Texte 1"/>
        <xdr:cNvSpPr txBox="1">
          <a:spLocks noChangeArrowheads="1"/>
        </xdr:cNvSpPr>
      </xdr:nvSpPr>
      <xdr:spPr bwMode="auto">
        <a:xfrm>
          <a:off x="11855824" y="1385047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66</xdr:row>
      <xdr:rowOff>29135</xdr:rowOff>
    </xdr:from>
    <xdr:to>
      <xdr:col>19</xdr:col>
      <xdr:colOff>0</xdr:colOff>
      <xdr:row>66</xdr:row>
      <xdr:rowOff>29135</xdr:rowOff>
    </xdr:to>
    <xdr:sp macro="" textlink="">
      <xdr:nvSpPr>
        <xdr:cNvPr id="150" name="Texte 1"/>
        <xdr:cNvSpPr txBox="1">
          <a:spLocks noChangeArrowheads="1"/>
        </xdr:cNvSpPr>
      </xdr:nvSpPr>
      <xdr:spPr bwMode="auto">
        <a:xfrm>
          <a:off x="11855824" y="1385047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52</xdr:row>
      <xdr:rowOff>448</xdr:rowOff>
    </xdr:from>
    <xdr:to>
      <xdr:col>21</xdr:col>
      <xdr:colOff>0</xdr:colOff>
      <xdr:row>52</xdr:row>
      <xdr:rowOff>448</xdr:rowOff>
    </xdr:to>
    <xdr:sp macro="" textlink="">
      <xdr:nvSpPr>
        <xdr:cNvPr id="151" name="Texte 1"/>
        <xdr:cNvSpPr txBox="1">
          <a:spLocks noChangeArrowheads="1"/>
        </xdr:cNvSpPr>
      </xdr:nvSpPr>
      <xdr:spPr bwMode="auto">
        <a:xfrm>
          <a:off x="12620625" y="20507773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52</xdr:row>
      <xdr:rowOff>448</xdr:rowOff>
    </xdr:from>
    <xdr:to>
      <xdr:col>19</xdr:col>
      <xdr:colOff>0</xdr:colOff>
      <xdr:row>52</xdr:row>
      <xdr:rowOff>448</xdr:rowOff>
    </xdr:to>
    <xdr:sp macro="" textlink="">
      <xdr:nvSpPr>
        <xdr:cNvPr id="152" name="Texte 1"/>
        <xdr:cNvSpPr txBox="1">
          <a:spLocks noChangeArrowheads="1"/>
        </xdr:cNvSpPr>
      </xdr:nvSpPr>
      <xdr:spPr bwMode="auto">
        <a:xfrm>
          <a:off x="12620625" y="20507773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41</xdr:row>
      <xdr:rowOff>2465</xdr:rowOff>
    </xdr:from>
    <xdr:to>
      <xdr:col>21</xdr:col>
      <xdr:colOff>0</xdr:colOff>
      <xdr:row>41</xdr:row>
      <xdr:rowOff>2465</xdr:rowOff>
    </xdr:to>
    <xdr:sp macro="" textlink="">
      <xdr:nvSpPr>
        <xdr:cNvPr id="155" name="Texte 1"/>
        <xdr:cNvSpPr txBox="1">
          <a:spLocks noChangeArrowheads="1"/>
        </xdr:cNvSpPr>
      </xdr:nvSpPr>
      <xdr:spPr bwMode="auto">
        <a:xfrm>
          <a:off x="16383000" y="230053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41</xdr:row>
      <xdr:rowOff>2465</xdr:rowOff>
    </xdr:from>
    <xdr:to>
      <xdr:col>19</xdr:col>
      <xdr:colOff>0</xdr:colOff>
      <xdr:row>41</xdr:row>
      <xdr:rowOff>2465</xdr:rowOff>
    </xdr:to>
    <xdr:sp macro="" textlink="">
      <xdr:nvSpPr>
        <xdr:cNvPr id="156" name="Texte 1"/>
        <xdr:cNvSpPr txBox="1">
          <a:spLocks noChangeArrowheads="1"/>
        </xdr:cNvSpPr>
      </xdr:nvSpPr>
      <xdr:spPr bwMode="auto">
        <a:xfrm>
          <a:off x="16383000" y="230053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61</xdr:row>
      <xdr:rowOff>40678</xdr:rowOff>
    </xdr:from>
    <xdr:to>
      <xdr:col>21</xdr:col>
      <xdr:colOff>0</xdr:colOff>
      <xdr:row>61</xdr:row>
      <xdr:rowOff>40678</xdr:rowOff>
    </xdr:to>
    <xdr:sp macro="" textlink="">
      <xdr:nvSpPr>
        <xdr:cNvPr id="165" name="Texte 1"/>
        <xdr:cNvSpPr txBox="1">
          <a:spLocks noChangeArrowheads="1"/>
        </xdr:cNvSpPr>
      </xdr:nvSpPr>
      <xdr:spPr bwMode="auto">
        <a:xfrm>
          <a:off x="16383000" y="32901928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61</xdr:row>
      <xdr:rowOff>40678</xdr:rowOff>
    </xdr:from>
    <xdr:to>
      <xdr:col>21</xdr:col>
      <xdr:colOff>0</xdr:colOff>
      <xdr:row>61</xdr:row>
      <xdr:rowOff>40678</xdr:rowOff>
    </xdr:to>
    <xdr:sp macro="" textlink="">
      <xdr:nvSpPr>
        <xdr:cNvPr id="166" name="Texte 1"/>
        <xdr:cNvSpPr txBox="1">
          <a:spLocks noChangeArrowheads="1"/>
        </xdr:cNvSpPr>
      </xdr:nvSpPr>
      <xdr:spPr bwMode="auto">
        <a:xfrm>
          <a:off x="16383000" y="32901928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61</xdr:row>
      <xdr:rowOff>30141</xdr:rowOff>
    </xdr:from>
    <xdr:to>
      <xdr:col>21</xdr:col>
      <xdr:colOff>0</xdr:colOff>
      <xdr:row>61</xdr:row>
      <xdr:rowOff>30141</xdr:rowOff>
    </xdr:to>
    <xdr:sp macro="" textlink="">
      <xdr:nvSpPr>
        <xdr:cNvPr id="167" name="Texte 1"/>
        <xdr:cNvSpPr txBox="1">
          <a:spLocks noChangeArrowheads="1"/>
        </xdr:cNvSpPr>
      </xdr:nvSpPr>
      <xdr:spPr bwMode="auto">
        <a:xfrm>
          <a:off x="16383000" y="3289139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21</xdr:col>
      <xdr:colOff>0</xdr:colOff>
      <xdr:row>61</xdr:row>
      <xdr:rowOff>30141</xdr:rowOff>
    </xdr:from>
    <xdr:to>
      <xdr:col>21</xdr:col>
      <xdr:colOff>0</xdr:colOff>
      <xdr:row>61</xdr:row>
      <xdr:rowOff>30141</xdr:rowOff>
    </xdr:to>
    <xdr:sp macro="" textlink="">
      <xdr:nvSpPr>
        <xdr:cNvPr id="168" name="Texte 1"/>
        <xdr:cNvSpPr txBox="1">
          <a:spLocks noChangeArrowheads="1"/>
        </xdr:cNvSpPr>
      </xdr:nvSpPr>
      <xdr:spPr bwMode="auto">
        <a:xfrm>
          <a:off x="16383000" y="3289139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61</xdr:row>
      <xdr:rowOff>40678</xdr:rowOff>
    </xdr:from>
    <xdr:to>
      <xdr:col>19</xdr:col>
      <xdr:colOff>0</xdr:colOff>
      <xdr:row>61</xdr:row>
      <xdr:rowOff>40678</xdr:rowOff>
    </xdr:to>
    <xdr:sp macro="" textlink="">
      <xdr:nvSpPr>
        <xdr:cNvPr id="169" name="Texte 1"/>
        <xdr:cNvSpPr txBox="1">
          <a:spLocks noChangeArrowheads="1"/>
        </xdr:cNvSpPr>
      </xdr:nvSpPr>
      <xdr:spPr bwMode="auto">
        <a:xfrm>
          <a:off x="16383000" y="32901928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61</xdr:row>
      <xdr:rowOff>40678</xdr:rowOff>
    </xdr:from>
    <xdr:to>
      <xdr:col>19</xdr:col>
      <xdr:colOff>0</xdr:colOff>
      <xdr:row>61</xdr:row>
      <xdr:rowOff>40678</xdr:rowOff>
    </xdr:to>
    <xdr:sp macro="" textlink="">
      <xdr:nvSpPr>
        <xdr:cNvPr id="170" name="Texte 1"/>
        <xdr:cNvSpPr txBox="1">
          <a:spLocks noChangeArrowheads="1"/>
        </xdr:cNvSpPr>
      </xdr:nvSpPr>
      <xdr:spPr bwMode="auto">
        <a:xfrm>
          <a:off x="16383000" y="32901928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61</xdr:row>
      <xdr:rowOff>30141</xdr:rowOff>
    </xdr:from>
    <xdr:to>
      <xdr:col>19</xdr:col>
      <xdr:colOff>0</xdr:colOff>
      <xdr:row>61</xdr:row>
      <xdr:rowOff>30141</xdr:rowOff>
    </xdr:to>
    <xdr:sp macro="" textlink="">
      <xdr:nvSpPr>
        <xdr:cNvPr id="171" name="Texte 1"/>
        <xdr:cNvSpPr txBox="1">
          <a:spLocks noChangeArrowheads="1"/>
        </xdr:cNvSpPr>
      </xdr:nvSpPr>
      <xdr:spPr bwMode="auto">
        <a:xfrm>
          <a:off x="16383000" y="3289139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  <xdr:twoCellAnchor>
    <xdr:from>
      <xdr:col>19</xdr:col>
      <xdr:colOff>0</xdr:colOff>
      <xdr:row>61</xdr:row>
      <xdr:rowOff>30141</xdr:rowOff>
    </xdr:from>
    <xdr:to>
      <xdr:col>19</xdr:col>
      <xdr:colOff>0</xdr:colOff>
      <xdr:row>61</xdr:row>
      <xdr:rowOff>30141</xdr:rowOff>
    </xdr:to>
    <xdr:sp macro="" textlink="">
      <xdr:nvSpPr>
        <xdr:cNvPr id="172" name="Texte 1"/>
        <xdr:cNvSpPr txBox="1">
          <a:spLocks noChangeArrowheads="1"/>
        </xdr:cNvSpPr>
      </xdr:nvSpPr>
      <xdr:spPr bwMode="auto">
        <a:xfrm>
          <a:off x="16383000" y="32891391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=($F$5-E9)/365.25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CRETARIAT/ACTIVITE/2015/Activit&#233;%202015/Activit&#233;%202015/ENFANTS%20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CRETARIAT/ACTIVITE/2015/Activit&#233;%202015/Activit&#233;%202015/Docs%20de%20travail/Copie%20de%20ENFANTS%20d&#233;finiti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CRETARIAT/ACTIVITE/2015/Activit&#233;%202015/Activit&#233;%202015/FAMIL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NFANTS%202015-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 attente"/>
      <sheetName val="Présents"/>
      <sheetName val="calculs enfants présents"/>
      <sheetName val="Admis"/>
      <sheetName val="Calculs Enfants admis"/>
      <sheetName val="Sortis"/>
      <sheetName val="Calculs enfants sortis"/>
      <sheetName val="Calculs répartion mesures"/>
      <sheetName val="Prépa synthèses"/>
      <sheetName val="Variables"/>
      <sheetName val="Signatures DIPC"/>
    </sheetNames>
    <sheetDataSet>
      <sheetData sheetId="0"/>
      <sheetData sheetId="1"/>
      <sheetData sheetId="2">
        <row r="56">
          <cell r="A56">
            <v>42339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 attente"/>
      <sheetName val="Présents"/>
      <sheetName val="calculs enfants présents"/>
      <sheetName val="Admis"/>
      <sheetName val="Calculs Enfants admis"/>
      <sheetName val="Sortis"/>
      <sheetName val="Calculs enfants sortis"/>
      <sheetName val="Feuil2"/>
    </sheetNames>
    <sheetDataSet>
      <sheetData sheetId="0" refreshError="1"/>
      <sheetData sheetId="1" refreshError="1"/>
      <sheetData sheetId="2" refreshError="1">
        <row r="56">
          <cell r="A56">
            <v>41456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illes en attente"/>
      <sheetName val="Familles"/>
      <sheetName val="Fam. Présentes"/>
      <sheetName val="Fam. Admises"/>
      <sheetName val="Fam. Sorties"/>
    </sheetNames>
    <sheetDataSet>
      <sheetData sheetId="0" refreshError="1"/>
      <sheetData sheetId="1" refreshError="1"/>
      <sheetData sheetId="2" refreshError="1"/>
      <sheetData sheetId="3">
        <row r="1">
          <cell r="I1">
            <v>50</v>
          </cell>
        </row>
      </sheetData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zoomScale="85" zoomScaleNormal="85" workbookViewId="0">
      <selection activeCell="A4" sqref="A4:XFD4"/>
    </sheetView>
  </sheetViews>
  <sheetFormatPr baseColWidth="10" defaultRowHeight="12.75" x14ac:dyDescent="0.2"/>
  <cols>
    <col min="1" max="1" width="27.5703125" customWidth="1"/>
    <col min="2" max="2" width="18.42578125" customWidth="1"/>
    <col min="3" max="3" width="25.42578125" bestFit="1" customWidth="1"/>
    <col min="4" max="4" width="21.7109375" bestFit="1" customWidth="1"/>
    <col min="7" max="7" width="16.85546875" bestFit="1" customWidth="1"/>
    <col min="8" max="8" width="5" bestFit="1" customWidth="1"/>
    <col min="9" max="9" width="4" bestFit="1" customWidth="1"/>
    <col min="10" max="10" width="11.5703125" style="458" customWidth="1"/>
    <col min="11" max="11" width="11.42578125" style="798"/>
    <col min="14" max="14" width="24.28515625" bestFit="1" customWidth="1"/>
    <col min="16" max="16" width="19.42578125" customWidth="1"/>
  </cols>
  <sheetData>
    <row r="1" spans="1:18" ht="39" thickBot="1" x14ac:dyDescent="0.25">
      <c r="A1" s="176" t="s">
        <v>0</v>
      </c>
      <c r="B1" s="177" t="s">
        <v>1</v>
      </c>
      <c r="C1" s="179" t="s">
        <v>423</v>
      </c>
      <c r="D1" s="177" t="s">
        <v>2</v>
      </c>
      <c r="E1" s="176" t="s">
        <v>268</v>
      </c>
      <c r="F1" s="180" t="s">
        <v>532</v>
      </c>
      <c r="G1" s="176" t="s">
        <v>259</v>
      </c>
      <c r="H1" s="248" t="s">
        <v>148</v>
      </c>
      <c r="I1" s="178" t="s">
        <v>20</v>
      </c>
      <c r="J1" s="457" t="s">
        <v>4</v>
      </c>
      <c r="K1" s="795" t="s">
        <v>5</v>
      </c>
      <c r="L1" s="177" t="s">
        <v>6</v>
      </c>
      <c r="M1" s="179" t="s">
        <v>265</v>
      </c>
      <c r="N1" s="179" t="s">
        <v>257</v>
      </c>
      <c r="O1" s="179" t="s">
        <v>258</v>
      </c>
      <c r="P1" s="179" t="s">
        <v>355</v>
      </c>
      <c r="Q1" s="450" t="s">
        <v>262</v>
      </c>
      <c r="R1" s="441">
        <f ca="1">TODAY()</f>
        <v>42409</v>
      </c>
    </row>
    <row r="2" spans="1:18" s="819" customFormat="1" x14ac:dyDescent="0.2">
      <c r="A2" s="806" t="s">
        <v>604</v>
      </c>
      <c r="B2" s="807" t="s">
        <v>605</v>
      </c>
      <c r="C2" s="808" t="s">
        <v>436</v>
      </c>
      <c r="D2" s="809" t="s">
        <v>650</v>
      </c>
      <c r="E2" s="809"/>
      <c r="F2" s="810">
        <v>42220</v>
      </c>
      <c r="G2" s="811"/>
      <c r="H2" s="812" t="s">
        <v>16</v>
      </c>
      <c r="I2" s="812" t="s">
        <v>20</v>
      </c>
      <c r="J2" s="813">
        <v>36962</v>
      </c>
      <c r="K2" s="814">
        <f t="shared" ref="K2:K9" ca="1" si="0">(R2-J2)/365</f>
        <v>14.923287671232877</v>
      </c>
      <c r="L2" s="812" t="s">
        <v>13</v>
      </c>
      <c r="M2" s="815">
        <v>42206</v>
      </c>
      <c r="N2" s="1316">
        <v>42226</v>
      </c>
      <c r="O2" s="811"/>
      <c r="P2" s="816"/>
      <c r="Q2" s="817"/>
      <c r="R2" s="818">
        <f t="shared" ref="R2:R15" ca="1" si="1">$R$1</f>
        <v>42409</v>
      </c>
    </row>
    <row r="3" spans="1:18" s="819" customFormat="1" x14ac:dyDescent="0.2">
      <c r="A3" s="806" t="s">
        <v>604</v>
      </c>
      <c r="B3" s="807" t="s">
        <v>606</v>
      </c>
      <c r="C3" s="808" t="s">
        <v>436</v>
      </c>
      <c r="D3" s="809" t="s">
        <v>650</v>
      </c>
      <c r="E3" s="809"/>
      <c r="F3" s="810">
        <v>42220</v>
      </c>
      <c r="G3" s="811"/>
      <c r="H3" s="812" t="s">
        <v>16</v>
      </c>
      <c r="I3" s="812" t="s">
        <v>20</v>
      </c>
      <c r="J3" s="813">
        <v>36602</v>
      </c>
      <c r="K3" s="814">
        <f t="shared" ca="1" si="0"/>
        <v>15.90958904109589</v>
      </c>
      <c r="L3" s="812" t="s">
        <v>13</v>
      </c>
      <c r="M3" s="815">
        <v>42206</v>
      </c>
      <c r="N3" s="1316"/>
      <c r="O3" s="811"/>
      <c r="P3" s="816"/>
      <c r="Q3" s="817"/>
      <c r="R3" s="818">
        <f t="shared" ca="1" si="1"/>
        <v>42409</v>
      </c>
    </row>
    <row r="4" spans="1:18" s="566" customFormat="1" x14ac:dyDescent="0.2">
      <c r="A4" s="574" t="s">
        <v>223</v>
      </c>
      <c r="B4" s="575" t="s">
        <v>787</v>
      </c>
      <c r="C4" s="610" t="s">
        <v>436</v>
      </c>
      <c r="D4" s="555" t="s">
        <v>788</v>
      </c>
      <c r="E4" s="555" t="s">
        <v>797</v>
      </c>
      <c r="F4" s="799">
        <v>42381</v>
      </c>
      <c r="G4" s="558"/>
      <c r="H4" s="568"/>
      <c r="I4" s="568"/>
      <c r="J4" s="585">
        <v>41480</v>
      </c>
      <c r="K4" s="796">
        <f t="shared" ca="1" si="0"/>
        <v>2.5452054794520547</v>
      </c>
      <c r="L4" s="568" t="s">
        <v>13</v>
      </c>
      <c r="M4" s="577"/>
      <c r="N4" s="577"/>
      <c r="O4" s="558"/>
      <c r="P4" s="580"/>
      <c r="Q4" s="578"/>
      <c r="R4" s="461">
        <f t="shared" ca="1" si="1"/>
        <v>42409</v>
      </c>
    </row>
    <row r="5" spans="1:18" s="566" customFormat="1" x14ac:dyDescent="0.2">
      <c r="A5" s="574" t="s">
        <v>800</v>
      </c>
      <c r="B5" s="575" t="s">
        <v>799</v>
      </c>
      <c r="C5" s="610" t="s">
        <v>436</v>
      </c>
      <c r="D5" s="555"/>
      <c r="E5" s="555"/>
      <c r="F5" s="799">
        <v>42402</v>
      </c>
      <c r="G5" s="558"/>
      <c r="H5" s="568" t="s">
        <v>16</v>
      </c>
      <c r="I5" s="568" t="s">
        <v>13</v>
      </c>
      <c r="J5" s="585">
        <v>38537</v>
      </c>
      <c r="K5" s="796">
        <f t="shared" ca="1" si="0"/>
        <v>10.608219178082193</v>
      </c>
      <c r="L5" s="568" t="s">
        <v>13</v>
      </c>
      <c r="M5" s="577">
        <v>42391</v>
      </c>
      <c r="N5" s="577"/>
      <c r="O5" s="558"/>
      <c r="P5" s="580"/>
      <c r="Q5" s="578"/>
      <c r="R5" s="461">
        <f t="shared" ca="1" si="1"/>
        <v>42409</v>
      </c>
    </row>
    <row r="6" spans="1:18" s="566" customFormat="1" x14ac:dyDescent="0.2">
      <c r="A6" s="574" t="s">
        <v>800</v>
      </c>
      <c r="B6" s="575" t="s">
        <v>801</v>
      </c>
      <c r="C6" s="610" t="s">
        <v>436</v>
      </c>
      <c r="D6" s="555"/>
      <c r="E6" s="555"/>
      <c r="F6" s="799">
        <v>42402</v>
      </c>
      <c r="G6" s="558"/>
      <c r="H6" s="568" t="s">
        <v>16</v>
      </c>
      <c r="I6" s="568" t="s">
        <v>13</v>
      </c>
      <c r="J6" s="585">
        <v>37126</v>
      </c>
      <c r="K6" s="796">
        <f t="shared" ca="1" si="0"/>
        <v>14.473972602739726</v>
      </c>
      <c r="L6" s="568" t="s">
        <v>13</v>
      </c>
      <c r="M6" s="577">
        <v>42391</v>
      </c>
      <c r="N6" s="577"/>
      <c r="O6" s="558"/>
      <c r="P6" s="580"/>
      <c r="Q6" s="578"/>
      <c r="R6" s="461">
        <f t="shared" ca="1" si="1"/>
        <v>42409</v>
      </c>
    </row>
    <row r="7" spans="1:18" s="566" customFormat="1" x14ac:dyDescent="0.2">
      <c r="A7" s="1260" t="s">
        <v>802</v>
      </c>
      <c r="B7" s="575" t="s">
        <v>803</v>
      </c>
      <c r="C7" s="610"/>
      <c r="D7" s="555"/>
      <c r="E7" s="555"/>
      <c r="F7" s="799"/>
      <c r="G7" s="558"/>
      <c r="H7" s="568"/>
      <c r="I7" s="568"/>
      <c r="J7" s="585"/>
      <c r="K7" s="796">
        <f t="shared" ca="1" si="0"/>
        <v>116.18904109589042</v>
      </c>
      <c r="L7" s="568"/>
      <c r="M7" s="577"/>
      <c r="N7" s="577"/>
      <c r="O7" s="558"/>
      <c r="P7" s="580"/>
      <c r="Q7" s="578"/>
      <c r="R7" s="461">
        <f t="shared" ca="1" si="1"/>
        <v>42409</v>
      </c>
    </row>
    <row r="8" spans="1:18" s="566" customFormat="1" x14ac:dyDescent="0.2">
      <c r="A8" s="574" t="s">
        <v>804</v>
      </c>
      <c r="B8" s="575" t="s">
        <v>805</v>
      </c>
      <c r="C8" s="610" t="s">
        <v>436</v>
      </c>
      <c r="D8" s="555"/>
      <c r="E8" s="555"/>
      <c r="F8" s="799">
        <v>42403</v>
      </c>
      <c r="G8" s="558"/>
      <c r="H8" s="568" t="s">
        <v>16</v>
      </c>
      <c r="I8" s="568" t="s">
        <v>13</v>
      </c>
      <c r="J8" s="585">
        <v>36523</v>
      </c>
      <c r="K8" s="796">
        <f t="shared" ca="1" si="0"/>
        <v>16.126027397260273</v>
      </c>
      <c r="L8" s="568" t="s">
        <v>13</v>
      </c>
      <c r="M8" s="577">
        <v>42394</v>
      </c>
      <c r="N8" s="577"/>
      <c r="O8" s="558"/>
      <c r="P8" s="580"/>
      <c r="Q8" s="578"/>
      <c r="R8" s="461">
        <f t="shared" ca="1" si="1"/>
        <v>42409</v>
      </c>
    </row>
    <row r="9" spans="1:18" s="566" customFormat="1" x14ac:dyDescent="0.2">
      <c r="A9" s="574" t="s">
        <v>804</v>
      </c>
      <c r="B9" s="575" t="s">
        <v>806</v>
      </c>
      <c r="C9" s="610" t="s">
        <v>436</v>
      </c>
      <c r="D9" s="555"/>
      <c r="E9" s="555"/>
      <c r="F9" s="799">
        <v>42403</v>
      </c>
      <c r="G9" s="558"/>
      <c r="H9" s="568" t="s">
        <v>16</v>
      </c>
      <c r="I9" s="568" t="s">
        <v>13</v>
      </c>
      <c r="J9" s="585">
        <v>36157</v>
      </c>
      <c r="K9" s="796">
        <f t="shared" ca="1" si="0"/>
        <v>17.12876712328767</v>
      </c>
      <c r="L9" s="568" t="s">
        <v>21</v>
      </c>
      <c r="M9" s="577">
        <v>42394</v>
      </c>
      <c r="N9" s="577"/>
      <c r="O9" s="558"/>
      <c r="P9" s="580"/>
      <c r="Q9" s="578"/>
      <c r="R9" s="461">
        <f t="shared" ca="1" si="1"/>
        <v>42409</v>
      </c>
    </row>
    <row r="10" spans="1:18" s="566" customFormat="1" x14ac:dyDescent="0.2">
      <c r="A10" s="1260"/>
      <c r="B10" s="575"/>
      <c r="C10" s="610"/>
      <c r="D10" s="555"/>
      <c r="E10" s="555"/>
      <c r="F10" s="799"/>
      <c r="G10" s="558"/>
      <c r="H10" s="568"/>
      <c r="I10" s="568"/>
      <c r="J10" s="585"/>
      <c r="K10" s="796"/>
      <c r="L10" s="568"/>
      <c r="M10" s="577"/>
      <c r="N10" s="577"/>
      <c r="O10" s="558"/>
      <c r="P10" s="580"/>
      <c r="Q10" s="578"/>
      <c r="R10" s="461">
        <f t="shared" ca="1" si="1"/>
        <v>42409</v>
      </c>
    </row>
    <row r="11" spans="1:18" s="566" customFormat="1" x14ac:dyDescent="0.2">
      <c r="A11" s="1260"/>
      <c r="B11" s="575"/>
      <c r="C11" s="610"/>
      <c r="D11" s="555"/>
      <c r="E11" s="555"/>
      <c r="F11" s="799"/>
      <c r="G11" s="558"/>
      <c r="H11" s="568"/>
      <c r="I11" s="568"/>
      <c r="J11" s="585"/>
      <c r="K11" s="796"/>
      <c r="L11" s="568"/>
      <c r="M11" s="577"/>
      <c r="N11" s="577"/>
      <c r="O11" s="558"/>
      <c r="P11" s="580"/>
      <c r="Q11" s="578"/>
      <c r="R11" s="461">
        <f t="shared" ca="1" si="1"/>
        <v>42409</v>
      </c>
    </row>
    <row r="12" spans="1:18" s="566" customFormat="1" x14ac:dyDescent="0.2">
      <c r="A12" s="1260"/>
      <c r="B12" s="575"/>
      <c r="C12" s="610"/>
      <c r="D12" s="555"/>
      <c r="E12" s="555"/>
      <c r="F12" s="799"/>
      <c r="G12" s="558"/>
      <c r="H12" s="568"/>
      <c r="I12" s="568"/>
      <c r="J12" s="585"/>
      <c r="K12" s="796"/>
      <c r="L12" s="568"/>
      <c r="M12" s="577"/>
      <c r="N12" s="577"/>
      <c r="O12" s="558"/>
      <c r="P12" s="580"/>
      <c r="Q12" s="578"/>
      <c r="R12" s="461">
        <f t="shared" ca="1" si="1"/>
        <v>42409</v>
      </c>
    </row>
    <row r="13" spans="1:18" s="566" customFormat="1" x14ac:dyDescent="0.2">
      <c r="A13" s="1260"/>
      <c r="B13" s="575"/>
      <c r="C13" s="610"/>
      <c r="D13" s="555"/>
      <c r="E13" s="555"/>
      <c r="F13" s="799"/>
      <c r="G13" s="558"/>
      <c r="H13" s="568"/>
      <c r="I13" s="568"/>
      <c r="J13" s="585"/>
      <c r="K13" s="796"/>
      <c r="L13" s="568"/>
      <c r="M13" s="577"/>
      <c r="N13" s="577"/>
      <c r="O13" s="558"/>
      <c r="P13" s="580"/>
      <c r="Q13" s="578"/>
      <c r="R13" s="461">
        <f t="shared" ca="1" si="1"/>
        <v>42409</v>
      </c>
    </row>
    <row r="14" spans="1:18" s="566" customFormat="1" x14ac:dyDescent="0.2">
      <c r="A14" s="574"/>
      <c r="B14" s="575"/>
      <c r="C14" s="610"/>
      <c r="D14" s="555"/>
      <c r="E14" s="555"/>
      <c r="F14" s="799"/>
      <c r="G14" s="558"/>
      <c r="H14" s="568"/>
      <c r="I14" s="568"/>
      <c r="J14" s="585"/>
      <c r="K14" s="796"/>
      <c r="L14" s="568"/>
      <c r="M14" s="577"/>
      <c r="N14" s="577"/>
      <c r="O14" s="558"/>
      <c r="P14" s="580"/>
      <c r="Q14" s="578"/>
      <c r="R14" s="461">
        <f t="shared" ca="1" si="1"/>
        <v>42409</v>
      </c>
    </row>
    <row r="15" spans="1:18" s="566" customFormat="1" x14ac:dyDescent="0.2">
      <c r="A15" s="574"/>
      <c r="B15" s="575"/>
      <c r="C15" s="610"/>
      <c r="D15" s="555"/>
      <c r="E15" s="555"/>
      <c r="F15" s="555"/>
      <c r="G15" s="558"/>
      <c r="H15" s="568"/>
      <c r="I15" s="568"/>
      <c r="J15" s="576"/>
      <c r="K15" s="796" t="s">
        <v>674</v>
      </c>
      <c r="L15" s="568"/>
      <c r="M15" s="577"/>
      <c r="N15" s="577"/>
      <c r="O15" s="558"/>
      <c r="P15" s="580"/>
      <c r="Q15" s="578"/>
      <c r="R15" s="461">
        <f t="shared" ca="1" si="1"/>
        <v>42409</v>
      </c>
    </row>
    <row r="16" spans="1:18" s="566" customFormat="1" x14ac:dyDescent="0.2">
      <c r="A16" s="541" t="s">
        <v>374</v>
      </c>
      <c r="B16" s="542" t="s">
        <v>375</v>
      </c>
      <c r="C16" s="653"/>
      <c r="D16" s="502" t="s">
        <v>138</v>
      </c>
      <c r="E16" s="502" t="s">
        <v>179</v>
      </c>
      <c r="F16" s="502"/>
      <c r="G16" s="544"/>
      <c r="H16" s="503" t="s">
        <v>156</v>
      </c>
      <c r="I16" s="503" t="s">
        <v>13</v>
      </c>
      <c r="J16" s="545">
        <v>37921</v>
      </c>
      <c r="K16" s="796" t="s">
        <v>674</v>
      </c>
      <c r="L16" s="503" t="s">
        <v>21</v>
      </c>
      <c r="M16" s="546">
        <v>41970</v>
      </c>
      <c r="N16" s="577"/>
      <c r="O16" s="558"/>
      <c r="P16" s="1315" t="s">
        <v>474</v>
      </c>
      <c r="Q16" s="578"/>
    </row>
    <row r="17" spans="1:18" s="566" customFormat="1" x14ac:dyDescent="0.2">
      <c r="A17" s="541" t="s">
        <v>376</v>
      </c>
      <c r="B17" s="542" t="s">
        <v>377</v>
      </c>
      <c r="C17" s="653"/>
      <c r="D17" s="502" t="s">
        <v>138</v>
      </c>
      <c r="E17" s="502" t="s">
        <v>179</v>
      </c>
      <c r="F17" s="502"/>
      <c r="G17" s="544"/>
      <c r="H17" s="503" t="s">
        <v>156</v>
      </c>
      <c r="I17" s="503" t="s">
        <v>13</v>
      </c>
      <c r="J17" s="545">
        <v>39051</v>
      </c>
      <c r="K17" s="796" t="s">
        <v>674</v>
      </c>
      <c r="L17" s="503" t="s">
        <v>21</v>
      </c>
      <c r="M17" s="546">
        <v>41970</v>
      </c>
      <c r="N17" s="577"/>
      <c r="O17" s="558"/>
      <c r="P17" s="1315"/>
      <c r="Q17" s="578"/>
    </row>
    <row r="18" spans="1:18" s="543" customFormat="1" x14ac:dyDescent="0.2">
      <c r="A18" s="541" t="s">
        <v>468</v>
      </c>
      <c r="B18" s="542" t="s">
        <v>469</v>
      </c>
      <c r="C18" s="653" t="s">
        <v>424</v>
      </c>
      <c r="D18" s="502" t="s">
        <v>138</v>
      </c>
      <c r="E18" s="502"/>
      <c r="F18" s="502"/>
      <c r="G18" s="544"/>
      <c r="H18" s="503" t="s">
        <v>156</v>
      </c>
      <c r="I18" s="503" t="s">
        <v>62</v>
      </c>
      <c r="J18" s="654">
        <v>37087</v>
      </c>
      <c r="K18" s="797">
        <f t="shared" ref="K18:K24" si="2">(R18-J18)/365</f>
        <v>-101.60821917808219</v>
      </c>
      <c r="L18" s="503" t="s">
        <v>21</v>
      </c>
      <c r="M18" s="546">
        <v>42076</v>
      </c>
      <c r="N18" s="546"/>
      <c r="O18" s="544"/>
      <c r="P18" s="679" t="s">
        <v>507</v>
      </c>
      <c r="Q18" s="671"/>
      <c r="R18" s="669"/>
    </row>
    <row r="19" spans="1:18" s="374" customFormat="1" ht="22.5" x14ac:dyDescent="0.2">
      <c r="A19" s="541" t="s">
        <v>464</v>
      </c>
      <c r="B19" s="542" t="s">
        <v>465</v>
      </c>
      <c r="C19" s="685" t="s">
        <v>436</v>
      </c>
      <c r="D19" s="502" t="s">
        <v>179</v>
      </c>
      <c r="E19" s="502" t="s">
        <v>228</v>
      </c>
      <c r="F19" s="502"/>
      <c r="G19" s="544"/>
      <c r="H19" s="503" t="s">
        <v>156</v>
      </c>
      <c r="I19" s="503" t="s">
        <v>156</v>
      </c>
      <c r="J19" s="654">
        <v>39670</v>
      </c>
      <c r="K19" s="797">
        <f t="shared" si="2"/>
        <v>-108.68493150684931</v>
      </c>
      <c r="L19" s="503" t="s">
        <v>21</v>
      </c>
      <c r="M19" s="546">
        <v>42074</v>
      </c>
      <c r="N19" s="670"/>
      <c r="O19" s="393"/>
      <c r="P19" s="677" t="s">
        <v>490</v>
      </c>
      <c r="Q19" s="671"/>
      <c r="R19" s="669"/>
    </row>
    <row r="20" spans="1:18" s="374" customFormat="1" x14ac:dyDescent="0.2">
      <c r="A20" s="541" t="s">
        <v>470</v>
      </c>
      <c r="B20" s="542" t="s">
        <v>471</v>
      </c>
      <c r="C20" s="653" t="s">
        <v>424</v>
      </c>
      <c r="D20" s="502" t="s">
        <v>70</v>
      </c>
      <c r="E20" s="502"/>
      <c r="F20" s="502"/>
      <c r="G20" s="544"/>
      <c r="H20" s="503" t="s">
        <v>156</v>
      </c>
      <c r="I20" s="503" t="s">
        <v>62</v>
      </c>
      <c r="J20" s="654">
        <v>39287</v>
      </c>
      <c r="K20" s="797">
        <f t="shared" si="2"/>
        <v>-107.63561643835617</v>
      </c>
      <c r="L20" s="503" t="s">
        <v>13</v>
      </c>
      <c r="M20" s="546">
        <v>42087</v>
      </c>
      <c r="N20" s="670"/>
      <c r="O20" s="393"/>
      <c r="P20" s="679" t="s">
        <v>507</v>
      </c>
      <c r="Q20" s="671"/>
      <c r="R20" s="669"/>
    </row>
    <row r="21" spans="1:18" s="543" customFormat="1" x14ac:dyDescent="0.2">
      <c r="A21" s="541" t="s">
        <v>511</v>
      </c>
      <c r="B21" s="542" t="s">
        <v>512</v>
      </c>
      <c r="C21" s="685" t="s">
        <v>436</v>
      </c>
      <c r="D21" s="502" t="s">
        <v>70</v>
      </c>
      <c r="E21" s="502" t="s">
        <v>87</v>
      </c>
      <c r="F21" s="502"/>
      <c r="G21" s="544"/>
      <c r="H21" s="503" t="s">
        <v>156</v>
      </c>
      <c r="I21" s="503" t="s">
        <v>13</v>
      </c>
      <c r="J21" s="654">
        <v>36487</v>
      </c>
      <c r="K21" s="797">
        <f t="shared" si="2"/>
        <v>15.463013698630137</v>
      </c>
      <c r="L21" s="503" t="s">
        <v>21</v>
      </c>
      <c r="M21" s="546">
        <v>42118</v>
      </c>
      <c r="N21" s="686"/>
      <c r="O21" s="544"/>
      <c r="P21" s="1315" t="s">
        <v>474</v>
      </c>
      <c r="Q21" s="671"/>
      <c r="R21" s="669">
        <v>42131</v>
      </c>
    </row>
    <row r="22" spans="1:18" s="543" customFormat="1" x14ac:dyDescent="0.2">
      <c r="A22" s="541" t="s">
        <v>511</v>
      </c>
      <c r="B22" s="542" t="s">
        <v>513</v>
      </c>
      <c r="C22" s="685" t="s">
        <v>436</v>
      </c>
      <c r="D22" s="502" t="s">
        <v>70</v>
      </c>
      <c r="E22" s="502" t="s">
        <v>87</v>
      </c>
      <c r="F22" s="502"/>
      <c r="G22" s="544"/>
      <c r="H22" s="503" t="s">
        <v>156</v>
      </c>
      <c r="I22" s="503" t="s">
        <v>13</v>
      </c>
      <c r="J22" s="654">
        <v>39662</v>
      </c>
      <c r="K22" s="797">
        <f t="shared" si="2"/>
        <v>6.7643835616438359</v>
      </c>
      <c r="L22" s="503" t="s">
        <v>13</v>
      </c>
      <c r="M22" s="546">
        <v>42118</v>
      </c>
      <c r="N22" s="686"/>
      <c r="O22" s="544"/>
      <c r="P22" s="1315"/>
      <c r="Q22" s="671"/>
      <c r="R22" s="669">
        <v>42131</v>
      </c>
    </row>
    <row r="23" spans="1:18" s="374" customFormat="1" x14ac:dyDescent="0.2">
      <c r="A23" s="541" t="s">
        <v>502</v>
      </c>
      <c r="B23" s="542" t="s">
        <v>503</v>
      </c>
      <c r="C23" s="685" t="s">
        <v>424</v>
      </c>
      <c r="D23" s="502" t="s">
        <v>87</v>
      </c>
      <c r="E23" s="502"/>
      <c r="F23" s="686">
        <v>42135</v>
      </c>
      <c r="G23" s="544"/>
      <c r="H23" s="503" t="s">
        <v>156</v>
      </c>
      <c r="I23" s="503" t="s">
        <v>225</v>
      </c>
      <c r="J23" s="654">
        <v>36344</v>
      </c>
      <c r="K23" s="797">
        <f t="shared" si="2"/>
        <v>15.893150684931507</v>
      </c>
      <c r="L23" s="503" t="s">
        <v>21</v>
      </c>
      <c r="M23" s="546">
        <v>42111</v>
      </c>
      <c r="N23" s="686">
        <v>42142</v>
      </c>
      <c r="O23" s="393"/>
      <c r="P23" s="679" t="s">
        <v>536</v>
      </c>
      <c r="Q23" s="671"/>
      <c r="R23" s="669">
        <v>42145</v>
      </c>
    </row>
    <row r="24" spans="1:18" s="543" customFormat="1" x14ac:dyDescent="0.2">
      <c r="A24" s="541" t="s">
        <v>517</v>
      </c>
      <c r="B24" s="542" t="s">
        <v>518</v>
      </c>
      <c r="C24" s="653" t="s">
        <v>424</v>
      </c>
      <c r="D24" s="502"/>
      <c r="E24" s="502"/>
      <c r="F24" s="686">
        <v>42135</v>
      </c>
      <c r="G24" s="544"/>
      <c r="H24" s="503" t="s">
        <v>156</v>
      </c>
      <c r="I24" s="503" t="s">
        <v>519</v>
      </c>
      <c r="J24" s="654">
        <v>36817</v>
      </c>
      <c r="K24" s="797">
        <f t="shared" si="2"/>
        <v>15.093150684931507</v>
      </c>
      <c r="L24" s="503" t="s">
        <v>13</v>
      </c>
      <c r="M24" s="546">
        <v>42121</v>
      </c>
      <c r="N24" s="686"/>
      <c r="O24" s="544"/>
      <c r="P24" s="679" t="s">
        <v>712</v>
      </c>
      <c r="Q24" s="671"/>
      <c r="R24" s="669">
        <v>42326</v>
      </c>
    </row>
    <row r="25" spans="1:18" s="566" customFormat="1" x14ac:dyDescent="0.2">
      <c r="A25" s="574"/>
      <c r="B25" s="575"/>
      <c r="C25" s="610"/>
      <c r="D25" s="555"/>
      <c r="E25" s="555"/>
      <c r="F25" s="555"/>
      <c r="G25" s="558"/>
      <c r="H25" s="568"/>
      <c r="I25" s="568"/>
      <c r="J25" s="576"/>
      <c r="K25" s="796"/>
      <c r="L25" s="568"/>
      <c r="M25" s="577"/>
      <c r="N25" s="577"/>
      <c r="O25" s="558"/>
      <c r="P25" s="580"/>
      <c r="Q25" s="578"/>
    </row>
    <row r="26" spans="1:18" s="566" customFormat="1" x14ac:dyDescent="0.2">
      <c r="A26" s="574"/>
      <c r="B26" s="575"/>
      <c r="C26" s="610"/>
      <c r="D26" s="555"/>
      <c r="E26" s="555"/>
      <c r="F26" s="555"/>
      <c r="G26" s="558"/>
      <c r="H26" s="568"/>
      <c r="I26" s="568"/>
      <c r="J26" s="576"/>
      <c r="K26" s="796"/>
      <c r="L26" s="568"/>
      <c r="M26" s="577"/>
      <c r="N26" s="577"/>
      <c r="O26" s="558"/>
      <c r="P26" s="580"/>
      <c r="Q26" s="578"/>
    </row>
    <row r="27" spans="1:18" s="566" customFormat="1" x14ac:dyDescent="0.2">
      <c r="A27" s="574"/>
      <c r="B27" s="575"/>
      <c r="C27" s="610"/>
      <c r="D27" s="555"/>
      <c r="E27" s="555"/>
      <c r="F27" s="555"/>
      <c r="G27" s="558"/>
      <c r="H27" s="568"/>
      <c r="I27" s="568"/>
      <c r="J27" s="576"/>
      <c r="K27" s="796"/>
      <c r="L27" s="568"/>
      <c r="M27" s="577"/>
      <c r="N27" s="577"/>
      <c r="O27" s="558"/>
      <c r="P27" s="580"/>
      <c r="Q27" s="578"/>
    </row>
    <row r="28" spans="1:18" s="566" customFormat="1" x14ac:dyDescent="0.2">
      <c r="A28" s="574"/>
      <c r="B28" s="575"/>
      <c r="C28" s="610"/>
      <c r="D28" s="555"/>
      <c r="E28" s="555"/>
      <c r="F28" s="555"/>
      <c r="G28" s="558"/>
      <c r="H28" s="568"/>
      <c r="I28" s="568"/>
      <c r="J28" s="576"/>
      <c r="K28" s="796"/>
      <c r="L28" s="568"/>
      <c r="M28" s="577"/>
      <c r="N28" s="577"/>
      <c r="O28" s="558"/>
      <c r="P28" s="580"/>
      <c r="Q28" s="578"/>
    </row>
    <row r="29" spans="1:18" s="566" customFormat="1" x14ac:dyDescent="0.2">
      <c r="A29" s="574"/>
      <c r="B29" s="575"/>
      <c r="C29" s="610"/>
      <c r="D29" s="555"/>
      <c r="E29" s="555"/>
      <c r="F29" s="555"/>
      <c r="G29" s="558"/>
      <c r="H29" s="568"/>
      <c r="I29" s="568"/>
      <c r="J29" s="576"/>
      <c r="K29" s="796"/>
      <c r="L29" s="568"/>
      <c r="M29" s="577"/>
      <c r="N29" s="577"/>
      <c r="O29" s="558"/>
      <c r="P29" s="580"/>
      <c r="Q29" s="578"/>
    </row>
    <row r="30" spans="1:18" s="566" customFormat="1" x14ac:dyDescent="0.2">
      <c r="A30" s="574"/>
      <c r="B30" s="575"/>
      <c r="C30" s="610"/>
      <c r="D30" s="555"/>
      <c r="E30" s="555"/>
      <c r="F30" s="555"/>
      <c r="G30" s="558"/>
      <c r="H30" s="568"/>
      <c r="I30" s="568"/>
      <c r="J30" s="576"/>
      <c r="K30" s="796"/>
      <c r="L30" s="568"/>
      <c r="M30" s="577"/>
      <c r="N30" s="577"/>
      <c r="O30" s="558"/>
      <c r="P30" s="580"/>
      <c r="Q30" s="578"/>
    </row>
    <row r="31" spans="1:18" s="566" customFormat="1" x14ac:dyDescent="0.2">
      <c r="A31" s="574"/>
      <c r="B31" s="575"/>
      <c r="C31" s="610"/>
      <c r="D31" s="555"/>
      <c r="E31" s="555"/>
      <c r="F31" s="555"/>
      <c r="G31" s="558"/>
      <c r="H31" s="568"/>
      <c r="I31" s="568"/>
      <c r="J31" s="576"/>
      <c r="K31" s="796"/>
      <c r="L31" s="568"/>
      <c r="M31" s="577"/>
      <c r="N31" s="577"/>
      <c r="O31" s="558"/>
      <c r="P31" s="580"/>
      <c r="Q31" s="578"/>
    </row>
    <row r="32" spans="1:18" s="566" customFormat="1" x14ac:dyDescent="0.2">
      <c r="A32" s="574"/>
      <c r="B32" s="575"/>
      <c r="C32" s="610"/>
      <c r="D32" s="555"/>
      <c r="E32" s="555"/>
      <c r="F32" s="555"/>
      <c r="G32" s="558"/>
      <c r="H32" s="568"/>
      <c r="I32" s="568"/>
      <c r="J32" s="576"/>
      <c r="K32" s="796"/>
      <c r="L32" s="568"/>
      <c r="M32" s="577"/>
      <c r="N32" s="577"/>
      <c r="O32" s="558"/>
      <c r="P32" s="580"/>
      <c r="Q32" s="578"/>
    </row>
    <row r="33" spans="3:4" x14ac:dyDescent="0.2">
      <c r="C33" s="302"/>
      <c r="D33" s="302"/>
    </row>
    <row r="34" spans="3:4" x14ac:dyDescent="0.2">
      <c r="C34" s="302"/>
      <c r="D34" s="302"/>
    </row>
  </sheetData>
  <autoFilter ref="A1:R3"/>
  <mergeCells count="3">
    <mergeCell ref="P16:P17"/>
    <mergeCell ref="P21:P22"/>
    <mergeCell ref="N2:N3"/>
  </mergeCells>
  <phoneticPr fontId="0" type="noConversion"/>
  <pageMargins left="0.25" right="0.25" top="0.75" bottom="0.75" header="0.3" footer="0.3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2"/>
  <sheetViews>
    <sheetView zoomScale="70" zoomScaleNormal="70" workbookViewId="0">
      <selection activeCell="I162" sqref="I3:I162"/>
    </sheetView>
  </sheetViews>
  <sheetFormatPr baseColWidth="10" defaultRowHeight="12.75" x14ac:dyDescent="0.2"/>
  <cols>
    <col min="1" max="1" width="38.85546875" bestFit="1" customWidth="1"/>
    <col min="2" max="2" width="27.42578125" bestFit="1" customWidth="1"/>
    <col min="3" max="3" width="15" bestFit="1" customWidth="1"/>
    <col min="4" max="4" width="10" bestFit="1" customWidth="1"/>
    <col min="5" max="5" width="13.28515625" bestFit="1" customWidth="1"/>
    <col min="6" max="6" width="10" bestFit="1" customWidth="1"/>
    <col min="7" max="7" width="18.5703125" bestFit="1" customWidth="1"/>
    <col min="8" max="8" width="7.5703125" bestFit="1" customWidth="1"/>
  </cols>
  <sheetData>
    <row r="1" spans="1:8" ht="25.5" x14ac:dyDescent="0.2">
      <c r="A1" s="1261" t="s">
        <v>410</v>
      </c>
      <c r="B1" s="1261" t="s">
        <v>0</v>
      </c>
      <c r="C1" s="1261" t="s">
        <v>1</v>
      </c>
      <c r="D1" s="1261" t="s">
        <v>2</v>
      </c>
      <c r="E1" s="1261" t="s">
        <v>363</v>
      </c>
      <c r="F1" s="1272" t="s">
        <v>8</v>
      </c>
      <c r="G1" s="1273" t="s">
        <v>418</v>
      </c>
      <c r="H1" s="1274" t="s">
        <v>9</v>
      </c>
    </row>
    <row r="2" spans="1:8" x14ac:dyDescent="0.2">
      <c r="A2" s="1262" t="s">
        <v>810</v>
      </c>
      <c r="B2" s="1262" t="s">
        <v>343</v>
      </c>
      <c r="C2" s="1275" t="s">
        <v>344</v>
      </c>
      <c r="D2" s="1276" t="s">
        <v>183</v>
      </c>
      <c r="E2" s="1276" t="s">
        <v>87</v>
      </c>
      <c r="F2" s="1277">
        <v>41906</v>
      </c>
      <c r="G2" s="1278">
        <v>42271</v>
      </c>
      <c r="H2" s="1278">
        <v>42736</v>
      </c>
    </row>
    <row r="3" spans="1:8" x14ac:dyDescent="0.2">
      <c r="A3" s="1263" t="s">
        <v>189</v>
      </c>
      <c r="B3" s="1263" t="s">
        <v>189</v>
      </c>
      <c r="C3" s="1279" t="s">
        <v>190</v>
      </c>
      <c r="D3" s="1280" t="s">
        <v>183</v>
      </c>
      <c r="E3" s="1280"/>
      <c r="F3" s="1281">
        <v>41094</v>
      </c>
      <c r="G3" s="1282">
        <v>42555</v>
      </c>
      <c r="H3" s="1282">
        <v>42736</v>
      </c>
    </row>
    <row r="4" spans="1:8" x14ac:dyDescent="0.2">
      <c r="A4" s="1263" t="s">
        <v>516</v>
      </c>
      <c r="B4" s="1263" t="s">
        <v>516</v>
      </c>
      <c r="C4" s="1279" t="s">
        <v>364</v>
      </c>
      <c r="D4" s="1280" t="s">
        <v>183</v>
      </c>
      <c r="E4" s="1280" t="s">
        <v>138</v>
      </c>
      <c r="F4" s="1281">
        <v>42144</v>
      </c>
      <c r="G4" s="1283">
        <v>42510</v>
      </c>
      <c r="H4" s="1283">
        <v>42736</v>
      </c>
    </row>
    <row r="5" spans="1:8" x14ac:dyDescent="0.2">
      <c r="A5" s="1263" t="s">
        <v>693</v>
      </c>
      <c r="B5" s="1263" t="s">
        <v>693</v>
      </c>
      <c r="C5" s="1279" t="s">
        <v>568</v>
      </c>
      <c r="D5" s="1280" t="s">
        <v>183</v>
      </c>
      <c r="E5" s="1280" t="s">
        <v>70</v>
      </c>
      <c r="F5" s="1281">
        <v>42352</v>
      </c>
      <c r="G5" s="1281">
        <v>42718</v>
      </c>
      <c r="H5" s="1281">
        <v>42736</v>
      </c>
    </row>
    <row r="6" spans="1:8" x14ac:dyDescent="0.2">
      <c r="A6" s="1263" t="s">
        <v>669</v>
      </c>
      <c r="B6" s="1263" t="s">
        <v>315</v>
      </c>
      <c r="C6" s="1279" t="s">
        <v>373</v>
      </c>
      <c r="D6" s="1280" t="s">
        <v>183</v>
      </c>
      <c r="E6" s="1280"/>
      <c r="F6" s="1281">
        <v>41872</v>
      </c>
      <c r="G6" s="1283">
        <v>42487</v>
      </c>
      <c r="H6" s="1283">
        <v>42736</v>
      </c>
    </row>
    <row r="7" spans="1:8" x14ac:dyDescent="0.2">
      <c r="A7" s="1263" t="s">
        <v>669</v>
      </c>
      <c r="B7" s="1263" t="s">
        <v>315</v>
      </c>
      <c r="C7" s="1279" t="s">
        <v>372</v>
      </c>
      <c r="D7" s="1280" t="s">
        <v>183</v>
      </c>
      <c r="E7" s="1280"/>
      <c r="F7" s="1281">
        <v>41872</v>
      </c>
      <c r="G7" s="1283">
        <v>42497</v>
      </c>
      <c r="H7" s="1283">
        <v>42736</v>
      </c>
    </row>
    <row r="8" spans="1:8" x14ac:dyDescent="0.2">
      <c r="A8" s="1263" t="s">
        <v>811</v>
      </c>
      <c r="B8" s="1263" t="s">
        <v>334</v>
      </c>
      <c r="C8" s="1279" t="s">
        <v>335</v>
      </c>
      <c r="D8" s="1280" t="s">
        <v>183</v>
      </c>
      <c r="E8" s="1280" t="s">
        <v>87</v>
      </c>
      <c r="F8" s="1281">
        <v>41849</v>
      </c>
      <c r="G8" s="1283">
        <v>42580</v>
      </c>
      <c r="H8" s="1283">
        <v>42736</v>
      </c>
    </row>
    <row r="9" spans="1:8" x14ac:dyDescent="0.2">
      <c r="A9" s="1264" t="s">
        <v>415</v>
      </c>
      <c r="B9" s="1264" t="s">
        <v>198</v>
      </c>
      <c r="C9" s="1284" t="s">
        <v>199</v>
      </c>
      <c r="D9" s="1285" t="s">
        <v>183</v>
      </c>
      <c r="E9" s="1285"/>
      <c r="F9" s="1286">
        <v>41246</v>
      </c>
      <c r="G9" s="1287">
        <v>42707</v>
      </c>
      <c r="H9" s="1287">
        <v>42736</v>
      </c>
    </row>
    <row r="10" spans="1:8" x14ac:dyDescent="0.2">
      <c r="A10" s="1264" t="s">
        <v>735</v>
      </c>
      <c r="B10" s="1264" t="s">
        <v>735</v>
      </c>
      <c r="C10" s="1284" t="s">
        <v>736</v>
      </c>
      <c r="D10" s="1285" t="s">
        <v>183</v>
      </c>
      <c r="E10" s="1285"/>
      <c r="F10" s="1286">
        <v>42353</v>
      </c>
      <c r="G10" s="1288">
        <v>42707</v>
      </c>
      <c r="H10" s="1288">
        <v>42736</v>
      </c>
    </row>
    <row r="11" spans="1:8" x14ac:dyDescent="0.2">
      <c r="A11" s="1263" t="s">
        <v>735</v>
      </c>
      <c r="B11" s="1263" t="s">
        <v>735</v>
      </c>
      <c r="C11" s="1279" t="s">
        <v>218</v>
      </c>
      <c r="D11" s="1280" t="s">
        <v>183</v>
      </c>
      <c r="E11" s="1280"/>
      <c r="F11" s="1281">
        <v>42353</v>
      </c>
      <c r="G11" s="1283">
        <v>42707</v>
      </c>
      <c r="H11" s="1283">
        <v>42736</v>
      </c>
    </row>
    <row r="12" spans="1:8" x14ac:dyDescent="0.2">
      <c r="A12" s="1264" t="s">
        <v>415</v>
      </c>
      <c r="B12" s="1264" t="s">
        <v>200</v>
      </c>
      <c r="C12" s="1284" t="s">
        <v>201</v>
      </c>
      <c r="D12" s="1285" t="s">
        <v>183</v>
      </c>
      <c r="E12" s="1285"/>
      <c r="F12" s="1286">
        <v>41246</v>
      </c>
      <c r="G12" s="1287">
        <v>42707</v>
      </c>
      <c r="H12" s="1287">
        <v>42736</v>
      </c>
    </row>
    <row r="13" spans="1:8" x14ac:dyDescent="0.2">
      <c r="A13" s="1263" t="s">
        <v>545</v>
      </c>
      <c r="B13" s="1263" t="s">
        <v>514</v>
      </c>
      <c r="C13" s="1279" t="s">
        <v>515</v>
      </c>
      <c r="D13" s="1280" t="s">
        <v>183</v>
      </c>
      <c r="E13" s="1280" t="s">
        <v>87</v>
      </c>
      <c r="F13" s="1281">
        <v>42144</v>
      </c>
      <c r="G13" s="1282">
        <v>42510</v>
      </c>
      <c r="H13" s="1282">
        <v>42736</v>
      </c>
    </row>
    <row r="14" spans="1:8" x14ac:dyDescent="0.2">
      <c r="A14" s="1265" t="s">
        <v>498</v>
      </c>
      <c r="B14" s="1265" t="s">
        <v>466</v>
      </c>
      <c r="C14" s="1265" t="s">
        <v>467</v>
      </c>
      <c r="D14" s="1289" t="s">
        <v>183</v>
      </c>
      <c r="E14" s="1280" t="s">
        <v>310</v>
      </c>
      <c r="F14" s="1281">
        <v>42093</v>
      </c>
      <c r="G14" s="1282">
        <v>42459</v>
      </c>
      <c r="H14" s="1282">
        <v>42736</v>
      </c>
    </row>
    <row r="15" spans="1:8" x14ac:dyDescent="0.2">
      <c r="A15" s="1263" t="s">
        <v>572</v>
      </c>
      <c r="B15" s="1263" t="s">
        <v>525</v>
      </c>
      <c r="C15" s="1279" t="s">
        <v>526</v>
      </c>
      <c r="D15" s="1280" t="s">
        <v>183</v>
      </c>
      <c r="E15" s="1280" t="s">
        <v>228</v>
      </c>
      <c r="F15" s="1281">
        <v>42163</v>
      </c>
      <c r="G15" s="1283">
        <v>42529</v>
      </c>
      <c r="H15" s="1283">
        <v>42736</v>
      </c>
    </row>
    <row r="16" spans="1:8" x14ac:dyDescent="0.2">
      <c r="A16" s="1263" t="s">
        <v>631</v>
      </c>
      <c r="B16" s="1263" t="s">
        <v>577</v>
      </c>
      <c r="C16" s="1279" t="s">
        <v>578</v>
      </c>
      <c r="D16" s="1280" t="s">
        <v>183</v>
      </c>
      <c r="E16" s="1280" t="s">
        <v>310</v>
      </c>
      <c r="F16" s="1281">
        <v>42254</v>
      </c>
      <c r="G16" s="1283">
        <v>42620</v>
      </c>
      <c r="H16" s="1283">
        <v>42736</v>
      </c>
    </row>
    <row r="17" spans="1:9" x14ac:dyDescent="0.2">
      <c r="A17" s="1263" t="s">
        <v>631</v>
      </c>
      <c r="B17" s="1263" t="s">
        <v>577</v>
      </c>
      <c r="C17" s="1279" t="s">
        <v>579</v>
      </c>
      <c r="D17" s="1280" t="s">
        <v>183</v>
      </c>
      <c r="E17" s="1280" t="s">
        <v>310</v>
      </c>
      <c r="F17" s="1281">
        <v>42254</v>
      </c>
      <c r="G17" s="1283">
        <v>42620</v>
      </c>
      <c r="H17" s="1283">
        <v>42736</v>
      </c>
    </row>
    <row r="18" spans="1:9" x14ac:dyDescent="0.2">
      <c r="A18" s="1263" t="s">
        <v>413</v>
      </c>
      <c r="B18" s="1263" t="s">
        <v>205</v>
      </c>
      <c r="C18" s="1279" t="s">
        <v>206</v>
      </c>
      <c r="D18" s="1280" t="s">
        <v>183</v>
      </c>
      <c r="E18" s="1280"/>
      <c r="F18" s="1281">
        <v>41071</v>
      </c>
      <c r="G18" s="1282">
        <v>42532</v>
      </c>
      <c r="H18" s="1282">
        <v>42736</v>
      </c>
    </row>
    <row r="19" spans="1:9" x14ac:dyDescent="0.2">
      <c r="A19" s="1263" t="s">
        <v>416</v>
      </c>
      <c r="B19" s="1263" t="s">
        <v>237</v>
      </c>
      <c r="C19" s="1279" t="s">
        <v>238</v>
      </c>
      <c r="D19" s="1280" t="s">
        <v>183</v>
      </c>
      <c r="E19" s="1280"/>
      <c r="F19" s="1281">
        <v>41558</v>
      </c>
      <c r="G19" s="1283">
        <v>42470</v>
      </c>
      <c r="H19" s="1283">
        <v>42736</v>
      </c>
    </row>
    <row r="20" spans="1:9" x14ac:dyDescent="0.2">
      <c r="A20" s="1266" t="s">
        <v>792</v>
      </c>
      <c r="B20" s="1266" t="s">
        <v>766</v>
      </c>
      <c r="C20" s="1290" t="s">
        <v>767</v>
      </c>
      <c r="D20" s="1291" t="s">
        <v>183</v>
      </c>
      <c r="E20" s="1291" t="s">
        <v>138</v>
      </c>
      <c r="F20" s="1292">
        <v>42395</v>
      </c>
      <c r="G20" s="1293">
        <v>42761</v>
      </c>
      <c r="H20" s="1293">
        <v>42736</v>
      </c>
    </row>
    <row r="21" spans="1:9" x14ac:dyDescent="0.2">
      <c r="A21" s="1263" t="s">
        <v>401</v>
      </c>
      <c r="B21" s="1263" t="s">
        <v>401</v>
      </c>
      <c r="C21" s="1279" t="s">
        <v>402</v>
      </c>
      <c r="D21" s="1280" t="s">
        <v>183</v>
      </c>
      <c r="E21" s="1280" t="s">
        <v>183</v>
      </c>
      <c r="F21" s="1281">
        <v>42009</v>
      </c>
      <c r="G21" s="1282">
        <v>42556</v>
      </c>
      <c r="H21" s="1282">
        <v>42736</v>
      </c>
    </row>
    <row r="22" spans="1:9" x14ac:dyDescent="0.2">
      <c r="A22" s="1262" t="s">
        <v>574</v>
      </c>
      <c r="B22" s="1262" t="s">
        <v>216</v>
      </c>
      <c r="C22" s="1275" t="s">
        <v>217</v>
      </c>
      <c r="D22" s="1276" t="s">
        <v>183</v>
      </c>
      <c r="E22" s="1276"/>
      <c r="F22" s="1277">
        <v>40980</v>
      </c>
      <c r="G22" s="1294">
        <v>42075</v>
      </c>
      <c r="H22" s="1294">
        <v>42736</v>
      </c>
    </row>
    <row r="23" spans="1:9" x14ac:dyDescent="0.2">
      <c r="A23" s="1263" t="s">
        <v>563</v>
      </c>
      <c r="B23" s="1263" t="s">
        <v>563</v>
      </c>
      <c r="C23" s="1279" t="s">
        <v>564</v>
      </c>
      <c r="D23" s="1280" t="s">
        <v>183</v>
      </c>
      <c r="E23" s="1280" t="s">
        <v>87</v>
      </c>
      <c r="F23" s="1281">
        <v>42250</v>
      </c>
      <c r="G23" s="1283">
        <v>42616</v>
      </c>
      <c r="H23" s="1283">
        <v>42736</v>
      </c>
    </row>
    <row r="24" spans="1:9" x14ac:dyDescent="0.2">
      <c r="A24" s="1266" t="s">
        <v>808</v>
      </c>
      <c r="B24" s="1266" t="s">
        <v>809</v>
      </c>
      <c r="C24" s="1290" t="s">
        <v>768</v>
      </c>
      <c r="D24" s="1291" t="s">
        <v>183</v>
      </c>
      <c r="E24" s="1291" t="s">
        <v>714</v>
      </c>
      <c r="F24" s="1292">
        <v>42401</v>
      </c>
      <c r="G24" s="1293">
        <v>42767</v>
      </c>
      <c r="H24" s="1293">
        <v>42736</v>
      </c>
      <c r="I24">
        <v>23</v>
      </c>
    </row>
    <row r="25" spans="1:9" x14ac:dyDescent="0.2">
      <c r="A25" s="1263" t="s">
        <v>318</v>
      </c>
      <c r="B25" s="1263" t="s">
        <v>318</v>
      </c>
      <c r="C25" s="1279" t="s">
        <v>202</v>
      </c>
      <c r="D25" s="1280" t="s">
        <v>310</v>
      </c>
      <c r="E25" s="1280"/>
      <c r="F25" s="1281">
        <v>41775</v>
      </c>
      <c r="G25" s="1283">
        <v>42506</v>
      </c>
      <c r="H25" s="1283">
        <v>42736</v>
      </c>
    </row>
    <row r="26" spans="1:9" x14ac:dyDescent="0.2">
      <c r="A26" s="1263" t="s">
        <v>318</v>
      </c>
      <c r="B26" s="1263" t="s">
        <v>318</v>
      </c>
      <c r="C26" s="1279" t="s">
        <v>403</v>
      </c>
      <c r="D26" s="1280" t="s">
        <v>310</v>
      </c>
      <c r="E26" s="1280"/>
      <c r="F26" s="1281">
        <v>41969</v>
      </c>
      <c r="G26" s="1283">
        <v>42506</v>
      </c>
      <c r="H26" s="1283">
        <v>42736</v>
      </c>
    </row>
    <row r="27" spans="1:9" x14ac:dyDescent="0.2">
      <c r="A27" s="1263" t="s">
        <v>309</v>
      </c>
      <c r="B27" s="1263" t="s">
        <v>309</v>
      </c>
      <c r="C27" s="1279" t="s">
        <v>204</v>
      </c>
      <c r="D27" s="1280" t="s">
        <v>310</v>
      </c>
      <c r="E27" s="1280"/>
      <c r="F27" s="1281">
        <v>41723</v>
      </c>
      <c r="G27" s="1281">
        <v>42454</v>
      </c>
      <c r="H27" s="1281">
        <v>42736</v>
      </c>
    </row>
    <row r="28" spans="1:9" x14ac:dyDescent="0.2">
      <c r="A28" s="1263" t="s">
        <v>644</v>
      </c>
      <c r="B28" s="1263" t="s">
        <v>644</v>
      </c>
      <c r="C28" s="1279" t="s">
        <v>645</v>
      </c>
      <c r="D28" s="1280" t="s">
        <v>310</v>
      </c>
      <c r="E28" s="1280" t="s">
        <v>179</v>
      </c>
      <c r="F28" s="1281">
        <v>42320</v>
      </c>
      <c r="G28" s="1283">
        <v>42686</v>
      </c>
      <c r="H28" s="1283">
        <v>42736</v>
      </c>
    </row>
    <row r="29" spans="1:9" x14ac:dyDescent="0.2">
      <c r="A29" s="1263" t="s">
        <v>644</v>
      </c>
      <c r="B29" s="1263" t="s">
        <v>644</v>
      </c>
      <c r="C29" s="1279" t="s">
        <v>646</v>
      </c>
      <c r="D29" s="1280" t="s">
        <v>310</v>
      </c>
      <c r="E29" s="1280" t="s">
        <v>179</v>
      </c>
      <c r="F29" s="1281">
        <v>42320</v>
      </c>
      <c r="G29" s="1283">
        <v>42686</v>
      </c>
      <c r="H29" s="1283">
        <v>42736</v>
      </c>
    </row>
    <row r="30" spans="1:9" x14ac:dyDescent="0.2">
      <c r="A30" s="1263" t="s">
        <v>669</v>
      </c>
      <c r="B30" s="1263" t="s">
        <v>315</v>
      </c>
      <c r="C30" s="1279" t="s">
        <v>322</v>
      </c>
      <c r="D30" s="1280" t="s">
        <v>310</v>
      </c>
      <c r="E30" s="1280"/>
      <c r="F30" s="1281">
        <v>41766</v>
      </c>
      <c r="G30" s="1283">
        <v>42497</v>
      </c>
      <c r="H30" s="1283">
        <v>42736</v>
      </c>
    </row>
    <row r="31" spans="1:9" x14ac:dyDescent="0.2">
      <c r="A31" s="1263" t="s">
        <v>669</v>
      </c>
      <c r="B31" s="1263" t="s">
        <v>315</v>
      </c>
      <c r="C31" s="1279" t="s">
        <v>371</v>
      </c>
      <c r="D31" s="1280" t="s">
        <v>310</v>
      </c>
      <c r="E31" s="1280"/>
      <c r="F31" s="1281">
        <v>41872</v>
      </c>
      <c r="G31" s="1283">
        <v>42497</v>
      </c>
      <c r="H31" s="1283">
        <v>42736</v>
      </c>
    </row>
    <row r="32" spans="1:9" x14ac:dyDescent="0.2">
      <c r="A32" s="1263" t="s">
        <v>658</v>
      </c>
      <c r="B32" s="1263" t="s">
        <v>562</v>
      </c>
      <c r="C32" s="1279" t="s">
        <v>221</v>
      </c>
      <c r="D32" s="1280" t="s">
        <v>310</v>
      </c>
      <c r="E32" s="1280" t="s">
        <v>87</v>
      </c>
      <c r="F32" s="1281">
        <v>42209</v>
      </c>
      <c r="G32" s="1283">
        <v>42575</v>
      </c>
      <c r="H32" s="1283">
        <v>42736</v>
      </c>
    </row>
    <row r="33" spans="1:9" x14ac:dyDescent="0.2">
      <c r="A33" s="1262" t="s">
        <v>399</v>
      </c>
      <c r="B33" s="1262" t="s">
        <v>399</v>
      </c>
      <c r="C33" s="1275" t="s">
        <v>420</v>
      </c>
      <c r="D33" s="1276" t="s">
        <v>310</v>
      </c>
      <c r="E33" s="1276" t="s">
        <v>183</v>
      </c>
      <c r="F33" s="1277">
        <v>42009</v>
      </c>
      <c r="G33" s="1294">
        <v>42374</v>
      </c>
      <c r="H33" s="1294">
        <v>42736</v>
      </c>
    </row>
    <row r="34" spans="1:9" x14ac:dyDescent="0.2">
      <c r="A34" s="1262" t="s">
        <v>414</v>
      </c>
      <c r="B34" s="1262" t="s">
        <v>302</v>
      </c>
      <c r="C34" s="1275" t="s">
        <v>303</v>
      </c>
      <c r="D34" s="1276" t="s">
        <v>310</v>
      </c>
      <c r="E34" s="1276" t="s">
        <v>228</v>
      </c>
      <c r="F34" s="1277">
        <v>41710</v>
      </c>
      <c r="G34" s="1278">
        <v>42441</v>
      </c>
      <c r="H34" s="1278">
        <v>42736</v>
      </c>
    </row>
    <row r="35" spans="1:9" x14ac:dyDescent="0.2">
      <c r="A35" s="1263" t="s">
        <v>812</v>
      </c>
      <c r="B35" s="1263" t="s">
        <v>341</v>
      </c>
      <c r="C35" s="1279" t="s">
        <v>342</v>
      </c>
      <c r="D35" s="1280" t="s">
        <v>310</v>
      </c>
      <c r="E35" s="1280" t="s">
        <v>87</v>
      </c>
      <c r="F35" s="1281">
        <v>41850</v>
      </c>
      <c r="G35" s="1283">
        <v>42520</v>
      </c>
      <c r="H35" s="1283">
        <v>42736</v>
      </c>
    </row>
    <row r="36" spans="1:9" x14ac:dyDescent="0.2">
      <c r="A36" s="1263" t="s">
        <v>630</v>
      </c>
      <c r="B36" s="1263" t="s">
        <v>567</v>
      </c>
      <c r="C36" s="1279" t="s">
        <v>568</v>
      </c>
      <c r="D36" s="1280" t="s">
        <v>310</v>
      </c>
      <c r="E36" s="1280" t="s">
        <v>70</v>
      </c>
      <c r="F36" s="1281">
        <v>42261</v>
      </c>
      <c r="G36" s="1283">
        <v>42627</v>
      </c>
      <c r="H36" s="1283">
        <v>42736</v>
      </c>
    </row>
    <row r="37" spans="1:9" x14ac:dyDescent="0.2">
      <c r="A37" s="1263" t="s">
        <v>570</v>
      </c>
      <c r="B37" s="1263" t="s">
        <v>520</v>
      </c>
      <c r="C37" s="1279" t="s">
        <v>521</v>
      </c>
      <c r="D37" s="1280" t="s">
        <v>310</v>
      </c>
      <c r="E37" s="1280" t="s">
        <v>179</v>
      </c>
      <c r="F37" s="1281">
        <v>42137</v>
      </c>
      <c r="G37" s="1282">
        <v>42503</v>
      </c>
      <c r="H37" s="1282">
        <v>42736</v>
      </c>
    </row>
    <row r="38" spans="1:9" x14ac:dyDescent="0.2">
      <c r="A38" s="1262" t="s">
        <v>414</v>
      </c>
      <c r="B38" s="1262" t="s">
        <v>308</v>
      </c>
      <c r="C38" s="1275" t="s">
        <v>304</v>
      </c>
      <c r="D38" s="1276" t="s">
        <v>310</v>
      </c>
      <c r="E38" s="1276" t="s">
        <v>310</v>
      </c>
      <c r="F38" s="1277">
        <v>41710</v>
      </c>
      <c r="G38" s="1278">
        <v>42441</v>
      </c>
      <c r="H38" s="1278">
        <v>42736</v>
      </c>
    </row>
    <row r="39" spans="1:9" x14ac:dyDescent="0.2">
      <c r="A39" s="1262" t="s">
        <v>414</v>
      </c>
      <c r="B39" s="1262" t="s">
        <v>308</v>
      </c>
      <c r="C39" s="1275" t="s">
        <v>305</v>
      </c>
      <c r="D39" s="1276" t="s">
        <v>310</v>
      </c>
      <c r="E39" s="1276" t="s">
        <v>310</v>
      </c>
      <c r="F39" s="1277">
        <v>41710</v>
      </c>
      <c r="G39" s="1278">
        <v>42441</v>
      </c>
      <c r="H39" s="1278">
        <v>42736</v>
      </c>
    </row>
    <row r="40" spans="1:9" x14ac:dyDescent="0.2">
      <c r="A40" s="1262" t="s">
        <v>414</v>
      </c>
      <c r="B40" s="1262" t="s">
        <v>308</v>
      </c>
      <c r="C40" s="1275" t="s">
        <v>158</v>
      </c>
      <c r="D40" s="1276" t="s">
        <v>310</v>
      </c>
      <c r="E40" s="1276" t="s">
        <v>228</v>
      </c>
      <c r="F40" s="1277">
        <v>41710</v>
      </c>
      <c r="G40" s="1278">
        <v>42441</v>
      </c>
      <c r="H40" s="1278">
        <v>42736</v>
      </c>
    </row>
    <row r="41" spans="1:9" x14ac:dyDescent="0.2">
      <c r="A41" s="1263" t="s">
        <v>508</v>
      </c>
      <c r="B41" s="1263" t="s">
        <v>509</v>
      </c>
      <c r="C41" s="1279" t="s">
        <v>510</v>
      </c>
      <c r="D41" s="1280" t="s">
        <v>310</v>
      </c>
      <c r="E41" s="1280" t="s">
        <v>138</v>
      </c>
      <c r="F41" s="1281">
        <v>42104</v>
      </c>
      <c r="G41" s="1283">
        <v>42470</v>
      </c>
      <c r="H41" s="1283">
        <v>42736</v>
      </c>
    </row>
    <row r="42" spans="1:9" x14ac:dyDescent="0.2">
      <c r="A42" s="1263" t="s">
        <v>472</v>
      </c>
      <c r="B42" s="1263" t="s">
        <v>472</v>
      </c>
      <c r="C42" s="1279" t="s">
        <v>473</v>
      </c>
      <c r="D42" s="1280" t="s">
        <v>310</v>
      </c>
      <c r="E42" s="1280" t="s">
        <v>70</v>
      </c>
      <c r="F42" s="1281">
        <v>42111</v>
      </c>
      <c r="G42" s="1283">
        <v>42477</v>
      </c>
      <c r="H42" s="1283">
        <v>42736</v>
      </c>
    </row>
    <row r="43" spans="1:9" x14ac:dyDescent="0.2">
      <c r="A43" s="1263" t="s">
        <v>654</v>
      </c>
      <c r="B43" s="1263" t="s">
        <v>560</v>
      </c>
      <c r="C43" s="1279" t="s">
        <v>561</v>
      </c>
      <c r="D43" s="1280" t="s">
        <v>310</v>
      </c>
      <c r="E43" s="1280" t="s">
        <v>87</v>
      </c>
      <c r="F43" s="1281">
        <v>42202</v>
      </c>
      <c r="G43" s="1283">
        <v>42568</v>
      </c>
      <c r="H43" s="1283">
        <v>42736</v>
      </c>
    </row>
    <row r="44" spans="1:9" x14ac:dyDescent="0.2">
      <c r="A44" s="1263" t="s">
        <v>813</v>
      </c>
      <c r="B44" s="1263" t="s">
        <v>207</v>
      </c>
      <c r="C44" s="1279" t="s">
        <v>208</v>
      </c>
      <c r="D44" s="1280" t="s">
        <v>310</v>
      </c>
      <c r="E44" s="1280"/>
      <c r="F44" s="1281">
        <v>41176</v>
      </c>
      <c r="G44" s="1282">
        <v>42453</v>
      </c>
      <c r="H44" s="1282">
        <v>42736</v>
      </c>
    </row>
    <row r="45" spans="1:9" x14ac:dyDescent="0.2">
      <c r="A45" s="1263" t="s">
        <v>330</v>
      </c>
      <c r="B45" s="1263" t="s">
        <v>330</v>
      </c>
      <c r="C45" s="1279" t="s">
        <v>194</v>
      </c>
      <c r="D45" s="1280" t="s">
        <v>310</v>
      </c>
      <c r="E45" s="1280" t="s">
        <v>179</v>
      </c>
      <c r="F45" s="1281">
        <v>41815</v>
      </c>
      <c r="G45" s="1281">
        <v>42546</v>
      </c>
      <c r="H45" s="1281">
        <v>42736</v>
      </c>
    </row>
    <row r="46" spans="1:9" x14ac:dyDescent="0.2">
      <c r="A46" s="1263" t="s">
        <v>665</v>
      </c>
      <c r="B46" s="1263" t="s">
        <v>306</v>
      </c>
      <c r="C46" s="1279" t="s">
        <v>307</v>
      </c>
      <c r="D46" s="1280" t="s">
        <v>310</v>
      </c>
      <c r="E46" s="1280"/>
      <c r="F46" s="1281">
        <v>41710</v>
      </c>
      <c r="G46" s="1283">
        <v>42441</v>
      </c>
      <c r="H46" s="1282">
        <v>42736</v>
      </c>
    </row>
    <row r="47" spans="1:9" x14ac:dyDescent="0.2">
      <c r="A47" s="1264" t="s">
        <v>814</v>
      </c>
      <c r="B47" s="1264" t="s">
        <v>243</v>
      </c>
      <c r="C47" s="1284" t="s">
        <v>218</v>
      </c>
      <c r="D47" s="1285" t="s">
        <v>310</v>
      </c>
      <c r="E47" s="1285"/>
      <c r="F47" s="1286">
        <v>41596</v>
      </c>
      <c r="G47" s="1288">
        <v>42692</v>
      </c>
      <c r="H47" s="1282">
        <v>42736</v>
      </c>
    </row>
    <row r="48" spans="1:9" x14ac:dyDescent="0.2">
      <c r="A48" s="1264" t="s">
        <v>814</v>
      </c>
      <c r="B48" s="1264" t="s">
        <v>293</v>
      </c>
      <c r="C48" s="1284" t="s">
        <v>244</v>
      </c>
      <c r="D48" s="1285" t="s">
        <v>310</v>
      </c>
      <c r="E48" s="1285"/>
      <c r="F48" s="1286">
        <v>41596</v>
      </c>
      <c r="G48" s="1288">
        <v>42692</v>
      </c>
      <c r="H48" s="1282">
        <v>42736</v>
      </c>
      <c r="I48">
        <v>24</v>
      </c>
    </row>
    <row r="49" spans="1:8" x14ac:dyDescent="0.2">
      <c r="A49" s="1265" t="s">
        <v>487</v>
      </c>
      <c r="B49" s="1265" t="s">
        <v>487</v>
      </c>
      <c r="C49" s="1265" t="s">
        <v>488</v>
      </c>
      <c r="D49" s="1289" t="s">
        <v>179</v>
      </c>
      <c r="E49" s="1280" t="s">
        <v>138</v>
      </c>
      <c r="F49" s="1281">
        <v>42104</v>
      </c>
      <c r="G49" s="1282">
        <v>42469</v>
      </c>
      <c r="H49" s="1282">
        <v>42736</v>
      </c>
    </row>
    <row r="50" spans="1:8" x14ac:dyDescent="0.2">
      <c r="A50" s="1263" t="s">
        <v>657</v>
      </c>
      <c r="B50" s="1263" t="s">
        <v>556</v>
      </c>
      <c r="C50" s="1279" t="s">
        <v>163</v>
      </c>
      <c r="D50" s="1280" t="s">
        <v>179</v>
      </c>
      <c r="E50" s="1280" t="s">
        <v>183</v>
      </c>
      <c r="F50" s="1281">
        <v>42208</v>
      </c>
      <c r="G50" s="1282">
        <v>42574</v>
      </c>
      <c r="H50" s="1282">
        <v>42736</v>
      </c>
    </row>
    <row r="51" spans="1:8" x14ac:dyDescent="0.2">
      <c r="A51" s="1263" t="s">
        <v>505</v>
      </c>
      <c r="B51" s="1263" t="s">
        <v>505</v>
      </c>
      <c r="C51" s="1279" t="s">
        <v>506</v>
      </c>
      <c r="D51" s="1280" t="s">
        <v>179</v>
      </c>
      <c r="E51" s="1280" t="s">
        <v>310</v>
      </c>
      <c r="F51" s="1281">
        <v>42265</v>
      </c>
      <c r="G51" s="1282">
        <v>42631</v>
      </c>
      <c r="H51" s="1282">
        <v>42736</v>
      </c>
    </row>
    <row r="52" spans="1:8" x14ac:dyDescent="0.2">
      <c r="A52" s="1263" t="s">
        <v>815</v>
      </c>
      <c r="B52" s="1263" t="s">
        <v>246</v>
      </c>
      <c r="C52" s="1279" t="s">
        <v>222</v>
      </c>
      <c r="D52" s="1280" t="s">
        <v>179</v>
      </c>
      <c r="E52" s="1280"/>
      <c r="F52" s="1281">
        <v>41666</v>
      </c>
      <c r="G52" s="1283">
        <v>42396</v>
      </c>
      <c r="H52" s="1283">
        <v>42736</v>
      </c>
    </row>
    <row r="53" spans="1:8" x14ac:dyDescent="0.2">
      <c r="A53" s="1263" t="s">
        <v>644</v>
      </c>
      <c r="B53" s="1263" t="s">
        <v>644</v>
      </c>
      <c r="C53" s="1279" t="s">
        <v>648</v>
      </c>
      <c r="D53" s="1280" t="s">
        <v>179</v>
      </c>
      <c r="E53" s="1280" t="s">
        <v>310</v>
      </c>
      <c r="F53" s="1281">
        <v>42320</v>
      </c>
      <c r="G53" s="1283">
        <v>42686</v>
      </c>
      <c r="H53" s="1283">
        <v>42736</v>
      </c>
    </row>
    <row r="54" spans="1:8" x14ac:dyDescent="0.2">
      <c r="A54" s="1263" t="s">
        <v>644</v>
      </c>
      <c r="B54" s="1263" t="s">
        <v>644</v>
      </c>
      <c r="C54" s="1279" t="s">
        <v>647</v>
      </c>
      <c r="D54" s="1280" t="s">
        <v>179</v>
      </c>
      <c r="E54" s="1280" t="s">
        <v>310</v>
      </c>
      <c r="F54" s="1281">
        <v>42320</v>
      </c>
      <c r="G54" s="1283">
        <v>42686</v>
      </c>
      <c r="H54" s="1283">
        <v>42736</v>
      </c>
    </row>
    <row r="55" spans="1:8" x14ac:dyDescent="0.2">
      <c r="A55" s="1263" t="s">
        <v>602</v>
      </c>
      <c r="B55" s="1263" t="s">
        <v>602</v>
      </c>
      <c r="C55" s="1279" t="s">
        <v>603</v>
      </c>
      <c r="D55" s="1280" t="s">
        <v>179</v>
      </c>
      <c r="E55" s="1280" t="s">
        <v>70</v>
      </c>
      <c r="F55" s="1281">
        <v>42265</v>
      </c>
      <c r="G55" s="1283">
        <v>42631</v>
      </c>
      <c r="H55" s="1283">
        <v>42736</v>
      </c>
    </row>
    <row r="56" spans="1:8" x14ac:dyDescent="0.2">
      <c r="A56" s="1267" t="s">
        <v>816</v>
      </c>
      <c r="B56" s="1267" t="s">
        <v>247</v>
      </c>
      <c r="C56" s="1267" t="s">
        <v>249</v>
      </c>
      <c r="D56" s="1289" t="s">
        <v>179</v>
      </c>
      <c r="E56" s="1289"/>
      <c r="F56" s="1295">
        <v>41635</v>
      </c>
      <c r="G56" s="1282">
        <v>42548</v>
      </c>
      <c r="H56" s="1282">
        <v>42736</v>
      </c>
    </row>
    <row r="57" spans="1:8" x14ac:dyDescent="0.2">
      <c r="A57" s="1267" t="s">
        <v>816</v>
      </c>
      <c r="B57" s="1267" t="s">
        <v>247</v>
      </c>
      <c r="C57" s="1267" t="s">
        <v>248</v>
      </c>
      <c r="D57" s="1289" t="s">
        <v>179</v>
      </c>
      <c r="E57" s="1289"/>
      <c r="F57" s="1295">
        <v>41635</v>
      </c>
      <c r="G57" s="1282">
        <v>42548</v>
      </c>
      <c r="H57" s="1282">
        <v>42736</v>
      </c>
    </row>
    <row r="58" spans="1:8" x14ac:dyDescent="0.2">
      <c r="A58" s="1263" t="s">
        <v>192</v>
      </c>
      <c r="B58" s="1263" t="s">
        <v>192</v>
      </c>
      <c r="C58" s="1279" t="s">
        <v>193</v>
      </c>
      <c r="D58" s="1280" t="s">
        <v>179</v>
      </c>
      <c r="E58" s="1280"/>
      <c r="F58" s="1281">
        <v>41066</v>
      </c>
      <c r="G58" s="1283">
        <v>42527</v>
      </c>
      <c r="H58" s="1283">
        <v>42736</v>
      </c>
    </row>
    <row r="59" spans="1:8" x14ac:dyDescent="0.2">
      <c r="A59" s="1264" t="s">
        <v>755</v>
      </c>
      <c r="B59" s="1264" t="s">
        <v>755</v>
      </c>
      <c r="C59" s="1284" t="s">
        <v>202</v>
      </c>
      <c r="D59" s="1285" t="s">
        <v>179</v>
      </c>
      <c r="E59" s="1285" t="s">
        <v>183</v>
      </c>
      <c r="F59" s="1286">
        <v>42380</v>
      </c>
      <c r="G59" s="1286">
        <v>42746</v>
      </c>
      <c r="H59" s="1286">
        <v>42736</v>
      </c>
    </row>
    <row r="60" spans="1:8" x14ac:dyDescent="0.2">
      <c r="A60" s="1263" t="s">
        <v>485</v>
      </c>
      <c r="B60" s="1263" t="s">
        <v>485</v>
      </c>
      <c r="C60" s="1279" t="s">
        <v>486</v>
      </c>
      <c r="D60" s="1280" t="s">
        <v>179</v>
      </c>
      <c r="E60" s="1280" t="s">
        <v>228</v>
      </c>
      <c r="F60" s="1281">
        <v>42111</v>
      </c>
      <c r="G60" s="1283">
        <v>42477</v>
      </c>
      <c r="H60" s="1283">
        <v>42736</v>
      </c>
    </row>
    <row r="61" spans="1:8" x14ac:dyDescent="0.2">
      <c r="A61" s="1263" t="s">
        <v>737</v>
      </c>
      <c r="B61" s="1263" t="s">
        <v>297</v>
      </c>
      <c r="C61" s="1279" t="s">
        <v>298</v>
      </c>
      <c r="D61" s="1280" t="s">
        <v>179</v>
      </c>
      <c r="E61" s="1280"/>
      <c r="F61" s="1281">
        <v>41710</v>
      </c>
      <c r="G61" s="1283">
        <v>42625</v>
      </c>
      <c r="H61" s="1283">
        <v>42736</v>
      </c>
    </row>
    <row r="62" spans="1:8" x14ac:dyDescent="0.2">
      <c r="A62" s="1266" t="s">
        <v>793</v>
      </c>
      <c r="B62" s="1266" t="s">
        <v>783</v>
      </c>
      <c r="C62" s="1290" t="s">
        <v>711</v>
      </c>
      <c r="D62" s="1291" t="s">
        <v>179</v>
      </c>
      <c r="E62" s="1291" t="s">
        <v>714</v>
      </c>
      <c r="F62" s="1292">
        <v>42380</v>
      </c>
      <c r="G62" s="1293">
        <v>42746</v>
      </c>
      <c r="H62" s="1293">
        <v>42736</v>
      </c>
    </row>
    <row r="63" spans="1:8" x14ac:dyDescent="0.2">
      <c r="A63" s="1262" t="s">
        <v>662</v>
      </c>
      <c r="B63" s="1262" t="s">
        <v>296</v>
      </c>
      <c r="C63" s="1275" t="s">
        <v>197</v>
      </c>
      <c r="D63" s="1276" t="s">
        <v>179</v>
      </c>
      <c r="E63" s="1276"/>
      <c r="F63" s="1277">
        <v>41687</v>
      </c>
      <c r="G63" s="1278">
        <v>42417</v>
      </c>
      <c r="H63" s="1278">
        <v>42736</v>
      </c>
    </row>
    <row r="64" spans="1:8" x14ac:dyDescent="0.2">
      <c r="A64" s="1263" t="s">
        <v>444</v>
      </c>
      <c r="B64" s="1263" t="s">
        <v>444</v>
      </c>
      <c r="C64" s="1279" t="s">
        <v>445</v>
      </c>
      <c r="D64" s="1280" t="s">
        <v>179</v>
      </c>
      <c r="E64" s="1280" t="s">
        <v>87</v>
      </c>
      <c r="F64" s="1281">
        <v>42079</v>
      </c>
      <c r="G64" s="1282">
        <v>42445</v>
      </c>
      <c r="H64" s="1282">
        <v>42736</v>
      </c>
    </row>
    <row r="65" spans="1:9" x14ac:dyDescent="0.2">
      <c r="A65" s="1263" t="s">
        <v>444</v>
      </c>
      <c r="B65" s="1263" t="s">
        <v>444</v>
      </c>
      <c r="C65" s="1279" t="s">
        <v>446</v>
      </c>
      <c r="D65" s="1280" t="s">
        <v>179</v>
      </c>
      <c r="E65" s="1280" t="s">
        <v>87</v>
      </c>
      <c r="F65" s="1281">
        <v>42079</v>
      </c>
      <c r="G65" s="1282">
        <v>42445</v>
      </c>
      <c r="H65" s="1282">
        <v>42736</v>
      </c>
    </row>
    <row r="66" spans="1:9" x14ac:dyDescent="0.2">
      <c r="A66" s="1263" t="s">
        <v>444</v>
      </c>
      <c r="B66" s="1263" t="s">
        <v>444</v>
      </c>
      <c r="C66" s="1279" t="s">
        <v>447</v>
      </c>
      <c r="D66" s="1280" t="s">
        <v>179</v>
      </c>
      <c r="E66" s="1280" t="s">
        <v>87</v>
      </c>
      <c r="F66" s="1281">
        <v>42079</v>
      </c>
      <c r="G66" s="1282">
        <v>42445</v>
      </c>
      <c r="H66" s="1282">
        <v>42736</v>
      </c>
    </row>
    <row r="67" spans="1:9" x14ac:dyDescent="0.2">
      <c r="A67" s="1263" t="s">
        <v>312</v>
      </c>
      <c r="B67" s="1263" t="s">
        <v>312</v>
      </c>
      <c r="C67" s="1279" t="s">
        <v>301</v>
      </c>
      <c r="D67" s="1280" t="s">
        <v>179</v>
      </c>
      <c r="E67" s="1280"/>
      <c r="F67" s="1281">
        <v>41711</v>
      </c>
      <c r="G67" s="1283">
        <v>42442</v>
      </c>
      <c r="H67" s="1283">
        <v>42736</v>
      </c>
    </row>
    <row r="68" spans="1:9" x14ac:dyDescent="0.2">
      <c r="A68" s="1263" t="s">
        <v>637</v>
      </c>
      <c r="B68" s="1263" t="s">
        <v>649</v>
      </c>
      <c r="C68" s="1279" t="s">
        <v>587</v>
      </c>
      <c r="D68" s="1280" t="s">
        <v>179</v>
      </c>
      <c r="E68" s="1280" t="s">
        <v>70</v>
      </c>
      <c r="F68" s="1281">
        <v>42257</v>
      </c>
      <c r="G68" s="1283">
        <v>42623</v>
      </c>
      <c r="H68" s="1283">
        <v>42736</v>
      </c>
    </row>
    <row r="69" spans="1:9" x14ac:dyDescent="0.2">
      <c r="A69" s="1263" t="s">
        <v>326</v>
      </c>
      <c r="B69" s="1263" t="s">
        <v>326</v>
      </c>
      <c r="C69" s="1279" t="s">
        <v>250</v>
      </c>
      <c r="D69" s="1280" t="s">
        <v>179</v>
      </c>
      <c r="E69" s="1280" t="s">
        <v>138</v>
      </c>
      <c r="F69" s="1281">
        <v>42261</v>
      </c>
      <c r="G69" s="1283">
        <v>42627</v>
      </c>
      <c r="H69" s="1282">
        <v>42736</v>
      </c>
      <c r="I69">
        <v>21</v>
      </c>
    </row>
    <row r="70" spans="1:9" x14ac:dyDescent="0.2">
      <c r="A70" s="1263" t="s">
        <v>706</v>
      </c>
      <c r="B70" s="1263" t="s">
        <v>539</v>
      </c>
      <c r="C70" s="1279" t="s">
        <v>540</v>
      </c>
      <c r="D70" s="1280" t="s">
        <v>138</v>
      </c>
      <c r="E70" s="1280" t="s">
        <v>183</v>
      </c>
      <c r="F70" s="1281">
        <v>42184</v>
      </c>
      <c r="G70" s="1283">
        <v>42549</v>
      </c>
      <c r="H70" s="1283">
        <v>42736</v>
      </c>
    </row>
    <row r="71" spans="1:9" x14ac:dyDescent="0.2">
      <c r="A71" s="1263" t="s">
        <v>706</v>
      </c>
      <c r="B71" s="1263" t="s">
        <v>539</v>
      </c>
      <c r="C71" s="1279" t="s">
        <v>541</v>
      </c>
      <c r="D71" s="1280" t="s">
        <v>138</v>
      </c>
      <c r="E71" s="1280" t="s">
        <v>183</v>
      </c>
      <c r="F71" s="1281">
        <v>42184</v>
      </c>
      <c r="G71" s="1283">
        <v>42549</v>
      </c>
      <c r="H71" s="1283">
        <v>42736</v>
      </c>
    </row>
    <row r="72" spans="1:9" x14ac:dyDescent="0.2">
      <c r="A72" s="1262" t="s">
        <v>817</v>
      </c>
      <c r="B72" s="1262" t="s">
        <v>349</v>
      </c>
      <c r="C72" s="1275" t="s">
        <v>219</v>
      </c>
      <c r="D72" s="1276" t="s">
        <v>138</v>
      </c>
      <c r="E72" s="1276" t="s">
        <v>87</v>
      </c>
      <c r="F72" s="1277">
        <v>41946</v>
      </c>
      <c r="G72" s="1294">
        <v>42311</v>
      </c>
      <c r="H72" s="1294">
        <v>42736</v>
      </c>
    </row>
    <row r="73" spans="1:9" x14ac:dyDescent="0.2">
      <c r="A73" s="1263" t="s">
        <v>573</v>
      </c>
      <c r="B73" s="1263" t="s">
        <v>522</v>
      </c>
      <c r="C73" s="1279" t="s">
        <v>523</v>
      </c>
      <c r="D73" s="1280" t="s">
        <v>138</v>
      </c>
      <c r="E73" s="1280" t="s">
        <v>228</v>
      </c>
      <c r="F73" s="1281">
        <v>42184</v>
      </c>
      <c r="G73" s="1282">
        <v>42549</v>
      </c>
      <c r="H73" s="1282">
        <v>42736</v>
      </c>
    </row>
    <row r="74" spans="1:9" x14ac:dyDescent="0.2">
      <c r="A74" s="1263" t="s">
        <v>818</v>
      </c>
      <c r="B74" s="1263" t="s">
        <v>727</v>
      </c>
      <c r="C74" s="1279" t="s">
        <v>679</v>
      </c>
      <c r="D74" s="1280" t="s">
        <v>138</v>
      </c>
      <c r="E74" s="1280" t="s">
        <v>714</v>
      </c>
      <c r="F74" s="1281">
        <v>42346</v>
      </c>
      <c r="G74" s="1283">
        <v>42712</v>
      </c>
      <c r="H74" s="1283">
        <v>42736</v>
      </c>
    </row>
    <row r="75" spans="1:9" x14ac:dyDescent="0.2">
      <c r="A75" s="1263" t="s">
        <v>819</v>
      </c>
      <c r="B75" s="1263" t="s">
        <v>378</v>
      </c>
      <c r="C75" s="1279" t="s">
        <v>210</v>
      </c>
      <c r="D75" s="1280" t="s">
        <v>138</v>
      </c>
      <c r="E75" s="1280" t="s">
        <v>228</v>
      </c>
      <c r="F75" s="1281">
        <v>41978</v>
      </c>
      <c r="G75" s="1283">
        <v>42709</v>
      </c>
      <c r="H75" s="1283">
        <v>42736</v>
      </c>
    </row>
    <row r="76" spans="1:9" x14ac:dyDescent="0.2">
      <c r="A76" s="1263" t="s">
        <v>819</v>
      </c>
      <c r="B76" s="1263" t="s">
        <v>378</v>
      </c>
      <c r="C76" s="1279" t="s">
        <v>221</v>
      </c>
      <c r="D76" s="1280" t="s">
        <v>138</v>
      </c>
      <c r="E76" s="1280" t="s">
        <v>228</v>
      </c>
      <c r="F76" s="1281">
        <v>41978</v>
      </c>
      <c r="G76" s="1283">
        <v>42709</v>
      </c>
      <c r="H76" s="1283">
        <v>42736</v>
      </c>
    </row>
    <row r="77" spans="1:9" x14ac:dyDescent="0.2">
      <c r="A77" s="1266" t="s">
        <v>780</v>
      </c>
      <c r="B77" s="1266" t="s">
        <v>780</v>
      </c>
      <c r="C77" s="1290" t="s">
        <v>781</v>
      </c>
      <c r="D77" s="1291" t="s">
        <v>138</v>
      </c>
      <c r="E77" s="1291" t="s">
        <v>714</v>
      </c>
      <c r="F77" s="1292">
        <v>42387</v>
      </c>
      <c r="G77" s="1293">
        <v>42753</v>
      </c>
      <c r="H77" s="1293">
        <v>42736</v>
      </c>
    </row>
    <row r="78" spans="1:9" x14ac:dyDescent="0.2">
      <c r="A78" s="1263" t="s">
        <v>745</v>
      </c>
      <c r="B78" s="1263" t="s">
        <v>746</v>
      </c>
      <c r="C78" s="1279" t="s">
        <v>747</v>
      </c>
      <c r="D78" s="1280" t="s">
        <v>138</v>
      </c>
      <c r="E78" s="1280" t="s">
        <v>179</v>
      </c>
      <c r="F78" s="1281">
        <v>42346</v>
      </c>
      <c r="G78" s="1281">
        <v>42712</v>
      </c>
      <c r="H78" s="1281">
        <v>42736</v>
      </c>
    </row>
    <row r="79" spans="1:9" x14ac:dyDescent="0.2">
      <c r="A79" s="1263" t="s">
        <v>636</v>
      </c>
      <c r="B79" s="1263" t="s">
        <v>600</v>
      </c>
      <c r="C79" s="1279" t="s">
        <v>601</v>
      </c>
      <c r="D79" s="1280" t="s">
        <v>138</v>
      </c>
      <c r="E79" s="1280" t="s">
        <v>183</v>
      </c>
      <c r="F79" s="1281">
        <v>42261</v>
      </c>
      <c r="G79" s="1283">
        <v>42627</v>
      </c>
      <c r="H79" s="1283">
        <v>42736</v>
      </c>
    </row>
    <row r="80" spans="1:9" x14ac:dyDescent="0.2">
      <c r="A80" s="1263" t="s">
        <v>598</v>
      </c>
      <c r="B80" s="1263" t="s">
        <v>598</v>
      </c>
      <c r="C80" s="1279" t="s">
        <v>599</v>
      </c>
      <c r="D80" s="1280" t="s">
        <v>138</v>
      </c>
      <c r="E80" s="1280" t="s">
        <v>87</v>
      </c>
      <c r="F80" s="1281">
        <v>42250</v>
      </c>
      <c r="G80" s="1283">
        <v>42250</v>
      </c>
      <c r="H80" s="1283">
        <v>42736</v>
      </c>
    </row>
    <row r="81" spans="1:9" x14ac:dyDescent="0.2">
      <c r="A81" s="1263" t="s">
        <v>633</v>
      </c>
      <c r="B81" s="1263" t="s">
        <v>607</v>
      </c>
      <c r="C81" s="1279" t="s">
        <v>608</v>
      </c>
      <c r="D81" s="1280" t="s">
        <v>138</v>
      </c>
      <c r="E81" s="1280" t="s">
        <v>70</v>
      </c>
      <c r="F81" s="1281">
        <v>42250</v>
      </c>
      <c r="G81" s="1283">
        <v>42616</v>
      </c>
      <c r="H81" s="1283">
        <v>42736</v>
      </c>
    </row>
    <row r="82" spans="1:9" x14ac:dyDescent="0.2">
      <c r="A82" s="1263" t="s">
        <v>633</v>
      </c>
      <c r="B82" s="1263" t="s">
        <v>607</v>
      </c>
      <c r="C82" s="1279" t="s">
        <v>721</v>
      </c>
      <c r="D82" s="1280" t="s">
        <v>138</v>
      </c>
      <c r="E82" s="1280" t="s">
        <v>70</v>
      </c>
      <c r="F82" s="1281">
        <v>42338</v>
      </c>
      <c r="G82" s="1281">
        <v>42616</v>
      </c>
      <c r="H82" s="1281">
        <v>42736</v>
      </c>
    </row>
    <row r="83" spans="1:9" x14ac:dyDescent="0.2">
      <c r="A83" s="1263" t="s">
        <v>593</v>
      </c>
      <c r="B83" s="1263" t="s">
        <v>593</v>
      </c>
      <c r="C83" s="1279" t="s">
        <v>594</v>
      </c>
      <c r="D83" s="1280" t="s">
        <v>138</v>
      </c>
      <c r="E83" s="1280" t="s">
        <v>310</v>
      </c>
      <c r="F83" s="1281">
        <v>42257</v>
      </c>
      <c r="G83" s="1283">
        <v>42623</v>
      </c>
      <c r="H83" s="1283">
        <v>42736</v>
      </c>
    </row>
    <row r="84" spans="1:9" x14ac:dyDescent="0.2">
      <c r="A84" s="1263" t="s">
        <v>537</v>
      </c>
      <c r="B84" s="1263" t="s">
        <v>494</v>
      </c>
      <c r="C84" s="1279" t="s">
        <v>495</v>
      </c>
      <c r="D84" s="1280" t="s">
        <v>138</v>
      </c>
      <c r="E84" s="1280" t="s">
        <v>70</v>
      </c>
      <c r="F84" s="1281">
        <v>42153</v>
      </c>
      <c r="G84" s="1283">
        <v>42519</v>
      </c>
      <c r="H84" s="1283">
        <v>42736</v>
      </c>
    </row>
    <row r="85" spans="1:9" x14ac:dyDescent="0.2">
      <c r="A85" s="1263" t="s">
        <v>537</v>
      </c>
      <c r="B85" s="1263" t="s">
        <v>496</v>
      </c>
      <c r="C85" s="1279" t="s">
        <v>497</v>
      </c>
      <c r="D85" s="1280" t="s">
        <v>138</v>
      </c>
      <c r="E85" s="1280" t="s">
        <v>70</v>
      </c>
      <c r="F85" s="1281">
        <v>42153</v>
      </c>
      <c r="G85" s="1283">
        <v>42519</v>
      </c>
      <c r="H85" s="1283">
        <v>42736</v>
      </c>
    </row>
    <row r="86" spans="1:9" x14ac:dyDescent="0.2">
      <c r="A86" s="1263" t="s">
        <v>533</v>
      </c>
      <c r="B86" s="1263" t="s">
        <v>533</v>
      </c>
      <c r="C86" s="1279" t="s">
        <v>193</v>
      </c>
      <c r="D86" s="1280" t="s">
        <v>138</v>
      </c>
      <c r="E86" s="1280" t="s">
        <v>179</v>
      </c>
      <c r="F86" s="1281">
        <v>42186</v>
      </c>
      <c r="G86" s="1282">
        <v>42552</v>
      </c>
      <c r="H86" s="1282">
        <v>42736</v>
      </c>
    </row>
    <row r="87" spans="1:9" x14ac:dyDescent="0.2">
      <c r="A87" s="1263" t="s">
        <v>820</v>
      </c>
      <c r="B87" s="1263" t="s">
        <v>358</v>
      </c>
      <c r="C87" s="1279" t="s">
        <v>245</v>
      </c>
      <c r="D87" s="1280" t="s">
        <v>138</v>
      </c>
      <c r="E87" s="1280"/>
      <c r="F87" s="1281">
        <v>41479</v>
      </c>
      <c r="G87" s="1282">
        <v>42575</v>
      </c>
      <c r="H87" s="1282">
        <v>42736</v>
      </c>
    </row>
    <row r="88" spans="1:9" x14ac:dyDescent="0.2">
      <c r="A88" s="1263" t="s">
        <v>722</v>
      </c>
      <c r="B88" s="1263" t="s">
        <v>722</v>
      </c>
      <c r="C88" s="1279" t="s">
        <v>724</v>
      </c>
      <c r="D88" s="1280" t="s">
        <v>138</v>
      </c>
      <c r="E88" s="1280" t="s">
        <v>183</v>
      </c>
      <c r="F88" s="1281">
        <v>42380</v>
      </c>
      <c r="G88" s="1281">
        <v>42746</v>
      </c>
      <c r="H88" s="1281">
        <v>42736</v>
      </c>
    </row>
    <row r="89" spans="1:9" x14ac:dyDescent="0.2">
      <c r="A89" s="1263" t="s">
        <v>722</v>
      </c>
      <c r="B89" s="1263" t="s">
        <v>722</v>
      </c>
      <c r="C89" s="1279" t="s">
        <v>723</v>
      </c>
      <c r="D89" s="1280" t="s">
        <v>138</v>
      </c>
      <c r="E89" s="1280" t="s">
        <v>183</v>
      </c>
      <c r="F89" s="1281">
        <v>42380</v>
      </c>
      <c r="G89" s="1281">
        <v>42746</v>
      </c>
      <c r="H89" s="1281">
        <v>42736</v>
      </c>
    </row>
    <row r="90" spans="1:9" x14ac:dyDescent="0.2">
      <c r="A90" s="1263" t="s">
        <v>353</v>
      </c>
      <c r="B90" s="1263" t="s">
        <v>353</v>
      </c>
      <c r="C90" s="1279" t="s">
        <v>354</v>
      </c>
      <c r="D90" s="1280" t="s">
        <v>138</v>
      </c>
      <c r="E90" s="1280" t="s">
        <v>310</v>
      </c>
      <c r="F90" s="1281">
        <v>41873</v>
      </c>
      <c r="G90" s="1283">
        <v>42604</v>
      </c>
      <c r="H90" s="1282">
        <v>42736</v>
      </c>
      <c r="I90">
        <v>21</v>
      </c>
    </row>
    <row r="91" spans="1:9" x14ac:dyDescent="0.2">
      <c r="A91" s="1263" t="s">
        <v>411</v>
      </c>
      <c r="B91" s="1263" t="s">
        <v>319</v>
      </c>
      <c r="C91" s="1279" t="s">
        <v>320</v>
      </c>
      <c r="D91" s="1280" t="s">
        <v>70</v>
      </c>
      <c r="E91" s="1280"/>
      <c r="F91" s="1281">
        <v>41780</v>
      </c>
      <c r="G91" s="1283">
        <v>42511</v>
      </c>
      <c r="H91" s="1283">
        <v>42736</v>
      </c>
    </row>
    <row r="92" spans="1:9" x14ac:dyDescent="0.2">
      <c r="A92" s="1266" t="s">
        <v>682</v>
      </c>
      <c r="B92" s="1266" t="s">
        <v>682</v>
      </c>
      <c r="C92" s="1290" t="s">
        <v>683</v>
      </c>
      <c r="D92" s="1291" t="s">
        <v>70</v>
      </c>
      <c r="E92" s="1291" t="s">
        <v>179</v>
      </c>
      <c r="F92" s="1292">
        <v>42326</v>
      </c>
      <c r="G92" s="1293">
        <v>42692</v>
      </c>
      <c r="H92" s="1293">
        <v>42736</v>
      </c>
    </row>
    <row r="93" spans="1:9" x14ac:dyDescent="0.2">
      <c r="A93" s="1265" t="s">
        <v>569</v>
      </c>
      <c r="B93" s="1265" t="s">
        <v>530</v>
      </c>
      <c r="C93" s="1265" t="s">
        <v>531</v>
      </c>
      <c r="D93" s="1289" t="s">
        <v>70</v>
      </c>
      <c r="E93" s="1280" t="s">
        <v>87</v>
      </c>
      <c r="F93" s="1281">
        <v>42142</v>
      </c>
      <c r="G93" s="1282">
        <v>42508</v>
      </c>
      <c r="H93" s="1282">
        <v>42736</v>
      </c>
    </row>
    <row r="94" spans="1:9" x14ac:dyDescent="0.2">
      <c r="A94" s="1263" t="s">
        <v>653</v>
      </c>
      <c r="B94" s="1263" t="s">
        <v>554</v>
      </c>
      <c r="C94" s="1279" t="s">
        <v>555</v>
      </c>
      <c r="D94" s="1280" t="s">
        <v>70</v>
      </c>
      <c r="E94" s="1280" t="s">
        <v>183</v>
      </c>
      <c r="F94" s="1281">
        <v>42184</v>
      </c>
      <c r="G94" s="1283">
        <v>42550</v>
      </c>
      <c r="H94" s="1283">
        <v>42736</v>
      </c>
    </row>
    <row r="95" spans="1:9" x14ac:dyDescent="0.2">
      <c r="A95" s="1263" t="s">
        <v>666</v>
      </c>
      <c r="B95" s="1263" t="s">
        <v>534</v>
      </c>
      <c r="C95" s="1279" t="s">
        <v>535</v>
      </c>
      <c r="D95" s="1280" t="s">
        <v>70</v>
      </c>
      <c r="E95" s="1280" t="s">
        <v>310</v>
      </c>
      <c r="F95" s="1281">
        <v>42282</v>
      </c>
      <c r="G95" s="1283">
        <v>42648</v>
      </c>
      <c r="H95" s="1283">
        <v>42736</v>
      </c>
    </row>
    <row r="96" spans="1:9" x14ac:dyDescent="0.2">
      <c r="A96" s="1263" t="s">
        <v>670</v>
      </c>
      <c r="B96" s="1263" t="s">
        <v>195</v>
      </c>
      <c r="C96" s="1279" t="s">
        <v>179</v>
      </c>
      <c r="D96" s="1280" t="s">
        <v>70</v>
      </c>
      <c r="E96" s="1280"/>
      <c r="F96" s="1281">
        <v>41043</v>
      </c>
      <c r="G96" s="1282">
        <v>42504</v>
      </c>
      <c r="H96" s="1282">
        <v>42736</v>
      </c>
    </row>
    <row r="97" spans="1:8" x14ac:dyDescent="0.2">
      <c r="A97" s="1263" t="s">
        <v>670</v>
      </c>
      <c r="B97" s="1263" t="s">
        <v>195</v>
      </c>
      <c r="C97" s="1279" t="s">
        <v>196</v>
      </c>
      <c r="D97" s="1280" t="s">
        <v>70</v>
      </c>
      <c r="E97" s="1280"/>
      <c r="F97" s="1281">
        <v>41043</v>
      </c>
      <c r="G97" s="1282">
        <v>42504</v>
      </c>
      <c r="H97" s="1282">
        <v>42736</v>
      </c>
    </row>
    <row r="98" spans="1:8" x14ac:dyDescent="0.2">
      <c r="A98" s="1263" t="s">
        <v>668</v>
      </c>
      <c r="B98" s="1263" t="s">
        <v>294</v>
      </c>
      <c r="C98" s="1279" t="s">
        <v>295</v>
      </c>
      <c r="D98" s="1280" t="s">
        <v>70</v>
      </c>
      <c r="E98" s="1280"/>
      <c r="F98" s="1281">
        <v>41716</v>
      </c>
      <c r="G98" s="1283">
        <v>42447</v>
      </c>
      <c r="H98" s="1283">
        <v>42736</v>
      </c>
    </row>
    <row r="99" spans="1:8" x14ac:dyDescent="0.2">
      <c r="A99" s="1268" t="s">
        <v>417</v>
      </c>
      <c r="B99" s="1268" t="s">
        <v>227</v>
      </c>
      <c r="C99" s="1296" t="s">
        <v>226</v>
      </c>
      <c r="D99" s="1297" t="s">
        <v>70</v>
      </c>
      <c r="E99" s="1297"/>
      <c r="F99" s="1298">
        <v>41428</v>
      </c>
      <c r="G99" s="1299">
        <v>42411</v>
      </c>
      <c r="H99" s="1299">
        <v>42411</v>
      </c>
    </row>
    <row r="100" spans="1:8" x14ac:dyDescent="0.2">
      <c r="A100" s="1263" t="s">
        <v>242</v>
      </c>
      <c r="B100" s="1263" t="s">
        <v>242</v>
      </c>
      <c r="C100" s="1279" t="s">
        <v>161</v>
      </c>
      <c r="D100" s="1280" t="s">
        <v>70</v>
      </c>
      <c r="E100" s="1280"/>
      <c r="F100" s="1281">
        <v>41554</v>
      </c>
      <c r="G100" s="1283">
        <v>42650</v>
      </c>
      <c r="H100" s="1283">
        <v>42736</v>
      </c>
    </row>
    <row r="101" spans="1:8" x14ac:dyDescent="0.2">
      <c r="A101" s="1263" t="s">
        <v>242</v>
      </c>
      <c r="B101" s="1263" t="s">
        <v>242</v>
      </c>
      <c r="C101" s="1279" t="s">
        <v>209</v>
      </c>
      <c r="D101" s="1280" t="s">
        <v>70</v>
      </c>
      <c r="E101" s="1280"/>
      <c r="F101" s="1281">
        <v>41606</v>
      </c>
      <c r="G101" s="1283">
        <v>42650</v>
      </c>
      <c r="H101" s="1283">
        <v>42736</v>
      </c>
    </row>
    <row r="102" spans="1:8" x14ac:dyDescent="0.2">
      <c r="A102" s="1264" t="s">
        <v>821</v>
      </c>
      <c r="B102" s="1264" t="s">
        <v>365</v>
      </c>
      <c r="C102" s="1284" t="s">
        <v>366</v>
      </c>
      <c r="D102" s="1285" t="s">
        <v>70</v>
      </c>
      <c r="E102" s="1285" t="s">
        <v>70</v>
      </c>
      <c r="F102" s="1286">
        <v>41964</v>
      </c>
      <c r="G102" s="1287">
        <v>42695</v>
      </c>
      <c r="H102" s="1287">
        <v>42736</v>
      </c>
    </row>
    <row r="103" spans="1:8" x14ac:dyDescent="0.2">
      <c r="A103" s="1263" t="s">
        <v>635</v>
      </c>
      <c r="B103" s="1263" t="s">
        <v>597</v>
      </c>
      <c r="C103" s="1279" t="s">
        <v>348</v>
      </c>
      <c r="D103" s="1280" t="s">
        <v>70</v>
      </c>
      <c r="E103" s="1280" t="s">
        <v>179</v>
      </c>
      <c r="F103" s="1281">
        <v>42257</v>
      </c>
      <c r="G103" s="1283">
        <v>42623</v>
      </c>
      <c r="H103" s="1283">
        <v>42736</v>
      </c>
    </row>
    <row r="104" spans="1:8" x14ac:dyDescent="0.2">
      <c r="A104" s="1263" t="s">
        <v>421</v>
      </c>
      <c r="B104" s="1263" t="s">
        <v>421</v>
      </c>
      <c r="C104" s="1279" t="s">
        <v>245</v>
      </c>
      <c r="D104" s="1280" t="s">
        <v>70</v>
      </c>
      <c r="E104" s="1280" t="s">
        <v>310</v>
      </c>
      <c r="F104" s="1281">
        <v>42079</v>
      </c>
      <c r="G104" s="1283">
        <v>42445</v>
      </c>
      <c r="H104" s="1283">
        <v>42736</v>
      </c>
    </row>
    <row r="105" spans="1:8" x14ac:dyDescent="0.2">
      <c r="A105" s="1263" t="s">
        <v>571</v>
      </c>
      <c r="B105" s="1263" t="s">
        <v>529</v>
      </c>
      <c r="C105" s="1279" t="s">
        <v>217</v>
      </c>
      <c r="D105" s="1280" t="s">
        <v>70</v>
      </c>
      <c r="E105" s="1280" t="s">
        <v>310</v>
      </c>
      <c r="F105" s="1281">
        <v>42142</v>
      </c>
      <c r="G105" s="1282">
        <v>42508</v>
      </c>
      <c r="H105" s="1282">
        <v>42736</v>
      </c>
    </row>
    <row r="106" spans="1:8" x14ac:dyDescent="0.2">
      <c r="A106" s="1262" t="s">
        <v>223</v>
      </c>
      <c r="B106" s="1262" t="s">
        <v>223</v>
      </c>
      <c r="C106" s="1275" t="s">
        <v>224</v>
      </c>
      <c r="D106" s="1276" t="s">
        <v>70</v>
      </c>
      <c r="E106" s="1276"/>
      <c r="F106" s="1277">
        <v>41296</v>
      </c>
      <c r="G106" s="1294">
        <v>42391</v>
      </c>
      <c r="H106" s="1294">
        <v>42736</v>
      </c>
    </row>
    <row r="107" spans="1:8" x14ac:dyDescent="0.2">
      <c r="A107" s="1266" t="s">
        <v>773</v>
      </c>
      <c r="B107" s="1266" t="s">
        <v>773</v>
      </c>
      <c r="C107" s="1290" t="s">
        <v>774</v>
      </c>
      <c r="D107" s="1291" t="s">
        <v>70</v>
      </c>
      <c r="E107" s="1291" t="s">
        <v>87</v>
      </c>
      <c r="F107" s="1292">
        <v>42394</v>
      </c>
      <c r="G107" s="1293">
        <v>42760</v>
      </c>
      <c r="H107" s="1293">
        <v>42736</v>
      </c>
    </row>
    <row r="108" spans="1:8" x14ac:dyDescent="0.2">
      <c r="A108" s="1263" t="s">
        <v>411</v>
      </c>
      <c r="B108" s="1263" t="s">
        <v>327</v>
      </c>
      <c r="C108" s="1279" t="s">
        <v>328</v>
      </c>
      <c r="D108" s="1280" t="s">
        <v>70</v>
      </c>
      <c r="E108" s="1280"/>
      <c r="F108" s="1281">
        <v>41780</v>
      </c>
      <c r="G108" s="1283">
        <v>42511</v>
      </c>
      <c r="H108" s="1283">
        <v>42736</v>
      </c>
    </row>
    <row r="109" spans="1:8" x14ac:dyDescent="0.2">
      <c r="A109" s="1263" t="s">
        <v>422</v>
      </c>
      <c r="B109" s="1263" t="s">
        <v>422</v>
      </c>
      <c r="C109" s="1279" t="s">
        <v>220</v>
      </c>
      <c r="D109" s="1280" t="s">
        <v>70</v>
      </c>
      <c r="E109" s="1280" t="s">
        <v>183</v>
      </c>
      <c r="F109" s="1281">
        <v>42072</v>
      </c>
      <c r="G109" s="1282">
        <v>42438</v>
      </c>
      <c r="H109" s="1282">
        <v>42736</v>
      </c>
    </row>
    <row r="110" spans="1:8" x14ac:dyDescent="0.2">
      <c r="A110" s="1269" t="s">
        <v>660</v>
      </c>
      <c r="B110" s="1269" t="s">
        <v>432</v>
      </c>
      <c r="C110" s="1269" t="s">
        <v>433</v>
      </c>
      <c r="D110" s="1300" t="s">
        <v>70</v>
      </c>
      <c r="E110" s="1300" t="s">
        <v>179</v>
      </c>
      <c r="F110" s="1301">
        <v>42048</v>
      </c>
      <c r="G110" s="1294">
        <v>42413</v>
      </c>
      <c r="H110" s="1294">
        <v>42736</v>
      </c>
    </row>
    <row r="111" spans="1:8" x14ac:dyDescent="0.2">
      <c r="A111" s="1265" t="s">
        <v>350</v>
      </c>
      <c r="B111" s="1265" t="s">
        <v>350</v>
      </c>
      <c r="C111" s="1265" t="s">
        <v>351</v>
      </c>
      <c r="D111" s="1289" t="s">
        <v>70</v>
      </c>
      <c r="E111" s="1280" t="s">
        <v>179</v>
      </c>
      <c r="F111" s="1281">
        <v>41904</v>
      </c>
      <c r="G111" s="1283">
        <v>42451</v>
      </c>
      <c r="H111" s="1282">
        <v>42736</v>
      </c>
    </row>
    <row r="112" spans="1:8" x14ac:dyDescent="0.2">
      <c r="A112" s="1265" t="s">
        <v>350</v>
      </c>
      <c r="B112" s="1265" t="s">
        <v>350</v>
      </c>
      <c r="C112" s="1265" t="s">
        <v>352</v>
      </c>
      <c r="D112" s="1289" t="s">
        <v>70</v>
      </c>
      <c r="E112" s="1280" t="s">
        <v>179</v>
      </c>
      <c r="F112" s="1281">
        <v>41904</v>
      </c>
      <c r="G112" s="1283">
        <v>42451</v>
      </c>
      <c r="H112" s="1282">
        <v>42736</v>
      </c>
    </row>
    <row r="113" spans="1:9" x14ac:dyDescent="0.2">
      <c r="A113" s="1263" t="s">
        <v>361</v>
      </c>
      <c r="B113" s="1263" t="s">
        <v>361</v>
      </c>
      <c r="C113" s="1279" t="s">
        <v>362</v>
      </c>
      <c r="D113" s="1280" t="s">
        <v>70</v>
      </c>
      <c r="E113" s="1280" t="s">
        <v>87</v>
      </c>
      <c r="F113" s="1281">
        <v>41950</v>
      </c>
      <c r="G113" s="1283">
        <v>42681</v>
      </c>
      <c r="H113" s="1283">
        <v>42736</v>
      </c>
      <c r="I113">
        <v>23</v>
      </c>
    </row>
    <row r="114" spans="1:9" x14ac:dyDescent="0.2">
      <c r="A114" s="1263" t="s">
        <v>822</v>
      </c>
      <c r="B114" s="1263" t="s">
        <v>367</v>
      </c>
      <c r="C114" s="1279" t="s">
        <v>331</v>
      </c>
      <c r="D114" s="1280" t="s">
        <v>714</v>
      </c>
      <c r="E114" s="1280" t="s">
        <v>70</v>
      </c>
      <c r="F114" s="1281">
        <v>41967</v>
      </c>
      <c r="G114" s="1282">
        <v>42577</v>
      </c>
      <c r="H114" s="1282">
        <v>42736</v>
      </c>
    </row>
    <row r="115" spans="1:9" x14ac:dyDescent="0.2">
      <c r="A115" s="1270" t="s">
        <v>542</v>
      </c>
      <c r="B115" s="1270" t="s">
        <v>542</v>
      </c>
      <c r="C115" s="1302" t="s">
        <v>543</v>
      </c>
      <c r="D115" s="1303" t="s">
        <v>714</v>
      </c>
      <c r="E115" s="1303" t="s">
        <v>70</v>
      </c>
      <c r="F115" s="1304">
        <v>42186</v>
      </c>
      <c r="G115" s="1305">
        <v>42551</v>
      </c>
      <c r="H115" s="1305">
        <v>42408</v>
      </c>
    </row>
    <row r="116" spans="1:9" x14ac:dyDescent="0.2">
      <c r="A116" s="1270" t="s">
        <v>542</v>
      </c>
      <c r="B116" s="1270" t="s">
        <v>542</v>
      </c>
      <c r="C116" s="1302" t="s">
        <v>544</v>
      </c>
      <c r="D116" s="1303" t="s">
        <v>714</v>
      </c>
      <c r="E116" s="1303" t="s">
        <v>70</v>
      </c>
      <c r="F116" s="1304">
        <v>42186</v>
      </c>
      <c r="G116" s="1305">
        <v>42551</v>
      </c>
      <c r="H116" s="1305">
        <v>42408</v>
      </c>
    </row>
    <row r="117" spans="1:9" x14ac:dyDescent="0.2">
      <c r="A117" s="1268" t="s">
        <v>442</v>
      </c>
      <c r="B117" s="1268" t="s">
        <v>441</v>
      </c>
      <c r="C117" s="1296" t="s">
        <v>191</v>
      </c>
      <c r="D117" s="1297" t="s">
        <v>714</v>
      </c>
      <c r="E117" s="1297" t="s">
        <v>310</v>
      </c>
      <c r="F117" s="1298">
        <v>42048</v>
      </c>
      <c r="G117" s="1299">
        <v>42413</v>
      </c>
      <c r="H117" s="1299">
        <v>42736</v>
      </c>
    </row>
    <row r="118" spans="1:9" x14ac:dyDescent="0.2">
      <c r="A118" s="1266" t="s">
        <v>771</v>
      </c>
      <c r="B118" s="1266" t="s">
        <v>771</v>
      </c>
      <c r="C118" s="1290" t="s">
        <v>772</v>
      </c>
      <c r="D118" s="1291" t="s">
        <v>714</v>
      </c>
      <c r="E118" s="1291"/>
      <c r="F118" s="1292">
        <v>42389</v>
      </c>
      <c r="G118" s="1292">
        <v>42746</v>
      </c>
      <c r="H118" s="1293">
        <v>42746</v>
      </c>
    </row>
    <row r="119" spans="1:9" x14ac:dyDescent="0.2">
      <c r="A119" s="1266" t="s">
        <v>765</v>
      </c>
      <c r="B119" s="1266" t="s">
        <v>765</v>
      </c>
      <c r="C119" s="1290" t="s">
        <v>784</v>
      </c>
      <c r="D119" s="1291" t="s">
        <v>714</v>
      </c>
      <c r="E119" s="1291" t="s">
        <v>183</v>
      </c>
      <c r="F119" s="1292">
        <v>42394</v>
      </c>
      <c r="G119" s="1293">
        <v>42760</v>
      </c>
      <c r="H119" s="1293">
        <v>42746</v>
      </c>
    </row>
    <row r="120" spans="1:9" x14ac:dyDescent="0.2">
      <c r="A120" s="1263" t="s">
        <v>643</v>
      </c>
      <c r="B120" s="1263" t="s">
        <v>643</v>
      </c>
      <c r="C120" s="1279" t="s">
        <v>203</v>
      </c>
      <c r="D120" s="1280" t="s">
        <v>714</v>
      </c>
      <c r="E120" s="1280" t="s">
        <v>183</v>
      </c>
      <c r="F120" s="1281">
        <v>42300</v>
      </c>
      <c r="G120" s="1283">
        <v>42666</v>
      </c>
      <c r="H120" s="1283">
        <v>42736</v>
      </c>
    </row>
    <row r="121" spans="1:9" x14ac:dyDescent="0.2">
      <c r="A121" s="1263" t="s">
        <v>71</v>
      </c>
      <c r="B121" s="1263" t="s">
        <v>71</v>
      </c>
      <c r="C121" s="1279" t="s">
        <v>725</v>
      </c>
      <c r="D121" s="1280" t="s">
        <v>714</v>
      </c>
      <c r="E121" s="1280" t="s">
        <v>87</v>
      </c>
      <c r="F121" s="1281">
        <v>42298</v>
      </c>
      <c r="G121" s="1283">
        <v>42664</v>
      </c>
      <c r="H121" s="1283">
        <v>42736</v>
      </c>
    </row>
    <row r="122" spans="1:9" x14ac:dyDescent="0.2">
      <c r="A122" s="1263" t="s">
        <v>673</v>
      </c>
      <c r="B122" s="1263" t="s">
        <v>580</v>
      </c>
      <c r="C122" s="1279" t="s">
        <v>581</v>
      </c>
      <c r="D122" s="1280" t="s">
        <v>714</v>
      </c>
      <c r="E122" s="1280" t="s">
        <v>87</v>
      </c>
      <c r="F122" s="1281">
        <v>42286</v>
      </c>
      <c r="G122" s="1283">
        <v>42652</v>
      </c>
      <c r="H122" s="1283">
        <v>42736</v>
      </c>
    </row>
    <row r="123" spans="1:9" x14ac:dyDescent="0.2">
      <c r="A123" s="1263" t="s">
        <v>823</v>
      </c>
      <c r="B123" s="1263" t="s">
        <v>370</v>
      </c>
      <c r="C123" s="1263" t="s">
        <v>359</v>
      </c>
      <c r="D123" s="1280" t="s">
        <v>714</v>
      </c>
      <c r="E123" s="1280" t="s">
        <v>183</v>
      </c>
      <c r="F123" s="1281">
        <v>41957</v>
      </c>
      <c r="G123" s="1281">
        <v>42688</v>
      </c>
      <c r="H123" s="1281">
        <v>42736</v>
      </c>
    </row>
    <row r="124" spans="1:9" x14ac:dyDescent="0.2">
      <c r="A124" s="1268" t="s">
        <v>442</v>
      </c>
      <c r="B124" s="1268" t="s">
        <v>427</v>
      </c>
      <c r="C124" s="1296" t="s">
        <v>428</v>
      </c>
      <c r="D124" s="1297" t="s">
        <v>714</v>
      </c>
      <c r="E124" s="1297" t="s">
        <v>310</v>
      </c>
      <c r="F124" s="1298">
        <v>42048</v>
      </c>
      <c r="G124" s="1306">
        <v>42413</v>
      </c>
      <c r="H124" s="1306">
        <v>42736</v>
      </c>
    </row>
    <row r="125" spans="1:9" x14ac:dyDescent="0.2">
      <c r="A125" s="1263" t="s">
        <v>694</v>
      </c>
      <c r="B125" s="1263" t="s">
        <v>694</v>
      </c>
      <c r="C125" s="1279" t="s">
        <v>695</v>
      </c>
      <c r="D125" s="1280" t="s">
        <v>714</v>
      </c>
      <c r="E125" s="1280" t="s">
        <v>179</v>
      </c>
      <c r="F125" s="1281">
        <v>42342</v>
      </c>
      <c r="G125" s="1283">
        <v>42708</v>
      </c>
      <c r="H125" s="1283">
        <v>42736</v>
      </c>
    </row>
    <row r="126" spans="1:9" x14ac:dyDescent="0.2">
      <c r="A126" s="1263" t="s">
        <v>694</v>
      </c>
      <c r="B126" s="1263" t="s">
        <v>694</v>
      </c>
      <c r="C126" s="1279" t="s">
        <v>696</v>
      </c>
      <c r="D126" s="1280" t="s">
        <v>714</v>
      </c>
      <c r="E126" s="1280" t="s">
        <v>179</v>
      </c>
      <c r="F126" s="1281">
        <v>42342</v>
      </c>
      <c r="G126" s="1283">
        <v>42708</v>
      </c>
      <c r="H126" s="1283">
        <v>42736</v>
      </c>
    </row>
    <row r="127" spans="1:9" x14ac:dyDescent="0.2">
      <c r="A127" s="1263" t="s">
        <v>824</v>
      </c>
      <c r="B127" s="1263" t="s">
        <v>236</v>
      </c>
      <c r="C127" s="1279" t="s">
        <v>187</v>
      </c>
      <c r="D127" s="1280" t="s">
        <v>714</v>
      </c>
      <c r="E127" s="1280"/>
      <c r="F127" s="1281">
        <v>41528</v>
      </c>
      <c r="G127" s="1282">
        <v>42624</v>
      </c>
      <c r="H127" s="1282">
        <v>42736</v>
      </c>
    </row>
    <row r="128" spans="1:9" x14ac:dyDescent="0.2">
      <c r="A128" s="1262" t="s">
        <v>659</v>
      </c>
      <c r="B128" s="1262" t="s">
        <v>251</v>
      </c>
      <c r="C128" s="1275" t="s">
        <v>252</v>
      </c>
      <c r="D128" s="1276" t="s">
        <v>714</v>
      </c>
      <c r="E128" s="1276"/>
      <c r="F128" s="1277">
        <v>41680</v>
      </c>
      <c r="G128" s="1278">
        <v>42776</v>
      </c>
      <c r="H128" s="1278">
        <v>42736</v>
      </c>
    </row>
    <row r="129" spans="1:9" x14ac:dyDescent="0.2">
      <c r="A129" s="1263" t="s">
        <v>652</v>
      </c>
      <c r="B129" s="1263" t="s">
        <v>550</v>
      </c>
      <c r="C129" s="1279" t="s">
        <v>211</v>
      </c>
      <c r="D129" s="1280" t="s">
        <v>714</v>
      </c>
      <c r="E129" s="1280" t="s">
        <v>565</v>
      </c>
      <c r="F129" s="1281">
        <v>42184</v>
      </c>
      <c r="G129" s="1283">
        <v>42550</v>
      </c>
      <c r="H129" s="1283">
        <v>42736</v>
      </c>
    </row>
    <row r="130" spans="1:9" x14ac:dyDescent="0.2">
      <c r="A130" s="1263" t="s">
        <v>671</v>
      </c>
      <c r="B130" s="1263" t="s">
        <v>316</v>
      </c>
      <c r="C130" s="1279" t="s">
        <v>317</v>
      </c>
      <c r="D130" s="1280" t="s">
        <v>714</v>
      </c>
      <c r="E130" s="1280" t="s">
        <v>87</v>
      </c>
      <c r="F130" s="1281">
        <v>41773</v>
      </c>
      <c r="G130" s="1283">
        <v>42504</v>
      </c>
      <c r="H130" s="1283">
        <v>42736</v>
      </c>
    </row>
    <row r="131" spans="1:9" x14ac:dyDescent="0.2">
      <c r="A131" s="1262" t="s">
        <v>406</v>
      </c>
      <c r="B131" s="1262" t="s">
        <v>406</v>
      </c>
      <c r="C131" s="1275" t="s">
        <v>238</v>
      </c>
      <c r="D131" s="1276" t="s">
        <v>714</v>
      </c>
      <c r="E131" s="1276" t="s">
        <v>179</v>
      </c>
      <c r="F131" s="1277">
        <v>42032</v>
      </c>
      <c r="G131" s="1278">
        <v>42397</v>
      </c>
      <c r="H131" s="1278">
        <v>42736</v>
      </c>
    </row>
    <row r="132" spans="1:9" x14ac:dyDescent="0.2">
      <c r="A132" s="1263" t="s">
        <v>313</v>
      </c>
      <c r="B132" s="1263" t="s">
        <v>313</v>
      </c>
      <c r="C132" s="1279" t="s">
        <v>314</v>
      </c>
      <c r="D132" s="1280" t="s">
        <v>714</v>
      </c>
      <c r="E132" s="1280"/>
      <c r="F132" s="1281">
        <v>41737</v>
      </c>
      <c r="G132" s="1281">
        <v>42468</v>
      </c>
      <c r="H132" s="1282">
        <v>42736</v>
      </c>
    </row>
    <row r="133" spans="1:9" x14ac:dyDescent="0.2">
      <c r="A133" s="1263" t="s">
        <v>313</v>
      </c>
      <c r="B133" s="1263" t="s">
        <v>313</v>
      </c>
      <c r="C133" s="1279" t="s">
        <v>329</v>
      </c>
      <c r="D133" s="1280" t="s">
        <v>714</v>
      </c>
      <c r="E133" s="1280"/>
      <c r="F133" s="1281">
        <v>41782</v>
      </c>
      <c r="G133" s="1283">
        <v>42468</v>
      </c>
      <c r="H133" s="1282">
        <v>42736</v>
      </c>
    </row>
    <row r="134" spans="1:9" x14ac:dyDescent="0.2">
      <c r="A134" s="1263" t="s">
        <v>313</v>
      </c>
      <c r="B134" s="1263" t="s">
        <v>313</v>
      </c>
      <c r="C134" s="1279" t="s">
        <v>641</v>
      </c>
      <c r="D134" s="1280" t="s">
        <v>714</v>
      </c>
      <c r="E134" s="1280"/>
      <c r="F134" s="1281">
        <v>42265</v>
      </c>
      <c r="G134" s="1283">
        <v>42468</v>
      </c>
      <c r="H134" s="1282">
        <v>42736</v>
      </c>
    </row>
    <row r="135" spans="1:9" x14ac:dyDescent="0.2">
      <c r="A135" s="1263" t="s">
        <v>685</v>
      </c>
      <c r="B135" s="1263" t="s">
        <v>686</v>
      </c>
      <c r="C135" s="1279" t="s">
        <v>622</v>
      </c>
      <c r="D135" s="1280" t="s">
        <v>714</v>
      </c>
      <c r="E135" s="1280" t="s">
        <v>310</v>
      </c>
      <c r="F135" s="1281">
        <v>42286</v>
      </c>
      <c r="G135" s="1282">
        <v>42652</v>
      </c>
      <c r="H135" s="1282">
        <v>42736</v>
      </c>
    </row>
    <row r="136" spans="1:9" x14ac:dyDescent="0.2">
      <c r="A136" s="1263" t="s">
        <v>685</v>
      </c>
      <c r="B136" s="1263" t="s">
        <v>687</v>
      </c>
      <c r="C136" s="1279" t="s">
        <v>623</v>
      </c>
      <c r="D136" s="1280" t="s">
        <v>714</v>
      </c>
      <c r="E136" s="1280" t="s">
        <v>310</v>
      </c>
      <c r="F136" s="1281">
        <v>42286</v>
      </c>
      <c r="G136" s="1282">
        <v>42652</v>
      </c>
      <c r="H136" s="1282">
        <v>42736</v>
      </c>
    </row>
    <row r="137" spans="1:9" x14ac:dyDescent="0.2">
      <c r="A137" s="1266" t="s">
        <v>807</v>
      </c>
      <c r="B137" s="1266" t="s">
        <v>762</v>
      </c>
      <c r="C137" s="1290" t="s">
        <v>763</v>
      </c>
      <c r="D137" s="1291" t="s">
        <v>714</v>
      </c>
      <c r="E137" s="1291" t="s">
        <v>87</v>
      </c>
      <c r="F137" s="1292">
        <v>42401</v>
      </c>
      <c r="G137" s="1293">
        <v>42767</v>
      </c>
      <c r="H137" s="1293">
        <v>42736</v>
      </c>
    </row>
    <row r="138" spans="1:9" x14ac:dyDescent="0.2">
      <c r="A138" s="1266" t="s">
        <v>807</v>
      </c>
      <c r="B138" s="1266" t="s">
        <v>762</v>
      </c>
      <c r="C138" s="1290" t="s">
        <v>764</v>
      </c>
      <c r="D138" s="1291" t="s">
        <v>714</v>
      </c>
      <c r="E138" s="1291" t="s">
        <v>87</v>
      </c>
      <c r="F138" s="1292">
        <v>42401</v>
      </c>
      <c r="G138" s="1293">
        <v>42767</v>
      </c>
      <c r="H138" s="1293">
        <v>42736</v>
      </c>
      <c r="I138">
        <v>25</v>
      </c>
    </row>
    <row r="139" spans="1:9" x14ac:dyDescent="0.2">
      <c r="A139" s="1263" t="s">
        <v>655</v>
      </c>
      <c r="B139" s="1263" t="s">
        <v>551</v>
      </c>
      <c r="C139" s="1279" t="s">
        <v>211</v>
      </c>
      <c r="D139" s="1280" t="s">
        <v>87</v>
      </c>
      <c r="E139" s="1280" t="s">
        <v>179</v>
      </c>
      <c r="F139" s="1281">
        <v>42208</v>
      </c>
      <c r="G139" s="1282">
        <v>42574</v>
      </c>
      <c r="H139" s="1282">
        <v>42736</v>
      </c>
    </row>
    <row r="140" spans="1:9" x14ac:dyDescent="0.2">
      <c r="A140" s="1271" t="s">
        <v>661</v>
      </c>
      <c r="B140" s="1271" t="s">
        <v>439</v>
      </c>
      <c r="C140" s="1271" t="s">
        <v>440</v>
      </c>
      <c r="D140" s="1300" t="s">
        <v>87</v>
      </c>
      <c r="E140" s="1276" t="s">
        <v>70</v>
      </c>
      <c r="F140" s="1277">
        <v>42055</v>
      </c>
      <c r="G140" s="1294">
        <v>42420</v>
      </c>
      <c r="H140" s="1294">
        <v>42736</v>
      </c>
    </row>
    <row r="141" spans="1:9" x14ac:dyDescent="0.2">
      <c r="A141" s="1265" t="s">
        <v>412</v>
      </c>
      <c r="B141" s="1265" t="s">
        <v>337</v>
      </c>
      <c r="C141" s="1265" t="s">
        <v>338</v>
      </c>
      <c r="D141" s="1289" t="s">
        <v>87</v>
      </c>
      <c r="E141" s="1280" t="s">
        <v>310</v>
      </c>
      <c r="F141" s="1281">
        <v>41899</v>
      </c>
      <c r="G141" s="1283">
        <v>42582</v>
      </c>
      <c r="H141" s="1283">
        <v>42736</v>
      </c>
    </row>
    <row r="142" spans="1:9" x14ac:dyDescent="0.2">
      <c r="A142" s="1265" t="s">
        <v>463</v>
      </c>
      <c r="B142" s="1265" t="s">
        <v>453</v>
      </c>
      <c r="C142" s="1265" t="s">
        <v>211</v>
      </c>
      <c r="D142" s="1289" t="s">
        <v>87</v>
      </c>
      <c r="E142" s="1280" t="s">
        <v>310</v>
      </c>
      <c r="F142" s="1281">
        <v>42072</v>
      </c>
      <c r="G142" s="1282">
        <v>42438</v>
      </c>
      <c r="H142" s="1282">
        <v>42736</v>
      </c>
    </row>
    <row r="143" spans="1:9" x14ac:dyDescent="0.2">
      <c r="A143" s="1265" t="s">
        <v>656</v>
      </c>
      <c r="B143" s="1265" t="s">
        <v>552</v>
      </c>
      <c r="C143" s="1265" t="s">
        <v>553</v>
      </c>
      <c r="D143" s="1289" t="s">
        <v>87</v>
      </c>
      <c r="E143" s="1280" t="s">
        <v>70</v>
      </c>
      <c r="F143" s="1281">
        <v>42208</v>
      </c>
      <c r="G143" s="1282">
        <v>42574</v>
      </c>
      <c r="H143" s="1282">
        <v>42736</v>
      </c>
    </row>
    <row r="144" spans="1:9" x14ac:dyDescent="0.2">
      <c r="A144" s="1263" t="s">
        <v>825</v>
      </c>
      <c r="B144" s="1263" t="s">
        <v>347</v>
      </c>
      <c r="C144" s="1279" t="s">
        <v>348</v>
      </c>
      <c r="D144" s="1280" t="s">
        <v>87</v>
      </c>
      <c r="E144" s="1280" t="s">
        <v>228</v>
      </c>
      <c r="F144" s="1281">
        <v>41908</v>
      </c>
      <c r="G144" s="1282">
        <v>42273</v>
      </c>
      <c r="H144" s="1282">
        <v>42736</v>
      </c>
    </row>
    <row r="145" spans="1:8" x14ac:dyDescent="0.2">
      <c r="A145" s="1265" t="s">
        <v>412</v>
      </c>
      <c r="B145" s="1265" t="s">
        <v>336</v>
      </c>
      <c r="C145" s="1265" t="s">
        <v>298</v>
      </c>
      <c r="D145" s="1289" t="s">
        <v>87</v>
      </c>
      <c r="E145" s="1280" t="s">
        <v>310</v>
      </c>
      <c r="F145" s="1281">
        <v>41852</v>
      </c>
      <c r="G145" s="1282">
        <v>42582</v>
      </c>
      <c r="H145" s="1282">
        <v>42736</v>
      </c>
    </row>
    <row r="146" spans="1:8" x14ac:dyDescent="0.2">
      <c r="A146" s="1263" t="s">
        <v>632</v>
      </c>
      <c r="B146" s="1263" t="s">
        <v>585</v>
      </c>
      <c r="C146" s="1279" t="s">
        <v>586</v>
      </c>
      <c r="D146" s="1280" t="s">
        <v>87</v>
      </c>
      <c r="E146" s="1280" t="s">
        <v>310</v>
      </c>
      <c r="F146" s="1281">
        <v>42254</v>
      </c>
      <c r="G146" s="1283">
        <v>42620</v>
      </c>
      <c r="H146" s="1283">
        <v>42736</v>
      </c>
    </row>
    <row r="147" spans="1:8" x14ac:dyDescent="0.2">
      <c r="A147" s="1264" t="s">
        <v>752</v>
      </c>
      <c r="B147" s="1264" t="s">
        <v>752</v>
      </c>
      <c r="C147" s="1284" t="s">
        <v>753</v>
      </c>
      <c r="D147" s="1285" t="s">
        <v>87</v>
      </c>
      <c r="E147" s="1285" t="s">
        <v>70</v>
      </c>
      <c r="F147" s="1286">
        <v>42380</v>
      </c>
      <c r="G147" s="1286">
        <v>42746</v>
      </c>
      <c r="H147" s="1286">
        <v>42736</v>
      </c>
    </row>
    <row r="148" spans="1:8" x14ac:dyDescent="0.2">
      <c r="A148" s="1263" t="s">
        <v>584</v>
      </c>
      <c r="B148" s="1263" t="s">
        <v>584</v>
      </c>
      <c r="C148" s="1279" t="s">
        <v>219</v>
      </c>
      <c r="D148" s="1280" t="s">
        <v>87</v>
      </c>
      <c r="E148" s="1280" t="s">
        <v>179</v>
      </c>
      <c r="F148" s="1281">
        <v>42250</v>
      </c>
      <c r="G148" s="1283">
        <v>42616</v>
      </c>
      <c r="H148" s="1283">
        <v>42736</v>
      </c>
    </row>
    <row r="149" spans="1:8" x14ac:dyDescent="0.2">
      <c r="A149" s="1263" t="s">
        <v>718</v>
      </c>
      <c r="B149" s="1263" t="s">
        <v>610</v>
      </c>
      <c r="C149" s="1279" t="s">
        <v>719</v>
      </c>
      <c r="D149" s="1280" t="s">
        <v>87</v>
      </c>
      <c r="E149" s="1280" t="s">
        <v>70</v>
      </c>
      <c r="F149" s="1281">
        <v>42340</v>
      </c>
      <c r="G149" s="1281">
        <v>42523</v>
      </c>
      <c r="H149" s="1282">
        <v>42736</v>
      </c>
    </row>
    <row r="150" spans="1:8" x14ac:dyDescent="0.2">
      <c r="A150" s="1263" t="s">
        <v>718</v>
      </c>
      <c r="B150" s="1263" t="s">
        <v>610</v>
      </c>
      <c r="C150" s="1279" t="s">
        <v>611</v>
      </c>
      <c r="D150" s="1280" t="s">
        <v>87</v>
      </c>
      <c r="E150" s="1280" t="s">
        <v>70</v>
      </c>
      <c r="F150" s="1281">
        <v>42340</v>
      </c>
      <c r="G150" s="1281">
        <v>42523</v>
      </c>
      <c r="H150" s="1282">
        <v>42736</v>
      </c>
    </row>
    <row r="151" spans="1:8" x14ac:dyDescent="0.2">
      <c r="A151" s="1263" t="s">
        <v>707</v>
      </c>
      <c r="B151" s="1263" t="s">
        <v>475</v>
      </c>
      <c r="C151" s="1279" t="s">
        <v>476</v>
      </c>
      <c r="D151" s="1280" t="s">
        <v>87</v>
      </c>
      <c r="E151" s="1280" t="s">
        <v>138</v>
      </c>
      <c r="F151" s="1281">
        <v>42153</v>
      </c>
      <c r="G151" s="1283">
        <v>42519</v>
      </c>
      <c r="H151" s="1283">
        <v>42736</v>
      </c>
    </row>
    <row r="152" spans="1:8" x14ac:dyDescent="0.2">
      <c r="A152" s="1263" t="s">
        <v>332</v>
      </c>
      <c r="B152" s="1263" t="s">
        <v>332</v>
      </c>
      <c r="C152" s="1279" t="s">
        <v>333</v>
      </c>
      <c r="D152" s="1280" t="s">
        <v>87</v>
      </c>
      <c r="E152" s="1280" t="s">
        <v>310</v>
      </c>
      <c r="F152" s="1281">
        <v>41838</v>
      </c>
      <c r="G152" s="1283">
        <v>42569</v>
      </c>
      <c r="H152" s="1283">
        <v>42736</v>
      </c>
    </row>
    <row r="153" spans="1:8" x14ac:dyDescent="0.2">
      <c r="A153" s="1263" t="s">
        <v>576</v>
      </c>
      <c r="B153" s="1263" t="s">
        <v>576</v>
      </c>
      <c r="C153" s="1279" t="s">
        <v>697</v>
      </c>
      <c r="D153" s="1280" t="s">
        <v>87</v>
      </c>
      <c r="E153" s="1280" t="s">
        <v>565</v>
      </c>
      <c r="F153" s="1281">
        <v>42298</v>
      </c>
      <c r="G153" s="1283">
        <v>42664</v>
      </c>
      <c r="H153" s="1283">
        <v>42736</v>
      </c>
    </row>
    <row r="154" spans="1:8" x14ac:dyDescent="0.2">
      <c r="A154" s="1263" t="s">
        <v>717</v>
      </c>
      <c r="B154" s="1263" t="s">
        <v>576</v>
      </c>
      <c r="C154" s="1279" t="s">
        <v>609</v>
      </c>
      <c r="D154" s="1280" t="s">
        <v>87</v>
      </c>
      <c r="E154" s="1280" t="s">
        <v>70</v>
      </c>
      <c r="F154" s="1281">
        <v>42340</v>
      </c>
      <c r="G154" s="1281">
        <v>42523</v>
      </c>
      <c r="H154" s="1282">
        <v>42736</v>
      </c>
    </row>
    <row r="155" spans="1:8" x14ac:dyDescent="0.2">
      <c r="A155" s="1263" t="s">
        <v>582</v>
      </c>
      <c r="B155" s="1263" t="s">
        <v>582</v>
      </c>
      <c r="C155" s="1279" t="s">
        <v>583</v>
      </c>
      <c r="D155" s="1280" t="s">
        <v>87</v>
      </c>
      <c r="E155" s="1280" t="s">
        <v>138</v>
      </c>
      <c r="F155" s="1281">
        <v>42250</v>
      </c>
      <c r="G155" s="1283">
        <v>42616</v>
      </c>
      <c r="H155" s="1283">
        <v>42736</v>
      </c>
    </row>
    <row r="156" spans="1:8" x14ac:dyDescent="0.2">
      <c r="A156" s="1263" t="s">
        <v>749</v>
      </c>
      <c r="B156" s="1263" t="s">
        <v>720</v>
      </c>
      <c r="C156" s="1279" t="s">
        <v>186</v>
      </c>
      <c r="D156" s="1280" t="s">
        <v>87</v>
      </c>
      <c r="E156" s="1280" t="s">
        <v>310</v>
      </c>
      <c r="F156" s="1281">
        <v>42340</v>
      </c>
      <c r="G156" s="1283">
        <v>42706</v>
      </c>
      <c r="H156" s="1283">
        <v>42736</v>
      </c>
    </row>
    <row r="157" spans="1:8" x14ac:dyDescent="0.2">
      <c r="A157" s="1264" t="s">
        <v>756</v>
      </c>
      <c r="B157" s="1264" t="s">
        <v>759</v>
      </c>
      <c r="C157" s="1284" t="s">
        <v>757</v>
      </c>
      <c r="D157" s="1285" t="s">
        <v>87</v>
      </c>
      <c r="E157" s="1285" t="s">
        <v>179</v>
      </c>
      <c r="F157" s="1286">
        <v>42380</v>
      </c>
      <c r="G157" s="1286">
        <v>42746</v>
      </c>
      <c r="H157" s="1282">
        <v>42736</v>
      </c>
    </row>
    <row r="158" spans="1:8" x14ac:dyDescent="0.2">
      <c r="A158" s="1264" t="s">
        <v>756</v>
      </c>
      <c r="B158" s="1264" t="s">
        <v>759</v>
      </c>
      <c r="C158" s="1284" t="s">
        <v>758</v>
      </c>
      <c r="D158" s="1285" t="s">
        <v>87</v>
      </c>
      <c r="E158" s="1285" t="s">
        <v>179</v>
      </c>
      <c r="F158" s="1286">
        <v>42380</v>
      </c>
      <c r="G158" s="1286">
        <v>42746</v>
      </c>
      <c r="H158" s="1282">
        <v>42736</v>
      </c>
    </row>
    <row r="159" spans="1:8" x14ac:dyDescent="0.2">
      <c r="A159" s="1262" t="s">
        <v>368</v>
      </c>
      <c r="B159" s="1262" t="s">
        <v>368</v>
      </c>
      <c r="C159" s="1275" t="s">
        <v>369</v>
      </c>
      <c r="D159" s="1276" t="s">
        <v>87</v>
      </c>
      <c r="E159" s="1276" t="s">
        <v>179</v>
      </c>
      <c r="F159" s="1277">
        <v>41963</v>
      </c>
      <c r="G159" s="1294">
        <v>42328</v>
      </c>
      <c r="H159" s="1294">
        <v>42736</v>
      </c>
    </row>
    <row r="160" spans="1:8" x14ac:dyDescent="0.2">
      <c r="A160" s="1263" t="s">
        <v>463</v>
      </c>
      <c r="B160" s="1263" t="s">
        <v>429</v>
      </c>
      <c r="C160" s="1279" t="s">
        <v>454</v>
      </c>
      <c r="D160" s="1280" t="s">
        <v>87</v>
      </c>
      <c r="E160" s="1280" t="s">
        <v>310</v>
      </c>
      <c r="F160" s="1281">
        <v>42072</v>
      </c>
      <c r="G160" s="1282">
        <v>42438</v>
      </c>
      <c r="H160" s="1282">
        <v>42736</v>
      </c>
    </row>
    <row r="161" spans="1:9" x14ac:dyDescent="0.2">
      <c r="A161" s="1263" t="s">
        <v>672</v>
      </c>
      <c r="B161" s="1263" t="s">
        <v>321</v>
      </c>
      <c r="C161" s="1279" t="s">
        <v>222</v>
      </c>
      <c r="D161" s="1280" t="s">
        <v>87</v>
      </c>
      <c r="E161" s="1280"/>
      <c r="F161" s="1281">
        <v>41774</v>
      </c>
      <c r="G161" s="1283">
        <v>42505</v>
      </c>
      <c r="H161" s="1283">
        <v>42736</v>
      </c>
    </row>
    <row r="162" spans="1:9" x14ac:dyDescent="0.2">
      <c r="A162" s="1263" t="s">
        <v>528</v>
      </c>
      <c r="B162" s="1263" t="s">
        <v>240</v>
      </c>
      <c r="C162" s="1279" t="s">
        <v>241</v>
      </c>
      <c r="D162" s="1280" t="s">
        <v>87</v>
      </c>
      <c r="E162" s="1280" t="s">
        <v>183</v>
      </c>
      <c r="F162" s="1281">
        <v>41597</v>
      </c>
      <c r="G162" s="1283">
        <v>42448</v>
      </c>
      <c r="H162" s="1283">
        <v>42736</v>
      </c>
      <c r="I162">
        <v>24</v>
      </c>
    </row>
  </sheetData>
  <printOptions gridLines="1"/>
  <pageMargins left="0.25" right="0.25" top="0.75" bottom="0.75" header="0.3" footer="0.3"/>
  <pageSetup paperSize="9" scale="6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BT415"/>
  <sheetViews>
    <sheetView zoomScale="80" zoomScaleNormal="80" workbookViewId="0">
      <pane xSplit="4" ySplit="1" topLeftCell="E149" activePane="bottomRight" state="frozen"/>
      <selection activeCell="P29" activeCellId="1" sqref="R10:R11 P29"/>
      <selection pane="topRight" activeCell="P29" activeCellId="1" sqref="R10:R11 P29"/>
      <selection pane="bottomLeft" activeCell="P29" activeCellId="1" sqref="R10:R11 P29"/>
      <selection pane="bottomRight" activeCell="N185" sqref="N185"/>
    </sheetView>
  </sheetViews>
  <sheetFormatPr baseColWidth="10" defaultColWidth="11.42578125" defaultRowHeight="12.75" x14ac:dyDescent="0.2"/>
  <cols>
    <col min="1" max="1" width="39.140625" style="479" bestFit="1" customWidth="1"/>
    <col min="2" max="2" width="27.7109375" style="479" bestFit="1" customWidth="1"/>
    <col min="3" max="3" width="16.28515625" style="379" bestFit="1" customWidth="1"/>
    <col min="4" max="4" width="14.42578125" style="347" customWidth="1"/>
    <col min="5" max="5" width="14.42578125" style="349" customWidth="1"/>
    <col min="6" max="6" width="2.42578125" style="384" customWidth="1"/>
    <col min="7" max="8" width="2.42578125" style="347" customWidth="1"/>
    <col min="9" max="9" width="13.28515625" style="384" customWidth="1"/>
    <col min="10" max="14" width="9.85546875" style="380" customWidth="1"/>
    <col min="15" max="15" width="35.28515625" style="380" bestFit="1" customWidth="1"/>
    <col min="16" max="16" width="9.85546875" style="380" customWidth="1"/>
    <col min="17" max="17" width="8.42578125" style="381" customWidth="1"/>
    <col min="18" max="18" width="5" style="399" customWidth="1"/>
    <col min="19" max="19" width="5.28515625" style="382" customWidth="1"/>
    <col min="20" max="20" width="11.7109375" style="347" hidden="1" customWidth="1"/>
    <col min="21" max="21" width="11.7109375" style="383" hidden="1" customWidth="1"/>
    <col min="22" max="23" width="11.7109375" style="384" hidden="1" customWidth="1"/>
    <col min="24" max="24" width="8.42578125" style="385" customWidth="1"/>
    <col min="25" max="25" width="10.85546875" style="763" bestFit="1" customWidth="1"/>
    <col min="26" max="26" width="6" style="347" customWidth="1"/>
    <col min="27" max="27" width="4.7109375" style="769" customWidth="1"/>
    <col min="28" max="28" width="5.140625" style="770" customWidth="1"/>
    <col min="29" max="29" width="5.7109375" style="770" customWidth="1"/>
    <col min="30" max="30" width="5.42578125" style="770" customWidth="1"/>
    <col min="31" max="31" width="4.42578125" style="770" customWidth="1"/>
    <col min="32" max="32" width="5.5703125" style="770" hidden="1" customWidth="1"/>
    <col min="33" max="33" width="8.28515625" style="769" hidden="1" customWidth="1"/>
    <col min="34" max="34" width="5.85546875" style="769" hidden="1" customWidth="1"/>
    <col min="35" max="36" width="7.5703125" style="769" hidden="1" customWidth="1"/>
    <col min="37" max="37" width="9.42578125" style="769" hidden="1" customWidth="1"/>
    <col min="38" max="38" width="6.42578125" style="769" hidden="1" customWidth="1"/>
    <col min="39" max="39" width="5.7109375" style="770" hidden="1" customWidth="1"/>
    <col min="40" max="40" width="6.140625" style="771" customWidth="1"/>
    <col min="41" max="41" width="7.28515625" style="761" customWidth="1"/>
    <col min="42" max="42" width="20.42578125" style="345" customWidth="1"/>
    <col min="43" max="43" width="8.42578125" style="411" customWidth="1"/>
    <col min="44" max="44" width="8.42578125" style="782" customWidth="1"/>
    <col min="45" max="45" width="9.42578125" style="770" customWidth="1"/>
    <col min="46" max="46" width="9.28515625" style="791" customWidth="1"/>
    <col min="47" max="47" width="11.7109375" style="791" customWidth="1"/>
    <col min="48" max="48" width="7.5703125" style="789" customWidth="1"/>
    <col min="49" max="49" width="8.5703125" style="348" customWidth="1"/>
    <col min="50" max="50" width="8.5703125" style="427" customWidth="1"/>
    <col min="51" max="51" width="10.85546875" style="473" customWidth="1"/>
    <col min="52" max="52" width="11.140625" style="473" customWidth="1"/>
    <col min="53" max="53" width="11.7109375" style="473" customWidth="1"/>
    <col min="54" max="54" width="12.28515625" style="461" bestFit="1" customWidth="1"/>
    <col min="55" max="55" width="9.7109375" style="470" bestFit="1" customWidth="1"/>
    <col min="56" max="56" width="10.85546875" style="459" bestFit="1" customWidth="1"/>
    <col min="57" max="57" width="15.28515625" style="473" bestFit="1" customWidth="1"/>
    <col min="58" max="58" width="12.42578125" style="459" bestFit="1" customWidth="1"/>
    <col min="59" max="59" width="9.28515625" style="322" bestFit="1" customWidth="1"/>
    <col min="60" max="60" width="11.42578125" style="459" bestFit="1" customWidth="1"/>
    <col min="61" max="61" width="12.28515625" style="387" customWidth="1"/>
    <col min="62" max="62" width="10.28515625" style="322" customWidth="1"/>
    <col min="63" max="63" width="4.85546875" style="387" customWidth="1"/>
    <col min="64" max="64" width="3.7109375" style="387" customWidth="1"/>
    <col min="65" max="65" width="4.85546875" style="387" customWidth="1"/>
    <col min="66" max="66" width="4.7109375" style="387" customWidth="1"/>
    <col min="67" max="67" width="5.7109375" style="387" customWidth="1"/>
    <col min="68" max="69" width="6.5703125" style="387" customWidth="1"/>
    <col min="70" max="70" width="4.5703125" style="387" customWidth="1"/>
    <col min="71" max="16384" width="11.42578125" style="374"/>
  </cols>
  <sheetData>
    <row r="1" spans="1:72" s="344" customFormat="1" ht="70.150000000000006" customHeight="1" thickBot="1" x14ac:dyDescent="0.25">
      <c r="A1" s="494" t="s">
        <v>410</v>
      </c>
      <c r="B1" s="494" t="s">
        <v>0</v>
      </c>
      <c r="C1" s="1049" t="s">
        <v>1</v>
      </c>
      <c r="D1" s="1049" t="s">
        <v>2</v>
      </c>
      <c r="E1" s="537" t="s">
        <v>363</v>
      </c>
      <c r="F1" s="494" t="s">
        <v>66</v>
      </c>
      <c r="G1" s="1049" t="s">
        <v>67</v>
      </c>
      <c r="H1" s="1049" t="s">
        <v>62</v>
      </c>
      <c r="I1" s="453" t="s">
        <v>263</v>
      </c>
      <c r="J1" s="331" t="s">
        <v>8</v>
      </c>
      <c r="K1" s="453" t="s">
        <v>698</v>
      </c>
      <c r="L1" s="453" t="s">
        <v>264</v>
      </c>
      <c r="M1" s="453" t="s">
        <v>419</v>
      </c>
      <c r="N1" s="453" t="s">
        <v>418</v>
      </c>
      <c r="O1" s="453" t="s">
        <v>627</v>
      </c>
      <c r="P1" s="453" t="s">
        <v>629</v>
      </c>
      <c r="Q1" s="1050" t="s">
        <v>9</v>
      </c>
      <c r="R1" s="1051" t="s">
        <v>148</v>
      </c>
      <c r="S1" s="1052" t="s">
        <v>20</v>
      </c>
      <c r="T1" s="1053" t="s">
        <v>123</v>
      </c>
      <c r="U1" s="1053" t="s">
        <v>3</v>
      </c>
      <c r="V1" s="1054" t="s">
        <v>124</v>
      </c>
      <c r="W1" s="1054" t="s">
        <v>125</v>
      </c>
      <c r="X1" s="1055" t="s">
        <v>4</v>
      </c>
      <c r="Y1" s="758" t="s">
        <v>5</v>
      </c>
      <c r="Z1" s="1049" t="s">
        <v>6</v>
      </c>
      <c r="AA1" s="1056" t="s">
        <v>114</v>
      </c>
      <c r="AB1" s="1057" t="s">
        <v>109</v>
      </c>
      <c r="AC1" s="1057" t="s">
        <v>110</v>
      </c>
      <c r="AD1" s="1057" t="s">
        <v>111</v>
      </c>
      <c r="AE1" s="1057" t="s">
        <v>112</v>
      </c>
      <c r="AF1" s="1058" t="s">
        <v>7</v>
      </c>
      <c r="AG1" s="1059" t="s">
        <v>126</v>
      </c>
      <c r="AH1" s="1059" t="s">
        <v>127</v>
      </c>
      <c r="AI1" s="1060" t="s">
        <v>128</v>
      </c>
      <c r="AJ1" s="1060" t="s">
        <v>129</v>
      </c>
      <c r="AK1" s="1060" t="s">
        <v>130</v>
      </c>
      <c r="AL1" s="1060" t="s">
        <v>10</v>
      </c>
      <c r="AM1" s="1058"/>
      <c r="AN1" s="764" t="s">
        <v>174</v>
      </c>
      <c r="AO1" s="1061" t="s">
        <v>175</v>
      </c>
      <c r="AP1" s="1052" t="s">
        <v>11</v>
      </c>
      <c r="AQ1" s="1055" t="s">
        <v>68</v>
      </c>
      <c r="AR1" s="1062" t="str">
        <f t="shared" ref="AR1" si="0">Q1</f>
        <v>Sortie</v>
      </c>
      <c r="AS1" s="1063" t="s">
        <v>69</v>
      </c>
      <c r="AT1" s="1064" t="s">
        <v>176</v>
      </c>
      <c r="AU1" s="784" t="s">
        <v>177</v>
      </c>
      <c r="AV1" s="785">
        <v>42401</v>
      </c>
      <c r="AW1" s="1065" t="s">
        <v>149</v>
      </c>
      <c r="AX1" s="428" t="s">
        <v>239</v>
      </c>
      <c r="AY1" s="474" t="s">
        <v>285</v>
      </c>
      <c r="AZ1" s="474" t="s">
        <v>286</v>
      </c>
      <c r="BA1" s="475" t="s">
        <v>287</v>
      </c>
      <c r="BB1" s="476" t="s">
        <v>283</v>
      </c>
      <c r="BC1" s="477" t="s">
        <v>284</v>
      </c>
      <c r="BD1" s="478" t="s">
        <v>277</v>
      </c>
      <c r="BE1" s="475" t="s">
        <v>288</v>
      </c>
      <c r="BF1" s="476" t="s">
        <v>281</v>
      </c>
      <c r="BG1" s="477" t="s">
        <v>282</v>
      </c>
      <c r="BH1" s="478" t="s">
        <v>277</v>
      </c>
      <c r="BI1" s="548" t="s">
        <v>323</v>
      </c>
      <c r="BJ1" s="549" t="s">
        <v>325</v>
      </c>
    </row>
    <row r="2" spans="1:72" s="566" customFormat="1" ht="12.75" customHeight="1" x14ac:dyDescent="0.2">
      <c r="A2" s="1088" t="s">
        <v>575</v>
      </c>
      <c r="B2" s="1088" t="s">
        <v>343</v>
      </c>
      <c r="C2" s="1089" t="s">
        <v>344</v>
      </c>
      <c r="D2" s="1084" t="s">
        <v>183</v>
      </c>
      <c r="E2" s="1084" t="s">
        <v>87</v>
      </c>
      <c r="F2" s="1084"/>
      <c r="G2" s="1084"/>
      <c r="H2" s="1084"/>
      <c r="I2" s="1090">
        <v>41843</v>
      </c>
      <c r="J2" s="1091">
        <v>41906</v>
      </c>
      <c r="K2" s="1091"/>
      <c r="L2" s="1092">
        <f t="shared" ref="L2:L33" si="1">IF(I2&lt;&gt;"",J2-I2,"")</f>
        <v>63</v>
      </c>
      <c r="M2" s="1083">
        <v>41906</v>
      </c>
      <c r="N2" s="1083">
        <v>42271</v>
      </c>
      <c r="O2" s="1083" t="s">
        <v>628</v>
      </c>
      <c r="P2" s="1083">
        <v>42637</v>
      </c>
      <c r="Q2" s="1083">
        <v>42736</v>
      </c>
      <c r="R2" s="1083" t="s">
        <v>16</v>
      </c>
      <c r="S2" s="1084" t="s">
        <v>20</v>
      </c>
      <c r="T2" s="1084"/>
      <c r="U2" s="1085"/>
      <c r="V2" s="1084"/>
      <c r="W2" s="1084"/>
      <c r="X2" s="1086">
        <v>36495</v>
      </c>
      <c r="Y2" s="1093">
        <f t="shared" ref="Y2:Y33" si="2">(AX2-X2)/365</f>
        <v>16.093150684931508</v>
      </c>
      <c r="Z2" s="1084" t="s">
        <v>13</v>
      </c>
      <c r="AA2" s="1094" t="str">
        <f t="shared" ref="AA2:AA23" si="3">IF(Y2&lt;6,IF(Z2="M","M","F"),"")</f>
        <v/>
      </c>
      <c r="AB2" s="1094" t="str">
        <f t="shared" ref="AB2:AB23" si="4">IF(AND(Y2&gt;=6,Y2&lt;11),IF(Z2="M","M","F"),"")</f>
        <v/>
      </c>
      <c r="AC2" s="1094" t="str">
        <f>IF(AND(Y2&gt;=11,Y2&lt;15),Z2,"")</f>
        <v/>
      </c>
      <c r="AD2" s="1094" t="str">
        <f t="shared" ref="AD2:AD23" si="5">IF(AND(Y2&gt;=15,Y2&lt;18),IF(Z2="M","M","F"),"")</f>
        <v>M</v>
      </c>
      <c r="AE2" s="1094" t="str">
        <f t="shared" ref="AE2:AE23" si="6">IF(Y2&gt;18,IF(Z2="M","M","F"),"")</f>
        <v/>
      </c>
      <c r="AF2" s="1094"/>
      <c r="AG2" s="1094"/>
      <c r="AH2" s="1094"/>
      <c r="AI2" s="1094"/>
      <c r="AJ2" s="1094"/>
      <c r="AK2" s="1094"/>
      <c r="AL2" s="1094">
        <f>Q2-J2</f>
        <v>830</v>
      </c>
      <c r="AM2" s="1094">
        <f>AL2/365</f>
        <v>2.2739726027397262</v>
      </c>
      <c r="AN2" s="1094">
        <f t="shared" ref="AN2:AN38" si="7">INT(AM2)</f>
        <v>2</v>
      </c>
      <c r="AO2" s="1093">
        <f t="shared" ref="AO2:AO33" si="8">(AM2-AN2)*12</f>
        <v>3.2876712328767148</v>
      </c>
      <c r="AP2" s="1095"/>
      <c r="AQ2" s="1096">
        <f t="shared" ref="AQ2:AQ33" si="9">IF(J2&lt;DATE(2016,1,1),DATE(2016,1,1),J2)</f>
        <v>42370</v>
      </c>
      <c r="AR2" s="1096">
        <f t="shared" ref="AR2:AR38" si="10">Q2</f>
        <v>42736</v>
      </c>
      <c r="AS2" s="1094">
        <f t="shared" ref="AS2:AS33" si="11">Q2-AQ2</f>
        <v>366</v>
      </c>
      <c r="AT2" s="1097">
        <f>IF(AQ2&gt;'[1]calculs enfants présents'!$A$56,0,IF(Q2&lt;'[1]calculs enfants présents'!$A$56,Q2-AQ2,'[1]calculs enfants présents'!$A$56-AQ2))</f>
        <v>0</v>
      </c>
      <c r="AU2" s="1098">
        <f t="shared" ref="AU2:AU33" si="12">IF($AQ2&gt;$AV$1,0,IF($Q2&lt;$AV$1,$Q2-$AQ2,$AV$1-$AQ2))</f>
        <v>31</v>
      </c>
      <c r="AV2" s="1097">
        <f t="shared" ref="AV2:AV33" si="13">AT2-AU2</f>
        <v>-31</v>
      </c>
      <c r="AW2" s="1099"/>
      <c r="AX2" s="1083">
        <v>42369</v>
      </c>
      <c r="AY2" s="1100">
        <f t="shared" ref="AY2:AY38" si="14">N2</f>
        <v>42271</v>
      </c>
      <c r="AZ2" s="1100">
        <f t="shared" ref="AZ2:AZ38" si="15">AR2</f>
        <v>42736</v>
      </c>
      <c r="BA2" s="1100">
        <f t="shared" ref="BA2:BA38" si="16">(N2-30)-(WEEKDAY(N2-30,2)-2)</f>
        <v>42241</v>
      </c>
      <c r="BB2" s="1090"/>
      <c r="BC2" s="1101"/>
      <c r="BD2" s="1090"/>
      <c r="BE2" s="1102">
        <f t="shared" ref="BE2:BE9" si="17">(J2+90)-(WEEKDAY(J2+90,2)-2)</f>
        <v>41996</v>
      </c>
      <c r="BF2" s="561"/>
      <c r="BG2" s="556"/>
      <c r="BH2" s="563"/>
      <c r="BI2" s="567"/>
      <c r="BJ2" s="611">
        <v>42095</v>
      </c>
      <c r="BS2" s="569"/>
      <c r="BT2" s="569"/>
    </row>
    <row r="3" spans="1:72" s="387" customFormat="1" ht="12.75" customHeight="1" x14ac:dyDescent="0.2">
      <c r="A3" s="484" t="s">
        <v>590</v>
      </c>
      <c r="B3" s="484" t="s">
        <v>539</v>
      </c>
      <c r="C3" s="379" t="s">
        <v>540</v>
      </c>
      <c r="D3" s="347" t="s">
        <v>138</v>
      </c>
      <c r="E3" s="347" t="s">
        <v>183</v>
      </c>
      <c r="F3" s="347"/>
      <c r="G3" s="347"/>
      <c r="H3" s="347"/>
      <c r="I3" s="1076">
        <v>42157</v>
      </c>
      <c r="J3" s="411">
        <v>42184</v>
      </c>
      <c r="K3" s="411">
        <v>42191</v>
      </c>
      <c r="L3" s="1077">
        <f t="shared" si="1"/>
        <v>27</v>
      </c>
      <c r="M3" s="381">
        <v>42184</v>
      </c>
      <c r="N3" s="381">
        <v>42549</v>
      </c>
      <c r="O3" s="381"/>
      <c r="P3" s="381"/>
      <c r="Q3" s="381">
        <v>42736</v>
      </c>
      <c r="R3" s="381" t="s">
        <v>156</v>
      </c>
      <c r="S3" s="347" t="s">
        <v>225</v>
      </c>
      <c r="T3" s="347"/>
      <c r="U3" s="383"/>
      <c r="V3" s="347"/>
      <c r="W3" s="347"/>
      <c r="X3" s="385">
        <v>37429</v>
      </c>
      <c r="Y3" s="761">
        <f t="shared" si="2"/>
        <v>13.534246575342467</v>
      </c>
      <c r="Z3" s="347" t="s">
        <v>13</v>
      </c>
      <c r="AA3" s="770" t="str">
        <f t="shared" si="3"/>
        <v/>
      </c>
      <c r="AB3" s="770" t="str">
        <f t="shared" si="4"/>
        <v/>
      </c>
      <c r="AC3" s="770" t="str">
        <f>IF(AND(Y3&gt;=11,Y3&lt;15),Z3,"")</f>
        <v>M</v>
      </c>
      <c r="AD3" s="770" t="str">
        <f t="shared" si="5"/>
        <v/>
      </c>
      <c r="AE3" s="770" t="str">
        <f t="shared" si="6"/>
        <v/>
      </c>
      <c r="AF3" s="770"/>
      <c r="AG3" s="770"/>
      <c r="AH3" s="770"/>
      <c r="AI3" s="770"/>
      <c r="AJ3" s="770"/>
      <c r="AK3" s="770"/>
      <c r="AL3" s="770"/>
      <c r="AM3" s="770"/>
      <c r="AN3" s="770">
        <f t="shared" si="7"/>
        <v>0</v>
      </c>
      <c r="AO3" s="761">
        <f t="shared" si="8"/>
        <v>0</v>
      </c>
      <c r="AP3" s="1074"/>
      <c r="AQ3" s="782">
        <f t="shared" si="9"/>
        <v>42370</v>
      </c>
      <c r="AR3" s="782">
        <f t="shared" si="10"/>
        <v>42736</v>
      </c>
      <c r="AS3" s="770">
        <f t="shared" si="11"/>
        <v>366</v>
      </c>
      <c r="AT3" s="790">
        <f>IF(AQ3&gt;'[1]calculs enfants présents'!$A$56,0,IF(Q3&lt;'[1]calculs enfants présents'!$A$56,Q3-AQ3,'[1]calculs enfants présents'!$A$56-AQ3))</f>
        <v>0</v>
      </c>
      <c r="AU3" s="791">
        <f t="shared" si="12"/>
        <v>31</v>
      </c>
      <c r="AV3" s="790">
        <f t="shared" si="13"/>
        <v>-31</v>
      </c>
      <c r="AW3" s="412"/>
      <c r="AX3" s="381">
        <v>42369</v>
      </c>
      <c r="AY3" s="955">
        <f t="shared" si="14"/>
        <v>42549</v>
      </c>
      <c r="AZ3" s="955">
        <f t="shared" si="15"/>
        <v>42736</v>
      </c>
      <c r="BA3" s="955">
        <f t="shared" si="16"/>
        <v>42514</v>
      </c>
      <c r="BB3" s="1076"/>
      <c r="BC3" s="1103"/>
      <c r="BD3" s="1076"/>
      <c r="BE3" s="1104">
        <f t="shared" si="17"/>
        <v>42269</v>
      </c>
      <c r="BF3" s="460"/>
      <c r="BG3" s="349"/>
      <c r="BH3" s="465"/>
      <c r="BI3" s="462"/>
      <c r="BJ3" s="572"/>
      <c r="BK3" s="569"/>
      <c r="BL3" s="569"/>
      <c r="BM3" s="569"/>
      <c r="BN3" s="569"/>
      <c r="BO3" s="569"/>
      <c r="BP3" s="569"/>
      <c r="BQ3" s="569"/>
      <c r="BR3" s="569"/>
      <c r="BS3" s="569"/>
      <c r="BT3" s="569"/>
    </row>
    <row r="4" spans="1:72" s="387" customFormat="1" ht="12.75" customHeight="1" x14ac:dyDescent="0.2">
      <c r="A4" s="484" t="s">
        <v>590</v>
      </c>
      <c r="B4" s="484" t="s">
        <v>539</v>
      </c>
      <c r="C4" s="379" t="s">
        <v>541</v>
      </c>
      <c r="D4" s="347" t="s">
        <v>138</v>
      </c>
      <c r="E4" s="347" t="s">
        <v>183</v>
      </c>
      <c r="F4" s="347"/>
      <c r="G4" s="347"/>
      <c r="H4" s="347"/>
      <c r="I4" s="1076">
        <v>42157</v>
      </c>
      <c r="J4" s="411">
        <v>42184</v>
      </c>
      <c r="K4" s="411">
        <v>42191</v>
      </c>
      <c r="L4" s="1077">
        <f t="shared" si="1"/>
        <v>27</v>
      </c>
      <c r="M4" s="381">
        <v>42184</v>
      </c>
      <c r="N4" s="381">
        <v>42549</v>
      </c>
      <c r="O4" s="381"/>
      <c r="P4" s="381"/>
      <c r="Q4" s="381">
        <v>42736</v>
      </c>
      <c r="R4" s="381" t="s">
        <v>156</v>
      </c>
      <c r="S4" s="347" t="s">
        <v>225</v>
      </c>
      <c r="T4" s="347"/>
      <c r="U4" s="383"/>
      <c r="V4" s="347"/>
      <c r="W4" s="347"/>
      <c r="X4" s="385">
        <v>38456</v>
      </c>
      <c r="Y4" s="761">
        <f t="shared" si="2"/>
        <v>10.72054794520548</v>
      </c>
      <c r="Z4" s="347" t="s">
        <v>21</v>
      </c>
      <c r="AA4" s="770" t="str">
        <f t="shared" si="3"/>
        <v/>
      </c>
      <c r="AB4" s="770" t="str">
        <f t="shared" si="4"/>
        <v>F</v>
      </c>
      <c r="AC4" s="770" t="str">
        <f>IF(AND(Y4&gt;=11,Y4&lt;15),Z4,"")</f>
        <v/>
      </c>
      <c r="AD4" s="770" t="str">
        <f t="shared" si="5"/>
        <v/>
      </c>
      <c r="AE4" s="770" t="str">
        <f t="shared" si="6"/>
        <v/>
      </c>
      <c r="AF4" s="770"/>
      <c r="AG4" s="770"/>
      <c r="AH4" s="770"/>
      <c r="AI4" s="770"/>
      <c r="AJ4" s="770"/>
      <c r="AK4" s="770"/>
      <c r="AL4" s="770"/>
      <c r="AM4" s="770"/>
      <c r="AN4" s="770">
        <f t="shared" si="7"/>
        <v>0</v>
      </c>
      <c r="AO4" s="761">
        <f t="shared" si="8"/>
        <v>0</v>
      </c>
      <c r="AP4" s="1074"/>
      <c r="AQ4" s="782">
        <f t="shared" si="9"/>
        <v>42370</v>
      </c>
      <c r="AR4" s="782">
        <f t="shared" si="10"/>
        <v>42736</v>
      </c>
      <c r="AS4" s="770">
        <f t="shared" si="11"/>
        <v>366</v>
      </c>
      <c r="AT4" s="790">
        <f>IF(AQ4&gt;'[1]calculs enfants présents'!$A$56,0,IF(Q4&lt;'[1]calculs enfants présents'!$A$56,Q4-AQ4,'[1]calculs enfants présents'!$A$56-AQ4))</f>
        <v>0</v>
      </c>
      <c r="AU4" s="791">
        <f t="shared" si="12"/>
        <v>31</v>
      </c>
      <c r="AV4" s="790">
        <f t="shared" si="13"/>
        <v>-31</v>
      </c>
      <c r="AW4" s="412"/>
      <c r="AX4" s="381">
        <v>42369</v>
      </c>
      <c r="AY4" s="955">
        <f t="shared" si="14"/>
        <v>42549</v>
      </c>
      <c r="AZ4" s="955">
        <f t="shared" si="15"/>
        <v>42736</v>
      </c>
      <c r="BA4" s="955">
        <f t="shared" si="16"/>
        <v>42514</v>
      </c>
      <c r="BB4" s="1076"/>
      <c r="BC4" s="1103"/>
      <c r="BD4" s="1076"/>
      <c r="BE4" s="1104">
        <f t="shared" si="17"/>
        <v>42269</v>
      </c>
      <c r="BF4" s="460"/>
      <c r="BG4" s="349"/>
      <c r="BH4" s="465"/>
      <c r="BI4" s="462"/>
      <c r="BJ4" s="572"/>
      <c r="BK4" s="824"/>
      <c r="BL4" s="824"/>
      <c r="BM4" s="824"/>
      <c r="BN4" s="824"/>
      <c r="BO4" s="824"/>
      <c r="BP4" s="824"/>
      <c r="BQ4" s="824"/>
      <c r="BR4" s="824"/>
      <c r="BS4" s="824"/>
      <c r="BT4" s="824"/>
    </row>
    <row r="5" spans="1:72" s="387" customFormat="1" ht="12.75" customHeight="1" x14ac:dyDescent="0.2">
      <c r="A5" s="484" t="s">
        <v>411</v>
      </c>
      <c r="B5" s="484" t="s">
        <v>319</v>
      </c>
      <c r="C5" s="379" t="s">
        <v>320</v>
      </c>
      <c r="D5" s="347" t="s">
        <v>70</v>
      </c>
      <c r="E5" s="347"/>
      <c r="F5" s="347"/>
      <c r="G5" s="347"/>
      <c r="H5" s="347"/>
      <c r="I5" s="1076">
        <v>41759</v>
      </c>
      <c r="J5" s="411">
        <v>41780</v>
      </c>
      <c r="K5" s="411"/>
      <c r="L5" s="1078">
        <f t="shared" si="1"/>
        <v>21</v>
      </c>
      <c r="M5" s="381">
        <v>42145</v>
      </c>
      <c r="N5" s="381">
        <v>42511</v>
      </c>
      <c r="O5" s="381"/>
      <c r="P5" s="381"/>
      <c r="Q5" s="381">
        <v>42736</v>
      </c>
      <c r="R5" s="381" t="s">
        <v>16</v>
      </c>
      <c r="S5" s="347" t="s">
        <v>16</v>
      </c>
      <c r="T5" s="347"/>
      <c r="U5" s="383"/>
      <c r="V5" s="347"/>
      <c r="W5" s="347"/>
      <c r="X5" s="385">
        <v>36593</v>
      </c>
      <c r="Y5" s="761">
        <f t="shared" si="2"/>
        <v>15.824657534246576</v>
      </c>
      <c r="Z5" s="347" t="s">
        <v>21</v>
      </c>
      <c r="AA5" s="770" t="str">
        <f t="shared" si="3"/>
        <v/>
      </c>
      <c r="AB5" s="770" t="str">
        <f t="shared" si="4"/>
        <v/>
      </c>
      <c r="AC5" s="770" t="str">
        <f>IF(AND(Y5&gt;=11,Y5&lt;15),IF(Z5="M","M","F"),"")</f>
        <v/>
      </c>
      <c r="AD5" s="770" t="str">
        <f t="shared" si="5"/>
        <v>F</v>
      </c>
      <c r="AE5" s="770" t="str">
        <f t="shared" si="6"/>
        <v/>
      </c>
      <c r="AF5" s="770"/>
      <c r="AG5" s="770"/>
      <c r="AH5" s="770"/>
      <c r="AI5" s="770"/>
      <c r="AJ5" s="770"/>
      <c r="AK5" s="770"/>
      <c r="AL5" s="770">
        <f>Q5-J5</f>
        <v>956</v>
      </c>
      <c r="AM5" s="770">
        <f>AL5/365</f>
        <v>2.6191780821917807</v>
      </c>
      <c r="AN5" s="770">
        <f t="shared" si="7"/>
        <v>2</v>
      </c>
      <c r="AO5" s="761">
        <f t="shared" si="8"/>
        <v>7.4301369863013687</v>
      </c>
      <c r="AP5" s="1074"/>
      <c r="AQ5" s="782">
        <f t="shared" si="9"/>
        <v>42370</v>
      </c>
      <c r="AR5" s="782">
        <f t="shared" si="10"/>
        <v>42736</v>
      </c>
      <c r="AS5" s="770">
        <f t="shared" si="11"/>
        <v>366</v>
      </c>
      <c r="AT5" s="790">
        <f>IF(AQ5&gt;'[1]calculs enfants présents'!$A$56,0,IF(Q5&lt;'[1]calculs enfants présents'!$A$56,Q5-AQ5,'[1]calculs enfants présents'!$A$56-AQ5))</f>
        <v>0</v>
      </c>
      <c r="AU5" s="791">
        <f t="shared" si="12"/>
        <v>31</v>
      </c>
      <c r="AV5" s="790">
        <f t="shared" si="13"/>
        <v>-31</v>
      </c>
      <c r="AW5" s="412"/>
      <c r="AX5" s="381">
        <v>42369</v>
      </c>
      <c r="AY5" s="955">
        <f t="shared" si="14"/>
        <v>42511</v>
      </c>
      <c r="AZ5" s="955">
        <f t="shared" si="15"/>
        <v>42736</v>
      </c>
      <c r="BA5" s="955">
        <f t="shared" si="16"/>
        <v>42479</v>
      </c>
      <c r="BB5" s="1105"/>
      <c r="BC5" s="1103"/>
      <c r="BD5" s="1105"/>
      <c r="BE5" s="1104">
        <f t="shared" si="17"/>
        <v>41870</v>
      </c>
      <c r="BF5" s="459"/>
      <c r="BG5" s="349"/>
      <c r="BH5" s="465"/>
      <c r="BI5" s="390"/>
      <c r="BJ5" s="382"/>
      <c r="BK5" s="374"/>
      <c r="BL5" s="374"/>
      <c r="BM5" s="374"/>
      <c r="BN5" s="374"/>
      <c r="BO5" s="374"/>
      <c r="BP5" s="374"/>
      <c r="BQ5" s="374"/>
      <c r="BR5" s="374"/>
      <c r="BS5" s="374"/>
      <c r="BT5" s="374"/>
    </row>
    <row r="6" spans="1:72" s="416" customFormat="1" x14ac:dyDescent="0.2">
      <c r="A6" s="484" t="s">
        <v>795</v>
      </c>
      <c r="B6" s="484" t="s">
        <v>367</v>
      </c>
      <c r="C6" s="379" t="s">
        <v>331</v>
      </c>
      <c r="D6" s="347" t="s">
        <v>714</v>
      </c>
      <c r="E6" s="347" t="s">
        <v>70</v>
      </c>
      <c r="F6" s="347"/>
      <c r="G6" s="347"/>
      <c r="H6" s="347"/>
      <c r="I6" s="1076">
        <v>41957</v>
      </c>
      <c r="J6" s="411">
        <v>41967</v>
      </c>
      <c r="K6" s="411"/>
      <c r="L6" s="1077">
        <f t="shared" si="1"/>
        <v>10</v>
      </c>
      <c r="M6" s="381">
        <v>42332</v>
      </c>
      <c r="N6" s="708">
        <v>42577</v>
      </c>
      <c r="O6" s="708" t="s">
        <v>740</v>
      </c>
      <c r="P6" s="708" t="s">
        <v>674</v>
      </c>
      <c r="Q6" s="708">
        <v>42736</v>
      </c>
      <c r="R6" s="381" t="s">
        <v>156</v>
      </c>
      <c r="S6" s="347" t="s">
        <v>156</v>
      </c>
      <c r="T6" s="347"/>
      <c r="U6" s="383"/>
      <c r="V6" s="347"/>
      <c r="W6" s="347"/>
      <c r="X6" s="385">
        <v>36002</v>
      </c>
      <c r="Y6" s="761">
        <f t="shared" si="2"/>
        <v>17.443835616438356</v>
      </c>
      <c r="Z6" s="573" t="s">
        <v>21</v>
      </c>
      <c r="AA6" s="773" t="str">
        <f t="shared" si="3"/>
        <v/>
      </c>
      <c r="AB6" s="773" t="str">
        <f t="shared" si="4"/>
        <v/>
      </c>
      <c r="AC6" s="773"/>
      <c r="AD6" s="773" t="str">
        <f t="shared" si="5"/>
        <v>F</v>
      </c>
      <c r="AE6" s="773" t="str">
        <f t="shared" si="6"/>
        <v/>
      </c>
      <c r="AF6" s="770"/>
      <c r="AG6" s="770"/>
      <c r="AH6" s="770"/>
      <c r="AI6" s="770"/>
      <c r="AJ6" s="770"/>
      <c r="AK6" s="770"/>
      <c r="AL6" s="770">
        <f>Q6-J6</f>
        <v>769</v>
      </c>
      <c r="AM6" s="770">
        <f>AL6/365</f>
        <v>2.106849315068493</v>
      </c>
      <c r="AN6" s="770">
        <f t="shared" si="7"/>
        <v>2</v>
      </c>
      <c r="AO6" s="761">
        <f t="shared" si="8"/>
        <v>1.2821917808219165</v>
      </c>
      <c r="AP6" s="1074"/>
      <c r="AQ6" s="782">
        <f t="shared" si="9"/>
        <v>42370</v>
      </c>
      <c r="AR6" s="782">
        <f t="shared" si="10"/>
        <v>42736</v>
      </c>
      <c r="AS6" s="770">
        <f t="shared" si="11"/>
        <v>366</v>
      </c>
      <c r="AT6" s="790">
        <f>IF(AQ6&gt;'[1]calculs enfants présents'!$A$56,0,IF(Q6&lt;'[1]calculs enfants présents'!$A$56,Q6-AQ6,'[1]calculs enfants présents'!$A$56-AQ6))</f>
        <v>0</v>
      </c>
      <c r="AU6" s="790">
        <f t="shared" si="12"/>
        <v>31</v>
      </c>
      <c r="AV6" s="790">
        <f t="shared" si="13"/>
        <v>-31</v>
      </c>
      <c r="AW6" s="412"/>
      <c r="AX6" s="381">
        <v>42369</v>
      </c>
      <c r="AY6" s="955">
        <f t="shared" si="14"/>
        <v>42577</v>
      </c>
      <c r="AZ6" s="955">
        <f t="shared" si="15"/>
        <v>42736</v>
      </c>
      <c r="BA6" s="955">
        <f t="shared" si="16"/>
        <v>42542</v>
      </c>
      <c r="BB6" s="1105"/>
      <c r="BC6" s="1103"/>
      <c r="BD6" s="1076"/>
      <c r="BE6" s="1104">
        <f t="shared" si="17"/>
        <v>42052</v>
      </c>
      <c r="BF6" s="460"/>
      <c r="BG6" s="349"/>
      <c r="BH6" s="465"/>
      <c r="BI6" s="390"/>
      <c r="BJ6" s="382"/>
      <c r="BK6" s="387"/>
      <c r="BL6" s="387"/>
      <c r="BM6" s="387"/>
      <c r="BN6" s="387"/>
      <c r="BO6" s="387"/>
      <c r="BP6" s="387"/>
      <c r="BQ6" s="387"/>
      <c r="BR6" s="387"/>
      <c r="BS6" s="387"/>
      <c r="BT6" s="387"/>
    </row>
    <row r="7" spans="1:72" s="387" customFormat="1" ht="12.75" customHeight="1" x14ac:dyDescent="0.2">
      <c r="A7" s="695" t="s">
        <v>678</v>
      </c>
      <c r="B7" s="695" t="s">
        <v>349</v>
      </c>
      <c r="C7" s="698" t="s">
        <v>219</v>
      </c>
      <c r="D7" s="555" t="s">
        <v>138</v>
      </c>
      <c r="E7" s="555" t="s">
        <v>87</v>
      </c>
      <c r="F7" s="555"/>
      <c r="G7" s="555"/>
      <c r="H7" s="555"/>
      <c r="I7" s="799">
        <v>41880</v>
      </c>
      <c r="J7" s="709">
        <v>41946</v>
      </c>
      <c r="K7" s="709"/>
      <c r="L7" s="1075">
        <f t="shared" si="1"/>
        <v>66</v>
      </c>
      <c r="M7" s="609">
        <v>41946</v>
      </c>
      <c r="N7" s="710">
        <v>42311</v>
      </c>
      <c r="O7" s="710" t="s">
        <v>628</v>
      </c>
      <c r="P7" s="710">
        <v>42677</v>
      </c>
      <c r="Q7" s="710">
        <v>42736</v>
      </c>
      <c r="R7" s="609" t="s">
        <v>16</v>
      </c>
      <c r="S7" s="555" t="s">
        <v>16</v>
      </c>
      <c r="T7" s="555"/>
      <c r="U7" s="558"/>
      <c r="V7" s="555"/>
      <c r="W7" s="555"/>
      <c r="X7" s="714">
        <v>38604</v>
      </c>
      <c r="Y7" s="759">
        <f t="shared" si="2"/>
        <v>10.315068493150685</v>
      </c>
      <c r="Z7" s="823" t="s">
        <v>13</v>
      </c>
      <c r="AA7" s="778" t="str">
        <f t="shared" si="3"/>
        <v/>
      </c>
      <c r="AB7" s="778" t="str">
        <f t="shared" si="4"/>
        <v>M</v>
      </c>
      <c r="AC7" s="778"/>
      <c r="AD7" s="778" t="str">
        <f t="shared" si="5"/>
        <v/>
      </c>
      <c r="AE7" s="778" t="str">
        <f t="shared" si="6"/>
        <v/>
      </c>
      <c r="AF7" s="765"/>
      <c r="AG7" s="765"/>
      <c r="AH7" s="765"/>
      <c r="AI7" s="765"/>
      <c r="AJ7" s="765"/>
      <c r="AK7" s="765"/>
      <c r="AL7" s="765">
        <f>Q7-J7</f>
        <v>790</v>
      </c>
      <c r="AM7" s="765">
        <f>AL7/365</f>
        <v>2.1643835616438358</v>
      </c>
      <c r="AN7" s="765">
        <f t="shared" si="7"/>
        <v>2</v>
      </c>
      <c r="AO7" s="759">
        <f t="shared" si="8"/>
        <v>1.97260273972603</v>
      </c>
      <c r="AP7" s="1079"/>
      <c r="AQ7" s="1080">
        <f t="shared" si="9"/>
        <v>42370</v>
      </c>
      <c r="AR7" s="1080">
        <f t="shared" si="10"/>
        <v>42736</v>
      </c>
      <c r="AS7" s="765">
        <f t="shared" si="11"/>
        <v>366</v>
      </c>
      <c r="AT7" s="786">
        <f>IF(AQ7&gt;'[1]calculs enfants présents'!$A$56,0,IF(Q7&lt;'[1]calculs enfants présents'!$A$56,Q7-AQ7,'[1]calculs enfants présents'!$A$56-AQ7))</f>
        <v>0</v>
      </c>
      <c r="AU7" s="786">
        <f t="shared" si="12"/>
        <v>31</v>
      </c>
      <c r="AV7" s="786">
        <f t="shared" si="13"/>
        <v>-31</v>
      </c>
      <c r="AW7" s="559"/>
      <c r="AX7" s="609">
        <v>42369</v>
      </c>
      <c r="AY7" s="956">
        <f t="shared" si="14"/>
        <v>42311</v>
      </c>
      <c r="AZ7" s="956">
        <f t="shared" si="15"/>
        <v>42736</v>
      </c>
      <c r="BA7" s="956">
        <f t="shared" si="16"/>
        <v>42276</v>
      </c>
      <c r="BB7" s="577"/>
      <c r="BC7" s="1106"/>
      <c r="BD7" s="799"/>
      <c r="BE7" s="1107">
        <f t="shared" si="17"/>
        <v>42031</v>
      </c>
      <c r="BF7" s="561"/>
      <c r="BG7" s="556"/>
      <c r="BH7" s="563"/>
      <c r="BI7" s="565"/>
      <c r="BJ7" s="557"/>
      <c r="BK7" s="374"/>
      <c r="BL7" s="374"/>
      <c r="BM7" s="374"/>
      <c r="BN7" s="374"/>
      <c r="BO7" s="374"/>
      <c r="BP7" s="374"/>
      <c r="BQ7" s="374"/>
      <c r="BR7" s="374"/>
      <c r="BS7" s="374"/>
      <c r="BT7" s="374"/>
    </row>
    <row r="8" spans="1:72" s="566" customFormat="1" ht="12.75" customHeight="1" x14ac:dyDescent="0.2">
      <c r="A8" s="1208" t="s">
        <v>542</v>
      </c>
      <c r="B8" s="1208" t="s">
        <v>542</v>
      </c>
      <c r="C8" s="1209" t="s">
        <v>543</v>
      </c>
      <c r="D8" s="1210" t="s">
        <v>714</v>
      </c>
      <c r="E8" s="1210" t="s">
        <v>70</v>
      </c>
      <c r="F8" s="1210"/>
      <c r="G8" s="1210"/>
      <c r="H8" s="1210"/>
      <c r="I8" s="1211">
        <v>42160</v>
      </c>
      <c r="J8" s="1212">
        <v>42186</v>
      </c>
      <c r="K8" s="1212">
        <v>42193</v>
      </c>
      <c r="L8" s="1213">
        <f t="shared" si="1"/>
        <v>26</v>
      </c>
      <c r="M8" s="717">
        <v>42186</v>
      </c>
      <c r="N8" s="1214">
        <v>42551</v>
      </c>
      <c r="O8" s="1214" t="s">
        <v>741</v>
      </c>
      <c r="P8" s="1214">
        <v>42408</v>
      </c>
      <c r="Q8" s="1214">
        <v>42408</v>
      </c>
      <c r="R8" s="717" t="s">
        <v>156</v>
      </c>
      <c r="S8" s="1210" t="s">
        <v>225</v>
      </c>
      <c r="T8" s="1210"/>
      <c r="U8" s="1215"/>
      <c r="V8" s="1210"/>
      <c r="W8" s="1210"/>
      <c r="X8" s="1216">
        <v>37378</v>
      </c>
      <c r="Y8" s="1217">
        <f t="shared" si="2"/>
        <v>13.673972602739726</v>
      </c>
      <c r="Z8" s="1218" t="s">
        <v>13</v>
      </c>
      <c r="AA8" s="1219" t="str">
        <f t="shared" si="3"/>
        <v/>
      </c>
      <c r="AB8" s="1219" t="str">
        <f t="shared" si="4"/>
        <v/>
      </c>
      <c r="AC8" s="1219" t="str">
        <f t="shared" ref="AC8:AC13" si="18">IF(AND(Y8&gt;=11,Y8&lt;15),IF(Z8="M","M","F"),"")</f>
        <v>M</v>
      </c>
      <c r="AD8" s="1219" t="str">
        <f t="shared" si="5"/>
        <v/>
      </c>
      <c r="AE8" s="1219" t="str">
        <f t="shared" si="6"/>
        <v/>
      </c>
      <c r="AF8" s="1220"/>
      <c r="AG8" s="1220"/>
      <c r="AH8" s="1220"/>
      <c r="AI8" s="1220"/>
      <c r="AJ8" s="1220"/>
      <c r="AK8" s="1220"/>
      <c r="AL8" s="1220"/>
      <c r="AM8" s="1220"/>
      <c r="AN8" s="1220">
        <f t="shared" si="7"/>
        <v>0</v>
      </c>
      <c r="AO8" s="1217">
        <f t="shared" si="8"/>
        <v>0</v>
      </c>
      <c r="AP8" s="1221"/>
      <c r="AQ8" s="1222">
        <f t="shared" si="9"/>
        <v>42370</v>
      </c>
      <c r="AR8" s="1222">
        <f t="shared" si="10"/>
        <v>42408</v>
      </c>
      <c r="AS8" s="1220">
        <f t="shared" si="11"/>
        <v>38</v>
      </c>
      <c r="AT8" s="1223">
        <f>IF(AQ8&gt;'[1]calculs enfants présents'!$A$56,0,IF(Q8&lt;'[1]calculs enfants présents'!$A$56,Q8-AQ8,'[1]calculs enfants présents'!$A$56-AQ8))</f>
        <v>0</v>
      </c>
      <c r="AU8" s="1223">
        <f t="shared" si="12"/>
        <v>31</v>
      </c>
      <c r="AV8" s="1223">
        <f t="shared" si="13"/>
        <v>-31</v>
      </c>
      <c r="AW8" s="1224"/>
      <c r="AX8" s="717">
        <v>42369</v>
      </c>
      <c r="AY8" s="1225">
        <f t="shared" si="14"/>
        <v>42551</v>
      </c>
      <c r="AZ8" s="1225">
        <f t="shared" si="15"/>
        <v>42408</v>
      </c>
      <c r="BA8" s="1225">
        <f t="shared" si="16"/>
        <v>42521</v>
      </c>
      <c r="BB8" s="1226"/>
      <c r="BC8" s="1227"/>
      <c r="BD8" s="1211"/>
      <c r="BE8" s="1228">
        <f t="shared" si="17"/>
        <v>42276</v>
      </c>
      <c r="BF8" s="1229">
        <v>42346</v>
      </c>
      <c r="BG8" s="1230" t="s">
        <v>275</v>
      </c>
      <c r="BH8" s="1231">
        <v>42346</v>
      </c>
      <c r="BI8" s="1232"/>
      <c r="BJ8" s="1233"/>
      <c r="BK8" s="389"/>
      <c r="BL8" s="389"/>
      <c r="BM8" s="389"/>
      <c r="BN8" s="389"/>
      <c r="BO8" s="389"/>
      <c r="BP8" s="389"/>
      <c r="BQ8" s="389"/>
      <c r="BR8" s="389"/>
      <c r="BS8" s="389"/>
      <c r="BT8" s="389"/>
    </row>
    <row r="9" spans="1:72" s="389" customFormat="1" ht="12.75" customHeight="1" x14ac:dyDescent="0.2">
      <c r="A9" s="1208" t="s">
        <v>542</v>
      </c>
      <c r="B9" s="1208" t="s">
        <v>542</v>
      </c>
      <c r="C9" s="1209" t="s">
        <v>544</v>
      </c>
      <c r="D9" s="1210" t="s">
        <v>714</v>
      </c>
      <c r="E9" s="1210" t="s">
        <v>70</v>
      </c>
      <c r="F9" s="1210"/>
      <c r="G9" s="1210"/>
      <c r="H9" s="1210"/>
      <c r="I9" s="1211">
        <v>42160</v>
      </c>
      <c r="J9" s="1212">
        <v>42186</v>
      </c>
      <c r="K9" s="1212">
        <v>42193</v>
      </c>
      <c r="L9" s="1213">
        <f t="shared" si="1"/>
        <v>26</v>
      </c>
      <c r="M9" s="717">
        <v>42186</v>
      </c>
      <c r="N9" s="1214">
        <v>42551</v>
      </c>
      <c r="O9" s="1214" t="s">
        <v>741</v>
      </c>
      <c r="P9" s="1214">
        <v>42408</v>
      </c>
      <c r="Q9" s="1214">
        <v>42408</v>
      </c>
      <c r="R9" s="717" t="s">
        <v>156</v>
      </c>
      <c r="S9" s="1210" t="s">
        <v>225</v>
      </c>
      <c r="T9" s="1210"/>
      <c r="U9" s="1215"/>
      <c r="V9" s="1210"/>
      <c r="W9" s="1210"/>
      <c r="X9" s="1216">
        <v>35960</v>
      </c>
      <c r="Y9" s="1217">
        <f t="shared" si="2"/>
        <v>17.55890410958904</v>
      </c>
      <c r="Z9" s="1218" t="s">
        <v>21</v>
      </c>
      <c r="AA9" s="1219" t="str">
        <f t="shared" si="3"/>
        <v/>
      </c>
      <c r="AB9" s="1219" t="str">
        <f t="shared" si="4"/>
        <v/>
      </c>
      <c r="AC9" s="1219" t="str">
        <f t="shared" si="18"/>
        <v/>
      </c>
      <c r="AD9" s="1219" t="str">
        <f t="shared" si="5"/>
        <v>F</v>
      </c>
      <c r="AE9" s="1219" t="str">
        <f t="shared" si="6"/>
        <v/>
      </c>
      <c r="AF9" s="1220"/>
      <c r="AG9" s="1220"/>
      <c r="AH9" s="1220"/>
      <c r="AI9" s="1220"/>
      <c r="AJ9" s="1220"/>
      <c r="AK9" s="1220"/>
      <c r="AL9" s="1220"/>
      <c r="AM9" s="1220"/>
      <c r="AN9" s="1220">
        <f t="shared" si="7"/>
        <v>0</v>
      </c>
      <c r="AO9" s="1217">
        <f t="shared" si="8"/>
        <v>0</v>
      </c>
      <c r="AP9" s="1221"/>
      <c r="AQ9" s="1222">
        <f t="shared" si="9"/>
        <v>42370</v>
      </c>
      <c r="AR9" s="1222">
        <f t="shared" si="10"/>
        <v>42408</v>
      </c>
      <c r="AS9" s="1220">
        <f t="shared" si="11"/>
        <v>38</v>
      </c>
      <c r="AT9" s="1223">
        <f>IF(AQ9&gt;'[1]calculs enfants présents'!$A$56,0,IF(Q9&lt;'[1]calculs enfants présents'!$A$56,Q9-AQ9,'[1]calculs enfants présents'!$A$56-AQ9))</f>
        <v>0</v>
      </c>
      <c r="AU9" s="1223">
        <f t="shared" si="12"/>
        <v>31</v>
      </c>
      <c r="AV9" s="1223">
        <f t="shared" si="13"/>
        <v>-31</v>
      </c>
      <c r="AW9" s="1224"/>
      <c r="AX9" s="717">
        <v>42369</v>
      </c>
      <c r="AY9" s="1225">
        <f t="shared" si="14"/>
        <v>42551</v>
      </c>
      <c r="AZ9" s="1225">
        <f t="shared" si="15"/>
        <v>42408</v>
      </c>
      <c r="BA9" s="1225">
        <f t="shared" si="16"/>
        <v>42521</v>
      </c>
      <c r="BB9" s="1226"/>
      <c r="BC9" s="1227"/>
      <c r="BD9" s="1211"/>
      <c r="BE9" s="1228">
        <f t="shared" si="17"/>
        <v>42276</v>
      </c>
      <c r="BF9" s="1229">
        <v>42346</v>
      </c>
      <c r="BG9" s="1230" t="s">
        <v>275</v>
      </c>
      <c r="BH9" s="1231"/>
      <c r="BI9" s="1232"/>
      <c r="BJ9" s="1233"/>
      <c r="BS9" s="1234"/>
      <c r="BT9" s="1234"/>
    </row>
    <row r="10" spans="1:72" s="387" customFormat="1" ht="12.75" customHeight="1" x14ac:dyDescent="0.2">
      <c r="A10" s="484" t="s">
        <v>682</v>
      </c>
      <c r="B10" s="484" t="s">
        <v>682</v>
      </c>
      <c r="C10" s="379" t="s">
        <v>683</v>
      </c>
      <c r="D10" s="347" t="s">
        <v>70</v>
      </c>
      <c r="E10" s="347" t="s">
        <v>179</v>
      </c>
      <c r="F10" s="347"/>
      <c r="G10" s="347"/>
      <c r="H10" s="1076"/>
      <c r="I10" s="1076">
        <v>42290</v>
      </c>
      <c r="J10" s="411">
        <v>42326</v>
      </c>
      <c r="K10" s="411">
        <v>42338</v>
      </c>
      <c r="L10" s="1078">
        <f t="shared" si="1"/>
        <v>36</v>
      </c>
      <c r="M10" s="381">
        <v>42326</v>
      </c>
      <c r="N10" s="381">
        <v>42692</v>
      </c>
      <c r="O10" s="381"/>
      <c r="P10" s="381"/>
      <c r="Q10" s="381">
        <v>42736</v>
      </c>
      <c r="R10" s="381" t="s">
        <v>156</v>
      </c>
      <c r="S10" s="347" t="s">
        <v>156</v>
      </c>
      <c r="T10" s="347"/>
      <c r="U10" s="383"/>
      <c r="V10" s="347"/>
      <c r="W10" s="347"/>
      <c r="X10" s="385">
        <v>36277</v>
      </c>
      <c r="Y10" s="761">
        <f t="shared" si="2"/>
        <v>16.706849315068492</v>
      </c>
      <c r="Z10" s="347" t="s">
        <v>13</v>
      </c>
      <c r="AA10" s="770" t="str">
        <f t="shared" si="3"/>
        <v/>
      </c>
      <c r="AB10" s="770" t="str">
        <f t="shared" si="4"/>
        <v/>
      </c>
      <c r="AC10" s="770" t="str">
        <f t="shared" si="18"/>
        <v/>
      </c>
      <c r="AD10" s="770" t="str">
        <f t="shared" si="5"/>
        <v>M</v>
      </c>
      <c r="AE10" s="770" t="str">
        <f t="shared" si="6"/>
        <v/>
      </c>
      <c r="AF10" s="770"/>
      <c r="AG10" s="770"/>
      <c r="AH10" s="770"/>
      <c r="AI10" s="770"/>
      <c r="AJ10" s="770"/>
      <c r="AK10" s="770"/>
      <c r="AL10" s="770">
        <f>Q10-J10</f>
        <v>410</v>
      </c>
      <c r="AM10" s="770">
        <f>AL10/365</f>
        <v>1.1232876712328768</v>
      </c>
      <c r="AN10" s="770">
        <f t="shared" si="7"/>
        <v>1</v>
      </c>
      <c r="AO10" s="761">
        <f t="shared" si="8"/>
        <v>1.4794520547945211</v>
      </c>
      <c r="AP10" s="1074"/>
      <c r="AQ10" s="782">
        <f t="shared" si="9"/>
        <v>42370</v>
      </c>
      <c r="AR10" s="782">
        <f t="shared" si="10"/>
        <v>42736</v>
      </c>
      <c r="AS10" s="770">
        <f t="shared" si="11"/>
        <v>366</v>
      </c>
      <c r="AT10" s="790">
        <f>IF(AQ10&gt;'[1]calculs enfants présents'!$A$56,0,IF(Q10&lt;'[1]calculs enfants présents'!$A$56,Q10-AQ10,'[1]calculs enfants présents'!$A$56-AQ10))</f>
        <v>0</v>
      </c>
      <c r="AU10" s="791">
        <f t="shared" si="12"/>
        <v>31</v>
      </c>
      <c r="AV10" s="790">
        <f t="shared" si="13"/>
        <v>-31</v>
      </c>
      <c r="AW10" s="412"/>
      <c r="AX10" s="381">
        <v>42375</v>
      </c>
      <c r="AY10" s="955">
        <f t="shared" si="14"/>
        <v>42692</v>
      </c>
      <c r="AZ10" s="955">
        <f t="shared" si="15"/>
        <v>42736</v>
      </c>
      <c r="BA10" s="955">
        <f t="shared" si="16"/>
        <v>42661</v>
      </c>
      <c r="BB10" s="1105"/>
      <c r="BC10" s="1103"/>
      <c r="BD10" s="1076"/>
      <c r="BE10" s="1104">
        <f>IF(K10&lt;&gt;"",(K10+90)-(WEEKDAY(K10+90,2)-2),"DIPC")</f>
        <v>42423</v>
      </c>
      <c r="BF10" s="460">
        <v>42425</v>
      </c>
      <c r="BG10" s="349" t="s">
        <v>276</v>
      </c>
      <c r="BH10" s="465">
        <v>42425</v>
      </c>
      <c r="BI10" s="349"/>
      <c r="BJ10" s="572"/>
    </row>
    <row r="11" spans="1:72" s="387" customFormat="1" ht="12.75" customHeight="1" x14ac:dyDescent="0.2">
      <c r="A11" s="484" t="s">
        <v>615</v>
      </c>
      <c r="B11" s="484" t="s">
        <v>551</v>
      </c>
      <c r="C11" s="379" t="s">
        <v>211</v>
      </c>
      <c r="D11" s="347" t="s">
        <v>87</v>
      </c>
      <c r="E11" s="347" t="s">
        <v>179</v>
      </c>
      <c r="F11" s="347"/>
      <c r="G11" s="347"/>
      <c r="H11" s="347"/>
      <c r="I11" s="1076">
        <v>42164</v>
      </c>
      <c r="J11" s="411">
        <v>42208</v>
      </c>
      <c r="K11" s="411">
        <v>42300</v>
      </c>
      <c r="L11" s="1077">
        <f t="shared" si="1"/>
        <v>44</v>
      </c>
      <c r="M11" s="381">
        <v>42208</v>
      </c>
      <c r="N11" s="708">
        <v>42574</v>
      </c>
      <c r="O11" s="708"/>
      <c r="P11" s="708"/>
      <c r="Q11" s="708">
        <v>42736</v>
      </c>
      <c r="R11" s="381" t="s">
        <v>16</v>
      </c>
      <c r="S11" s="347" t="s">
        <v>20</v>
      </c>
      <c r="T11" s="347"/>
      <c r="U11" s="383"/>
      <c r="V11" s="347"/>
      <c r="W11" s="347"/>
      <c r="X11" s="385">
        <v>37274</v>
      </c>
      <c r="Y11" s="761">
        <f t="shared" si="2"/>
        <v>13.95890410958904</v>
      </c>
      <c r="Z11" s="573" t="s">
        <v>13</v>
      </c>
      <c r="AA11" s="773" t="str">
        <f t="shared" si="3"/>
        <v/>
      </c>
      <c r="AB11" s="773" t="str">
        <f t="shared" si="4"/>
        <v/>
      </c>
      <c r="AC11" s="773" t="str">
        <f t="shared" si="18"/>
        <v>M</v>
      </c>
      <c r="AD11" s="773" t="str">
        <f t="shared" si="5"/>
        <v/>
      </c>
      <c r="AE11" s="773" t="str">
        <f t="shared" si="6"/>
        <v/>
      </c>
      <c r="AF11" s="770"/>
      <c r="AG11" s="770"/>
      <c r="AH11" s="770"/>
      <c r="AI11" s="770"/>
      <c r="AJ11" s="770"/>
      <c r="AK11" s="770"/>
      <c r="AL11" s="770"/>
      <c r="AM11" s="770"/>
      <c r="AN11" s="770">
        <f t="shared" si="7"/>
        <v>0</v>
      </c>
      <c r="AO11" s="761">
        <f t="shared" si="8"/>
        <v>0</v>
      </c>
      <c r="AP11" s="1074"/>
      <c r="AQ11" s="782">
        <f t="shared" si="9"/>
        <v>42370</v>
      </c>
      <c r="AR11" s="782">
        <f t="shared" si="10"/>
        <v>42736</v>
      </c>
      <c r="AS11" s="770">
        <f t="shared" si="11"/>
        <v>366</v>
      </c>
      <c r="AT11" s="790">
        <f>IF(AQ11&gt;'[1]calculs enfants présents'!$A$56,0,IF(Q11&lt;'[1]calculs enfants présents'!$A$56,Q11-AQ11,'[1]calculs enfants présents'!$A$56-AQ11))</f>
        <v>0</v>
      </c>
      <c r="AU11" s="790">
        <f t="shared" si="12"/>
        <v>31</v>
      </c>
      <c r="AV11" s="790">
        <f t="shared" si="13"/>
        <v>-31</v>
      </c>
      <c r="AW11" s="412"/>
      <c r="AX11" s="381">
        <v>42369</v>
      </c>
      <c r="AY11" s="955">
        <f t="shared" si="14"/>
        <v>42574</v>
      </c>
      <c r="AZ11" s="955">
        <f t="shared" si="15"/>
        <v>42736</v>
      </c>
      <c r="BA11" s="955">
        <f t="shared" si="16"/>
        <v>42542</v>
      </c>
      <c r="BB11" s="1105"/>
      <c r="BC11" s="1103"/>
      <c r="BD11" s="1076"/>
      <c r="BE11" s="1104">
        <f t="shared" ref="BE11:BE17" si="19">(J11+90)-(WEEKDAY(J11+90,2)-2)</f>
        <v>42297</v>
      </c>
      <c r="BF11" s="460">
        <v>42353</v>
      </c>
      <c r="BG11" s="349" t="s">
        <v>274</v>
      </c>
      <c r="BH11" s="465">
        <v>42353</v>
      </c>
      <c r="BI11" s="390"/>
      <c r="BJ11" s="382"/>
    </row>
    <row r="12" spans="1:72" ht="12" customHeight="1" x14ac:dyDescent="0.2">
      <c r="A12" s="733" t="s">
        <v>442</v>
      </c>
      <c r="B12" s="733" t="s">
        <v>441</v>
      </c>
      <c r="C12" s="734" t="s">
        <v>191</v>
      </c>
      <c r="D12" s="712" t="s">
        <v>714</v>
      </c>
      <c r="E12" s="712" t="s">
        <v>310</v>
      </c>
      <c r="F12" s="712"/>
      <c r="G12" s="712"/>
      <c r="H12" s="712"/>
      <c r="I12" s="1081">
        <v>42033</v>
      </c>
      <c r="J12" s="735">
        <v>42048</v>
      </c>
      <c r="K12" s="735">
        <v>42053</v>
      </c>
      <c r="L12" s="1112">
        <f t="shared" si="1"/>
        <v>15</v>
      </c>
      <c r="M12" s="722">
        <v>42048</v>
      </c>
      <c r="N12" s="723">
        <v>42413</v>
      </c>
      <c r="O12" s="723" t="s">
        <v>798</v>
      </c>
      <c r="P12" s="723">
        <v>42413</v>
      </c>
      <c r="Q12" s="723">
        <v>42736</v>
      </c>
      <c r="R12" s="722" t="s">
        <v>16</v>
      </c>
      <c r="S12" s="712" t="s">
        <v>16</v>
      </c>
      <c r="T12" s="712"/>
      <c r="U12" s="713"/>
      <c r="V12" s="712"/>
      <c r="W12" s="712"/>
      <c r="X12" s="724">
        <v>38288</v>
      </c>
      <c r="Y12" s="762">
        <f t="shared" si="2"/>
        <v>11.180821917808219</v>
      </c>
      <c r="Z12" s="1237" t="s">
        <v>13</v>
      </c>
      <c r="AA12" s="777" t="str">
        <f t="shared" si="3"/>
        <v/>
      </c>
      <c r="AB12" s="777" t="str">
        <f t="shared" si="4"/>
        <v/>
      </c>
      <c r="AC12" s="777" t="str">
        <f t="shared" si="18"/>
        <v>M</v>
      </c>
      <c r="AD12" s="777" t="str">
        <f t="shared" si="5"/>
        <v/>
      </c>
      <c r="AE12" s="777" t="str">
        <f t="shared" si="6"/>
        <v/>
      </c>
      <c r="AF12" s="772"/>
      <c r="AG12" s="772"/>
      <c r="AH12" s="772"/>
      <c r="AI12" s="772"/>
      <c r="AJ12" s="772"/>
      <c r="AK12" s="772"/>
      <c r="AL12" s="772">
        <f>Q12-J12</f>
        <v>688</v>
      </c>
      <c r="AM12" s="772">
        <f>AL12/365</f>
        <v>1.8849315068493151</v>
      </c>
      <c r="AN12" s="772">
        <f t="shared" si="7"/>
        <v>1</v>
      </c>
      <c r="AO12" s="762">
        <f t="shared" si="8"/>
        <v>10.61917808219178</v>
      </c>
      <c r="AP12" s="1073"/>
      <c r="AQ12" s="1113">
        <f t="shared" si="9"/>
        <v>42370</v>
      </c>
      <c r="AR12" s="1113">
        <f t="shared" si="10"/>
        <v>42736</v>
      </c>
      <c r="AS12" s="772">
        <f t="shared" si="11"/>
        <v>366</v>
      </c>
      <c r="AT12" s="792">
        <f>IF(AQ12&gt;'[1]calculs enfants présents'!$A$56,0,IF(Q12&lt;'[1]calculs enfants présents'!$A$56,Q12-AQ12,'[1]calculs enfants présents'!$A$56-AQ12))</f>
        <v>0</v>
      </c>
      <c r="AU12" s="792">
        <f t="shared" si="12"/>
        <v>31</v>
      </c>
      <c r="AV12" s="792">
        <f t="shared" si="13"/>
        <v>-31</v>
      </c>
      <c r="AW12" s="725"/>
      <c r="AX12" s="722">
        <v>42369</v>
      </c>
      <c r="AY12" s="1114">
        <f t="shared" si="14"/>
        <v>42413</v>
      </c>
      <c r="AZ12" s="1114">
        <f t="shared" si="15"/>
        <v>42736</v>
      </c>
      <c r="BA12" s="1114">
        <f t="shared" si="16"/>
        <v>42381</v>
      </c>
      <c r="BB12" s="1115">
        <v>42381</v>
      </c>
      <c r="BC12" s="1116" t="s">
        <v>276</v>
      </c>
      <c r="BD12" s="1081">
        <v>42381</v>
      </c>
      <c r="BE12" s="1117">
        <f t="shared" si="19"/>
        <v>42136</v>
      </c>
      <c r="BF12" s="726"/>
      <c r="BG12" s="721"/>
      <c r="BH12" s="727"/>
      <c r="BI12" s="490"/>
      <c r="BJ12" s="426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</row>
    <row r="13" spans="1:72" s="401" customFormat="1" ht="12" customHeight="1" x14ac:dyDescent="0.2">
      <c r="A13" s="484" t="s">
        <v>589</v>
      </c>
      <c r="B13" s="484" t="s">
        <v>522</v>
      </c>
      <c r="C13" s="379" t="s">
        <v>523</v>
      </c>
      <c r="D13" s="347" t="s">
        <v>138</v>
      </c>
      <c r="E13" s="347" t="s">
        <v>228</v>
      </c>
      <c r="F13" s="347"/>
      <c r="G13" s="347"/>
      <c r="H13" s="347"/>
      <c r="I13" s="1076">
        <v>42121</v>
      </c>
      <c r="J13" s="411">
        <v>42184</v>
      </c>
      <c r="K13" s="411">
        <v>42193</v>
      </c>
      <c r="L13" s="1077">
        <f t="shared" si="1"/>
        <v>63</v>
      </c>
      <c r="M13" s="381">
        <v>42184</v>
      </c>
      <c r="N13" s="708">
        <v>42549</v>
      </c>
      <c r="O13" s="708"/>
      <c r="P13" s="708"/>
      <c r="Q13" s="708">
        <v>42736</v>
      </c>
      <c r="R13" s="381" t="s">
        <v>156</v>
      </c>
      <c r="S13" s="347" t="s">
        <v>156</v>
      </c>
      <c r="T13" s="347"/>
      <c r="U13" s="383"/>
      <c r="V13" s="347"/>
      <c r="W13" s="347"/>
      <c r="X13" s="385">
        <v>37896</v>
      </c>
      <c r="Y13" s="761">
        <f t="shared" si="2"/>
        <v>12.254794520547945</v>
      </c>
      <c r="Z13" s="573" t="s">
        <v>13</v>
      </c>
      <c r="AA13" s="773" t="str">
        <f t="shared" si="3"/>
        <v/>
      </c>
      <c r="AB13" s="773" t="str">
        <f t="shared" si="4"/>
        <v/>
      </c>
      <c r="AC13" s="773" t="str">
        <f t="shared" si="18"/>
        <v>M</v>
      </c>
      <c r="AD13" s="773" t="str">
        <f t="shared" si="5"/>
        <v/>
      </c>
      <c r="AE13" s="773" t="str">
        <f t="shared" si="6"/>
        <v/>
      </c>
      <c r="AF13" s="770"/>
      <c r="AG13" s="770"/>
      <c r="AH13" s="770"/>
      <c r="AI13" s="770"/>
      <c r="AJ13" s="770"/>
      <c r="AK13" s="770"/>
      <c r="AL13" s="770"/>
      <c r="AM13" s="770"/>
      <c r="AN13" s="770">
        <f t="shared" si="7"/>
        <v>0</v>
      </c>
      <c r="AO13" s="761">
        <f t="shared" si="8"/>
        <v>0</v>
      </c>
      <c r="AP13" s="1074"/>
      <c r="AQ13" s="782">
        <f t="shared" si="9"/>
        <v>42370</v>
      </c>
      <c r="AR13" s="782">
        <f t="shared" si="10"/>
        <v>42736</v>
      </c>
      <c r="AS13" s="770">
        <f t="shared" si="11"/>
        <v>366</v>
      </c>
      <c r="AT13" s="790">
        <f>IF(AQ13&gt;'[1]calculs enfants présents'!$A$56,0,IF(Q13&lt;'[1]calculs enfants présents'!$A$56,Q13-AQ13,'[1]calculs enfants présents'!$A$56-AQ13))</f>
        <v>0</v>
      </c>
      <c r="AU13" s="790">
        <f t="shared" si="12"/>
        <v>31</v>
      </c>
      <c r="AV13" s="790">
        <f t="shared" si="13"/>
        <v>-31</v>
      </c>
      <c r="AW13" s="412"/>
      <c r="AX13" s="381">
        <v>42369</v>
      </c>
      <c r="AY13" s="955">
        <f t="shared" si="14"/>
        <v>42549</v>
      </c>
      <c r="AZ13" s="955">
        <f t="shared" si="15"/>
        <v>42736</v>
      </c>
      <c r="BA13" s="955">
        <f t="shared" si="16"/>
        <v>42514</v>
      </c>
      <c r="BB13" s="1105"/>
      <c r="BC13" s="1103"/>
      <c r="BD13" s="1076"/>
      <c r="BE13" s="1104">
        <f t="shared" si="19"/>
        <v>42269</v>
      </c>
      <c r="BF13" s="460">
        <v>42339</v>
      </c>
      <c r="BG13" s="349" t="s">
        <v>275</v>
      </c>
      <c r="BH13" s="465">
        <v>42339</v>
      </c>
      <c r="BI13" s="390"/>
      <c r="BJ13" s="382"/>
      <c r="BK13" s="566"/>
      <c r="BL13" s="566"/>
      <c r="BM13" s="566"/>
      <c r="BN13" s="566"/>
      <c r="BO13" s="566"/>
      <c r="BP13" s="566"/>
      <c r="BQ13" s="566"/>
      <c r="BR13" s="566"/>
      <c r="BS13" s="566"/>
      <c r="BT13" s="566"/>
    </row>
    <row r="14" spans="1:72" s="401" customFormat="1" ht="12" customHeight="1" x14ac:dyDescent="0.2">
      <c r="A14" s="718" t="s">
        <v>790</v>
      </c>
      <c r="B14" s="718" t="s">
        <v>439</v>
      </c>
      <c r="C14" s="749" t="s">
        <v>440</v>
      </c>
      <c r="D14" s="702" t="s">
        <v>87</v>
      </c>
      <c r="E14" s="555" t="s">
        <v>70</v>
      </c>
      <c r="F14" s="555"/>
      <c r="G14" s="555"/>
      <c r="H14" s="555"/>
      <c r="I14" s="799">
        <v>42046</v>
      </c>
      <c r="J14" s="709">
        <v>42055</v>
      </c>
      <c r="K14" s="709">
        <v>42067</v>
      </c>
      <c r="L14" s="1075">
        <f t="shared" si="1"/>
        <v>9</v>
      </c>
      <c r="M14" s="609">
        <v>42055</v>
      </c>
      <c r="N14" s="710">
        <v>42420</v>
      </c>
      <c r="O14" s="710" t="s">
        <v>628</v>
      </c>
      <c r="P14" s="710">
        <v>42786</v>
      </c>
      <c r="Q14" s="710">
        <v>42736</v>
      </c>
      <c r="R14" s="609" t="s">
        <v>16</v>
      </c>
      <c r="S14" s="555" t="s">
        <v>16</v>
      </c>
      <c r="T14" s="555"/>
      <c r="U14" s="558"/>
      <c r="V14" s="555"/>
      <c r="W14" s="555"/>
      <c r="X14" s="714">
        <v>36498</v>
      </c>
      <c r="Y14" s="759">
        <f t="shared" si="2"/>
        <v>16.084931506849315</v>
      </c>
      <c r="Z14" s="555" t="s">
        <v>13</v>
      </c>
      <c r="AA14" s="778" t="str">
        <f t="shared" si="3"/>
        <v/>
      </c>
      <c r="AB14" s="778" t="str">
        <f t="shared" si="4"/>
        <v/>
      </c>
      <c r="AC14" s="778"/>
      <c r="AD14" s="778" t="str">
        <f t="shared" si="5"/>
        <v>M</v>
      </c>
      <c r="AE14" s="778" t="str">
        <f t="shared" si="6"/>
        <v/>
      </c>
      <c r="AF14" s="765"/>
      <c r="AG14" s="765"/>
      <c r="AH14" s="765"/>
      <c r="AI14" s="765"/>
      <c r="AJ14" s="765"/>
      <c r="AK14" s="765"/>
      <c r="AL14" s="765">
        <f t="shared" ref="AL14:AL21" si="20">Q14-J14</f>
        <v>681</v>
      </c>
      <c r="AM14" s="765">
        <f t="shared" ref="AM14:AM21" si="21">AL14/365</f>
        <v>1.8657534246575342</v>
      </c>
      <c r="AN14" s="765">
        <f t="shared" si="7"/>
        <v>1</v>
      </c>
      <c r="AO14" s="759">
        <f t="shared" si="8"/>
        <v>10.389041095890411</v>
      </c>
      <c r="AP14" s="1079"/>
      <c r="AQ14" s="1080">
        <f t="shared" si="9"/>
        <v>42370</v>
      </c>
      <c r="AR14" s="1080">
        <f t="shared" si="10"/>
        <v>42736</v>
      </c>
      <c r="AS14" s="765">
        <f t="shared" si="11"/>
        <v>366</v>
      </c>
      <c r="AT14" s="786">
        <f>IF(AQ14&gt;'[1]calculs enfants présents'!$A$56,0,IF(Q14&lt;'[1]calculs enfants présents'!$A$56,Q14-AQ14,'[1]calculs enfants présents'!$A$56-AQ14))</f>
        <v>0</v>
      </c>
      <c r="AU14" s="786">
        <f t="shared" si="12"/>
        <v>31</v>
      </c>
      <c r="AV14" s="786">
        <f t="shared" si="13"/>
        <v>-31</v>
      </c>
      <c r="AW14" s="559"/>
      <c r="AX14" s="609">
        <v>42369</v>
      </c>
      <c r="AY14" s="956">
        <f t="shared" si="14"/>
        <v>42420</v>
      </c>
      <c r="AZ14" s="956">
        <f t="shared" si="15"/>
        <v>42736</v>
      </c>
      <c r="BA14" s="956">
        <f t="shared" si="16"/>
        <v>42388</v>
      </c>
      <c r="BB14" s="799">
        <v>42388</v>
      </c>
      <c r="BC14" s="1106" t="s">
        <v>270</v>
      </c>
      <c r="BD14" s="799">
        <v>42388</v>
      </c>
      <c r="BE14" s="1107">
        <f t="shared" si="19"/>
        <v>42143</v>
      </c>
      <c r="BF14" s="567"/>
      <c r="BG14" s="556"/>
      <c r="BH14" s="563"/>
      <c r="BI14" s="561"/>
      <c r="BJ14" s="611"/>
      <c r="BK14" s="566"/>
      <c r="BL14" s="566"/>
      <c r="BM14" s="566"/>
      <c r="BN14" s="566"/>
      <c r="BO14" s="566"/>
      <c r="BP14" s="566"/>
      <c r="BQ14" s="566"/>
      <c r="BR14" s="566"/>
      <c r="BS14" s="566"/>
      <c r="BT14" s="566"/>
    </row>
    <row r="15" spans="1:72" s="387" customFormat="1" ht="13.5" customHeight="1" x14ac:dyDescent="0.2">
      <c r="A15" s="694" t="s">
        <v>487</v>
      </c>
      <c r="B15" s="694" t="s">
        <v>487</v>
      </c>
      <c r="C15" s="697" t="s">
        <v>488</v>
      </c>
      <c r="D15" s="701" t="s">
        <v>179</v>
      </c>
      <c r="E15" s="347" t="s">
        <v>138</v>
      </c>
      <c r="F15" s="347"/>
      <c r="G15" s="347"/>
      <c r="H15" s="347"/>
      <c r="I15" s="1076">
        <v>42102</v>
      </c>
      <c r="J15" s="411">
        <v>42104</v>
      </c>
      <c r="K15" s="411">
        <v>42117</v>
      </c>
      <c r="L15" s="1077">
        <f t="shared" si="1"/>
        <v>2</v>
      </c>
      <c r="M15" s="381">
        <v>42104</v>
      </c>
      <c r="N15" s="708">
        <v>42469</v>
      </c>
      <c r="O15" s="708"/>
      <c r="P15" s="708"/>
      <c r="Q15" s="708">
        <v>42736</v>
      </c>
      <c r="R15" s="381" t="s">
        <v>156</v>
      </c>
      <c r="S15" s="347" t="s">
        <v>160</v>
      </c>
      <c r="T15" s="347"/>
      <c r="U15" s="383"/>
      <c r="V15" s="347"/>
      <c r="W15" s="347"/>
      <c r="X15" s="385">
        <v>36188</v>
      </c>
      <c r="Y15" s="761">
        <f t="shared" si="2"/>
        <v>16.934246575342467</v>
      </c>
      <c r="Z15" s="347" t="s">
        <v>13</v>
      </c>
      <c r="AA15" s="773" t="str">
        <f t="shared" si="3"/>
        <v/>
      </c>
      <c r="AB15" s="773" t="str">
        <f t="shared" si="4"/>
        <v/>
      </c>
      <c r="AC15" s="773"/>
      <c r="AD15" s="773" t="str">
        <f t="shared" si="5"/>
        <v>M</v>
      </c>
      <c r="AE15" s="773" t="str">
        <f t="shared" si="6"/>
        <v/>
      </c>
      <c r="AF15" s="770"/>
      <c r="AG15" s="770"/>
      <c r="AH15" s="770"/>
      <c r="AI15" s="770"/>
      <c r="AJ15" s="770"/>
      <c r="AK15" s="770"/>
      <c r="AL15" s="770">
        <f t="shared" si="20"/>
        <v>632</v>
      </c>
      <c r="AM15" s="770">
        <f t="shared" si="21"/>
        <v>1.7315068493150685</v>
      </c>
      <c r="AN15" s="770">
        <f t="shared" si="7"/>
        <v>1</v>
      </c>
      <c r="AO15" s="761">
        <f t="shared" si="8"/>
        <v>8.7780821917808218</v>
      </c>
      <c r="AP15" s="1074"/>
      <c r="AQ15" s="782">
        <f t="shared" si="9"/>
        <v>42370</v>
      </c>
      <c r="AR15" s="782">
        <f t="shared" si="10"/>
        <v>42736</v>
      </c>
      <c r="AS15" s="770">
        <f t="shared" si="11"/>
        <v>366</v>
      </c>
      <c r="AT15" s="790">
        <f>IF(AQ15&gt;'[1]calculs enfants présents'!$A$56,0,IF(Q15&lt;'[1]calculs enfants présents'!$A$56,Q15-AQ15,'[1]calculs enfants présents'!$A$56-AQ15))</f>
        <v>0</v>
      </c>
      <c r="AU15" s="790">
        <f t="shared" si="12"/>
        <v>31</v>
      </c>
      <c r="AV15" s="790">
        <f t="shared" si="13"/>
        <v>-31</v>
      </c>
      <c r="AW15" s="412"/>
      <c r="AX15" s="381">
        <v>42369</v>
      </c>
      <c r="AY15" s="955">
        <f t="shared" si="14"/>
        <v>42469</v>
      </c>
      <c r="AZ15" s="955">
        <f t="shared" si="15"/>
        <v>42736</v>
      </c>
      <c r="BA15" s="955">
        <f t="shared" si="16"/>
        <v>42437</v>
      </c>
      <c r="BB15" s="1076">
        <v>42437</v>
      </c>
      <c r="BC15" s="1103" t="s">
        <v>271</v>
      </c>
      <c r="BD15" s="1076">
        <v>42437</v>
      </c>
      <c r="BE15" s="1104">
        <f t="shared" si="19"/>
        <v>42192</v>
      </c>
      <c r="BF15" s="462"/>
      <c r="BG15" s="349"/>
      <c r="BH15" s="465"/>
      <c r="BI15" s="460"/>
      <c r="BJ15" s="572"/>
      <c r="BK15" s="374"/>
      <c r="BL15" s="374"/>
      <c r="BM15" s="374"/>
      <c r="BN15" s="374"/>
      <c r="BO15" s="374"/>
      <c r="BP15" s="374"/>
      <c r="BQ15" s="374"/>
      <c r="BR15" s="374"/>
      <c r="BS15" s="374"/>
      <c r="BT15" s="374"/>
    </row>
    <row r="16" spans="1:72" s="566" customFormat="1" ht="13.5" customHeight="1" x14ac:dyDescent="0.2">
      <c r="A16" s="694" t="s">
        <v>626</v>
      </c>
      <c r="B16" s="694" t="s">
        <v>337</v>
      </c>
      <c r="C16" s="697" t="s">
        <v>338</v>
      </c>
      <c r="D16" s="701" t="s">
        <v>87</v>
      </c>
      <c r="E16" s="347" t="s">
        <v>310</v>
      </c>
      <c r="F16" s="347"/>
      <c r="G16" s="347"/>
      <c r="H16" s="347"/>
      <c r="I16" s="1076">
        <v>41827</v>
      </c>
      <c r="J16" s="411">
        <v>41899</v>
      </c>
      <c r="K16" s="411"/>
      <c r="L16" s="1077">
        <f t="shared" si="1"/>
        <v>72</v>
      </c>
      <c r="M16" s="381">
        <v>42217</v>
      </c>
      <c r="N16" s="381">
        <v>42582</v>
      </c>
      <c r="O16" s="381"/>
      <c r="P16" s="381"/>
      <c r="Q16" s="381">
        <v>42736</v>
      </c>
      <c r="R16" s="381" t="s">
        <v>16</v>
      </c>
      <c r="S16" s="347" t="s">
        <v>16</v>
      </c>
      <c r="T16" s="347"/>
      <c r="U16" s="383"/>
      <c r="V16" s="347"/>
      <c r="W16" s="347"/>
      <c r="X16" s="385">
        <v>39612</v>
      </c>
      <c r="Y16" s="761">
        <f t="shared" si="2"/>
        <v>7.5534246575342463</v>
      </c>
      <c r="Z16" s="347" t="s">
        <v>13</v>
      </c>
      <c r="AA16" s="773" t="str">
        <f t="shared" si="3"/>
        <v/>
      </c>
      <c r="AB16" s="773" t="str">
        <f t="shared" si="4"/>
        <v>M</v>
      </c>
      <c r="AC16" s="773"/>
      <c r="AD16" s="773" t="str">
        <f t="shared" si="5"/>
        <v/>
      </c>
      <c r="AE16" s="773" t="str">
        <f t="shared" si="6"/>
        <v/>
      </c>
      <c r="AF16" s="770"/>
      <c r="AG16" s="770"/>
      <c r="AH16" s="770"/>
      <c r="AI16" s="770"/>
      <c r="AJ16" s="770"/>
      <c r="AK16" s="770"/>
      <c r="AL16" s="770">
        <f t="shared" si="20"/>
        <v>837</v>
      </c>
      <c r="AM16" s="770">
        <f t="shared" si="21"/>
        <v>2.2931506849315069</v>
      </c>
      <c r="AN16" s="773">
        <f t="shared" si="7"/>
        <v>2</v>
      </c>
      <c r="AO16" s="761">
        <f t="shared" si="8"/>
        <v>3.5178082191780824</v>
      </c>
      <c r="AP16" s="1074"/>
      <c r="AQ16" s="782">
        <f t="shared" si="9"/>
        <v>42370</v>
      </c>
      <c r="AR16" s="782">
        <f t="shared" si="10"/>
        <v>42736</v>
      </c>
      <c r="AS16" s="770">
        <f t="shared" si="11"/>
        <v>366</v>
      </c>
      <c r="AT16" s="790">
        <f>IF(AQ16&gt;'[1]calculs enfants présents'!$A$56,0,IF(Q16&lt;'[1]calculs enfants présents'!$A$56,Q16-AQ16,'[1]calculs enfants présents'!$A$56-AQ16))</f>
        <v>0</v>
      </c>
      <c r="AU16" s="790">
        <f t="shared" si="12"/>
        <v>31</v>
      </c>
      <c r="AV16" s="790">
        <f t="shared" si="13"/>
        <v>-31</v>
      </c>
      <c r="AW16" s="412"/>
      <c r="AX16" s="381">
        <v>42369</v>
      </c>
      <c r="AY16" s="955">
        <f t="shared" si="14"/>
        <v>42582</v>
      </c>
      <c r="AZ16" s="955">
        <f t="shared" si="15"/>
        <v>42736</v>
      </c>
      <c r="BA16" s="955">
        <f t="shared" si="16"/>
        <v>42549</v>
      </c>
      <c r="BB16" s="1105"/>
      <c r="BC16" s="1103"/>
      <c r="BD16" s="1076"/>
      <c r="BE16" s="1104">
        <f t="shared" si="19"/>
        <v>41989</v>
      </c>
      <c r="BF16" s="462"/>
      <c r="BG16" s="349"/>
      <c r="BH16" s="468"/>
      <c r="BI16" s="349" t="s">
        <v>460</v>
      </c>
      <c r="BJ16" s="572">
        <v>42081</v>
      </c>
      <c r="BK16" s="374"/>
      <c r="BL16" s="374"/>
      <c r="BM16" s="374"/>
      <c r="BN16" s="374"/>
      <c r="BO16" s="374"/>
      <c r="BP16" s="374"/>
      <c r="BQ16" s="374"/>
      <c r="BR16" s="374"/>
      <c r="BS16" s="582"/>
      <c r="BT16" s="582"/>
    </row>
    <row r="17" spans="1:72" s="566" customFormat="1" ht="14.25" customHeight="1" x14ac:dyDescent="0.2">
      <c r="A17" s="694" t="s">
        <v>828</v>
      </c>
      <c r="B17" s="694" t="s">
        <v>453</v>
      </c>
      <c r="C17" s="697" t="s">
        <v>211</v>
      </c>
      <c r="D17" s="701" t="s">
        <v>87</v>
      </c>
      <c r="E17" s="347" t="s">
        <v>310</v>
      </c>
      <c r="F17" s="347"/>
      <c r="G17" s="347"/>
      <c r="H17" s="347"/>
      <c r="I17" s="1076">
        <v>42058</v>
      </c>
      <c r="J17" s="411">
        <v>42072</v>
      </c>
      <c r="K17" s="411"/>
      <c r="L17" s="1077">
        <f t="shared" si="1"/>
        <v>14</v>
      </c>
      <c r="M17" s="381">
        <v>42072</v>
      </c>
      <c r="N17" s="708">
        <v>42438</v>
      </c>
      <c r="O17" s="708"/>
      <c r="P17" s="708"/>
      <c r="Q17" s="708">
        <v>42736</v>
      </c>
      <c r="R17" s="381" t="s">
        <v>16</v>
      </c>
      <c r="S17" s="347" t="s">
        <v>16</v>
      </c>
      <c r="T17" s="347"/>
      <c r="U17" s="383"/>
      <c r="V17" s="347"/>
      <c r="W17" s="347"/>
      <c r="X17" s="385">
        <v>38592</v>
      </c>
      <c r="Y17" s="761">
        <f t="shared" si="2"/>
        <v>10.347945205479451</v>
      </c>
      <c r="Z17" s="347" t="s">
        <v>13</v>
      </c>
      <c r="AA17" s="773" t="str">
        <f t="shared" si="3"/>
        <v/>
      </c>
      <c r="AB17" s="773" t="str">
        <f t="shared" si="4"/>
        <v>M</v>
      </c>
      <c r="AC17" s="773"/>
      <c r="AD17" s="773" t="str">
        <f t="shared" si="5"/>
        <v/>
      </c>
      <c r="AE17" s="773" t="str">
        <f t="shared" si="6"/>
        <v/>
      </c>
      <c r="AF17" s="770"/>
      <c r="AG17" s="770"/>
      <c r="AH17" s="770"/>
      <c r="AI17" s="770"/>
      <c r="AJ17" s="770"/>
      <c r="AK17" s="770"/>
      <c r="AL17" s="770">
        <f t="shared" si="20"/>
        <v>664</v>
      </c>
      <c r="AM17" s="770">
        <f t="shared" si="21"/>
        <v>1.8191780821917809</v>
      </c>
      <c r="AN17" s="773">
        <f t="shared" si="7"/>
        <v>1</v>
      </c>
      <c r="AO17" s="761">
        <f t="shared" si="8"/>
        <v>9.8301369863013708</v>
      </c>
      <c r="AP17" s="1074"/>
      <c r="AQ17" s="782">
        <f t="shared" si="9"/>
        <v>42370</v>
      </c>
      <c r="AR17" s="782">
        <f t="shared" si="10"/>
        <v>42736</v>
      </c>
      <c r="AS17" s="770">
        <f t="shared" si="11"/>
        <v>366</v>
      </c>
      <c r="AT17" s="790">
        <f>IF(AQ17&gt;'[1]calculs enfants présents'!$A$56,0,IF(Q17&lt;'[1]calculs enfants présents'!$A$56,Q17-AQ17,'[1]calculs enfants présents'!$A$56-AQ17))</f>
        <v>0</v>
      </c>
      <c r="AU17" s="790">
        <f t="shared" si="12"/>
        <v>31</v>
      </c>
      <c r="AV17" s="790">
        <f t="shared" si="13"/>
        <v>-31</v>
      </c>
      <c r="AW17" s="412"/>
      <c r="AX17" s="381">
        <v>42369</v>
      </c>
      <c r="AY17" s="955">
        <f t="shared" si="14"/>
        <v>42438</v>
      </c>
      <c r="AZ17" s="955">
        <f t="shared" si="15"/>
        <v>42736</v>
      </c>
      <c r="BA17" s="955">
        <f t="shared" si="16"/>
        <v>42409</v>
      </c>
      <c r="BB17" s="1105">
        <v>42409</v>
      </c>
      <c r="BC17" s="1103" t="s">
        <v>270</v>
      </c>
      <c r="BD17" s="1076">
        <v>42409</v>
      </c>
      <c r="BE17" s="1104">
        <f t="shared" si="19"/>
        <v>42157</v>
      </c>
      <c r="BF17" s="462"/>
      <c r="BG17" s="349"/>
      <c r="BH17" s="468"/>
      <c r="BI17" s="349"/>
      <c r="BJ17" s="572"/>
      <c r="BK17" s="396"/>
      <c r="BL17" s="396"/>
      <c r="BM17" s="396"/>
      <c r="BN17" s="396"/>
      <c r="BO17" s="396"/>
      <c r="BP17" s="396"/>
      <c r="BQ17" s="396"/>
      <c r="BR17" s="396"/>
      <c r="BS17" s="396"/>
      <c r="BT17" s="396"/>
    </row>
    <row r="18" spans="1:72" s="387" customFormat="1" ht="15" customHeight="1" x14ac:dyDescent="0.2">
      <c r="A18" s="1118" t="s">
        <v>729</v>
      </c>
      <c r="B18" s="1118" t="s">
        <v>727</v>
      </c>
      <c r="C18" s="379" t="s">
        <v>679</v>
      </c>
      <c r="D18" s="347" t="s">
        <v>138</v>
      </c>
      <c r="E18" s="347" t="s">
        <v>714</v>
      </c>
      <c r="F18" s="347"/>
      <c r="G18" s="347"/>
      <c r="H18" s="347"/>
      <c r="I18" s="1076">
        <v>42289</v>
      </c>
      <c r="J18" s="411">
        <v>42346</v>
      </c>
      <c r="K18" s="411" t="s">
        <v>742</v>
      </c>
      <c r="L18" s="1078">
        <f t="shared" si="1"/>
        <v>57</v>
      </c>
      <c r="M18" s="381">
        <v>42346</v>
      </c>
      <c r="N18" s="381">
        <v>42712</v>
      </c>
      <c r="O18" s="381"/>
      <c r="P18" s="381"/>
      <c r="Q18" s="381">
        <v>42736</v>
      </c>
      <c r="R18" s="381" t="s">
        <v>16</v>
      </c>
      <c r="S18" s="347" t="s">
        <v>20</v>
      </c>
      <c r="T18" s="347"/>
      <c r="U18" s="383"/>
      <c r="V18" s="347"/>
      <c r="W18" s="347"/>
      <c r="X18" s="385">
        <v>41177</v>
      </c>
      <c r="Y18" s="761">
        <f t="shared" si="2"/>
        <v>3.2657534246575342</v>
      </c>
      <c r="Z18" s="347" t="s">
        <v>13</v>
      </c>
      <c r="AA18" s="770" t="str">
        <f t="shared" si="3"/>
        <v>M</v>
      </c>
      <c r="AB18" s="770" t="str">
        <f t="shared" si="4"/>
        <v/>
      </c>
      <c r="AC18" s="770" t="str">
        <f>IF(AND(Y18&gt;=11,Y18&lt;15),IF(Z18="M","M","F"),"")</f>
        <v/>
      </c>
      <c r="AD18" s="770" t="str">
        <f t="shared" si="5"/>
        <v/>
      </c>
      <c r="AE18" s="770" t="str">
        <f t="shared" si="6"/>
        <v/>
      </c>
      <c r="AF18" s="770"/>
      <c r="AG18" s="770"/>
      <c r="AH18" s="770"/>
      <c r="AI18" s="770"/>
      <c r="AJ18" s="770"/>
      <c r="AK18" s="770"/>
      <c r="AL18" s="770">
        <f t="shared" si="20"/>
        <v>390</v>
      </c>
      <c r="AM18" s="770">
        <f t="shared" si="21"/>
        <v>1.0684931506849316</v>
      </c>
      <c r="AN18" s="770">
        <f t="shared" si="7"/>
        <v>1</v>
      </c>
      <c r="AO18" s="761">
        <f t="shared" si="8"/>
        <v>0.8219178082191787</v>
      </c>
      <c r="AP18" s="1074"/>
      <c r="AQ18" s="782">
        <f t="shared" si="9"/>
        <v>42370</v>
      </c>
      <c r="AR18" s="782">
        <f t="shared" si="10"/>
        <v>42736</v>
      </c>
      <c r="AS18" s="770">
        <f t="shared" si="11"/>
        <v>366</v>
      </c>
      <c r="AT18" s="790">
        <f>IF(AQ18&gt;'[1]calculs enfants présents'!$A$56,0,IF(Q18&lt;'[1]calculs enfants présents'!$A$56,Q18-AQ18,'[1]calculs enfants présents'!$A$56-AQ18))</f>
        <v>0</v>
      </c>
      <c r="AU18" s="791">
        <f t="shared" si="12"/>
        <v>31</v>
      </c>
      <c r="AV18" s="790">
        <f t="shared" si="13"/>
        <v>-31</v>
      </c>
      <c r="AW18" s="412"/>
      <c r="AX18" s="381">
        <v>42369</v>
      </c>
      <c r="AY18" s="955">
        <f t="shared" si="14"/>
        <v>42712</v>
      </c>
      <c r="AZ18" s="955">
        <f t="shared" si="15"/>
        <v>42736</v>
      </c>
      <c r="BA18" s="955">
        <f t="shared" si="16"/>
        <v>42682</v>
      </c>
      <c r="BB18" s="1105"/>
      <c r="BC18" s="1103"/>
      <c r="BD18" s="1076"/>
      <c r="BE18" s="1104" t="e">
        <f>IF(K18&lt;&gt;"",(K18+90)-(WEEKDAY(K18+90,2)-2),"DIPC")</f>
        <v>#VALUE!</v>
      </c>
      <c r="BF18" s="460"/>
      <c r="BG18" s="349"/>
      <c r="BH18" s="465"/>
      <c r="BI18" s="349"/>
      <c r="BJ18" s="572"/>
      <c r="BK18" s="401"/>
      <c r="BL18" s="401"/>
      <c r="BM18" s="401"/>
      <c r="BN18" s="401"/>
      <c r="BO18" s="401"/>
      <c r="BP18" s="401"/>
      <c r="BQ18" s="401"/>
      <c r="BR18" s="401"/>
      <c r="BS18" s="401"/>
      <c r="BT18" s="401"/>
    </row>
    <row r="19" spans="1:72" s="387" customFormat="1" ht="15" customHeight="1" x14ac:dyDescent="0.2">
      <c r="A19" s="694" t="s">
        <v>625</v>
      </c>
      <c r="B19" s="694" t="s">
        <v>552</v>
      </c>
      <c r="C19" s="697" t="s">
        <v>553</v>
      </c>
      <c r="D19" s="701" t="s">
        <v>87</v>
      </c>
      <c r="E19" s="347" t="s">
        <v>70</v>
      </c>
      <c r="F19" s="347"/>
      <c r="G19" s="347"/>
      <c r="H19" s="347"/>
      <c r="I19" s="1076">
        <v>42164</v>
      </c>
      <c r="J19" s="411">
        <v>42208</v>
      </c>
      <c r="K19" s="411">
        <v>42249</v>
      </c>
      <c r="L19" s="1077">
        <f t="shared" si="1"/>
        <v>44</v>
      </c>
      <c r="M19" s="381">
        <v>42208</v>
      </c>
      <c r="N19" s="708">
        <v>42574</v>
      </c>
      <c r="O19" s="708"/>
      <c r="P19" s="708"/>
      <c r="Q19" s="708">
        <v>42736</v>
      </c>
      <c r="R19" s="381" t="s">
        <v>156</v>
      </c>
      <c r="S19" s="347" t="s">
        <v>160</v>
      </c>
      <c r="T19" s="347"/>
      <c r="U19" s="383"/>
      <c r="V19" s="347"/>
      <c r="W19" s="347"/>
      <c r="X19" s="385">
        <v>36510</v>
      </c>
      <c r="Y19" s="761">
        <f t="shared" si="2"/>
        <v>16.052054794520547</v>
      </c>
      <c r="Z19" s="347" t="s">
        <v>13</v>
      </c>
      <c r="AA19" s="773" t="str">
        <f t="shared" si="3"/>
        <v/>
      </c>
      <c r="AB19" s="773" t="str">
        <f t="shared" si="4"/>
        <v/>
      </c>
      <c r="AC19" s="773" t="str">
        <f>IF(AND(Y19&gt;=11,Y19&lt;15),IF(Z19="M","M","F"),"")</f>
        <v/>
      </c>
      <c r="AD19" s="773" t="str">
        <f t="shared" si="5"/>
        <v>M</v>
      </c>
      <c r="AE19" s="773" t="str">
        <f t="shared" si="6"/>
        <v/>
      </c>
      <c r="AF19" s="770"/>
      <c r="AG19" s="770"/>
      <c r="AH19" s="770"/>
      <c r="AI19" s="770"/>
      <c r="AJ19" s="770"/>
      <c r="AK19" s="770"/>
      <c r="AL19" s="770">
        <f t="shared" si="20"/>
        <v>528</v>
      </c>
      <c r="AM19" s="770">
        <f t="shared" si="21"/>
        <v>1.4465753424657535</v>
      </c>
      <c r="AN19" s="770">
        <f t="shared" si="7"/>
        <v>1</v>
      </c>
      <c r="AO19" s="761">
        <f t="shared" si="8"/>
        <v>5.3589041095890417</v>
      </c>
      <c r="AP19" s="1074"/>
      <c r="AQ19" s="782">
        <f t="shared" si="9"/>
        <v>42370</v>
      </c>
      <c r="AR19" s="782">
        <f t="shared" si="10"/>
        <v>42736</v>
      </c>
      <c r="AS19" s="773">
        <f t="shared" si="11"/>
        <v>366</v>
      </c>
      <c r="AT19" s="790">
        <f>IF(AQ19&gt;'[1]calculs enfants présents'!$A$56,0,IF(Q19&lt;'[1]calculs enfants présents'!$A$56,Q19-AQ19,'[1]calculs enfants présents'!$A$56-AQ19))</f>
        <v>0</v>
      </c>
      <c r="AU19" s="790">
        <f t="shared" si="12"/>
        <v>31</v>
      </c>
      <c r="AV19" s="790">
        <f t="shared" si="13"/>
        <v>-31</v>
      </c>
      <c r="AW19" s="412"/>
      <c r="AX19" s="381">
        <v>42369</v>
      </c>
      <c r="AY19" s="955">
        <f t="shared" si="14"/>
        <v>42574</v>
      </c>
      <c r="AZ19" s="955">
        <f t="shared" si="15"/>
        <v>42736</v>
      </c>
      <c r="BA19" s="955">
        <f t="shared" si="16"/>
        <v>42542</v>
      </c>
      <c r="BB19" s="1105"/>
      <c r="BC19" s="1103"/>
      <c r="BD19" s="1105"/>
      <c r="BE19" s="1104">
        <f t="shared" ref="BE19:BE30" si="22">(J19+90)-(WEEKDAY(J19+90,2)-2)</f>
        <v>42297</v>
      </c>
      <c r="BF19" s="460">
        <v>42353</v>
      </c>
      <c r="BG19" s="349" t="s">
        <v>275</v>
      </c>
      <c r="BH19" s="465">
        <v>42353</v>
      </c>
      <c r="BI19" s="349"/>
      <c r="BJ19" s="572"/>
    </row>
    <row r="20" spans="1:72" s="387" customFormat="1" ht="13.5" customHeight="1" x14ac:dyDescent="0.2">
      <c r="A20" s="694" t="s">
        <v>548</v>
      </c>
      <c r="B20" s="694" t="s">
        <v>530</v>
      </c>
      <c r="C20" s="697" t="s">
        <v>531</v>
      </c>
      <c r="D20" s="701" t="s">
        <v>70</v>
      </c>
      <c r="E20" s="347" t="s">
        <v>87</v>
      </c>
      <c r="F20" s="347"/>
      <c r="G20" s="347"/>
      <c r="H20" s="347"/>
      <c r="I20" s="1076">
        <v>42128</v>
      </c>
      <c r="J20" s="411">
        <v>42142</v>
      </c>
      <c r="K20" s="411">
        <v>42158</v>
      </c>
      <c r="L20" s="1077">
        <f t="shared" si="1"/>
        <v>14</v>
      </c>
      <c r="M20" s="381">
        <v>42142</v>
      </c>
      <c r="N20" s="708">
        <v>42508</v>
      </c>
      <c r="O20" s="708"/>
      <c r="P20" s="708"/>
      <c r="Q20" s="708">
        <v>42736</v>
      </c>
      <c r="R20" s="381" t="s">
        <v>16</v>
      </c>
      <c r="S20" s="347" t="s">
        <v>16</v>
      </c>
      <c r="T20" s="347"/>
      <c r="U20" s="383"/>
      <c r="V20" s="347"/>
      <c r="W20" s="347"/>
      <c r="X20" s="385">
        <v>36067</v>
      </c>
      <c r="Y20" s="761">
        <f t="shared" si="2"/>
        <v>17.265753424657536</v>
      </c>
      <c r="Z20" s="347" t="s">
        <v>13</v>
      </c>
      <c r="AA20" s="773" t="str">
        <f t="shared" si="3"/>
        <v/>
      </c>
      <c r="AB20" s="773" t="str">
        <f t="shared" si="4"/>
        <v/>
      </c>
      <c r="AC20" s="773"/>
      <c r="AD20" s="773" t="str">
        <f t="shared" si="5"/>
        <v>M</v>
      </c>
      <c r="AE20" s="773" t="str">
        <f t="shared" si="6"/>
        <v/>
      </c>
      <c r="AF20" s="770"/>
      <c r="AG20" s="770"/>
      <c r="AH20" s="770"/>
      <c r="AI20" s="770"/>
      <c r="AJ20" s="770"/>
      <c r="AK20" s="770"/>
      <c r="AL20" s="770">
        <f t="shared" si="20"/>
        <v>594</v>
      </c>
      <c r="AM20" s="770">
        <f t="shared" si="21"/>
        <v>1.6273972602739726</v>
      </c>
      <c r="AN20" s="773">
        <f t="shared" si="7"/>
        <v>1</v>
      </c>
      <c r="AO20" s="761">
        <f t="shared" si="8"/>
        <v>7.5287671232876709</v>
      </c>
      <c r="AP20" s="1074"/>
      <c r="AQ20" s="782">
        <f t="shared" si="9"/>
        <v>42370</v>
      </c>
      <c r="AR20" s="782">
        <f t="shared" si="10"/>
        <v>42736</v>
      </c>
      <c r="AS20" s="770">
        <f t="shared" si="11"/>
        <v>366</v>
      </c>
      <c r="AT20" s="790">
        <f>IF(AQ20&gt;'[1]calculs enfants présents'!$A$56,0,IF(Q20&lt;'[1]calculs enfants présents'!$A$56,Q20-AQ20,'[1]calculs enfants présents'!$A$56-AQ20))</f>
        <v>0</v>
      </c>
      <c r="AU20" s="790">
        <f t="shared" si="12"/>
        <v>31</v>
      </c>
      <c r="AV20" s="790">
        <f t="shared" si="13"/>
        <v>-31</v>
      </c>
      <c r="AW20" s="346"/>
      <c r="AX20" s="381">
        <v>42369</v>
      </c>
      <c r="AY20" s="955">
        <f t="shared" si="14"/>
        <v>42508</v>
      </c>
      <c r="AZ20" s="955">
        <f t="shared" si="15"/>
        <v>42736</v>
      </c>
      <c r="BA20" s="955">
        <f t="shared" si="16"/>
        <v>42479</v>
      </c>
      <c r="BB20" s="1105"/>
      <c r="BC20" s="1103"/>
      <c r="BD20" s="1076"/>
      <c r="BE20" s="1104">
        <f t="shared" si="22"/>
        <v>42227</v>
      </c>
      <c r="BF20" s="462"/>
      <c r="BG20" s="349"/>
      <c r="BH20" s="468"/>
      <c r="BI20" s="349"/>
      <c r="BJ20" s="572"/>
      <c r="BS20" s="612"/>
      <c r="BT20" s="612"/>
    </row>
    <row r="21" spans="1:72" s="387" customFormat="1" ht="12.75" customHeight="1" x14ac:dyDescent="0.2">
      <c r="A21" s="1118" t="s">
        <v>189</v>
      </c>
      <c r="B21" s="1118" t="s">
        <v>189</v>
      </c>
      <c r="C21" s="379" t="s">
        <v>190</v>
      </c>
      <c r="D21" s="347" t="s">
        <v>183</v>
      </c>
      <c r="E21" s="347"/>
      <c r="F21" s="347"/>
      <c r="G21" s="347"/>
      <c r="H21" s="347"/>
      <c r="I21" s="1076"/>
      <c r="J21" s="411">
        <v>41094</v>
      </c>
      <c r="K21" s="411"/>
      <c r="L21" s="1077" t="str">
        <f t="shared" si="1"/>
        <v/>
      </c>
      <c r="M21" s="381">
        <v>42189</v>
      </c>
      <c r="N21" s="708">
        <v>42555</v>
      </c>
      <c r="O21" s="708"/>
      <c r="P21" s="708"/>
      <c r="Q21" s="708">
        <v>42736</v>
      </c>
      <c r="R21" s="381" t="s">
        <v>16</v>
      </c>
      <c r="S21" s="347" t="s">
        <v>16</v>
      </c>
      <c r="T21" s="347"/>
      <c r="U21" s="383"/>
      <c r="V21" s="347"/>
      <c r="W21" s="347"/>
      <c r="X21" s="385">
        <v>36458</v>
      </c>
      <c r="Y21" s="761">
        <f t="shared" si="2"/>
        <v>16.194520547945206</v>
      </c>
      <c r="Z21" s="347" t="s">
        <v>13</v>
      </c>
      <c r="AA21" s="773" t="str">
        <f t="shared" si="3"/>
        <v/>
      </c>
      <c r="AB21" s="773" t="str">
        <f t="shared" si="4"/>
        <v/>
      </c>
      <c r="AC21" s="773" t="str">
        <f>IF(AND(Y21&gt;=11,Y21&lt;15),IF(Z21="M","M","F"),"")</f>
        <v/>
      </c>
      <c r="AD21" s="773" t="str">
        <f t="shared" si="5"/>
        <v>M</v>
      </c>
      <c r="AE21" s="773" t="str">
        <f t="shared" si="6"/>
        <v/>
      </c>
      <c r="AF21" s="770"/>
      <c r="AG21" s="770"/>
      <c r="AH21" s="770"/>
      <c r="AI21" s="770"/>
      <c r="AJ21" s="770"/>
      <c r="AK21" s="770"/>
      <c r="AL21" s="770">
        <f t="shared" si="20"/>
        <v>1642</v>
      </c>
      <c r="AM21" s="770">
        <f t="shared" si="21"/>
        <v>4.4986301369863018</v>
      </c>
      <c r="AN21" s="773">
        <f t="shared" si="7"/>
        <v>4</v>
      </c>
      <c r="AO21" s="761">
        <f t="shared" si="8"/>
        <v>5.9835616438356212</v>
      </c>
      <c r="AP21" s="1074"/>
      <c r="AQ21" s="782">
        <f t="shared" si="9"/>
        <v>42370</v>
      </c>
      <c r="AR21" s="782">
        <f t="shared" si="10"/>
        <v>42736</v>
      </c>
      <c r="AS21" s="770">
        <f t="shared" si="11"/>
        <v>366</v>
      </c>
      <c r="AT21" s="790">
        <f>IF(AQ21&gt;'[1]calculs enfants présents'!$A$56,0,IF(Q21&lt;'[1]calculs enfants présents'!$A$56,Q21-AQ21,'[1]calculs enfants présents'!$A$56-AQ21))</f>
        <v>0</v>
      </c>
      <c r="AU21" s="790">
        <f t="shared" si="12"/>
        <v>31</v>
      </c>
      <c r="AV21" s="790">
        <f t="shared" si="13"/>
        <v>-31</v>
      </c>
      <c r="AW21" s="412"/>
      <c r="AX21" s="381">
        <v>42369</v>
      </c>
      <c r="AY21" s="955">
        <f t="shared" si="14"/>
        <v>42555</v>
      </c>
      <c r="AZ21" s="955">
        <f t="shared" si="15"/>
        <v>42736</v>
      </c>
      <c r="BA21" s="955">
        <f t="shared" si="16"/>
        <v>42521</v>
      </c>
      <c r="BB21" s="1105"/>
      <c r="BC21" s="1103"/>
      <c r="BD21" s="1076"/>
      <c r="BE21" s="1104">
        <f t="shared" si="22"/>
        <v>41184</v>
      </c>
      <c r="BF21" s="349"/>
      <c r="BG21" s="349"/>
      <c r="BH21" s="465"/>
      <c r="BI21" s="390"/>
      <c r="BJ21" s="382"/>
    </row>
    <row r="22" spans="1:72" s="566" customFormat="1" ht="12.75" customHeight="1" x14ac:dyDescent="0.2">
      <c r="A22" s="484" t="s">
        <v>617</v>
      </c>
      <c r="B22" s="484" t="s">
        <v>556</v>
      </c>
      <c r="C22" s="379" t="s">
        <v>163</v>
      </c>
      <c r="D22" s="347" t="s">
        <v>179</v>
      </c>
      <c r="E22" s="347" t="s">
        <v>183</v>
      </c>
      <c r="F22" s="347"/>
      <c r="G22" s="347"/>
      <c r="H22" s="347"/>
      <c r="I22" s="1076">
        <v>42177</v>
      </c>
      <c r="J22" s="411">
        <v>42208</v>
      </c>
      <c r="K22" s="411">
        <v>42215</v>
      </c>
      <c r="L22" s="1077">
        <f t="shared" si="1"/>
        <v>31</v>
      </c>
      <c r="M22" s="381">
        <v>42208</v>
      </c>
      <c r="N22" s="708">
        <v>42574</v>
      </c>
      <c r="O22" s="708"/>
      <c r="P22" s="708"/>
      <c r="Q22" s="708">
        <v>42736</v>
      </c>
      <c r="R22" s="381" t="s">
        <v>16</v>
      </c>
      <c r="S22" s="347" t="s">
        <v>16</v>
      </c>
      <c r="T22" s="347"/>
      <c r="U22" s="383"/>
      <c r="V22" s="347"/>
      <c r="W22" s="347"/>
      <c r="X22" s="385">
        <v>37815</v>
      </c>
      <c r="Y22" s="761">
        <f t="shared" si="2"/>
        <v>12.476712328767123</v>
      </c>
      <c r="Z22" s="347" t="s">
        <v>13</v>
      </c>
      <c r="AA22" s="770" t="str">
        <f t="shared" si="3"/>
        <v/>
      </c>
      <c r="AB22" s="770" t="str">
        <f t="shared" si="4"/>
        <v/>
      </c>
      <c r="AC22" s="770" t="str">
        <f>IF(AND(Y22&gt;=11,Y22&lt;15),Z22,"")</f>
        <v>M</v>
      </c>
      <c r="AD22" s="770" t="str">
        <f t="shared" si="5"/>
        <v/>
      </c>
      <c r="AE22" s="770" t="str">
        <f t="shared" si="6"/>
        <v/>
      </c>
      <c r="AF22" s="770"/>
      <c r="AG22" s="770"/>
      <c r="AH22" s="770"/>
      <c r="AI22" s="770"/>
      <c r="AJ22" s="770"/>
      <c r="AK22" s="770"/>
      <c r="AL22" s="770"/>
      <c r="AM22" s="770"/>
      <c r="AN22" s="770">
        <f t="shared" si="7"/>
        <v>0</v>
      </c>
      <c r="AO22" s="761">
        <f t="shared" si="8"/>
        <v>0</v>
      </c>
      <c r="AP22" s="1074"/>
      <c r="AQ22" s="782">
        <f t="shared" si="9"/>
        <v>42370</v>
      </c>
      <c r="AR22" s="782">
        <f t="shared" si="10"/>
        <v>42736</v>
      </c>
      <c r="AS22" s="770">
        <f t="shared" si="11"/>
        <v>366</v>
      </c>
      <c r="AT22" s="790">
        <f>IF(AQ22&gt;'[1]calculs enfants présents'!$A$56,0,IF(Q22&lt;'[1]calculs enfants présents'!$A$56,Q22-AQ22,'[1]calculs enfants présents'!$A$56-AQ22))</f>
        <v>0</v>
      </c>
      <c r="AU22" s="791">
        <f t="shared" si="12"/>
        <v>31</v>
      </c>
      <c r="AV22" s="790">
        <f t="shared" si="13"/>
        <v>-31</v>
      </c>
      <c r="AW22" s="412"/>
      <c r="AX22" s="381">
        <v>42369</v>
      </c>
      <c r="AY22" s="955">
        <f t="shared" si="14"/>
        <v>42574</v>
      </c>
      <c r="AZ22" s="955">
        <f t="shared" si="15"/>
        <v>42736</v>
      </c>
      <c r="BA22" s="955">
        <f t="shared" si="16"/>
        <v>42542</v>
      </c>
      <c r="BB22" s="1105"/>
      <c r="BC22" s="1103"/>
      <c r="BD22" s="1105"/>
      <c r="BE22" s="1104">
        <f t="shared" si="22"/>
        <v>42297</v>
      </c>
      <c r="BF22" s="462">
        <v>42360</v>
      </c>
      <c r="BG22" s="349" t="s">
        <v>276</v>
      </c>
      <c r="BH22" s="468">
        <v>42360</v>
      </c>
      <c r="BI22" s="390"/>
      <c r="BJ22" s="382"/>
      <c r="BK22" s="742"/>
      <c r="BL22" s="742"/>
      <c r="BM22" s="742"/>
      <c r="BN22" s="742"/>
      <c r="BO22" s="742"/>
      <c r="BP22" s="742"/>
      <c r="BQ22" s="742"/>
      <c r="BR22" s="742"/>
      <c r="BS22" s="742"/>
      <c r="BT22" s="742"/>
    </row>
    <row r="23" spans="1:72" s="387" customFormat="1" ht="12.75" customHeight="1" x14ac:dyDescent="0.2">
      <c r="A23" s="484" t="s">
        <v>318</v>
      </c>
      <c r="B23" s="484" t="s">
        <v>318</v>
      </c>
      <c r="C23" s="379" t="s">
        <v>202</v>
      </c>
      <c r="D23" s="347" t="s">
        <v>310</v>
      </c>
      <c r="E23" s="347"/>
      <c r="F23" s="347"/>
      <c r="G23" s="347"/>
      <c r="H23" s="347"/>
      <c r="I23" s="1076">
        <v>41751</v>
      </c>
      <c r="J23" s="411">
        <v>41775</v>
      </c>
      <c r="K23" s="411"/>
      <c r="L23" s="1077">
        <f t="shared" si="1"/>
        <v>24</v>
      </c>
      <c r="M23" s="381">
        <v>42140</v>
      </c>
      <c r="N23" s="381">
        <v>42506</v>
      </c>
      <c r="O23" s="381"/>
      <c r="P23" s="381"/>
      <c r="Q23" s="381">
        <v>42736</v>
      </c>
      <c r="R23" s="381" t="s">
        <v>16</v>
      </c>
      <c r="S23" s="347" t="s">
        <v>20</v>
      </c>
      <c r="T23" s="347"/>
      <c r="U23" s="383"/>
      <c r="V23" s="347"/>
      <c r="W23" s="347"/>
      <c r="X23" s="385">
        <v>38379</v>
      </c>
      <c r="Y23" s="761">
        <f t="shared" si="2"/>
        <v>10.931506849315069</v>
      </c>
      <c r="Z23" s="347" t="s">
        <v>21</v>
      </c>
      <c r="AA23" s="770" t="str">
        <f t="shared" si="3"/>
        <v/>
      </c>
      <c r="AB23" s="770" t="str">
        <f t="shared" si="4"/>
        <v>F</v>
      </c>
      <c r="AC23" s="770" t="str">
        <f>IF(AND(Y23&gt;=11,Y23&lt;15),IF(Z23="M","M","F"),"")</f>
        <v/>
      </c>
      <c r="AD23" s="770" t="str">
        <f t="shared" si="5"/>
        <v/>
      </c>
      <c r="AE23" s="770" t="str">
        <f t="shared" si="6"/>
        <v/>
      </c>
      <c r="AF23" s="770"/>
      <c r="AG23" s="770"/>
      <c r="AH23" s="770"/>
      <c r="AI23" s="770"/>
      <c r="AJ23" s="770"/>
      <c r="AK23" s="770"/>
      <c r="AL23" s="770">
        <f>Q23-J23</f>
        <v>961</v>
      </c>
      <c r="AM23" s="770">
        <f>AL23/365</f>
        <v>2.6328767123287671</v>
      </c>
      <c r="AN23" s="770">
        <f t="shared" si="7"/>
        <v>2</v>
      </c>
      <c r="AO23" s="761">
        <f t="shared" si="8"/>
        <v>7.5945205479452049</v>
      </c>
      <c r="AP23" s="1074"/>
      <c r="AQ23" s="782">
        <f t="shared" si="9"/>
        <v>42370</v>
      </c>
      <c r="AR23" s="782">
        <f t="shared" si="10"/>
        <v>42736</v>
      </c>
      <c r="AS23" s="770">
        <f t="shared" si="11"/>
        <v>366</v>
      </c>
      <c r="AT23" s="790">
        <f>IF(AQ23&gt;'[1]calculs enfants présents'!$A$56,0,IF(Q23&lt;'[1]calculs enfants présents'!$A$56,Q23-AQ23,'[1]calculs enfants présents'!$A$56-AQ23))</f>
        <v>0</v>
      </c>
      <c r="AU23" s="791">
        <f t="shared" si="12"/>
        <v>31</v>
      </c>
      <c r="AV23" s="790">
        <f t="shared" si="13"/>
        <v>-31</v>
      </c>
      <c r="AW23" s="412"/>
      <c r="AX23" s="381">
        <v>42369</v>
      </c>
      <c r="AY23" s="955">
        <f t="shared" si="14"/>
        <v>42506</v>
      </c>
      <c r="AZ23" s="955">
        <f t="shared" si="15"/>
        <v>42736</v>
      </c>
      <c r="BA23" s="955">
        <f t="shared" si="16"/>
        <v>42472</v>
      </c>
      <c r="BB23" s="1105"/>
      <c r="BC23" s="1103"/>
      <c r="BD23" s="1105"/>
      <c r="BE23" s="1104">
        <f t="shared" si="22"/>
        <v>41863</v>
      </c>
      <c r="BF23" s="460"/>
      <c r="BG23" s="349"/>
      <c r="BH23" s="465"/>
      <c r="BI23" s="390"/>
      <c r="BJ23" s="382"/>
    </row>
    <row r="24" spans="1:72" ht="15.75" customHeight="1" x14ac:dyDescent="0.2">
      <c r="A24" s="484" t="s">
        <v>318</v>
      </c>
      <c r="B24" s="484" t="s">
        <v>318</v>
      </c>
      <c r="C24" s="379" t="s">
        <v>403</v>
      </c>
      <c r="D24" s="347" t="s">
        <v>310</v>
      </c>
      <c r="E24" s="347"/>
      <c r="F24" s="347"/>
      <c r="I24" s="1076"/>
      <c r="J24" s="411">
        <v>41969</v>
      </c>
      <c r="K24" s="411"/>
      <c r="L24" s="1077" t="str">
        <f t="shared" si="1"/>
        <v/>
      </c>
      <c r="M24" s="381">
        <v>42140</v>
      </c>
      <c r="N24" s="381">
        <v>42506</v>
      </c>
      <c r="O24" s="381"/>
      <c r="P24" s="381"/>
      <c r="Q24" s="381">
        <v>42736</v>
      </c>
      <c r="R24" s="381" t="s">
        <v>16</v>
      </c>
      <c r="S24" s="347" t="s">
        <v>20</v>
      </c>
      <c r="V24" s="347"/>
      <c r="W24" s="347"/>
      <c r="X24" s="385">
        <v>39639</v>
      </c>
      <c r="Y24" s="761">
        <f t="shared" si="2"/>
        <v>7.4794520547945202</v>
      </c>
      <c r="Z24" s="347" t="s">
        <v>21</v>
      </c>
      <c r="AA24" s="770"/>
      <c r="AB24" s="770" t="s">
        <v>21</v>
      </c>
      <c r="AC24" s="770" t="s">
        <v>404</v>
      </c>
      <c r="AD24" s="770" t="s">
        <v>404</v>
      </c>
      <c r="AE24" s="770" t="s">
        <v>404</v>
      </c>
      <c r="AG24" s="770"/>
      <c r="AH24" s="770"/>
      <c r="AI24" s="770"/>
      <c r="AJ24" s="770"/>
      <c r="AK24" s="770"/>
      <c r="AL24" s="770"/>
      <c r="AN24" s="770">
        <f t="shared" si="7"/>
        <v>0</v>
      </c>
      <c r="AO24" s="761">
        <f t="shared" si="8"/>
        <v>0</v>
      </c>
      <c r="AP24" s="1074"/>
      <c r="AQ24" s="782">
        <f t="shared" si="9"/>
        <v>42370</v>
      </c>
      <c r="AR24" s="782">
        <f t="shared" si="10"/>
        <v>42736</v>
      </c>
      <c r="AS24" s="770">
        <f t="shared" si="11"/>
        <v>366</v>
      </c>
      <c r="AT24" s="790">
        <f>IF(AQ24&gt;'[1]calculs enfants présents'!$A$56,0,IF(Q24&lt;'[1]calculs enfants présents'!$A$56,Q24-AQ24,'[1]calculs enfants présents'!$A$56-AQ24))</f>
        <v>0</v>
      </c>
      <c r="AU24" s="791">
        <f t="shared" si="12"/>
        <v>31</v>
      </c>
      <c r="AV24" s="790">
        <f t="shared" si="13"/>
        <v>-31</v>
      </c>
      <c r="AW24" s="412"/>
      <c r="AX24" s="381">
        <v>42369</v>
      </c>
      <c r="AY24" s="955">
        <f t="shared" si="14"/>
        <v>42506</v>
      </c>
      <c r="AZ24" s="955">
        <f t="shared" si="15"/>
        <v>42736</v>
      </c>
      <c r="BA24" s="955">
        <f t="shared" si="16"/>
        <v>42472</v>
      </c>
      <c r="BB24" s="1105"/>
      <c r="BC24" s="1103"/>
      <c r="BD24" s="1105"/>
      <c r="BE24" s="1104">
        <f t="shared" si="22"/>
        <v>42059</v>
      </c>
      <c r="BF24" s="460"/>
      <c r="BG24" s="349"/>
      <c r="BH24" s="465"/>
      <c r="BI24" s="390"/>
      <c r="BJ24" s="382"/>
      <c r="BK24" s="582"/>
      <c r="BL24" s="582"/>
      <c r="BM24" s="582"/>
      <c r="BN24" s="582"/>
      <c r="BO24" s="582"/>
      <c r="BP24" s="582"/>
      <c r="BQ24" s="582"/>
      <c r="BR24" s="582"/>
      <c r="BS24" s="582"/>
      <c r="BT24" s="582"/>
    </row>
    <row r="25" spans="1:72" ht="13.15" customHeight="1" x14ac:dyDescent="0.2">
      <c r="A25" s="1239" t="s">
        <v>743</v>
      </c>
      <c r="B25" s="1239" t="s">
        <v>397</v>
      </c>
      <c r="C25" s="734" t="s">
        <v>398</v>
      </c>
      <c r="D25" s="712" t="s">
        <v>70</v>
      </c>
      <c r="E25" s="712" t="s">
        <v>310</v>
      </c>
      <c r="F25" s="712" t="s">
        <v>66</v>
      </c>
      <c r="G25" s="712"/>
      <c r="H25" s="712"/>
      <c r="I25" s="1081">
        <v>41995</v>
      </c>
      <c r="J25" s="735">
        <v>42016</v>
      </c>
      <c r="K25" s="735">
        <v>42025</v>
      </c>
      <c r="L25" s="1112">
        <f t="shared" si="1"/>
        <v>21</v>
      </c>
      <c r="M25" s="722">
        <v>42016</v>
      </c>
      <c r="N25" s="722">
        <v>42381</v>
      </c>
      <c r="O25" s="722" t="s">
        <v>739</v>
      </c>
      <c r="P25" s="722">
        <v>42381</v>
      </c>
      <c r="Q25" s="722">
        <v>42381</v>
      </c>
      <c r="R25" s="722" t="s">
        <v>156</v>
      </c>
      <c r="S25" s="712" t="s">
        <v>162</v>
      </c>
      <c r="T25" s="712"/>
      <c r="U25" s="713"/>
      <c r="V25" s="712"/>
      <c r="W25" s="712"/>
      <c r="X25" s="724">
        <v>36922</v>
      </c>
      <c r="Y25" s="762">
        <f t="shared" si="2"/>
        <v>14.923287671232877</v>
      </c>
      <c r="Z25" s="712" t="s">
        <v>13</v>
      </c>
      <c r="AA25" s="772" t="str">
        <f t="shared" ref="AA25:AA38" si="23">IF(Y25&lt;6,IF(Z25="M","M","F"),"")</f>
        <v/>
      </c>
      <c r="AB25" s="772" t="str">
        <f t="shared" ref="AB25:AB38" si="24">IF(AND(Y25&gt;=6,Y25&lt;11),IF(Z25="M","M","F"),"")</f>
        <v/>
      </c>
      <c r="AC25" s="772" t="str">
        <f>IF(AND(Y25&gt;=11,Y25&lt;15),Z25,"")</f>
        <v>M</v>
      </c>
      <c r="AD25" s="772" t="str">
        <f t="shared" ref="AD25:AD38" si="25">IF(AND(Y25&gt;=15,Y25&lt;18),IF(Z25="M","M","F"),"")</f>
        <v/>
      </c>
      <c r="AE25" s="772" t="str">
        <f t="shared" ref="AE25:AE38" si="26">IF(Y25&gt;18,IF(Z25="M","M","F"),"")</f>
        <v/>
      </c>
      <c r="AF25" s="772"/>
      <c r="AG25" s="772"/>
      <c r="AH25" s="772"/>
      <c r="AI25" s="772"/>
      <c r="AJ25" s="772"/>
      <c r="AK25" s="772"/>
      <c r="AL25" s="772"/>
      <c r="AM25" s="772"/>
      <c r="AN25" s="772">
        <f t="shared" si="7"/>
        <v>0</v>
      </c>
      <c r="AO25" s="762">
        <f t="shared" si="8"/>
        <v>0</v>
      </c>
      <c r="AP25" s="1073" t="s">
        <v>60</v>
      </c>
      <c r="AQ25" s="1113">
        <f t="shared" si="9"/>
        <v>42370</v>
      </c>
      <c r="AR25" s="1113">
        <f t="shared" si="10"/>
        <v>42381</v>
      </c>
      <c r="AS25" s="772">
        <f t="shared" si="11"/>
        <v>11</v>
      </c>
      <c r="AT25" s="792">
        <f>IF(AQ25&gt;'[1]calculs enfants présents'!$A$56,0,IF(Q25&lt;'[1]calculs enfants présents'!$A$56,Q25-AQ25,'[1]calculs enfants présents'!$A$56-AQ25))</f>
        <v>0</v>
      </c>
      <c r="AU25" s="793">
        <f t="shared" si="12"/>
        <v>11</v>
      </c>
      <c r="AV25" s="792">
        <f t="shared" si="13"/>
        <v>-11</v>
      </c>
      <c r="AW25" s="725"/>
      <c r="AX25" s="722">
        <v>42369</v>
      </c>
      <c r="AY25" s="1114">
        <f t="shared" si="14"/>
        <v>42381</v>
      </c>
      <c r="AZ25" s="1114">
        <f t="shared" si="15"/>
        <v>42381</v>
      </c>
      <c r="BA25" s="1114">
        <f t="shared" si="16"/>
        <v>42346</v>
      </c>
      <c r="BB25" s="1115">
        <v>42332</v>
      </c>
      <c r="BC25" s="1116" t="s">
        <v>271</v>
      </c>
      <c r="BD25" s="1115">
        <v>42332</v>
      </c>
      <c r="BE25" s="1117">
        <f t="shared" si="22"/>
        <v>42101</v>
      </c>
      <c r="BF25" s="726"/>
      <c r="BG25" s="721"/>
      <c r="BH25" s="727"/>
      <c r="BI25" s="490"/>
      <c r="BJ25" s="426"/>
      <c r="BS25" s="387"/>
      <c r="BT25" s="387"/>
    </row>
    <row r="26" spans="1:72" s="401" customFormat="1" ht="12.75" customHeight="1" x14ac:dyDescent="0.2">
      <c r="A26" s="484" t="s">
        <v>591</v>
      </c>
      <c r="B26" s="484" t="s">
        <v>554</v>
      </c>
      <c r="C26" s="379" t="s">
        <v>555</v>
      </c>
      <c r="D26" s="347" t="s">
        <v>70</v>
      </c>
      <c r="E26" s="347" t="s">
        <v>183</v>
      </c>
      <c r="F26" s="347"/>
      <c r="G26" s="347"/>
      <c r="H26" s="347"/>
      <c r="I26" s="1076">
        <v>42177</v>
      </c>
      <c r="J26" s="411">
        <v>42184</v>
      </c>
      <c r="K26" s="411">
        <v>42208</v>
      </c>
      <c r="L26" s="1077">
        <f t="shared" si="1"/>
        <v>7</v>
      </c>
      <c r="M26" s="381">
        <v>42184</v>
      </c>
      <c r="N26" s="381">
        <v>42550</v>
      </c>
      <c r="O26" s="381"/>
      <c r="P26" s="381"/>
      <c r="Q26" s="381">
        <v>42736</v>
      </c>
      <c r="R26" s="381" t="s">
        <v>156</v>
      </c>
      <c r="S26" s="347" t="s">
        <v>156</v>
      </c>
      <c r="T26" s="347"/>
      <c r="U26" s="383"/>
      <c r="V26" s="347"/>
      <c r="W26" s="347"/>
      <c r="X26" s="385">
        <v>38405</v>
      </c>
      <c r="Y26" s="761">
        <f t="shared" si="2"/>
        <v>10.860273972602739</v>
      </c>
      <c r="Z26" s="347" t="s">
        <v>13</v>
      </c>
      <c r="AA26" s="773" t="str">
        <f t="shared" si="23"/>
        <v/>
      </c>
      <c r="AB26" s="773" t="str">
        <f t="shared" si="24"/>
        <v>M</v>
      </c>
      <c r="AC26" s="773" t="str">
        <f t="shared" ref="AC26:AC38" si="27">IF(AND(Y26&gt;=11,Y26&lt;15),IF(Z26="M","M","F"),"")</f>
        <v/>
      </c>
      <c r="AD26" s="773" t="str">
        <f t="shared" si="25"/>
        <v/>
      </c>
      <c r="AE26" s="773" t="str">
        <f t="shared" si="26"/>
        <v/>
      </c>
      <c r="AF26" s="770"/>
      <c r="AG26" s="770"/>
      <c r="AH26" s="770"/>
      <c r="AI26" s="770"/>
      <c r="AJ26" s="770"/>
      <c r="AK26" s="770"/>
      <c r="AL26" s="770"/>
      <c r="AM26" s="770"/>
      <c r="AN26" s="773">
        <f t="shared" si="7"/>
        <v>0</v>
      </c>
      <c r="AO26" s="761">
        <f t="shared" si="8"/>
        <v>0</v>
      </c>
      <c r="AP26" s="1074"/>
      <c r="AQ26" s="782">
        <f t="shared" si="9"/>
        <v>42370</v>
      </c>
      <c r="AR26" s="782">
        <f t="shared" si="10"/>
        <v>42736</v>
      </c>
      <c r="AS26" s="770">
        <f t="shared" si="11"/>
        <v>366</v>
      </c>
      <c r="AT26" s="790">
        <f>IF(AQ26&gt;'[1]calculs enfants présents'!$A$56,0,IF(Q26&lt;'[1]calculs enfants présents'!$A$56,Q26-AQ26,'[1]calculs enfants présents'!$A$56-AQ26))</f>
        <v>0</v>
      </c>
      <c r="AU26" s="790">
        <f t="shared" si="12"/>
        <v>31</v>
      </c>
      <c r="AV26" s="790">
        <f t="shared" si="13"/>
        <v>-31</v>
      </c>
      <c r="AW26" s="346"/>
      <c r="AX26" s="381">
        <v>42369</v>
      </c>
      <c r="AY26" s="955">
        <f t="shared" si="14"/>
        <v>42550</v>
      </c>
      <c r="AZ26" s="955">
        <f t="shared" si="15"/>
        <v>42736</v>
      </c>
      <c r="BA26" s="955">
        <f t="shared" si="16"/>
        <v>42521</v>
      </c>
      <c r="BB26" s="1076"/>
      <c r="BC26" s="1103"/>
      <c r="BD26" s="1076"/>
      <c r="BE26" s="1104">
        <f t="shared" si="22"/>
        <v>42269</v>
      </c>
      <c r="BF26" s="460">
        <v>42339</v>
      </c>
      <c r="BG26" s="349" t="s">
        <v>274</v>
      </c>
      <c r="BH26" s="460">
        <v>42339</v>
      </c>
      <c r="BI26" s="460"/>
      <c r="BJ26" s="572"/>
      <c r="BK26" s="612"/>
      <c r="BL26" s="612"/>
      <c r="BM26" s="612"/>
      <c r="BN26" s="612"/>
      <c r="BO26" s="612"/>
      <c r="BP26" s="612"/>
      <c r="BQ26" s="612"/>
      <c r="BR26" s="612"/>
      <c r="BS26" s="612"/>
      <c r="BT26" s="612"/>
    </row>
    <row r="27" spans="1:72" s="387" customFormat="1" ht="13.15" customHeight="1" x14ac:dyDescent="0.2">
      <c r="A27" s="484" t="s">
        <v>761</v>
      </c>
      <c r="B27" s="484" t="s">
        <v>378</v>
      </c>
      <c r="C27" s="379" t="s">
        <v>210</v>
      </c>
      <c r="D27" s="347" t="s">
        <v>138</v>
      </c>
      <c r="E27" s="347" t="s">
        <v>228</v>
      </c>
      <c r="F27" s="347"/>
      <c r="G27" s="347"/>
      <c r="H27" s="347"/>
      <c r="I27" s="1076">
        <v>41970</v>
      </c>
      <c r="J27" s="411">
        <v>41978</v>
      </c>
      <c r="K27" s="411"/>
      <c r="L27" s="1077">
        <f t="shared" si="1"/>
        <v>8</v>
      </c>
      <c r="M27" s="381">
        <v>42343</v>
      </c>
      <c r="N27" s="381">
        <v>42709</v>
      </c>
      <c r="O27" s="381" t="s">
        <v>674</v>
      </c>
      <c r="P27" s="381" t="s">
        <v>674</v>
      </c>
      <c r="Q27" s="381">
        <v>42736</v>
      </c>
      <c r="R27" s="381" t="s">
        <v>16</v>
      </c>
      <c r="S27" s="347" t="s">
        <v>13</v>
      </c>
      <c r="T27" s="347"/>
      <c r="U27" s="383"/>
      <c r="V27" s="347"/>
      <c r="W27" s="347"/>
      <c r="X27" s="385">
        <v>37916</v>
      </c>
      <c r="Y27" s="761">
        <f t="shared" si="2"/>
        <v>12.2</v>
      </c>
      <c r="Z27" s="347" t="s">
        <v>13</v>
      </c>
      <c r="AA27" s="770" t="str">
        <f t="shared" si="23"/>
        <v/>
      </c>
      <c r="AB27" s="770" t="str">
        <f t="shared" si="24"/>
        <v/>
      </c>
      <c r="AC27" s="770" t="str">
        <f t="shared" si="27"/>
        <v>M</v>
      </c>
      <c r="AD27" s="770" t="str">
        <f t="shared" si="25"/>
        <v/>
      </c>
      <c r="AE27" s="770" t="str">
        <f t="shared" si="26"/>
        <v/>
      </c>
      <c r="AF27" s="770"/>
      <c r="AG27" s="770"/>
      <c r="AH27" s="770"/>
      <c r="AI27" s="770"/>
      <c r="AJ27" s="770"/>
      <c r="AK27" s="770"/>
      <c r="AL27" s="770">
        <f>Q27-J27</f>
        <v>758</v>
      </c>
      <c r="AM27" s="770">
        <f>AL27/365</f>
        <v>2.0767123287671234</v>
      </c>
      <c r="AN27" s="770">
        <f t="shared" si="7"/>
        <v>2</v>
      </c>
      <c r="AO27" s="761">
        <f t="shared" si="8"/>
        <v>0.920547945205481</v>
      </c>
      <c r="AP27" s="1074"/>
      <c r="AQ27" s="782">
        <f t="shared" si="9"/>
        <v>42370</v>
      </c>
      <c r="AR27" s="782">
        <f t="shared" si="10"/>
        <v>42736</v>
      </c>
      <c r="AS27" s="770">
        <f t="shared" si="11"/>
        <v>366</v>
      </c>
      <c r="AT27" s="790">
        <f>IF(AQ27&gt;'[1]calculs enfants présents'!$A$56,0,IF(Q27&lt;'[1]calculs enfants présents'!$A$56,Q27-AQ27,'[1]calculs enfants présents'!$A$56-AQ27))</f>
        <v>0</v>
      </c>
      <c r="AU27" s="791">
        <f t="shared" si="12"/>
        <v>31</v>
      </c>
      <c r="AV27" s="790">
        <f t="shared" si="13"/>
        <v>-31</v>
      </c>
      <c r="AW27" s="412"/>
      <c r="AX27" s="381">
        <v>42369</v>
      </c>
      <c r="AY27" s="955">
        <f t="shared" si="14"/>
        <v>42709</v>
      </c>
      <c r="AZ27" s="955">
        <f t="shared" si="15"/>
        <v>42736</v>
      </c>
      <c r="BA27" s="955">
        <f t="shared" si="16"/>
        <v>42675</v>
      </c>
      <c r="BB27" s="1105">
        <v>42325</v>
      </c>
      <c r="BC27" s="1103" t="s">
        <v>270</v>
      </c>
      <c r="BD27" s="1105">
        <v>42325</v>
      </c>
      <c r="BE27" s="1104">
        <f t="shared" si="22"/>
        <v>42066</v>
      </c>
      <c r="BF27" s="460"/>
      <c r="BG27" s="349"/>
      <c r="BH27" s="465"/>
      <c r="BI27" s="349" t="s">
        <v>400</v>
      </c>
      <c r="BJ27" s="572">
        <v>42118</v>
      </c>
    </row>
    <row r="28" spans="1:72" ht="13.15" customHeight="1" x14ac:dyDescent="0.2">
      <c r="A28" s="1118" t="s">
        <v>761</v>
      </c>
      <c r="B28" s="1118" t="s">
        <v>378</v>
      </c>
      <c r="C28" s="379" t="s">
        <v>221</v>
      </c>
      <c r="D28" s="347" t="s">
        <v>138</v>
      </c>
      <c r="E28" s="347" t="s">
        <v>228</v>
      </c>
      <c r="F28" s="347"/>
      <c r="I28" s="1076">
        <v>41970</v>
      </c>
      <c r="J28" s="411">
        <v>41978</v>
      </c>
      <c r="K28" s="411"/>
      <c r="L28" s="1077">
        <f t="shared" si="1"/>
        <v>8</v>
      </c>
      <c r="M28" s="381">
        <v>42343</v>
      </c>
      <c r="N28" s="381">
        <v>42709</v>
      </c>
      <c r="O28" s="381" t="s">
        <v>674</v>
      </c>
      <c r="P28" s="381" t="s">
        <v>674</v>
      </c>
      <c r="Q28" s="381">
        <v>42736</v>
      </c>
      <c r="R28" s="381" t="s">
        <v>16</v>
      </c>
      <c r="S28" s="347" t="s">
        <v>13</v>
      </c>
      <c r="V28" s="347"/>
      <c r="W28" s="347"/>
      <c r="X28" s="385">
        <v>37916</v>
      </c>
      <c r="Y28" s="761">
        <f t="shared" si="2"/>
        <v>12.2</v>
      </c>
      <c r="Z28" s="347" t="s">
        <v>13</v>
      </c>
      <c r="AA28" s="770" t="str">
        <f t="shared" si="23"/>
        <v/>
      </c>
      <c r="AB28" s="770" t="str">
        <f t="shared" si="24"/>
        <v/>
      </c>
      <c r="AC28" s="770" t="str">
        <f t="shared" si="27"/>
        <v>M</v>
      </c>
      <c r="AD28" s="770" t="str">
        <f t="shared" si="25"/>
        <v/>
      </c>
      <c r="AE28" s="770" t="str">
        <f t="shared" si="26"/>
        <v/>
      </c>
      <c r="AG28" s="770"/>
      <c r="AH28" s="770"/>
      <c r="AI28" s="770"/>
      <c r="AJ28" s="770"/>
      <c r="AK28" s="770"/>
      <c r="AL28" s="770">
        <f>Q28-J28</f>
        <v>758</v>
      </c>
      <c r="AM28" s="770">
        <f>AL28/365</f>
        <v>2.0767123287671234</v>
      </c>
      <c r="AN28" s="770">
        <f t="shared" si="7"/>
        <v>2</v>
      </c>
      <c r="AO28" s="761">
        <f t="shared" si="8"/>
        <v>0.920547945205481</v>
      </c>
      <c r="AP28" s="1074"/>
      <c r="AQ28" s="782">
        <f t="shared" si="9"/>
        <v>42370</v>
      </c>
      <c r="AR28" s="782">
        <f t="shared" si="10"/>
        <v>42736</v>
      </c>
      <c r="AS28" s="770">
        <f t="shared" si="11"/>
        <v>366</v>
      </c>
      <c r="AT28" s="790">
        <f>IF(AQ28&gt;'[1]calculs enfants présents'!$A$56,0,IF(Q28&lt;'[1]calculs enfants présents'!$A$56,Q28-AQ28,'[1]calculs enfants présents'!$A$56-AQ28))</f>
        <v>0</v>
      </c>
      <c r="AU28" s="791">
        <f t="shared" si="12"/>
        <v>31</v>
      </c>
      <c r="AV28" s="790">
        <f t="shared" si="13"/>
        <v>-31</v>
      </c>
      <c r="AW28" s="412"/>
      <c r="AX28" s="381">
        <v>42369</v>
      </c>
      <c r="AY28" s="955">
        <f t="shared" si="14"/>
        <v>42709</v>
      </c>
      <c r="AZ28" s="955">
        <f t="shared" si="15"/>
        <v>42736</v>
      </c>
      <c r="BA28" s="955">
        <f t="shared" si="16"/>
        <v>42675</v>
      </c>
      <c r="BB28" s="1105">
        <v>42325</v>
      </c>
      <c r="BC28" s="1103" t="s">
        <v>270</v>
      </c>
      <c r="BD28" s="1105"/>
      <c r="BE28" s="1104">
        <f t="shared" si="22"/>
        <v>42066</v>
      </c>
      <c r="BF28" s="460"/>
      <c r="BG28" s="349"/>
      <c r="BH28" s="465"/>
      <c r="BI28" s="349" t="s">
        <v>400</v>
      </c>
      <c r="BJ28" s="572">
        <v>42118</v>
      </c>
      <c r="BS28" s="387"/>
      <c r="BT28" s="387"/>
    </row>
    <row r="29" spans="1:72" s="566" customFormat="1" ht="13.15" customHeight="1" x14ac:dyDescent="0.2">
      <c r="A29" s="836" t="s">
        <v>516</v>
      </c>
      <c r="B29" s="836" t="s">
        <v>516</v>
      </c>
      <c r="C29" s="379" t="s">
        <v>364</v>
      </c>
      <c r="D29" s="347" t="s">
        <v>183</v>
      </c>
      <c r="E29" s="347" t="s">
        <v>138</v>
      </c>
      <c r="F29" s="347"/>
      <c r="G29" s="347"/>
      <c r="H29" s="347"/>
      <c r="I29" s="1076">
        <v>42118</v>
      </c>
      <c r="J29" s="411">
        <v>42144</v>
      </c>
      <c r="K29" s="411">
        <v>42160</v>
      </c>
      <c r="L29" s="1077">
        <f t="shared" si="1"/>
        <v>26</v>
      </c>
      <c r="M29" s="381">
        <v>42144</v>
      </c>
      <c r="N29" s="381">
        <v>42510</v>
      </c>
      <c r="O29" s="381"/>
      <c r="P29" s="381"/>
      <c r="Q29" s="381">
        <v>42736</v>
      </c>
      <c r="R29" s="381" t="s">
        <v>156</v>
      </c>
      <c r="S29" s="347" t="s">
        <v>225</v>
      </c>
      <c r="T29" s="347"/>
      <c r="U29" s="383"/>
      <c r="V29" s="347"/>
      <c r="W29" s="347"/>
      <c r="X29" s="385">
        <v>36532</v>
      </c>
      <c r="Y29" s="761">
        <f t="shared" si="2"/>
        <v>15.991780821917809</v>
      </c>
      <c r="Z29" s="347" t="s">
        <v>21</v>
      </c>
      <c r="AA29" s="770" t="str">
        <f t="shared" si="23"/>
        <v/>
      </c>
      <c r="AB29" s="770" t="str">
        <f t="shared" si="24"/>
        <v/>
      </c>
      <c r="AC29" s="770" t="str">
        <f t="shared" si="27"/>
        <v/>
      </c>
      <c r="AD29" s="770" t="str">
        <f t="shared" si="25"/>
        <v>F</v>
      </c>
      <c r="AE29" s="770" t="str">
        <f t="shared" si="26"/>
        <v/>
      </c>
      <c r="AF29" s="770"/>
      <c r="AG29" s="770"/>
      <c r="AH29" s="770"/>
      <c r="AI29" s="770"/>
      <c r="AJ29" s="770"/>
      <c r="AK29" s="770"/>
      <c r="AL29" s="770">
        <f>Q29-J29</f>
        <v>592</v>
      </c>
      <c r="AM29" s="770">
        <f>AL29/365</f>
        <v>1.6219178082191781</v>
      </c>
      <c r="AN29" s="770">
        <f t="shared" si="7"/>
        <v>1</v>
      </c>
      <c r="AO29" s="761">
        <f t="shared" si="8"/>
        <v>7.463013698630137</v>
      </c>
      <c r="AP29" s="1074"/>
      <c r="AQ29" s="782">
        <f t="shared" si="9"/>
        <v>42370</v>
      </c>
      <c r="AR29" s="782">
        <f t="shared" si="10"/>
        <v>42736</v>
      </c>
      <c r="AS29" s="770">
        <f t="shared" si="11"/>
        <v>366</v>
      </c>
      <c r="AT29" s="790">
        <f>IF(AQ29&gt;'[1]calculs enfants présents'!$A$56,0,IF(Q29&lt;'[1]calculs enfants présents'!$A$56,Q29-AQ29,'[1]calculs enfants présents'!$A$56-AQ29))</f>
        <v>0</v>
      </c>
      <c r="AU29" s="791">
        <f t="shared" si="12"/>
        <v>31</v>
      </c>
      <c r="AV29" s="790">
        <f t="shared" si="13"/>
        <v>-31</v>
      </c>
      <c r="AW29" s="412"/>
      <c r="AX29" s="381">
        <v>42369</v>
      </c>
      <c r="AY29" s="955">
        <f t="shared" si="14"/>
        <v>42510</v>
      </c>
      <c r="AZ29" s="955">
        <f t="shared" si="15"/>
        <v>42736</v>
      </c>
      <c r="BA29" s="955">
        <f t="shared" si="16"/>
        <v>42479</v>
      </c>
      <c r="BB29" s="1105"/>
      <c r="BC29" s="1103"/>
      <c r="BD29" s="1105"/>
      <c r="BE29" s="1104">
        <f t="shared" si="22"/>
        <v>42234</v>
      </c>
      <c r="BF29" s="460"/>
      <c r="BG29" s="349"/>
      <c r="BH29" s="465"/>
      <c r="BI29" s="349"/>
      <c r="BJ29" s="572"/>
      <c r="BK29" s="401"/>
      <c r="BL29" s="401"/>
      <c r="BM29" s="401"/>
      <c r="BN29" s="401"/>
      <c r="BO29" s="401"/>
      <c r="BP29" s="401"/>
      <c r="BQ29" s="401"/>
      <c r="BR29" s="401"/>
      <c r="BS29" s="401"/>
      <c r="BT29" s="401"/>
    </row>
    <row r="30" spans="1:72" s="645" customFormat="1" ht="13.15" customHeight="1" x14ac:dyDescent="0.2">
      <c r="A30" s="484" t="s">
        <v>309</v>
      </c>
      <c r="B30" s="484" t="s">
        <v>309</v>
      </c>
      <c r="C30" s="379" t="s">
        <v>204</v>
      </c>
      <c r="D30" s="347" t="s">
        <v>310</v>
      </c>
      <c r="E30" s="347"/>
      <c r="F30" s="347"/>
      <c r="G30" s="347"/>
      <c r="H30" s="347"/>
      <c r="I30" s="1076">
        <v>41697</v>
      </c>
      <c r="J30" s="411">
        <v>41723</v>
      </c>
      <c r="K30" s="411"/>
      <c r="L30" s="1077">
        <f t="shared" si="1"/>
        <v>26</v>
      </c>
      <c r="M30" s="381">
        <v>42088</v>
      </c>
      <c r="N30" s="411">
        <v>42454</v>
      </c>
      <c r="O30" s="411"/>
      <c r="P30" s="411"/>
      <c r="Q30" s="411">
        <v>42736</v>
      </c>
      <c r="R30" s="381" t="s">
        <v>156</v>
      </c>
      <c r="S30" s="347" t="s">
        <v>162</v>
      </c>
      <c r="T30" s="347"/>
      <c r="U30" s="383"/>
      <c r="V30" s="347"/>
      <c r="W30" s="347"/>
      <c r="X30" s="385">
        <v>36119</v>
      </c>
      <c r="Y30" s="761">
        <f t="shared" si="2"/>
        <v>17.123287671232877</v>
      </c>
      <c r="Z30" s="347" t="s">
        <v>21</v>
      </c>
      <c r="AA30" s="773" t="str">
        <f t="shared" si="23"/>
        <v/>
      </c>
      <c r="AB30" s="773" t="str">
        <f t="shared" si="24"/>
        <v/>
      </c>
      <c r="AC30" s="773" t="str">
        <f t="shared" si="27"/>
        <v/>
      </c>
      <c r="AD30" s="773" t="str">
        <f t="shared" si="25"/>
        <v>F</v>
      </c>
      <c r="AE30" s="773" t="str">
        <f t="shared" si="26"/>
        <v/>
      </c>
      <c r="AF30" s="770"/>
      <c r="AG30" s="770"/>
      <c r="AH30" s="770"/>
      <c r="AI30" s="770"/>
      <c r="AJ30" s="770"/>
      <c r="AK30" s="770"/>
      <c r="AL30" s="770"/>
      <c r="AM30" s="770"/>
      <c r="AN30" s="773">
        <f t="shared" si="7"/>
        <v>0</v>
      </c>
      <c r="AO30" s="761">
        <f t="shared" si="8"/>
        <v>0</v>
      </c>
      <c r="AP30" s="1074"/>
      <c r="AQ30" s="782">
        <f t="shared" si="9"/>
        <v>42370</v>
      </c>
      <c r="AR30" s="782">
        <f t="shared" si="10"/>
        <v>42736</v>
      </c>
      <c r="AS30" s="770">
        <f t="shared" si="11"/>
        <v>366</v>
      </c>
      <c r="AT30" s="790">
        <f>IF(AQ30&gt;'[1]calculs enfants présents'!$A$56,0,IF(Q30&lt;'[1]calculs enfants présents'!$A$56,Q30-AQ30,'[1]calculs enfants présents'!$A$56-AQ30))</f>
        <v>0</v>
      </c>
      <c r="AU30" s="790">
        <f t="shared" si="12"/>
        <v>31</v>
      </c>
      <c r="AV30" s="790">
        <f t="shared" si="13"/>
        <v>-31</v>
      </c>
      <c r="AW30" s="412"/>
      <c r="AX30" s="381">
        <v>42369</v>
      </c>
      <c r="AY30" s="955">
        <f t="shared" si="14"/>
        <v>42454</v>
      </c>
      <c r="AZ30" s="955">
        <f t="shared" si="15"/>
        <v>42736</v>
      </c>
      <c r="BA30" s="955">
        <f t="shared" si="16"/>
        <v>42423</v>
      </c>
      <c r="BB30" s="1105">
        <v>42416</v>
      </c>
      <c r="BC30" s="1103" t="s">
        <v>274</v>
      </c>
      <c r="BD30" s="1076">
        <v>42416</v>
      </c>
      <c r="BE30" s="1104">
        <f t="shared" si="22"/>
        <v>41814</v>
      </c>
      <c r="BF30" s="460"/>
      <c r="BG30" s="322"/>
      <c r="BH30" s="465"/>
      <c r="BI30" s="460">
        <v>41913</v>
      </c>
      <c r="BJ30" s="572" t="s">
        <v>274</v>
      </c>
      <c r="BK30" s="569"/>
      <c r="BL30" s="569"/>
      <c r="BM30" s="569"/>
      <c r="BN30" s="569"/>
      <c r="BO30" s="569"/>
      <c r="BP30" s="569"/>
      <c r="BQ30" s="569"/>
      <c r="BR30" s="569"/>
      <c r="BS30" s="566"/>
      <c r="BT30" s="566"/>
    </row>
    <row r="31" spans="1:72" s="387" customFormat="1" ht="12" customHeight="1" x14ac:dyDescent="0.2">
      <c r="A31" s="484" t="s">
        <v>780</v>
      </c>
      <c r="B31" s="484" t="s">
        <v>780</v>
      </c>
      <c r="C31" s="379" t="s">
        <v>781</v>
      </c>
      <c r="D31" s="347" t="s">
        <v>138</v>
      </c>
      <c r="E31" s="347" t="s">
        <v>714</v>
      </c>
      <c r="F31" s="347"/>
      <c r="G31" s="347" t="s">
        <v>67</v>
      </c>
      <c r="H31" s="347"/>
      <c r="I31" s="1076">
        <v>42215</v>
      </c>
      <c r="J31" s="411">
        <v>42387</v>
      </c>
      <c r="K31" s="411"/>
      <c r="L31" s="1078">
        <f t="shared" si="1"/>
        <v>172</v>
      </c>
      <c r="M31" s="381">
        <v>42387</v>
      </c>
      <c r="N31" s="381">
        <v>42753</v>
      </c>
      <c r="O31" s="381"/>
      <c r="P31" s="381"/>
      <c r="Q31" s="381">
        <v>42736</v>
      </c>
      <c r="R31" s="381" t="s">
        <v>156</v>
      </c>
      <c r="S31" s="347" t="s">
        <v>156</v>
      </c>
      <c r="T31" s="347"/>
      <c r="U31" s="383"/>
      <c r="V31" s="347"/>
      <c r="W31" s="347"/>
      <c r="X31" s="385">
        <v>37122</v>
      </c>
      <c r="Y31" s="761">
        <f t="shared" si="2"/>
        <v>14.375342465753425</v>
      </c>
      <c r="Z31" s="347" t="s">
        <v>21</v>
      </c>
      <c r="AA31" s="770" t="str">
        <f t="shared" si="23"/>
        <v/>
      </c>
      <c r="AB31" s="770" t="str">
        <f t="shared" si="24"/>
        <v/>
      </c>
      <c r="AC31" s="770" t="str">
        <f t="shared" si="27"/>
        <v>F</v>
      </c>
      <c r="AD31" s="770" t="str">
        <f t="shared" si="25"/>
        <v/>
      </c>
      <c r="AE31" s="770" t="str">
        <f t="shared" si="26"/>
        <v/>
      </c>
      <c r="AF31" s="770"/>
      <c r="AG31" s="770"/>
      <c r="AH31" s="770"/>
      <c r="AI31" s="770"/>
      <c r="AJ31" s="770"/>
      <c r="AK31" s="770"/>
      <c r="AL31" s="770">
        <f t="shared" ref="AL31:AL38" si="28">Q31-J31</f>
        <v>349</v>
      </c>
      <c r="AM31" s="770">
        <f t="shared" ref="AM31:AM38" si="29">AL31/365</f>
        <v>0.95616438356164379</v>
      </c>
      <c r="AN31" s="770">
        <f t="shared" si="7"/>
        <v>0</v>
      </c>
      <c r="AO31" s="761">
        <f t="shared" si="8"/>
        <v>11.473972602739725</v>
      </c>
      <c r="AP31" s="1074"/>
      <c r="AQ31" s="782">
        <f t="shared" si="9"/>
        <v>42387</v>
      </c>
      <c r="AR31" s="782">
        <f t="shared" si="10"/>
        <v>42736</v>
      </c>
      <c r="AS31" s="770">
        <f t="shared" si="11"/>
        <v>349</v>
      </c>
      <c r="AT31" s="790">
        <f>IF(AQ31&gt;'[1]calculs enfants présents'!$A$56,0,IF(Q31&lt;'[1]calculs enfants présents'!$A$56,Q31-AQ31,'[1]calculs enfants présents'!$A$56-AQ31))</f>
        <v>0</v>
      </c>
      <c r="AU31" s="791">
        <f t="shared" si="12"/>
        <v>14</v>
      </c>
      <c r="AV31" s="790">
        <f t="shared" si="13"/>
        <v>-14</v>
      </c>
      <c r="AW31" s="412"/>
      <c r="AX31" s="381">
        <v>42369</v>
      </c>
      <c r="AY31" s="955">
        <f t="shared" si="14"/>
        <v>42753</v>
      </c>
      <c r="AZ31" s="955">
        <f t="shared" si="15"/>
        <v>42736</v>
      </c>
      <c r="BA31" s="955">
        <f t="shared" si="16"/>
        <v>42724</v>
      </c>
      <c r="BB31" s="1105"/>
      <c r="BC31" s="1103"/>
      <c r="BD31" s="1076"/>
      <c r="BE31" s="1104" t="str">
        <f>IF(K31&lt;&gt;"",(K31+90)-(WEEKDAY(K31+90,2)-2),"DIPC")</f>
        <v>DIPC</v>
      </c>
      <c r="BF31" s="460"/>
      <c r="BG31" s="349"/>
      <c r="BH31" s="465"/>
      <c r="BI31" s="349"/>
      <c r="BJ31" s="572"/>
    </row>
    <row r="32" spans="1:72" s="566" customFormat="1" ht="12" customHeight="1" x14ac:dyDescent="0.2">
      <c r="A32" s="484" t="s">
        <v>505</v>
      </c>
      <c r="B32" s="484" t="s">
        <v>505</v>
      </c>
      <c r="C32" s="379" t="s">
        <v>506</v>
      </c>
      <c r="D32" s="347" t="s">
        <v>179</v>
      </c>
      <c r="E32" s="347" t="s">
        <v>310</v>
      </c>
      <c r="F32" s="347"/>
      <c r="G32" s="347"/>
      <c r="H32" s="347"/>
      <c r="I32" s="1076">
        <v>42114</v>
      </c>
      <c r="J32" s="411">
        <v>42265</v>
      </c>
      <c r="K32" s="411">
        <v>42293</v>
      </c>
      <c r="L32" s="1077">
        <f t="shared" si="1"/>
        <v>151</v>
      </c>
      <c r="M32" s="381">
        <v>42265</v>
      </c>
      <c r="N32" s="708">
        <v>42631</v>
      </c>
      <c r="O32" s="708"/>
      <c r="P32" s="708"/>
      <c r="Q32" s="708">
        <v>42736</v>
      </c>
      <c r="R32" s="381" t="s">
        <v>156</v>
      </c>
      <c r="S32" s="347" t="s">
        <v>225</v>
      </c>
      <c r="T32" s="347"/>
      <c r="U32" s="383"/>
      <c r="V32" s="347"/>
      <c r="W32" s="347"/>
      <c r="X32" s="385">
        <v>36213</v>
      </c>
      <c r="Y32" s="761">
        <f t="shared" si="2"/>
        <v>16.865753424657534</v>
      </c>
      <c r="Z32" s="347" t="s">
        <v>21</v>
      </c>
      <c r="AA32" s="773" t="str">
        <f t="shared" si="23"/>
        <v/>
      </c>
      <c r="AB32" s="773" t="str">
        <f t="shared" si="24"/>
        <v/>
      </c>
      <c r="AC32" s="773" t="str">
        <f t="shared" si="27"/>
        <v/>
      </c>
      <c r="AD32" s="773" t="str">
        <f t="shared" si="25"/>
        <v>F</v>
      </c>
      <c r="AE32" s="773" t="str">
        <f t="shared" si="26"/>
        <v/>
      </c>
      <c r="AF32" s="770"/>
      <c r="AG32" s="770"/>
      <c r="AH32" s="770"/>
      <c r="AI32" s="770"/>
      <c r="AJ32" s="770"/>
      <c r="AK32" s="770"/>
      <c r="AL32" s="770">
        <f t="shared" si="28"/>
        <v>471</v>
      </c>
      <c r="AM32" s="770">
        <f t="shared" si="29"/>
        <v>1.2904109589041095</v>
      </c>
      <c r="AN32" s="773">
        <f t="shared" si="7"/>
        <v>1</v>
      </c>
      <c r="AO32" s="761">
        <f t="shared" si="8"/>
        <v>3.4849315068493141</v>
      </c>
      <c r="AP32" s="1074"/>
      <c r="AQ32" s="782">
        <f t="shared" si="9"/>
        <v>42370</v>
      </c>
      <c r="AR32" s="782">
        <f t="shared" si="10"/>
        <v>42736</v>
      </c>
      <c r="AS32" s="770">
        <f t="shared" si="11"/>
        <v>366</v>
      </c>
      <c r="AT32" s="790">
        <f>IF(AQ32&gt;'[1]calculs enfants présents'!$A$56,0,IF(Q32&lt;'[1]calculs enfants présents'!$A$56,Q32-AQ32,'[1]calculs enfants présents'!$A$56-AQ32))</f>
        <v>0</v>
      </c>
      <c r="AU32" s="790">
        <f t="shared" si="12"/>
        <v>31</v>
      </c>
      <c r="AV32" s="788">
        <f t="shared" si="13"/>
        <v>-31</v>
      </c>
      <c r="AW32" s="412"/>
      <c r="AX32" s="381">
        <v>42369</v>
      </c>
      <c r="AY32" s="955">
        <f t="shared" si="14"/>
        <v>42631</v>
      </c>
      <c r="AZ32" s="955">
        <f t="shared" si="15"/>
        <v>42736</v>
      </c>
      <c r="BA32" s="955">
        <f t="shared" si="16"/>
        <v>42598</v>
      </c>
      <c r="BB32" s="1076"/>
      <c r="BC32" s="1103"/>
      <c r="BD32" s="1076"/>
      <c r="BE32" s="1104">
        <f>(J32+90)-(WEEKDAY(J32+90,2)-2)</f>
        <v>42353</v>
      </c>
      <c r="BF32" s="460">
        <v>42402</v>
      </c>
      <c r="BG32" s="349" t="s">
        <v>274</v>
      </c>
      <c r="BH32" s="465">
        <v>42402</v>
      </c>
      <c r="BI32" s="390"/>
      <c r="BJ32" s="382"/>
      <c r="BK32" s="387"/>
      <c r="BL32" s="387"/>
      <c r="BM32" s="387"/>
      <c r="BN32" s="387"/>
      <c r="BO32" s="387"/>
      <c r="BP32" s="387"/>
      <c r="BQ32" s="387"/>
      <c r="BR32" s="387"/>
      <c r="BS32" s="387"/>
      <c r="BT32" s="387"/>
    </row>
    <row r="33" spans="1:72" s="387" customFormat="1" ht="12" customHeight="1" x14ac:dyDescent="0.2">
      <c r="A33" s="484" t="s">
        <v>796</v>
      </c>
      <c r="B33" s="484" t="s">
        <v>246</v>
      </c>
      <c r="C33" s="379" t="s">
        <v>222</v>
      </c>
      <c r="D33" s="347" t="s">
        <v>179</v>
      </c>
      <c r="E33" s="347"/>
      <c r="F33" s="347"/>
      <c r="G33" s="347"/>
      <c r="H33" s="347"/>
      <c r="I33" s="1076">
        <v>41478</v>
      </c>
      <c r="J33" s="411">
        <v>41666</v>
      </c>
      <c r="K33" s="411"/>
      <c r="L33" s="1077">
        <f t="shared" si="1"/>
        <v>188</v>
      </c>
      <c r="M33" s="381">
        <v>42031</v>
      </c>
      <c r="N33" s="381">
        <v>42396</v>
      </c>
      <c r="O33" s="381" t="s">
        <v>674</v>
      </c>
      <c r="P33" s="381" t="s">
        <v>674</v>
      </c>
      <c r="Q33" s="381">
        <v>42736</v>
      </c>
      <c r="R33" s="381" t="s">
        <v>156</v>
      </c>
      <c r="S33" s="347" t="s">
        <v>162</v>
      </c>
      <c r="T33" s="347"/>
      <c r="U33" s="383"/>
      <c r="V33" s="347"/>
      <c r="W33" s="347"/>
      <c r="X33" s="385">
        <v>36421</v>
      </c>
      <c r="Y33" s="761">
        <f t="shared" si="2"/>
        <v>16.295890410958904</v>
      </c>
      <c r="Z33" s="347" t="s">
        <v>13</v>
      </c>
      <c r="AA33" s="770" t="str">
        <f t="shared" si="23"/>
        <v/>
      </c>
      <c r="AB33" s="770" t="str">
        <f t="shared" si="24"/>
        <v/>
      </c>
      <c r="AC33" s="770" t="str">
        <f t="shared" si="27"/>
        <v/>
      </c>
      <c r="AD33" s="770" t="str">
        <f t="shared" si="25"/>
        <v>M</v>
      </c>
      <c r="AE33" s="770" t="str">
        <f t="shared" si="26"/>
        <v/>
      </c>
      <c r="AF33" s="770"/>
      <c r="AG33" s="770"/>
      <c r="AH33" s="770"/>
      <c r="AI33" s="770"/>
      <c r="AJ33" s="770"/>
      <c r="AK33" s="770"/>
      <c r="AL33" s="770">
        <f t="shared" si="28"/>
        <v>1070</v>
      </c>
      <c r="AM33" s="770">
        <f t="shared" si="29"/>
        <v>2.9315068493150687</v>
      </c>
      <c r="AN33" s="770">
        <f t="shared" si="7"/>
        <v>2</v>
      </c>
      <c r="AO33" s="761">
        <f t="shared" si="8"/>
        <v>11.178082191780824</v>
      </c>
      <c r="AP33" s="1074"/>
      <c r="AQ33" s="782">
        <f t="shared" si="9"/>
        <v>42370</v>
      </c>
      <c r="AR33" s="782">
        <f t="shared" si="10"/>
        <v>42736</v>
      </c>
      <c r="AS33" s="770">
        <f t="shared" si="11"/>
        <v>366</v>
      </c>
      <c r="AT33" s="790">
        <f>IF(AQ33&gt;'[1]calculs enfants présents'!$A$56,0,IF(Q33&lt;'[1]calculs enfants présents'!$A$56,Q33-AQ33,'[1]calculs enfants présents'!$A$56-AQ33))</f>
        <v>0</v>
      </c>
      <c r="AU33" s="790">
        <f t="shared" si="12"/>
        <v>31</v>
      </c>
      <c r="AV33" s="790">
        <f t="shared" si="13"/>
        <v>-31</v>
      </c>
      <c r="AW33" s="412"/>
      <c r="AX33" s="381">
        <v>42369</v>
      </c>
      <c r="AY33" s="955">
        <f t="shared" si="14"/>
        <v>42396</v>
      </c>
      <c r="AZ33" s="955">
        <f t="shared" si="15"/>
        <v>42736</v>
      </c>
      <c r="BA33" s="955">
        <f t="shared" si="16"/>
        <v>42367</v>
      </c>
      <c r="BB33" s="1105">
        <v>42346</v>
      </c>
      <c r="BC33" s="1103" t="s">
        <v>270</v>
      </c>
      <c r="BD33" s="1105">
        <v>42346</v>
      </c>
      <c r="BE33" s="1104">
        <f>(J33+90)-(WEEKDAY(J33+90,2)-2)</f>
        <v>41751</v>
      </c>
      <c r="BF33" s="460"/>
      <c r="BG33" s="349"/>
      <c r="BH33" s="465"/>
      <c r="BI33" s="349" t="s">
        <v>461</v>
      </c>
      <c r="BJ33" s="572">
        <v>42097</v>
      </c>
    </row>
    <row r="34" spans="1:72" s="387" customFormat="1" ht="12" customHeight="1" x14ac:dyDescent="0.2">
      <c r="A34" s="484" t="s">
        <v>644</v>
      </c>
      <c r="B34" s="484" t="s">
        <v>644</v>
      </c>
      <c r="C34" s="379" t="s">
        <v>645</v>
      </c>
      <c r="D34" s="347" t="s">
        <v>310</v>
      </c>
      <c r="E34" s="347" t="s">
        <v>179</v>
      </c>
      <c r="F34" s="347"/>
      <c r="G34" s="347"/>
      <c r="H34" s="347"/>
      <c r="I34" s="1076">
        <v>42278</v>
      </c>
      <c r="J34" s="411">
        <v>42320</v>
      </c>
      <c r="K34" s="411">
        <v>42332</v>
      </c>
      <c r="L34" s="1077">
        <f t="shared" ref="L34:L65" si="30">IF(I34&lt;&gt;"",J34-I34,"")</f>
        <v>42</v>
      </c>
      <c r="M34" s="381">
        <v>42320</v>
      </c>
      <c r="N34" s="381">
        <v>42686</v>
      </c>
      <c r="O34" s="381"/>
      <c r="P34" s="381"/>
      <c r="Q34" s="381">
        <v>42736</v>
      </c>
      <c r="R34" s="381" t="s">
        <v>16</v>
      </c>
      <c r="S34" s="347" t="s">
        <v>16</v>
      </c>
      <c r="T34" s="347"/>
      <c r="U34" s="383"/>
      <c r="V34" s="347"/>
      <c r="W34" s="347"/>
      <c r="X34" s="385">
        <v>38784</v>
      </c>
      <c r="Y34" s="761">
        <f t="shared" ref="Y34:Y65" si="31">(AX34-X34)/365</f>
        <v>9.8219178082191778</v>
      </c>
      <c r="Z34" s="347" t="s">
        <v>21</v>
      </c>
      <c r="AA34" s="770" t="str">
        <f t="shared" si="23"/>
        <v/>
      </c>
      <c r="AB34" s="770" t="str">
        <f t="shared" si="24"/>
        <v>F</v>
      </c>
      <c r="AC34" s="770" t="str">
        <f t="shared" si="27"/>
        <v/>
      </c>
      <c r="AD34" s="770" t="str">
        <f t="shared" si="25"/>
        <v/>
      </c>
      <c r="AE34" s="770" t="str">
        <f t="shared" si="26"/>
        <v/>
      </c>
      <c r="AF34" s="770"/>
      <c r="AG34" s="770"/>
      <c r="AH34" s="770"/>
      <c r="AI34" s="770"/>
      <c r="AJ34" s="770"/>
      <c r="AK34" s="770"/>
      <c r="AL34" s="770">
        <f t="shared" si="28"/>
        <v>416</v>
      </c>
      <c r="AM34" s="770">
        <f t="shared" si="29"/>
        <v>1.1397260273972603</v>
      </c>
      <c r="AN34" s="770">
        <f t="shared" si="7"/>
        <v>1</v>
      </c>
      <c r="AO34" s="761">
        <f t="shared" ref="AO34:AO65" si="32">(AM34-AN34)*12</f>
        <v>1.6767123287671231</v>
      </c>
      <c r="AP34" s="1074"/>
      <c r="AQ34" s="782">
        <f t="shared" ref="AQ34:AQ65" si="33">IF(J34&lt;DATE(2016,1,1),DATE(2016,1,1),J34)</f>
        <v>42370</v>
      </c>
      <c r="AR34" s="782">
        <f t="shared" si="10"/>
        <v>42736</v>
      </c>
      <c r="AS34" s="770">
        <f t="shared" ref="AS34:AS65" si="34">Q34-AQ34</f>
        <v>366</v>
      </c>
      <c r="AT34" s="790">
        <f>IF(AQ34&gt;'[1]calculs enfants présents'!$A$56,0,IF(Q34&lt;'[1]calculs enfants présents'!$A$56,Q34-AQ34,'[1]calculs enfants présents'!$A$56-AQ34))</f>
        <v>0</v>
      </c>
      <c r="AU34" s="790">
        <f t="shared" ref="AU34:AU65" si="35">IF($AQ34&gt;$AV$1,0,IF($Q34&lt;$AV$1,$Q34-$AQ34,$AV$1-$AQ34))</f>
        <v>31</v>
      </c>
      <c r="AV34" s="790">
        <f t="shared" ref="AV34:AV57" si="36">AT34-AU34</f>
        <v>-31</v>
      </c>
      <c r="AW34" s="412"/>
      <c r="AX34" s="381">
        <v>42369</v>
      </c>
      <c r="AY34" s="955">
        <f t="shared" si="14"/>
        <v>42686</v>
      </c>
      <c r="AZ34" s="955">
        <f t="shared" si="15"/>
        <v>42736</v>
      </c>
      <c r="BA34" s="955">
        <f t="shared" si="16"/>
        <v>42654</v>
      </c>
      <c r="BB34" s="1105"/>
      <c r="BC34" s="1103"/>
      <c r="BD34" s="1105"/>
      <c r="BE34" s="1104">
        <f t="shared" ref="BE34:BE40" si="37">IF(K34&lt;&gt;"",(K34+90)-(WEEKDAY(K34+90,2)-2),"DIPC")</f>
        <v>42423</v>
      </c>
      <c r="BF34" s="460">
        <v>42423</v>
      </c>
      <c r="BG34" s="349" t="s">
        <v>271</v>
      </c>
      <c r="BH34" s="465">
        <v>42423</v>
      </c>
      <c r="BI34" s="349"/>
      <c r="BJ34" s="572"/>
      <c r="BS34" s="566"/>
      <c r="BT34" s="566"/>
    </row>
    <row r="35" spans="1:72" s="387" customFormat="1" ht="12" customHeight="1" x14ac:dyDescent="0.2">
      <c r="A35" s="484" t="s">
        <v>644</v>
      </c>
      <c r="B35" s="484" t="s">
        <v>644</v>
      </c>
      <c r="C35" s="379" t="s">
        <v>646</v>
      </c>
      <c r="D35" s="347" t="s">
        <v>310</v>
      </c>
      <c r="E35" s="347" t="s">
        <v>179</v>
      </c>
      <c r="F35" s="347"/>
      <c r="G35" s="347"/>
      <c r="H35" s="347"/>
      <c r="I35" s="1076">
        <v>42278</v>
      </c>
      <c r="J35" s="411">
        <v>42320</v>
      </c>
      <c r="K35" s="411">
        <v>42332</v>
      </c>
      <c r="L35" s="1077">
        <f t="shared" si="30"/>
        <v>42</v>
      </c>
      <c r="M35" s="381">
        <v>42320</v>
      </c>
      <c r="N35" s="381">
        <v>42686</v>
      </c>
      <c r="O35" s="381"/>
      <c r="P35" s="381"/>
      <c r="Q35" s="381">
        <v>42736</v>
      </c>
      <c r="R35" s="381" t="s">
        <v>16</v>
      </c>
      <c r="S35" s="347" t="s">
        <v>16</v>
      </c>
      <c r="T35" s="347"/>
      <c r="U35" s="383"/>
      <c r="V35" s="347"/>
      <c r="W35" s="347"/>
      <c r="X35" s="385">
        <v>37431</v>
      </c>
      <c r="Y35" s="761">
        <f t="shared" si="31"/>
        <v>13.528767123287672</v>
      </c>
      <c r="Z35" s="347" t="s">
        <v>13</v>
      </c>
      <c r="AA35" s="770" t="str">
        <f t="shared" si="23"/>
        <v/>
      </c>
      <c r="AB35" s="770" t="str">
        <f t="shared" si="24"/>
        <v/>
      </c>
      <c r="AC35" s="770" t="str">
        <f t="shared" si="27"/>
        <v>M</v>
      </c>
      <c r="AD35" s="770" t="str">
        <f t="shared" si="25"/>
        <v/>
      </c>
      <c r="AE35" s="770" t="str">
        <f t="shared" si="26"/>
        <v/>
      </c>
      <c r="AF35" s="770"/>
      <c r="AG35" s="770"/>
      <c r="AH35" s="770"/>
      <c r="AI35" s="770"/>
      <c r="AJ35" s="770"/>
      <c r="AK35" s="770"/>
      <c r="AL35" s="770">
        <f t="shared" si="28"/>
        <v>416</v>
      </c>
      <c r="AM35" s="770">
        <f t="shared" si="29"/>
        <v>1.1397260273972603</v>
      </c>
      <c r="AN35" s="770">
        <f t="shared" si="7"/>
        <v>1</v>
      </c>
      <c r="AO35" s="761">
        <f t="shared" si="32"/>
        <v>1.6767123287671231</v>
      </c>
      <c r="AP35" s="1074"/>
      <c r="AQ35" s="782">
        <f t="shared" si="33"/>
        <v>42370</v>
      </c>
      <c r="AR35" s="782">
        <f t="shared" si="10"/>
        <v>42736</v>
      </c>
      <c r="AS35" s="770">
        <f t="shared" si="34"/>
        <v>366</v>
      </c>
      <c r="AT35" s="790">
        <f>IF(AQ35&gt;'[1]calculs enfants présents'!$A$56,0,IF(Q35&lt;'[1]calculs enfants présents'!$A$56,Q35-AQ35,'[1]calculs enfants présents'!$A$56-AQ35))</f>
        <v>0</v>
      </c>
      <c r="AU35" s="790">
        <f t="shared" si="35"/>
        <v>31</v>
      </c>
      <c r="AV35" s="790">
        <f t="shared" si="36"/>
        <v>-31</v>
      </c>
      <c r="AW35" s="412"/>
      <c r="AX35" s="381">
        <v>42369</v>
      </c>
      <c r="AY35" s="955">
        <f t="shared" si="14"/>
        <v>42686</v>
      </c>
      <c r="AZ35" s="955">
        <f t="shared" si="15"/>
        <v>42736</v>
      </c>
      <c r="BA35" s="955">
        <f t="shared" si="16"/>
        <v>42654</v>
      </c>
      <c r="BB35" s="1105"/>
      <c r="BC35" s="1103"/>
      <c r="BD35" s="1105"/>
      <c r="BE35" s="1104">
        <f t="shared" si="37"/>
        <v>42423</v>
      </c>
      <c r="BF35" s="460">
        <v>42423</v>
      </c>
      <c r="BG35" s="349" t="s">
        <v>271</v>
      </c>
      <c r="BH35" s="465"/>
      <c r="BI35" s="349"/>
      <c r="BJ35" s="572"/>
    </row>
    <row r="36" spans="1:72" s="390" customFormat="1" ht="13.15" customHeight="1" x14ac:dyDescent="0.2">
      <c r="A36" s="484" t="s">
        <v>644</v>
      </c>
      <c r="B36" s="484" t="s">
        <v>644</v>
      </c>
      <c r="C36" s="379" t="s">
        <v>648</v>
      </c>
      <c r="D36" s="347" t="s">
        <v>179</v>
      </c>
      <c r="E36" s="347" t="s">
        <v>310</v>
      </c>
      <c r="F36" s="347"/>
      <c r="G36" s="347"/>
      <c r="H36" s="347"/>
      <c r="I36" s="1076">
        <v>42278</v>
      </c>
      <c r="J36" s="411">
        <v>42320</v>
      </c>
      <c r="K36" s="411">
        <v>42332</v>
      </c>
      <c r="L36" s="1077">
        <f t="shared" si="30"/>
        <v>42</v>
      </c>
      <c r="M36" s="381">
        <v>42320</v>
      </c>
      <c r="N36" s="381">
        <v>42686</v>
      </c>
      <c r="O36" s="381"/>
      <c r="P36" s="381"/>
      <c r="Q36" s="381">
        <v>42736</v>
      </c>
      <c r="R36" s="381" t="s">
        <v>16</v>
      </c>
      <c r="S36" s="347" t="s">
        <v>16</v>
      </c>
      <c r="T36" s="347"/>
      <c r="U36" s="383"/>
      <c r="V36" s="347"/>
      <c r="W36" s="347"/>
      <c r="X36" s="385">
        <v>39554</v>
      </c>
      <c r="Y36" s="761">
        <f t="shared" si="31"/>
        <v>7.7123287671232879</v>
      </c>
      <c r="Z36" s="347" t="s">
        <v>13</v>
      </c>
      <c r="AA36" s="770" t="str">
        <f t="shared" si="23"/>
        <v/>
      </c>
      <c r="AB36" s="770" t="str">
        <f t="shared" si="24"/>
        <v>M</v>
      </c>
      <c r="AC36" s="770" t="str">
        <f t="shared" si="27"/>
        <v/>
      </c>
      <c r="AD36" s="770" t="str">
        <f t="shared" si="25"/>
        <v/>
      </c>
      <c r="AE36" s="770" t="str">
        <f t="shared" si="26"/>
        <v/>
      </c>
      <c r="AF36" s="770"/>
      <c r="AG36" s="770"/>
      <c r="AH36" s="770"/>
      <c r="AI36" s="770"/>
      <c r="AJ36" s="770"/>
      <c r="AK36" s="770"/>
      <c r="AL36" s="770">
        <f t="shared" si="28"/>
        <v>416</v>
      </c>
      <c r="AM36" s="770">
        <f t="shared" si="29"/>
        <v>1.1397260273972603</v>
      </c>
      <c r="AN36" s="770">
        <f t="shared" si="7"/>
        <v>1</v>
      </c>
      <c r="AO36" s="761">
        <f t="shared" si="32"/>
        <v>1.6767123287671231</v>
      </c>
      <c r="AP36" s="1074"/>
      <c r="AQ36" s="782">
        <f t="shared" si="33"/>
        <v>42370</v>
      </c>
      <c r="AR36" s="782">
        <f t="shared" si="10"/>
        <v>42736</v>
      </c>
      <c r="AS36" s="770">
        <f t="shared" si="34"/>
        <v>366</v>
      </c>
      <c r="AT36" s="790">
        <f>IF(AQ36&gt;'[1]calculs enfants présents'!$A$56,0,IF(Q36&lt;'[1]calculs enfants présents'!$A$56,Q36-AQ36,'[1]calculs enfants présents'!$A$56-AQ36))</f>
        <v>0</v>
      </c>
      <c r="AU36" s="790">
        <f t="shared" si="35"/>
        <v>31</v>
      </c>
      <c r="AV36" s="790">
        <f t="shared" si="36"/>
        <v>-31</v>
      </c>
      <c r="AW36" s="412"/>
      <c r="AX36" s="381">
        <v>42369</v>
      </c>
      <c r="AY36" s="955">
        <f t="shared" si="14"/>
        <v>42686</v>
      </c>
      <c r="AZ36" s="955">
        <f t="shared" si="15"/>
        <v>42736</v>
      </c>
      <c r="BA36" s="955">
        <f t="shared" si="16"/>
        <v>42654</v>
      </c>
      <c r="BB36" s="1105"/>
      <c r="BC36" s="1103"/>
      <c r="BD36" s="1105"/>
      <c r="BE36" s="1104">
        <f t="shared" si="37"/>
        <v>42423</v>
      </c>
      <c r="BF36" s="460">
        <v>42423</v>
      </c>
      <c r="BG36" s="349" t="s">
        <v>271</v>
      </c>
      <c r="BH36" s="465"/>
      <c r="BI36" s="349"/>
      <c r="BJ36" s="572"/>
      <c r="BK36" s="566"/>
      <c r="BL36" s="566"/>
      <c r="BM36" s="566"/>
      <c r="BN36" s="566"/>
      <c r="BO36" s="566"/>
      <c r="BP36" s="566"/>
      <c r="BQ36" s="566"/>
      <c r="BR36" s="566"/>
      <c r="BS36" s="566"/>
      <c r="BT36" s="566"/>
    </row>
    <row r="37" spans="1:72" s="390" customFormat="1" ht="12.75" customHeight="1" x14ac:dyDescent="0.2">
      <c r="A37" s="484" t="s">
        <v>644</v>
      </c>
      <c r="B37" s="484" t="s">
        <v>644</v>
      </c>
      <c r="C37" s="379" t="s">
        <v>647</v>
      </c>
      <c r="D37" s="347" t="s">
        <v>179</v>
      </c>
      <c r="E37" s="347" t="s">
        <v>310</v>
      </c>
      <c r="F37" s="347"/>
      <c r="G37" s="347"/>
      <c r="H37" s="347"/>
      <c r="I37" s="1076">
        <v>42278</v>
      </c>
      <c r="J37" s="411">
        <v>42320</v>
      </c>
      <c r="K37" s="411">
        <v>42332</v>
      </c>
      <c r="L37" s="1077">
        <f t="shared" si="30"/>
        <v>42</v>
      </c>
      <c r="M37" s="381">
        <v>42320</v>
      </c>
      <c r="N37" s="381">
        <v>42686</v>
      </c>
      <c r="O37" s="381"/>
      <c r="P37" s="381"/>
      <c r="Q37" s="381">
        <v>42736</v>
      </c>
      <c r="R37" s="381" t="s">
        <v>16</v>
      </c>
      <c r="S37" s="347" t="s">
        <v>16</v>
      </c>
      <c r="T37" s="347"/>
      <c r="U37" s="383"/>
      <c r="V37" s="347"/>
      <c r="W37" s="347"/>
      <c r="X37" s="385">
        <v>38148</v>
      </c>
      <c r="Y37" s="761">
        <f t="shared" si="31"/>
        <v>11.564383561643835</v>
      </c>
      <c r="Z37" s="347" t="s">
        <v>13</v>
      </c>
      <c r="AA37" s="770" t="str">
        <f t="shared" si="23"/>
        <v/>
      </c>
      <c r="AB37" s="770" t="str">
        <f t="shared" si="24"/>
        <v/>
      </c>
      <c r="AC37" s="770" t="str">
        <f t="shared" si="27"/>
        <v>M</v>
      </c>
      <c r="AD37" s="770" t="str">
        <f t="shared" si="25"/>
        <v/>
      </c>
      <c r="AE37" s="770" t="str">
        <f t="shared" si="26"/>
        <v/>
      </c>
      <c r="AF37" s="770"/>
      <c r="AG37" s="770"/>
      <c r="AH37" s="770"/>
      <c r="AI37" s="770"/>
      <c r="AJ37" s="770"/>
      <c r="AK37" s="770"/>
      <c r="AL37" s="770">
        <f t="shared" si="28"/>
        <v>416</v>
      </c>
      <c r="AM37" s="770">
        <f t="shared" si="29"/>
        <v>1.1397260273972603</v>
      </c>
      <c r="AN37" s="770">
        <f t="shared" si="7"/>
        <v>1</v>
      </c>
      <c r="AO37" s="761">
        <f t="shared" si="32"/>
        <v>1.6767123287671231</v>
      </c>
      <c r="AP37" s="1074"/>
      <c r="AQ37" s="782">
        <f t="shared" si="33"/>
        <v>42370</v>
      </c>
      <c r="AR37" s="782">
        <f t="shared" si="10"/>
        <v>42736</v>
      </c>
      <c r="AS37" s="770">
        <f t="shared" si="34"/>
        <v>366</v>
      </c>
      <c r="AT37" s="790">
        <f>IF(AQ37&gt;'[1]calculs enfants présents'!$A$56,0,IF(Q37&lt;'[1]calculs enfants présents'!$A$56,Q37-AQ37,'[1]calculs enfants présents'!$A$56-AQ37))</f>
        <v>0</v>
      </c>
      <c r="AU37" s="790">
        <f t="shared" si="35"/>
        <v>31</v>
      </c>
      <c r="AV37" s="790">
        <f t="shared" si="36"/>
        <v>-31</v>
      </c>
      <c r="AW37" s="412"/>
      <c r="AX37" s="381">
        <v>42369</v>
      </c>
      <c r="AY37" s="955">
        <f t="shared" si="14"/>
        <v>42686</v>
      </c>
      <c r="AZ37" s="955">
        <f t="shared" si="15"/>
        <v>42736</v>
      </c>
      <c r="BA37" s="955">
        <f t="shared" si="16"/>
        <v>42654</v>
      </c>
      <c r="BB37" s="1105"/>
      <c r="BC37" s="1103"/>
      <c r="BD37" s="1105"/>
      <c r="BE37" s="1104">
        <f t="shared" si="37"/>
        <v>42423</v>
      </c>
      <c r="BF37" s="460">
        <v>42423</v>
      </c>
      <c r="BG37" s="349" t="s">
        <v>271</v>
      </c>
      <c r="BH37" s="465"/>
      <c r="BI37" s="349"/>
      <c r="BJ37" s="572"/>
      <c r="BK37" s="645"/>
      <c r="BL37" s="645"/>
      <c r="BM37" s="645"/>
      <c r="BN37" s="645"/>
      <c r="BO37" s="645"/>
      <c r="BP37" s="645"/>
      <c r="BQ37" s="645"/>
      <c r="BR37" s="645"/>
      <c r="BS37" s="645"/>
      <c r="BT37" s="645"/>
    </row>
    <row r="38" spans="1:72" s="387" customFormat="1" ht="12.75" customHeight="1" x14ac:dyDescent="0.2">
      <c r="A38" s="484" t="s">
        <v>642</v>
      </c>
      <c r="B38" s="484" t="s">
        <v>534</v>
      </c>
      <c r="C38" s="379" t="s">
        <v>535</v>
      </c>
      <c r="D38" s="347" t="s">
        <v>70</v>
      </c>
      <c r="E38" s="347" t="s">
        <v>310</v>
      </c>
      <c r="F38" s="347"/>
      <c r="G38" s="347"/>
      <c r="H38" s="347"/>
      <c r="I38" s="1076">
        <v>42145</v>
      </c>
      <c r="J38" s="411">
        <v>42282</v>
      </c>
      <c r="K38" s="411">
        <v>42335</v>
      </c>
      <c r="L38" s="1077">
        <f t="shared" si="30"/>
        <v>137</v>
      </c>
      <c r="M38" s="381">
        <v>42282</v>
      </c>
      <c r="N38" s="381">
        <v>42648</v>
      </c>
      <c r="O38" s="381"/>
      <c r="P38" s="381"/>
      <c r="Q38" s="381">
        <v>42736</v>
      </c>
      <c r="R38" s="381" t="s">
        <v>16</v>
      </c>
      <c r="S38" s="347" t="s">
        <v>20</v>
      </c>
      <c r="T38" s="347"/>
      <c r="U38" s="383"/>
      <c r="V38" s="347"/>
      <c r="W38" s="347"/>
      <c r="X38" s="385">
        <v>40112</v>
      </c>
      <c r="Y38" s="761">
        <f t="shared" si="31"/>
        <v>6.183561643835616</v>
      </c>
      <c r="Z38" s="347" t="s">
        <v>21</v>
      </c>
      <c r="AA38" s="770" t="str">
        <f t="shared" si="23"/>
        <v/>
      </c>
      <c r="AB38" s="770" t="str">
        <f t="shared" si="24"/>
        <v>F</v>
      </c>
      <c r="AC38" s="770" t="str">
        <f t="shared" si="27"/>
        <v/>
      </c>
      <c r="AD38" s="770" t="str">
        <f t="shared" si="25"/>
        <v/>
      </c>
      <c r="AE38" s="770" t="str">
        <f t="shared" si="26"/>
        <v/>
      </c>
      <c r="AF38" s="770"/>
      <c r="AG38" s="770"/>
      <c r="AH38" s="770"/>
      <c r="AI38" s="770"/>
      <c r="AJ38" s="770"/>
      <c r="AK38" s="770"/>
      <c r="AL38" s="770">
        <f t="shared" si="28"/>
        <v>454</v>
      </c>
      <c r="AM38" s="770">
        <f t="shared" si="29"/>
        <v>1.2438356164383562</v>
      </c>
      <c r="AN38" s="770">
        <f t="shared" si="7"/>
        <v>1</v>
      </c>
      <c r="AO38" s="761">
        <f t="shared" si="32"/>
        <v>2.9260273972602739</v>
      </c>
      <c r="AP38" s="1074"/>
      <c r="AQ38" s="782">
        <f t="shared" si="33"/>
        <v>42370</v>
      </c>
      <c r="AR38" s="782">
        <f t="shared" si="10"/>
        <v>42736</v>
      </c>
      <c r="AS38" s="770">
        <f t="shared" si="34"/>
        <v>366</v>
      </c>
      <c r="AT38" s="790">
        <f>IF(AQ38&gt;'[1]calculs enfants présents'!$A$56,0,IF(Q38&lt;'[1]calculs enfants présents'!$A$56,Q38-AQ38,'[1]calculs enfants présents'!$A$56-AQ38))</f>
        <v>0</v>
      </c>
      <c r="AU38" s="790">
        <f t="shared" si="35"/>
        <v>31</v>
      </c>
      <c r="AV38" s="790">
        <f t="shared" si="36"/>
        <v>-31</v>
      </c>
      <c r="AW38" s="412"/>
      <c r="AX38" s="381">
        <v>42369</v>
      </c>
      <c r="AY38" s="955">
        <f t="shared" si="14"/>
        <v>42648</v>
      </c>
      <c r="AZ38" s="955">
        <f t="shared" si="15"/>
        <v>42736</v>
      </c>
      <c r="BA38" s="955">
        <f t="shared" si="16"/>
        <v>42619</v>
      </c>
      <c r="BB38" s="1105"/>
      <c r="BC38" s="1103"/>
      <c r="BD38" s="1105"/>
      <c r="BE38" s="1104">
        <f t="shared" si="37"/>
        <v>42423</v>
      </c>
      <c r="BF38" s="460">
        <v>42409</v>
      </c>
      <c r="BG38" s="349" t="s">
        <v>274</v>
      </c>
      <c r="BH38" s="460">
        <v>42409</v>
      </c>
      <c r="BI38" s="349"/>
      <c r="BJ38" s="572"/>
    </row>
    <row r="39" spans="1:72" s="387" customFormat="1" ht="12.75" customHeight="1" x14ac:dyDescent="0.2">
      <c r="A39" s="484" t="s">
        <v>693</v>
      </c>
      <c r="B39" s="484" t="s">
        <v>693</v>
      </c>
      <c r="C39" s="379" t="s">
        <v>568</v>
      </c>
      <c r="D39" s="347" t="s">
        <v>183</v>
      </c>
      <c r="E39" s="347" t="s">
        <v>70</v>
      </c>
      <c r="F39" s="347"/>
      <c r="G39" s="347"/>
      <c r="H39" s="347"/>
      <c r="I39" s="1076">
        <v>42311</v>
      </c>
      <c r="J39" s="411">
        <v>42352</v>
      </c>
      <c r="K39" s="411">
        <v>42374</v>
      </c>
      <c r="L39" s="1077">
        <f t="shared" si="30"/>
        <v>41</v>
      </c>
      <c r="M39" s="411">
        <v>42352</v>
      </c>
      <c r="N39" s="411">
        <v>42718</v>
      </c>
      <c r="O39" s="411"/>
      <c r="P39" s="411"/>
      <c r="Q39" s="411">
        <v>42736</v>
      </c>
      <c r="R39" s="381" t="s">
        <v>156</v>
      </c>
      <c r="S39" s="347" t="s">
        <v>156</v>
      </c>
      <c r="T39" s="347"/>
      <c r="U39" s="383"/>
      <c r="V39" s="347"/>
      <c r="W39" s="347"/>
      <c r="X39" s="385">
        <v>37914</v>
      </c>
      <c r="Y39" s="761">
        <f t="shared" si="31"/>
        <v>12.205479452054794</v>
      </c>
      <c r="Z39" s="347" t="s">
        <v>13</v>
      </c>
      <c r="AA39" s="770"/>
      <c r="AB39" s="770"/>
      <c r="AC39" s="770"/>
      <c r="AD39" s="770"/>
      <c r="AE39" s="770"/>
      <c r="AF39" s="770"/>
      <c r="AG39" s="770"/>
      <c r="AH39" s="770"/>
      <c r="AI39" s="770"/>
      <c r="AJ39" s="770"/>
      <c r="AK39" s="770"/>
      <c r="AL39" s="770"/>
      <c r="AM39" s="770"/>
      <c r="AN39" s="770"/>
      <c r="AO39" s="761">
        <f t="shared" si="32"/>
        <v>0</v>
      </c>
      <c r="AP39" s="1074"/>
      <c r="AQ39" s="782">
        <f t="shared" si="33"/>
        <v>42370</v>
      </c>
      <c r="AR39" s="782">
        <v>42370</v>
      </c>
      <c r="AS39" s="770">
        <f t="shared" si="34"/>
        <v>366</v>
      </c>
      <c r="AT39" s="790">
        <f>IF(AQ39&gt;'[1]calculs enfants présents'!$A$56,0,IF(Q39&lt;'[1]calculs enfants présents'!$A$56,Q39-AQ39,'[1]calculs enfants présents'!$A$56-AQ39))</f>
        <v>0</v>
      </c>
      <c r="AU39" s="790">
        <f t="shared" si="35"/>
        <v>31</v>
      </c>
      <c r="AV39" s="790">
        <f t="shared" si="36"/>
        <v>-31</v>
      </c>
      <c r="AW39" s="412"/>
      <c r="AX39" s="381">
        <v>42369</v>
      </c>
      <c r="AY39" s="1119"/>
      <c r="AZ39" s="1119"/>
      <c r="BA39" s="1119"/>
      <c r="BB39" s="1105"/>
      <c r="BC39" s="1103"/>
      <c r="BD39" s="1076"/>
      <c r="BE39" s="1119">
        <f t="shared" si="37"/>
        <v>42465</v>
      </c>
      <c r="BF39" s="459"/>
      <c r="BG39" s="322"/>
      <c r="BH39" s="460"/>
      <c r="BJ39" s="382"/>
      <c r="BK39" s="645"/>
      <c r="BL39" s="645"/>
      <c r="BM39" s="645"/>
      <c r="BN39" s="645"/>
      <c r="BO39" s="645"/>
      <c r="BP39" s="645"/>
      <c r="BQ39" s="645"/>
      <c r="BR39" s="645"/>
      <c r="BS39" s="645"/>
      <c r="BT39" s="645"/>
    </row>
    <row r="40" spans="1:72" s="387" customFormat="1" ht="13.15" customHeight="1" x14ac:dyDescent="0.2">
      <c r="A40" s="484" t="s">
        <v>829</v>
      </c>
      <c r="B40" s="484" t="s">
        <v>746</v>
      </c>
      <c r="C40" s="379" t="s">
        <v>747</v>
      </c>
      <c r="D40" s="347" t="s">
        <v>138</v>
      </c>
      <c r="E40" s="347" t="s">
        <v>179</v>
      </c>
      <c r="F40" s="347"/>
      <c r="G40" s="347"/>
      <c r="H40" s="347"/>
      <c r="I40" s="1076">
        <v>42325</v>
      </c>
      <c r="J40" s="411">
        <v>42346</v>
      </c>
      <c r="K40" s="411">
        <v>42375</v>
      </c>
      <c r="L40" s="1077">
        <f t="shared" si="30"/>
        <v>21</v>
      </c>
      <c r="M40" s="411">
        <v>42346</v>
      </c>
      <c r="N40" s="411">
        <v>42712</v>
      </c>
      <c r="O40" s="411"/>
      <c r="P40" s="411"/>
      <c r="Q40" s="411">
        <v>42736</v>
      </c>
      <c r="R40" s="381" t="s">
        <v>156</v>
      </c>
      <c r="S40" s="347" t="s">
        <v>62</v>
      </c>
      <c r="T40" s="347"/>
      <c r="U40" s="383"/>
      <c r="V40" s="347"/>
      <c r="W40" s="347"/>
      <c r="X40" s="385">
        <v>36192</v>
      </c>
      <c r="Y40" s="761">
        <f t="shared" si="31"/>
        <v>16.923287671232877</v>
      </c>
      <c r="Z40" s="347" t="s">
        <v>13</v>
      </c>
      <c r="AA40" s="770"/>
      <c r="AB40" s="770"/>
      <c r="AC40" s="770"/>
      <c r="AD40" s="770"/>
      <c r="AE40" s="770"/>
      <c r="AF40" s="770"/>
      <c r="AG40" s="770"/>
      <c r="AH40" s="770"/>
      <c r="AI40" s="770"/>
      <c r="AJ40" s="770"/>
      <c r="AK40" s="770"/>
      <c r="AL40" s="770"/>
      <c r="AM40" s="770"/>
      <c r="AN40" s="770"/>
      <c r="AO40" s="761">
        <f t="shared" si="32"/>
        <v>0</v>
      </c>
      <c r="AP40" s="1074"/>
      <c r="AQ40" s="782">
        <f t="shared" si="33"/>
        <v>42370</v>
      </c>
      <c r="AR40" s="782">
        <f t="shared" ref="AR40:AR65" si="38">Q40</f>
        <v>42736</v>
      </c>
      <c r="AS40" s="770">
        <f t="shared" si="34"/>
        <v>366</v>
      </c>
      <c r="AT40" s="790">
        <f>IF(AQ40&gt;'[1]calculs enfants présents'!$A$56,0,IF(Q40&lt;'[1]calculs enfants présents'!$A$56,Q40-AQ40,'[1]calculs enfants présents'!$A$56-AQ40))</f>
        <v>0</v>
      </c>
      <c r="AU40" s="790">
        <f t="shared" si="35"/>
        <v>31</v>
      </c>
      <c r="AV40" s="790">
        <f t="shared" si="36"/>
        <v>-31</v>
      </c>
      <c r="AW40" s="412"/>
      <c r="AX40" s="381">
        <v>42369</v>
      </c>
      <c r="AY40" s="955">
        <f t="shared" ref="AY40:AY65" si="39">N40</f>
        <v>42712</v>
      </c>
      <c r="AZ40" s="955">
        <f t="shared" ref="AZ40:AZ65" si="40">AR40</f>
        <v>42736</v>
      </c>
      <c r="BA40" s="955">
        <f t="shared" ref="BA40:BA65" si="41">(N40-30)-(WEEKDAY(N40-30,2)-2)</f>
        <v>42682</v>
      </c>
      <c r="BB40" s="1105"/>
      <c r="BC40" s="1103"/>
      <c r="BD40" s="1076"/>
      <c r="BE40" s="1119">
        <f t="shared" si="37"/>
        <v>42465</v>
      </c>
      <c r="BF40" s="459"/>
      <c r="BG40" s="322"/>
      <c r="BH40" s="460"/>
      <c r="BJ40" s="382"/>
      <c r="BS40" s="506"/>
      <c r="BT40" s="506"/>
    </row>
    <row r="41" spans="1:72" s="566" customFormat="1" ht="12.75" customHeight="1" x14ac:dyDescent="0.2">
      <c r="A41" s="484" t="s">
        <v>624</v>
      </c>
      <c r="B41" s="484" t="s">
        <v>315</v>
      </c>
      <c r="C41" s="379" t="s">
        <v>373</v>
      </c>
      <c r="D41" s="347" t="s">
        <v>183</v>
      </c>
      <c r="E41" s="347"/>
      <c r="F41" s="347"/>
      <c r="G41" s="347"/>
      <c r="H41" s="347"/>
      <c r="I41" s="1076"/>
      <c r="J41" s="411">
        <v>41872</v>
      </c>
      <c r="K41" s="411"/>
      <c r="L41" s="1077" t="str">
        <f t="shared" si="30"/>
        <v/>
      </c>
      <c r="M41" s="381">
        <v>42131</v>
      </c>
      <c r="N41" s="381">
        <v>42487</v>
      </c>
      <c r="O41" s="381"/>
      <c r="P41" s="381"/>
      <c r="Q41" s="381">
        <v>42736</v>
      </c>
      <c r="R41" s="381" t="s">
        <v>16</v>
      </c>
      <c r="S41" s="347" t="s">
        <v>20</v>
      </c>
      <c r="T41" s="347"/>
      <c r="U41" s="383"/>
      <c r="V41" s="347"/>
      <c r="W41" s="347"/>
      <c r="X41" s="385">
        <v>35912</v>
      </c>
      <c r="Y41" s="761">
        <f t="shared" si="31"/>
        <v>17.69041095890411</v>
      </c>
      <c r="Z41" s="347" t="s">
        <v>13</v>
      </c>
      <c r="AA41" s="770" t="str">
        <f t="shared" ref="AA41:AA50" si="42">IF(Y41&lt;6,IF(Z41="M","M","F"),"")</f>
        <v/>
      </c>
      <c r="AB41" s="770" t="str">
        <f t="shared" ref="AB41:AB50" si="43">IF(AND(Y41&gt;=6,Y41&lt;11),IF(Z41="M","M","F"),"")</f>
        <v/>
      </c>
      <c r="AC41" s="770" t="str">
        <f t="shared" ref="AC41:AC50" si="44">IF(AND(Y41&gt;=11,Y41&lt;15),IF(Z41="M","M","F"),"")</f>
        <v/>
      </c>
      <c r="AD41" s="770" t="str">
        <f t="shared" ref="AD41:AD50" si="45">IF(AND(Y41&gt;=15,Y41&lt;18),IF(Z41="M","M","F"),"")</f>
        <v>M</v>
      </c>
      <c r="AE41" s="770" t="str">
        <f t="shared" ref="AE41:AE50" si="46">IF(Y41&gt;18,IF(Z41="M","M","F"),"")</f>
        <v/>
      </c>
      <c r="AF41" s="770"/>
      <c r="AG41" s="770"/>
      <c r="AH41" s="770"/>
      <c r="AI41" s="770"/>
      <c r="AJ41" s="770"/>
      <c r="AK41" s="770"/>
      <c r="AL41" s="770"/>
      <c r="AM41" s="770"/>
      <c r="AN41" s="770">
        <f t="shared" ref="AN41:AN57" si="47">INT(AM41)</f>
        <v>0</v>
      </c>
      <c r="AO41" s="761">
        <f t="shared" si="32"/>
        <v>0</v>
      </c>
      <c r="AP41" s="1074"/>
      <c r="AQ41" s="782">
        <f t="shared" si="33"/>
        <v>42370</v>
      </c>
      <c r="AR41" s="782">
        <f t="shared" si="38"/>
        <v>42736</v>
      </c>
      <c r="AS41" s="770">
        <f t="shared" si="34"/>
        <v>366</v>
      </c>
      <c r="AT41" s="790">
        <f>IF(AQ41&gt;'[1]calculs enfants présents'!$A$56,0,IF(Q41&lt;'[1]calculs enfants présents'!$A$56,Q41-AQ41,'[1]calculs enfants présents'!$A$56-AQ41))</f>
        <v>0</v>
      </c>
      <c r="AU41" s="790">
        <f t="shared" si="35"/>
        <v>31</v>
      </c>
      <c r="AV41" s="790">
        <f t="shared" si="36"/>
        <v>-31</v>
      </c>
      <c r="AW41" s="412"/>
      <c r="AX41" s="381">
        <v>42369</v>
      </c>
      <c r="AY41" s="955">
        <f t="shared" si="39"/>
        <v>42487</v>
      </c>
      <c r="AZ41" s="955">
        <f t="shared" si="40"/>
        <v>42736</v>
      </c>
      <c r="BA41" s="955">
        <f t="shared" si="41"/>
        <v>42458</v>
      </c>
      <c r="BB41" s="1105"/>
      <c r="BC41" s="1103"/>
      <c r="BD41" s="1076"/>
      <c r="BE41" s="1104">
        <f t="shared" ref="BE41:BE50" si="48">(J41+90)-(WEEKDAY(J41+90,2)-2)</f>
        <v>41961</v>
      </c>
      <c r="BF41" s="460"/>
      <c r="BG41" s="349"/>
      <c r="BH41" s="465"/>
      <c r="BI41" s="390"/>
      <c r="BJ41" s="382"/>
      <c r="BK41" s="612"/>
      <c r="BL41" s="612"/>
      <c r="BM41" s="612"/>
      <c r="BN41" s="612"/>
      <c r="BO41" s="612"/>
      <c r="BP41" s="612"/>
      <c r="BQ41" s="612"/>
      <c r="BR41" s="612"/>
      <c r="BS41" s="387"/>
      <c r="BT41" s="387"/>
    </row>
    <row r="42" spans="1:72" s="652" customFormat="1" ht="13.15" customHeight="1" x14ac:dyDescent="0.2">
      <c r="A42" s="484" t="s">
        <v>624</v>
      </c>
      <c r="B42" s="484" t="s">
        <v>315</v>
      </c>
      <c r="C42" s="379" t="s">
        <v>372</v>
      </c>
      <c r="D42" s="347" t="s">
        <v>183</v>
      </c>
      <c r="E42" s="347"/>
      <c r="F42" s="347"/>
      <c r="G42" s="347"/>
      <c r="H42" s="347"/>
      <c r="I42" s="1076"/>
      <c r="J42" s="411">
        <v>41872</v>
      </c>
      <c r="K42" s="411"/>
      <c r="L42" s="1077" t="str">
        <f t="shared" si="30"/>
        <v/>
      </c>
      <c r="M42" s="381">
        <v>42131</v>
      </c>
      <c r="N42" s="381">
        <v>42497</v>
      </c>
      <c r="O42" s="381"/>
      <c r="P42" s="381"/>
      <c r="Q42" s="381">
        <v>42736</v>
      </c>
      <c r="R42" s="381" t="s">
        <v>16</v>
      </c>
      <c r="S42" s="347" t="s">
        <v>20</v>
      </c>
      <c r="T42" s="347"/>
      <c r="U42" s="383"/>
      <c r="V42" s="347"/>
      <c r="W42" s="347"/>
      <c r="X42" s="385">
        <v>37588</v>
      </c>
      <c r="Y42" s="761">
        <f t="shared" si="31"/>
        <v>13.098630136986301</v>
      </c>
      <c r="Z42" s="347" t="s">
        <v>21</v>
      </c>
      <c r="AA42" s="770" t="str">
        <f t="shared" si="42"/>
        <v/>
      </c>
      <c r="AB42" s="770" t="str">
        <f t="shared" si="43"/>
        <v/>
      </c>
      <c r="AC42" s="770" t="str">
        <f t="shared" si="44"/>
        <v>F</v>
      </c>
      <c r="AD42" s="770" t="str">
        <f t="shared" si="45"/>
        <v/>
      </c>
      <c r="AE42" s="770" t="str">
        <f t="shared" si="46"/>
        <v/>
      </c>
      <c r="AF42" s="770"/>
      <c r="AG42" s="770"/>
      <c r="AH42" s="770"/>
      <c r="AI42" s="770"/>
      <c r="AJ42" s="770"/>
      <c r="AK42" s="770"/>
      <c r="AL42" s="770"/>
      <c r="AM42" s="770"/>
      <c r="AN42" s="770">
        <f t="shared" si="47"/>
        <v>0</v>
      </c>
      <c r="AO42" s="761">
        <f t="shared" si="32"/>
        <v>0</v>
      </c>
      <c r="AP42" s="1074"/>
      <c r="AQ42" s="782">
        <f t="shared" si="33"/>
        <v>42370</v>
      </c>
      <c r="AR42" s="782">
        <f t="shared" si="38"/>
        <v>42736</v>
      </c>
      <c r="AS42" s="770">
        <f t="shared" si="34"/>
        <v>366</v>
      </c>
      <c r="AT42" s="790">
        <f>IF(AQ42&gt;'[1]calculs enfants présents'!$A$56,0,IF(Q42&lt;'[1]calculs enfants présents'!$A$56,Q42-AQ42,'[1]calculs enfants présents'!$A$56-AQ42))</f>
        <v>0</v>
      </c>
      <c r="AU42" s="790">
        <f t="shared" si="35"/>
        <v>31</v>
      </c>
      <c r="AV42" s="790">
        <f t="shared" si="36"/>
        <v>-31</v>
      </c>
      <c r="AW42" s="412"/>
      <c r="AX42" s="381">
        <v>42369</v>
      </c>
      <c r="AY42" s="955">
        <f t="shared" si="39"/>
        <v>42497</v>
      </c>
      <c r="AZ42" s="955">
        <f t="shared" si="40"/>
        <v>42736</v>
      </c>
      <c r="BA42" s="955">
        <f t="shared" si="41"/>
        <v>42465</v>
      </c>
      <c r="BB42" s="1105"/>
      <c r="BC42" s="1103"/>
      <c r="BD42" s="1076"/>
      <c r="BE42" s="1104">
        <f t="shared" si="48"/>
        <v>41961</v>
      </c>
      <c r="BF42" s="460"/>
      <c r="BG42" s="349"/>
      <c r="BH42" s="465"/>
      <c r="BI42" s="390"/>
      <c r="BJ42" s="382"/>
      <c r="BK42" s="401"/>
      <c r="BL42" s="401"/>
      <c r="BM42" s="401"/>
      <c r="BN42" s="401"/>
      <c r="BO42" s="401"/>
      <c r="BP42" s="401"/>
      <c r="BQ42" s="401"/>
      <c r="BR42" s="401"/>
      <c r="BS42" s="401"/>
      <c r="BT42" s="401"/>
    </row>
    <row r="43" spans="1:72" ht="12.75" customHeight="1" x14ac:dyDescent="0.2">
      <c r="A43" s="484" t="s">
        <v>624</v>
      </c>
      <c r="B43" s="484" t="s">
        <v>315</v>
      </c>
      <c r="C43" s="379" t="s">
        <v>322</v>
      </c>
      <c r="D43" s="347" t="s">
        <v>310</v>
      </c>
      <c r="E43" s="347"/>
      <c r="F43" s="347"/>
      <c r="I43" s="1076">
        <v>41745</v>
      </c>
      <c r="J43" s="411">
        <v>41766</v>
      </c>
      <c r="K43" s="411"/>
      <c r="L43" s="1077">
        <f t="shared" si="30"/>
        <v>21</v>
      </c>
      <c r="M43" s="381">
        <v>42131</v>
      </c>
      <c r="N43" s="381">
        <v>42497</v>
      </c>
      <c r="O43" s="381"/>
      <c r="P43" s="381"/>
      <c r="Q43" s="381">
        <v>42736</v>
      </c>
      <c r="R43" s="381" t="s">
        <v>16</v>
      </c>
      <c r="S43" s="347" t="s">
        <v>20</v>
      </c>
      <c r="V43" s="347"/>
      <c r="W43" s="347"/>
      <c r="X43" s="385">
        <v>39414</v>
      </c>
      <c r="Y43" s="761">
        <f t="shared" si="31"/>
        <v>8.0958904109589049</v>
      </c>
      <c r="Z43" s="347" t="s">
        <v>13</v>
      </c>
      <c r="AA43" s="770" t="str">
        <f t="shared" si="42"/>
        <v/>
      </c>
      <c r="AB43" s="770" t="str">
        <f t="shared" si="43"/>
        <v>M</v>
      </c>
      <c r="AC43" s="770" t="str">
        <f t="shared" si="44"/>
        <v/>
      </c>
      <c r="AD43" s="770" t="str">
        <f t="shared" si="45"/>
        <v/>
      </c>
      <c r="AE43" s="770" t="str">
        <f t="shared" si="46"/>
        <v/>
      </c>
      <c r="AG43" s="770"/>
      <c r="AH43" s="770"/>
      <c r="AI43" s="770"/>
      <c r="AJ43" s="770"/>
      <c r="AK43" s="770"/>
      <c r="AL43" s="770"/>
      <c r="AN43" s="770">
        <f t="shared" si="47"/>
        <v>0</v>
      </c>
      <c r="AO43" s="761">
        <f t="shared" si="32"/>
        <v>0</v>
      </c>
      <c r="AP43" s="1074"/>
      <c r="AQ43" s="782">
        <f t="shared" si="33"/>
        <v>42370</v>
      </c>
      <c r="AR43" s="782">
        <f t="shared" si="38"/>
        <v>42736</v>
      </c>
      <c r="AS43" s="770">
        <f t="shared" si="34"/>
        <v>366</v>
      </c>
      <c r="AT43" s="790">
        <f>IF(AQ43&gt;'[1]calculs enfants présents'!$A$56,0,IF(Q43&lt;'[1]calculs enfants présents'!$A$56,Q43-AQ43,'[1]calculs enfants présents'!$A$56-AQ43))</f>
        <v>0</v>
      </c>
      <c r="AU43" s="790">
        <f t="shared" si="35"/>
        <v>31</v>
      </c>
      <c r="AV43" s="790">
        <f t="shared" si="36"/>
        <v>-31</v>
      </c>
      <c r="AW43" s="412"/>
      <c r="AX43" s="381">
        <v>42369</v>
      </c>
      <c r="AY43" s="955">
        <f t="shared" si="39"/>
        <v>42497</v>
      </c>
      <c r="AZ43" s="955">
        <f t="shared" si="40"/>
        <v>42736</v>
      </c>
      <c r="BA43" s="955">
        <f t="shared" si="41"/>
        <v>42465</v>
      </c>
      <c r="BB43" s="1105"/>
      <c r="BC43" s="1103"/>
      <c r="BD43" s="1105"/>
      <c r="BE43" s="1104">
        <f t="shared" si="48"/>
        <v>41856</v>
      </c>
      <c r="BF43" s="460"/>
      <c r="BG43" s="349"/>
      <c r="BH43" s="465"/>
      <c r="BI43" s="390"/>
      <c r="BJ43" s="382"/>
      <c r="BK43" s="582"/>
      <c r="BL43" s="582"/>
      <c r="BM43" s="582"/>
      <c r="BN43" s="582"/>
      <c r="BO43" s="582"/>
      <c r="BP43" s="582"/>
      <c r="BQ43" s="582"/>
      <c r="BR43" s="582"/>
      <c r="BS43" s="582"/>
      <c r="BT43" s="582"/>
    </row>
    <row r="44" spans="1:72" s="630" customFormat="1" ht="12" customHeight="1" x14ac:dyDescent="0.2">
      <c r="A44" s="484" t="s">
        <v>624</v>
      </c>
      <c r="B44" s="484" t="s">
        <v>315</v>
      </c>
      <c r="C44" s="379" t="s">
        <v>371</v>
      </c>
      <c r="D44" s="347" t="s">
        <v>310</v>
      </c>
      <c r="E44" s="347"/>
      <c r="F44" s="347"/>
      <c r="G44" s="347"/>
      <c r="H44" s="347"/>
      <c r="I44" s="1076"/>
      <c r="J44" s="411">
        <v>41872</v>
      </c>
      <c r="K44" s="411"/>
      <c r="L44" s="1077" t="str">
        <f t="shared" si="30"/>
        <v/>
      </c>
      <c r="M44" s="381">
        <v>42131</v>
      </c>
      <c r="N44" s="381">
        <v>42497</v>
      </c>
      <c r="O44" s="381"/>
      <c r="P44" s="381"/>
      <c r="Q44" s="381">
        <v>42736</v>
      </c>
      <c r="R44" s="381" t="s">
        <v>16</v>
      </c>
      <c r="S44" s="347" t="s">
        <v>20</v>
      </c>
      <c r="T44" s="347"/>
      <c r="U44" s="383"/>
      <c r="V44" s="347"/>
      <c r="W44" s="347"/>
      <c r="X44" s="385">
        <v>36796</v>
      </c>
      <c r="Y44" s="761">
        <f t="shared" si="31"/>
        <v>15.268493150684931</v>
      </c>
      <c r="Z44" s="347" t="s">
        <v>13</v>
      </c>
      <c r="AA44" s="770" t="str">
        <f t="shared" si="42"/>
        <v/>
      </c>
      <c r="AB44" s="770" t="str">
        <f t="shared" si="43"/>
        <v/>
      </c>
      <c r="AC44" s="770" t="str">
        <f t="shared" si="44"/>
        <v/>
      </c>
      <c r="AD44" s="770" t="str">
        <f t="shared" si="45"/>
        <v>M</v>
      </c>
      <c r="AE44" s="770" t="str">
        <f t="shared" si="46"/>
        <v/>
      </c>
      <c r="AF44" s="770"/>
      <c r="AG44" s="770"/>
      <c r="AH44" s="770"/>
      <c r="AI44" s="770"/>
      <c r="AJ44" s="770"/>
      <c r="AK44" s="770"/>
      <c r="AL44" s="770"/>
      <c r="AM44" s="770"/>
      <c r="AN44" s="770">
        <f t="shared" si="47"/>
        <v>0</v>
      </c>
      <c r="AO44" s="761">
        <f t="shared" si="32"/>
        <v>0</v>
      </c>
      <c r="AP44" s="1074"/>
      <c r="AQ44" s="782">
        <f t="shared" si="33"/>
        <v>42370</v>
      </c>
      <c r="AR44" s="782">
        <f t="shared" si="38"/>
        <v>42736</v>
      </c>
      <c r="AS44" s="770">
        <f t="shared" si="34"/>
        <v>366</v>
      </c>
      <c r="AT44" s="790">
        <f>IF(AQ44&gt;'[1]calculs enfants présents'!$A$56,0,IF(Q44&lt;'[1]calculs enfants présents'!$A$56,Q44-AQ44,'[1]calculs enfants présents'!$A$56-AQ44))</f>
        <v>0</v>
      </c>
      <c r="AU44" s="790">
        <f t="shared" si="35"/>
        <v>31</v>
      </c>
      <c r="AV44" s="790">
        <f t="shared" si="36"/>
        <v>-31</v>
      </c>
      <c r="AW44" s="412"/>
      <c r="AX44" s="381">
        <v>42369</v>
      </c>
      <c r="AY44" s="955">
        <f t="shared" si="39"/>
        <v>42497</v>
      </c>
      <c r="AZ44" s="955">
        <f t="shared" si="40"/>
        <v>42736</v>
      </c>
      <c r="BA44" s="955">
        <f t="shared" si="41"/>
        <v>42465</v>
      </c>
      <c r="BB44" s="1105"/>
      <c r="BC44" s="1103"/>
      <c r="BD44" s="1076"/>
      <c r="BE44" s="1104">
        <f t="shared" si="48"/>
        <v>41961</v>
      </c>
      <c r="BF44" s="460"/>
      <c r="BG44" s="349"/>
      <c r="BH44" s="465"/>
      <c r="BI44" s="390"/>
      <c r="BJ44" s="382"/>
      <c r="BK44" s="387"/>
      <c r="BL44" s="387"/>
      <c r="BM44" s="387"/>
      <c r="BN44" s="387"/>
      <c r="BO44" s="387"/>
      <c r="BP44" s="387"/>
      <c r="BQ44" s="387"/>
      <c r="BR44" s="387"/>
      <c r="BS44" s="387"/>
      <c r="BT44" s="387"/>
    </row>
    <row r="45" spans="1:72" s="387" customFormat="1" x14ac:dyDescent="0.2">
      <c r="A45" s="484" t="s">
        <v>830</v>
      </c>
      <c r="B45" s="484" t="s">
        <v>600</v>
      </c>
      <c r="C45" s="379" t="s">
        <v>601</v>
      </c>
      <c r="D45" s="347" t="s">
        <v>138</v>
      </c>
      <c r="E45" s="347" t="s">
        <v>183</v>
      </c>
      <c r="F45" s="347"/>
      <c r="G45" s="347"/>
      <c r="H45" s="347"/>
      <c r="I45" s="1076">
        <v>42200</v>
      </c>
      <c r="J45" s="411">
        <v>42261</v>
      </c>
      <c r="K45" s="411">
        <v>42270</v>
      </c>
      <c r="L45" s="1078">
        <f t="shared" si="30"/>
        <v>61</v>
      </c>
      <c r="M45" s="381">
        <v>42261</v>
      </c>
      <c r="N45" s="381">
        <v>42627</v>
      </c>
      <c r="O45" s="381"/>
      <c r="P45" s="381"/>
      <c r="Q45" s="381">
        <v>42736</v>
      </c>
      <c r="R45" s="381" t="s">
        <v>156</v>
      </c>
      <c r="S45" s="347" t="s">
        <v>160</v>
      </c>
      <c r="T45" s="347"/>
      <c r="U45" s="383"/>
      <c r="V45" s="347"/>
      <c r="W45" s="347"/>
      <c r="X45" s="385">
        <v>37602</v>
      </c>
      <c r="Y45" s="761">
        <f t="shared" si="31"/>
        <v>13.06027397260274</v>
      </c>
      <c r="Z45" s="347" t="s">
        <v>13</v>
      </c>
      <c r="AA45" s="770" t="str">
        <f t="shared" si="42"/>
        <v/>
      </c>
      <c r="AB45" s="770" t="str">
        <f t="shared" si="43"/>
        <v/>
      </c>
      <c r="AC45" s="770" t="str">
        <f t="shared" si="44"/>
        <v>M</v>
      </c>
      <c r="AD45" s="770" t="str">
        <f t="shared" si="45"/>
        <v/>
      </c>
      <c r="AE45" s="770" t="str">
        <f t="shared" si="46"/>
        <v/>
      </c>
      <c r="AF45" s="770"/>
      <c r="AG45" s="770"/>
      <c r="AH45" s="770"/>
      <c r="AI45" s="770"/>
      <c r="AJ45" s="770"/>
      <c r="AK45" s="770"/>
      <c r="AL45" s="770">
        <f t="shared" ref="AL45:AL51" si="49">Q45-J45</f>
        <v>475</v>
      </c>
      <c r="AM45" s="770">
        <f t="shared" ref="AM45:AM51" si="50">AL45/365</f>
        <v>1.3013698630136987</v>
      </c>
      <c r="AN45" s="770">
        <f t="shared" si="47"/>
        <v>1</v>
      </c>
      <c r="AO45" s="761">
        <f t="shared" si="32"/>
        <v>3.6164383561643847</v>
      </c>
      <c r="AP45" s="1074"/>
      <c r="AQ45" s="782">
        <f t="shared" si="33"/>
        <v>42370</v>
      </c>
      <c r="AR45" s="782">
        <f t="shared" si="38"/>
        <v>42736</v>
      </c>
      <c r="AS45" s="770">
        <f t="shared" si="34"/>
        <v>366</v>
      </c>
      <c r="AT45" s="790">
        <f>IF(AQ45&gt;'[1]calculs enfants présents'!$A$56,0,IF(Q45&lt;'[1]calculs enfants présents'!$A$56,Q45-AQ45,'[1]calculs enfants présents'!$A$56-AQ45))</f>
        <v>0</v>
      </c>
      <c r="AU45" s="791">
        <f t="shared" si="35"/>
        <v>31</v>
      </c>
      <c r="AV45" s="790">
        <f t="shared" si="36"/>
        <v>-31</v>
      </c>
      <c r="AW45" s="412"/>
      <c r="AX45" s="381">
        <v>42369</v>
      </c>
      <c r="AY45" s="955">
        <f t="shared" si="39"/>
        <v>42627</v>
      </c>
      <c r="AZ45" s="955">
        <f t="shared" si="40"/>
        <v>42736</v>
      </c>
      <c r="BA45" s="955">
        <f t="shared" si="41"/>
        <v>42598</v>
      </c>
      <c r="BB45" s="1105"/>
      <c r="BC45" s="1103"/>
      <c r="BD45" s="1076"/>
      <c r="BE45" s="1104">
        <f t="shared" si="48"/>
        <v>42346</v>
      </c>
      <c r="BF45" s="460">
        <v>42395</v>
      </c>
      <c r="BG45" s="349" t="s">
        <v>274</v>
      </c>
      <c r="BH45" s="465">
        <v>42395</v>
      </c>
      <c r="BI45" s="349"/>
      <c r="BJ45" s="572"/>
    </row>
    <row r="46" spans="1:72" s="387" customFormat="1" ht="13.15" customHeight="1" x14ac:dyDescent="0.2">
      <c r="A46" s="484" t="s">
        <v>602</v>
      </c>
      <c r="B46" s="484" t="s">
        <v>602</v>
      </c>
      <c r="C46" s="379" t="s">
        <v>603</v>
      </c>
      <c r="D46" s="347" t="s">
        <v>179</v>
      </c>
      <c r="E46" s="347" t="s">
        <v>70</v>
      </c>
      <c r="F46" s="347"/>
      <c r="G46" s="347"/>
      <c r="H46" s="347"/>
      <c r="I46" s="1076">
        <v>42206</v>
      </c>
      <c r="J46" s="411">
        <v>42265</v>
      </c>
      <c r="K46" s="411">
        <v>42282</v>
      </c>
      <c r="L46" s="1078">
        <f t="shared" si="30"/>
        <v>59</v>
      </c>
      <c r="M46" s="381">
        <v>42265</v>
      </c>
      <c r="N46" s="381">
        <v>42631</v>
      </c>
      <c r="O46" s="381"/>
      <c r="P46" s="381"/>
      <c r="Q46" s="381">
        <v>42736</v>
      </c>
      <c r="R46" s="381" t="s">
        <v>16</v>
      </c>
      <c r="S46" s="347" t="s">
        <v>20</v>
      </c>
      <c r="T46" s="347"/>
      <c r="U46" s="383"/>
      <c r="V46" s="347"/>
      <c r="W46" s="347"/>
      <c r="X46" s="385">
        <v>38079</v>
      </c>
      <c r="Y46" s="761">
        <f t="shared" si="31"/>
        <v>11.753424657534246</v>
      </c>
      <c r="Z46" s="347" t="s">
        <v>13</v>
      </c>
      <c r="AA46" s="770" t="str">
        <f t="shared" si="42"/>
        <v/>
      </c>
      <c r="AB46" s="770" t="str">
        <f t="shared" si="43"/>
        <v/>
      </c>
      <c r="AC46" s="770" t="str">
        <f t="shared" si="44"/>
        <v>M</v>
      </c>
      <c r="AD46" s="770" t="str">
        <f t="shared" si="45"/>
        <v/>
      </c>
      <c r="AE46" s="770" t="str">
        <f t="shared" si="46"/>
        <v/>
      </c>
      <c r="AF46" s="770"/>
      <c r="AG46" s="770"/>
      <c r="AH46" s="770"/>
      <c r="AI46" s="770"/>
      <c r="AJ46" s="770"/>
      <c r="AK46" s="770"/>
      <c r="AL46" s="770">
        <f t="shared" si="49"/>
        <v>471</v>
      </c>
      <c r="AM46" s="770">
        <f t="shared" si="50"/>
        <v>1.2904109589041095</v>
      </c>
      <c r="AN46" s="770">
        <f t="shared" si="47"/>
        <v>1</v>
      </c>
      <c r="AO46" s="761">
        <f t="shared" si="32"/>
        <v>3.4849315068493141</v>
      </c>
      <c r="AP46" s="1074"/>
      <c r="AQ46" s="782">
        <f t="shared" si="33"/>
        <v>42370</v>
      </c>
      <c r="AR46" s="782">
        <f t="shared" si="38"/>
        <v>42736</v>
      </c>
      <c r="AS46" s="770">
        <f t="shared" si="34"/>
        <v>366</v>
      </c>
      <c r="AT46" s="790">
        <f>IF(AQ46&gt;'[1]calculs enfants présents'!$A$56,0,IF(Q46&lt;'[1]calculs enfants présents'!$A$56,Q46-AQ46,'[1]calculs enfants présents'!$A$56-AQ46))</f>
        <v>0</v>
      </c>
      <c r="AU46" s="791">
        <f t="shared" si="35"/>
        <v>31</v>
      </c>
      <c r="AV46" s="790">
        <f t="shared" si="36"/>
        <v>-31</v>
      </c>
      <c r="AW46" s="412"/>
      <c r="AX46" s="381">
        <v>42369</v>
      </c>
      <c r="AY46" s="955">
        <f t="shared" si="39"/>
        <v>42631</v>
      </c>
      <c r="AZ46" s="955">
        <f t="shared" si="40"/>
        <v>42736</v>
      </c>
      <c r="BA46" s="955">
        <f t="shared" si="41"/>
        <v>42598</v>
      </c>
      <c r="BB46" s="1105"/>
      <c r="BC46" s="1103"/>
      <c r="BD46" s="1076"/>
      <c r="BE46" s="1104">
        <f t="shared" si="48"/>
        <v>42353</v>
      </c>
      <c r="BF46" s="460">
        <v>42402</v>
      </c>
      <c r="BG46" s="349" t="s">
        <v>275</v>
      </c>
      <c r="BH46" s="465">
        <v>42402</v>
      </c>
      <c r="BI46" s="349"/>
      <c r="BJ46" s="572"/>
    </row>
    <row r="47" spans="1:72" s="401" customFormat="1" ht="13.15" customHeight="1" x14ac:dyDescent="0.2">
      <c r="A47" s="484" t="s">
        <v>620</v>
      </c>
      <c r="B47" s="484" t="s">
        <v>562</v>
      </c>
      <c r="C47" s="379" t="s">
        <v>221</v>
      </c>
      <c r="D47" s="347" t="s">
        <v>310</v>
      </c>
      <c r="E47" s="347" t="s">
        <v>87</v>
      </c>
      <c r="F47" s="347"/>
      <c r="G47" s="347"/>
      <c r="H47" s="347"/>
      <c r="I47" s="1076">
        <v>42179</v>
      </c>
      <c r="J47" s="411">
        <v>42209</v>
      </c>
      <c r="K47" s="411">
        <v>42313</v>
      </c>
      <c r="L47" s="1077">
        <f t="shared" si="30"/>
        <v>30</v>
      </c>
      <c r="M47" s="381">
        <v>42209</v>
      </c>
      <c r="N47" s="381">
        <v>42575</v>
      </c>
      <c r="O47" s="381"/>
      <c r="P47" s="381"/>
      <c r="Q47" s="381">
        <v>42736</v>
      </c>
      <c r="R47" s="381" t="s">
        <v>16</v>
      </c>
      <c r="S47" s="347" t="s">
        <v>13</v>
      </c>
      <c r="T47" s="347"/>
      <c r="U47" s="383"/>
      <c r="V47" s="347"/>
      <c r="W47" s="347"/>
      <c r="X47" s="385">
        <v>37968</v>
      </c>
      <c r="Y47" s="761">
        <f t="shared" si="31"/>
        <v>12.057534246575342</v>
      </c>
      <c r="Z47" s="347" t="s">
        <v>13</v>
      </c>
      <c r="AA47" s="770" t="str">
        <f t="shared" si="42"/>
        <v/>
      </c>
      <c r="AB47" s="770" t="str">
        <f t="shared" si="43"/>
        <v/>
      </c>
      <c r="AC47" s="770" t="str">
        <f t="shared" si="44"/>
        <v>M</v>
      </c>
      <c r="AD47" s="770" t="str">
        <f t="shared" si="45"/>
        <v/>
      </c>
      <c r="AE47" s="770" t="str">
        <f t="shared" si="46"/>
        <v/>
      </c>
      <c r="AF47" s="770"/>
      <c r="AG47" s="770"/>
      <c r="AH47" s="770"/>
      <c r="AI47" s="770"/>
      <c r="AJ47" s="770"/>
      <c r="AK47" s="770"/>
      <c r="AL47" s="770">
        <f t="shared" si="49"/>
        <v>527</v>
      </c>
      <c r="AM47" s="770">
        <f t="shared" si="50"/>
        <v>1.4438356164383561</v>
      </c>
      <c r="AN47" s="770">
        <f t="shared" si="47"/>
        <v>1</v>
      </c>
      <c r="AO47" s="761">
        <f t="shared" si="32"/>
        <v>5.3260273972602734</v>
      </c>
      <c r="AP47" s="1074"/>
      <c r="AQ47" s="782">
        <f t="shared" si="33"/>
        <v>42370</v>
      </c>
      <c r="AR47" s="782">
        <f t="shared" si="38"/>
        <v>42736</v>
      </c>
      <c r="AS47" s="770">
        <f t="shared" si="34"/>
        <v>366</v>
      </c>
      <c r="AT47" s="790">
        <f>IF(AQ47&gt;'[1]calculs enfants présents'!$A$56,0,IF(Q47&lt;'[1]calculs enfants présents'!$A$56,Q47-AQ47,'[1]calculs enfants présents'!$A$56-AQ47))</f>
        <v>0</v>
      </c>
      <c r="AU47" s="790">
        <f t="shared" si="35"/>
        <v>31</v>
      </c>
      <c r="AV47" s="790">
        <f t="shared" si="36"/>
        <v>-31</v>
      </c>
      <c r="AW47" s="412"/>
      <c r="AX47" s="381">
        <v>42369</v>
      </c>
      <c r="AY47" s="955">
        <f t="shared" si="39"/>
        <v>42575</v>
      </c>
      <c r="AZ47" s="955">
        <f t="shared" si="40"/>
        <v>42736</v>
      </c>
      <c r="BA47" s="955">
        <f t="shared" si="41"/>
        <v>42542</v>
      </c>
      <c r="BB47" s="1120"/>
      <c r="BC47" s="1121"/>
      <c r="BD47" s="1120"/>
      <c r="BE47" s="1104">
        <f t="shared" si="48"/>
        <v>42297</v>
      </c>
      <c r="BF47" s="462">
        <v>42353</v>
      </c>
      <c r="BG47" s="469" t="s">
        <v>270</v>
      </c>
      <c r="BH47" s="465">
        <v>42353</v>
      </c>
      <c r="BI47" s="390"/>
      <c r="BJ47" s="382"/>
      <c r="BK47" s="566"/>
      <c r="BL47" s="566"/>
      <c r="BM47" s="566"/>
      <c r="BN47" s="566"/>
      <c r="BO47" s="566"/>
      <c r="BP47" s="566"/>
      <c r="BQ47" s="566"/>
      <c r="BR47" s="566"/>
      <c r="BS47" s="566"/>
      <c r="BT47" s="566"/>
    </row>
    <row r="48" spans="1:72" s="566" customFormat="1" ht="12.75" customHeight="1" x14ac:dyDescent="0.2">
      <c r="A48" s="696" t="s">
        <v>831</v>
      </c>
      <c r="B48" s="696" t="s">
        <v>247</v>
      </c>
      <c r="C48" s="699" t="s">
        <v>249</v>
      </c>
      <c r="D48" s="701" t="s">
        <v>179</v>
      </c>
      <c r="E48" s="701"/>
      <c r="F48" s="701"/>
      <c r="G48" s="701"/>
      <c r="H48" s="701"/>
      <c r="I48" s="1122">
        <v>41478</v>
      </c>
      <c r="J48" s="1123">
        <v>41635</v>
      </c>
      <c r="K48" s="1123"/>
      <c r="L48" s="1077">
        <f t="shared" si="30"/>
        <v>157</v>
      </c>
      <c r="M48" s="381">
        <v>42182</v>
      </c>
      <c r="N48" s="708">
        <v>42548</v>
      </c>
      <c r="O48" s="708"/>
      <c r="P48" s="708"/>
      <c r="Q48" s="708">
        <v>42736</v>
      </c>
      <c r="R48" s="701" t="s">
        <v>16</v>
      </c>
      <c r="S48" s="701" t="s">
        <v>13</v>
      </c>
      <c r="T48" s="701"/>
      <c r="U48" s="701"/>
      <c r="V48" s="701"/>
      <c r="W48" s="701"/>
      <c r="X48" s="715">
        <v>38063</v>
      </c>
      <c r="Y48" s="761">
        <f t="shared" si="31"/>
        <v>11.797260273972602</v>
      </c>
      <c r="Z48" s="701" t="s">
        <v>13</v>
      </c>
      <c r="AA48" s="773" t="str">
        <f t="shared" si="42"/>
        <v/>
      </c>
      <c r="AB48" s="773" t="str">
        <f t="shared" si="43"/>
        <v/>
      </c>
      <c r="AC48" s="773" t="str">
        <f t="shared" si="44"/>
        <v>M</v>
      </c>
      <c r="AD48" s="773" t="str">
        <f t="shared" si="45"/>
        <v/>
      </c>
      <c r="AE48" s="773" t="str">
        <f t="shared" si="46"/>
        <v/>
      </c>
      <c r="AF48" s="770"/>
      <c r="AG48" s="770"/>
      <c r="AH48" s="770"/>
      <c r="AI48" s="770"/>
      <c r="AJ48" s="770"/>
      <c r="AK48" s="770"/>
      <c r="AL48" s="770">
        <f t="shared" si="49"/>
        <v>1101</v>
      </c>
      <c r="AM48" s="770">
        <f t="shared" si="50"/>
        <v>3.0164383561643837</v>
      </c>
      <c r="AN48" s="770">
        <f t="shared" si="47"/>
        <v>3</v>
      </c>
      <c r="AO48" s="761">
        <f t="shared" si="32"/>
        <v>0.19726027397260459</v>
      </c>
      <c r="AP48" s="347"/>
      <c r="AQ48" s="782">
        <f t="shared" si="33"/>
        <v>42370</v>
      </c>
      <c r="AR48" s="782">
        <f t="shared" si="38"/>
        <v>42736</v>
      </c>
      <c r="AS48" s="770">
        <f t="shared" si="34"/>
        <v>366</v>
      </c>
      <c r="AT48" s="770">
        <f>IF(AQ48&gt;'[1]calculs enfants présents'!$A$56,0,IF(Q48&lt;'[1]calculs enfants présents'!$A$56,Q48-AQ48,'[1]calculs enfants présents'!$A$56-AQ48))</f>
        <v>0</v>
      </c>
      <c r="AU48" s="770">
        <f t="shared" si="35"/>
        <v>31</v>
      </c>
      <c r="AV48" s="790">
        <f t="shared" si="36"/>
        <v>-31</v>
      </c>
      <c r="AW48" s="347"/>
      <c r="AX48" s="381">
        <v>42369</v>
      </c>
      <c r="AY48" s="955">
        <f t="shared" si="39"/>
        <v>42548</v>
      </c>
      <c r="AZ48" s="955">
        <f t="shared" si="40"/>
        <v>42736</v>
      </c>
      <c r="BA48" s="955">
        <f t="shared" si="41"/>
        <v>42514</v>
      </c>
      <c r="BB48" s="1122"/>
      <c r="BC48" s="1124"/>
      <c r="BD48" s="1122"/>
      <c r="BE48" s="1104">
        <f t="shared" si="48"/>
        <v>41723</v>
      </c>
      <c r="BF48" s="736"/>
      <c r="BG48" s="349"/>
      <c r="BH48" s="508"/>
      <c r="BI48" s="507"/>
      <c r="BJ48" s="382"/>
      <c r="BS48" s="565"/>
      <c r="BT48" s="565"/>
    </row>
    <row r="49" spans="1:72" s="401" customFormat="1" ht="12.75" customHeight="1" x14ac:dyDescent="0.2">
      <c r="A49" s="696" t="s">
        <v>612</v>
      </c>
      <c r="B49" s="696" t="s">
        <v>247</v>
      </c>
      <c r="C49" s="699" t="s">
        <v>248</v>
      </c>
      <c r="D49" s="701" t="s">
        <v>179</v>
      </c>
      <c r="E49" s="701"/>
      <c r="F49" s="701"/>
      <c r="G49" s="701"/>
      <c r="H49" s="701"/>
      <c r="I49" s="1122">
        <v>41478</v>
      </c>
      <c r="J49" s="1123">
        <v>41635</v>
      </c>
      <c r="K49" s="1123"/>
      <c r="L49" s="1077">
        <f t="shared" si="30"/>
        <v>157</v>
      </c>
      <c r="M49" s="381">
        <v>42182</v>
      </c>
      <c r="N49" s="708">
        <v>42548</v>
      </c>
      <c r="O49" s="708"/>
      <c r="P49" s="708"/>
      <c r="Q49" s="708">
        <v>42736</v>
      </c>
      <c r="R49" s="701" t="s">
        <v>16</v>
      </c>
      <c r="S49" s="701" t="s">
        <v>13</v>
      </c>
      <c r="T49" s="701"/>
      <c r="U49" s="701"/>
      <c r="V49" s="701"/>
      <c r="W49" s="701"/>
      <c r="X49" s="715">
        <v>37325</v>
      </c>
      <c r="Y49" s="761">
        <f t="shared" si="31"/>
        <v>13.819178082191781</v>
      </c>
      <c r="Z49" s="701" t="s">
        <v>13</v>
      </c>
      <c r="AA49" s="773" t="str">
        <f t="shared" si="42"/>
        <v/>
      </c>
      <c r="AB49" s="773" t="str">
        <f t="shared" si="43"/>
        <v/>
      </c>
      <c r="AC49" s="773" t="str">
        <f t="shared" si="44"/>
        <v>M</v>
      </c>
      <c r="AD49" s="773" t="str">
        <f t="shared" si="45"/>
        <v/>
      </c>
      <c r="AE49" s="773" t="str">
        <f t="shared" si="46"/>
        <v/>
      </c>
      <c r="AF49" s="770"/>
      <c r="AG49" s="770"/>
      <c r="AH49" s="770"/>
      <c r="AI49" s="770"/>
      <c r="AJ49" s="770"/>
      <c r="AK49" s="770"/>
      <c r="AL49" s="770">
        <f t="shared" si="49"/>
        <v>1101</v>
      </c>
      <c r="AM49" s="770">
        <f t="shared" si="50"/>
        <v>3.0164383561643837</v>
      </c>
      <c r="AN49" s="770">
        <f t="shared" si="47"/>
        <v>3</v>
      </c>
      <c r="AO49" s="761">
        <f t="shared" si="32"/>
        <v>0.19726027397260459</v>
      </c>
      <c r="AP49" s="347"/>
      <c r="AQ49" s="782">
        <f t="shared" si="33"/>
        <v>42370</v>
      </c>
      <c r="AR49" s="782">
        <f t="shared" si="38"/>
        <v>42736</v>
      </c>
      <c r="AS49" s="770">
        <f t="shared" si="34"/>
        <v>366</v>
      </c>
      <c r="AT49" s="770">
        <f>IF(AQ49&gt;'[1]calculs enfants présents'!$A$56,0,IF(Q49&lt;'[1]calculs enfants présents'!$A$56,Q49-AQ49,'[1]calculs enfants présents'!$A$56-AQ49))</f>
        <v>0</v>
      </c>
      <c r="AU49" s="770">
        <f t="shared" si="35"/>
        <v>31</v>
      </c>
      <c r="AV49" s="790">
        <f t="shared" si="36"/>
        <v>-31</v>
      </c>
      <c r="AW49" s="347"/>
      <c r="AX49" s="381">
        <v>42369</v>
      </c>
      <c r="AY49" s="955">
        <f t="shared" si="39"/>
        <v>42548</v>
      </c>
      <c r="AZ49" s="955">
        <f t="shared" si="40"/>
        <v>42736</v>
      </c>
      <c r="BA49" s="955">
        <f t="shared" si="41"/>
        <v>42514</v>
      </c>
      <c r="BB49" s="1122"/>
      <c r="BC49" s="1124"/>
      <c r="BD49" s="1122"/>
      <c r="BE49" s="1104">
        <f t="shared" si="48"/>
        <v>41723</v>
      </c>
      <c r="BF49" s="736"/>
      <c r="BG49" s="349"/>
      <c r="BH49" s="508"/>
      <c r="BI49" s="507"/>
      <c r="BJ49" s="382"/>
    </row>
    <row r="50" spans="1:72" ht="12" customHeight="1" x14ac:dyDescent="0.2">
      <c r="A50" s="484" t="s">
        <v>794</v>
      </c>
      <c r="B50" s="484" t="s">
        <v>347</v>
      </c>
      <c r="C50" s="379" t="s">
        <v>348</v>
      </c>
      <c r="D50" s="347" t="s">
        <v>87</v>
      </c>
      <c r="E50" s="347" t="s">
        <v>228</v>
      </c>
      <c r="F50" s="347"/>
      <c r="I50" s="1076">
        <v>41848</v>
      </c>
      <c r="J50" s="411">
        <v>41908</v>
      </c>
      <c r="K50" s="411"/>
      <c r="L50" s="1078">
        <f t="shared" si="30"/>
        <v>60</v>
      </c>
      <c r="M50" s="381">
        <v>41908</v>
      </c>
      <c r="N50" s="708">
        <v>42273</v>
      </c>
      <c r="O50" s="708" t="s">
        <v>674</v>
      </c>
      <c r="P50" s="708" t="s">
        <v>674</v>
      </c>
      <c r="Q50" s="708">
        <v>42736</v>
      </c>
      <c r="R50" s="381" t="s">
        <v>156</v>
      </c>
      <c r="S50" s="347" t="s">
        <v>62</v>
      </c>
      <c r="V50" s="347"/>
      <c r="W50" s="347"/>
      <c r="X50" s="385">
        <v>38065</v>
      </c>
      <c r="Y50" s="761">
        <f t="shared" si="31"/>
        <v>11.791780821917808</v>
      </c>
      <c r="Z50" s="347" t="s">
        <v>21</v>
      </c>
      <c r="AA50" s="773" t="str">
        <f t="shared" si="42"/>
        <v/>
      </c>
      <c r="AB50" s="773" t="str">
        <f t="shared" si="43"/>
        <v/>
      </c>
      <c r="AC50" s="773" t="str">
        <f t="shared" si="44"/>
        <v>F</v>
      </c>
      <c r="AD50" s="773" t="str">
        <f t="shared" si="45"/>
        <v/>
      </c>
      <c r="AE50" s="773" t="str">
        <f t="shared" si="46"/>
        <v/>
      </c>
      <c r="AG50" s="770"/>
      <c r="AH50" s="770"/>
      <c r="AI50" s="770"/>
      <c r="AJ50" s="770"/>
      <c r="AK50" s="770"/>
      <c r="AL50" s="770">
        <f t="shared" si="49"/>
        <v>828</v>
      </c>
      <c r="AM50" s="770">
        <f t="shared" si="50"/>
        <v>2.2684931506849315</v>
      </c>
      <c r="AN50" s="770">
        <f t="shared" si="47"/>
        <v>2</v>
      </c>
      <c r="AO50" s="761">
        <f t="shared" si="32"/>
        <v>3.2219178082191782</v>
      </c>
      <c r="AP50" s="1074"/>
      <c r="AQ50" s="782">
        <f t="shared" si="33"/>
        <v>42370</v>
      </c>
      <c r="AR50" s="782">
        <f t="shared" si="38"/>
        <v>42736</v>
      </c>
      <c r="AS50" s="770">
        <f t="shared" si="34"/>
        <v>366</v>
      </c>
      <c r="AT50" s="790">
        <f>IF(AQ50&gt;'[1]calculs enfants présents'!$A$56,0,IF(Q50&lt;'[1]calculs enfants présents'!$A$56,Q50-AQ50,'[1]calculs enfants présents'!$A$56-AQ50))</f>
        <v>0</v>
      </c>
      <c r="AU50" s="790">
        <f t="shared" si="35"/>
        <v>31</v>
      </c>
      <c r="AV50" s="790">
        <f t="shared" si="36"/>
        <v>-31</v>
      </c>
      <c r="AW50" s="412"/>
      <c r="AX50" s="381">
        <v>42369</v>
      </c>
      <c r="AY50" s="955">
        <f t="shared" si="39"/>
        <v>42273</v>
      </c>
      <c r="AZ50" s="955">
        <f t="shared" si="40"/>
        <v>42736</v>
      </c>
      <c r="BA50" s="955">
        <f t="shared" si="41"/>
        <v>42241</v>
      </c>
      <c r="BB50" s="1105"/>
      <c r="BC50" s="1103"/>
      <c r="BD50" s="1076"/>
      <c r="BE50" s="1104">
        <f t="shared" si="48"/>
        <v>41996</v>
      </c>
      <c r="BF50" s="349"/>
      <c r="BG50" s="349"/>
      <c r="BH50" s="465"/>
      <c r="BI50" s="349" t="s">
        <v>460</v>
      </c>
      <c r="BJ50" s="572">
        <v>42088</v>
      </c>
      <c r="BS50" s="506"/>
      <c r="BT50" s="506"/>
    </row>
    <row r="51" spans="1:72" s="401" customFormat="1" ht="13.15" customHeight="1" x14ac:dyDescent="0.2">
      <c r="A51" s="733" t="s">
        <v>680</v>
      </c>
      <c r="B51" s="733" t="s">
        <v>680</v>
      </c>
      <c r="C51" s="734" t="s">
        <v>681</v>
      </c>
      <c r="D51" s="712" t="s">
        <v>70</v>
      </c>
      <c r="E51" s="712" t="s">
        <v>87</v>
      </c>
      <c r="F51" s="712"/>
      <c r="G51" s="712"/>
      <c r="H51" s="712"/>
      <c r="I51" s="1081">
        <v>42293</v>
      </c>
      <c r="J51" s="735">
        <v>42320</v>
      </c>
      <c r="K51" s="735" t="s">
        <v>742</v>
      </c>
      <c r="L51" s="1112">
        <f t="shared" si="30"/>
        <v>27</v>
      </c>
      <c r="M51" s="735">
        <v>42320</v>
      </c>
      <c r="N51" s="735">
        <v>42388</v>
      </c>
      <c r="O51" s="735" t="s">
        <v>739</v>
      </c>
      <c r="P51" s="735">
        <v>42388</v>
      </c>
      <c r="Q51" s="735">
        <v>42388</v>
      </c>
      <c r="R51" s="722" t="s">
        <v>16</v>
      </c>
      <c r="S51" s="712" t="s">
        <v>16</v>
      </c>
      <c r="T51" s="712"/>
      <c r="U51" s="713"/>
      <c r="V51" s="712"/>
      <c r="W51" s="712"/>
      <c r="X51" s="724">
        <v>36472</v>
      </c>
      <c r="Y51" s="762">
        <f t="shared" si="31"/>
        <v>16.156164383561645</v>
      </c>
      <c r="Z51" s="712" t="s">
        <v>21</v>
      </c>
      <c r="AA51" s="772"/>
      <c r="AB51" s="772"/>
      <c r="AC51" s="772"/>
      <c r="AD51" s="772"/>
      <c r="AE51" s="772"/>
      <c r="AF51" s="772"/>
      <c r="AG51" s="772"/>
      <c r="AH51" s="772"/>
      <c r="AI51" s="772"/>
      <c r="AJ51" s="772"/>
      <c r="AK51" s="772"/>
      <c r="AL51" s="772">
        <f t="shared" si="49"/>
        <v>68</v>
      </c>
      <c r="AM51" s="772">
        <f t="shared" si="50"/>
        <v>0.18630136986301371</v>
      </c>
      <c r="AN51" s="772">
        <f t="shared" si="47"/>
        <v>0</v>
      </c>
      <c r="AO51" s="762">
        <f t="shared" si="32"/>
        <v>2.2356164383561645</v>
      </c>
      <c r="AP51" s="1073"/>
      <c r="AQ51" s="1113">
        <f t="shared" si="33"/>
        <v>42370</v>
      </c>
      <c r="AR51" s="1113">
        <f t="shared" si="38"/>
        <v>42388</v>
      </c>
      <c r="AS51" s="772">
        <f t="shared" si="34"/>
        <v>18</v>
      </c>
      <c r="AT51" s="792">
        <f>IF(AQ51&gt;'[1]calculs enfants présents'!$A$56,0,IF(Q51&lt;'[1]calculs enfants présents'!$A$56,Q51-AQ51,'[1]calculs enfants présents'!$A$56-AQ51))</f>
        <v>0</v>
      </c>
      <c r="AU51" s="792">
        <f t="shared" si="35"/>
        <v>18</v>
      </c>
      <c r="AV51" s="792">
        <f t="shared" si="36"/>
        <v>-18</v>
      </c>
      <c r="AW51" s="725"/>
      <c r="AX51" s="722">
        <v>42369</v>
      </c>
      <c r="AY51" s="1114">
        <f t="shared" si="39"/>
        <v>42388</v>
      </c>
      <c r="AZ51" s="1126">
        <f t="shared" si="40"/>
        <v>42388</v>
      </c>
      <c r="BA51" s="1114">
        <f t="shared" si="41"/>
        <v>42353</v>
      </c>
      <c r="BB51" s="1115"/>
      <c r="BC51" s="1116"/>
      <c r="BD51" s="1081"/>
      <c r="BE51" s="1126" t="e">
        <f>IF(K51&lt;&gt;"",(K51+90)-(WEEKDAY(K51+90,2)-2),"DIPC")</f>
        <v>#VALUE!</v>
      </c>
      <c r="BF51" s="1066"/>
      <c r="BG51" s="1068"/>
      <c r="BH51" s="727"/>
      <c r="BJ51" s="426"/>
      <c r="BS51" s="1069"/>
      <c r="BT51" s="1069"/>
    </row>
    <row r="52" spans="1:72" ht="13.15" customHeight="1" x14ac:dyDescent="0.2">
      <c r="A52" s="695" t="s">
        <v>399</v>
      </c>
      <c r="B52" s="695" t="s">
        <v>399</v>
      </c>
      <c r="C52" s="698" t="s">
        <v>420</v>
      </c>
      <c r="D52" s="555" t="s">
        <v>310</v>
      </c>
      <c r="E52" s="555" t="s">
        <v>183</v>
      </c>
      <c r="F52" s="555"/>
      <c r="G52" s="555"/>
      <c r="H52" s="555"/>
      <c r="I52" s="799">
        <v>42003</v>
      </c>
      <c r="J52" s="709">
        <v>42009</v>
      </c>
      <c r="K52" s="709">
        <v>42018</v>
      </c>
      <c r="L52" s="1075">
        <f t="shared" si="30"/>
        <v>6</v>
      </c>
      <c r="M52" s="609">
        <v>42009</v>
      </c>
      <c r="N52" s="710">
        <v>42374</v>
      </c>
      <c r="O52" s="710" t="s">
        <v>628</v>
      </c>
      <c r="P52" s="710">
        <v>42740</v>
      </c>
      <c r="Q52" s="710">
        <v>42736</v>
      </c>
      <c r="R52" s="609" t="s">
        <v>16</v>
      </c>
      <c r="S52" s="555" t="s">
        <v>13</v>
      </c>
      <c r="T52" s="555"/>
      <c r="U52" s="558"/>
      <c r="V52" s="555"/>
      <c r="W52" s="555"/>
      <c r="X52" s="714">
        <v>36248</v>
      </c>
      <c r="Y52" s="759">
        <f t="shared" si="31"/>
        <v>16.769863013698629</v>
      </c>
      <c r="Z52" s="555" t="s">
        <v>21</v>
      </c>
      <c r="AA52" s="778" t="str">
        <f t="shared" ref="AA52:AA65" si="51">IF(Y52&lt;6,IF(Z52="M","M","F"),"")</f>
        <v/>
      </c>
      <c r="AB52" s="778" t="str">
        <f t="shared" ref="AB52:AB63" si="52">IF(AND(Y52&gt;=6,Y52&lt;11),IF(Z52="M","M","F"),"")</f>
        <v/>
      </c>
      <c r="AC52" s="778" t="str">
        <f t="shared" ref="AC52:AC65" si="53">IF(AND(Y52&gt;=11,Y52&lt;15),IF(Z52="M","M","F"),"")</f>
        <v/>
      </c>
      <c r="AD52" s="778" t="str">
        <f t="shared" ref="AD52:AD65" si="54">IF(AND(Y52&gt;=15,Y52&lt;18),IF(Z52="M","M","F"),"")</f>
        <v>F</v>
      </c>
      <c r="AE52" s="778" t="str">
        <f t="shared" ref="AE52:AE65" si="55">IF(Y52&gt;18,IF(Z52="M","M","F"),"")</f>
        <v/>
      </c>
      <c r="AF52" s="765"/>
      <c r="AG52" s="765"/>
      <c r="AH52" s="765"/>
      <c r="AI52" s="765"/>
      <c r="AJ52" s="765"/>
      <c r="AK52" s="765"/>
      <c r="AL52" s="765"/>
      <c r="AM52" s="765"/>
      <c r="AN52" s="765">
        <f t="shared" si="47"/>
        <v>0</v>
      </c>
      <c r="AO52" s="759">
        <f t="shared" si="32"/>
        <v>0</v>
      </c>
      <c r="AP52" s="1079" t="s">
        <v>628</v>
      </c>
      <c r="AQ52" s="1080">
        <f t="shared" si="33"/>
        <v>42370</v>
      </c>
      <c r="AR52" s="1080">
        <f t="shared" si="38"/>
        <v>42736</v>
      </c>
      <c r="AS52" s="765">
        <f t="shared" si="34"/>
        <v>366</v>
      </c>
      <c r="AT52" s="786">
        <f>IF(AQ52&gt;'[1]calculs enfants présents'!$A$56,0,IF(Q52&lt;'[1]calculs enfants présents'!$A$56,Q52-AQ52,'[1]calculs enfants présents'!$A$56-AQ52))</f>
        <v>0</v>
      </c>
      <c r="AU52" s="786">
        <f t="shared" si="35"/>
        <v>31</v>
      </c>
      <c r="AV52" s="786">
        <f t="shared" si="36"/>
        <v>-31</v>
      </c>
      <c r="AW52" s="559"/>
      <c r="AX52" s="609">
        <v>42369</v>
      </c>
      <c r="AY52" s="956">
        <f t="shared" si="39"/>
        <v>42374</v>
      </c>
      <c r="AZ52" s="956">
        <f t="shared" si="40"/>
        <v>42736</v>
      </c>
      <c r="BA52" s="956">
        <f t="shared" si="41"/>
        <v>42339</v>
      </c>
      <c r="BB52" s="799">
        <v>42332</v>
      </c>
      <c r="BC52" s="1106" t="s">
        <v>276</v>
      </c>
      <c r="BD52" s="799">
        <v>42332</v>
      </c>
      <c r="BE52" s="1107">
        <f t="shared" ref="BE52:BE57" si="56">(J52+90)-(WEEKDAY(J52+90,2)-2)</f>
        <v>42094</v>
      </c>
      <c r="BF52" s="561"/>
      <c r="BG52" s="556"/>
      <c r="BH52" s="563"/>
      <c r="BI52" s="556" t="s">
        <v>357</v>
      </c>
      <c r="BJ52" s="611">
        <v>42272</v>
      </c>
      <c r="BS52" s="387"/>
      <c r="BT52" s="387"/>
    </row>
    <row r="53" spans="1:72" s="387" customFormat="1" ht="12.75" customHeight="1" x14ac:dyDescent="0.2">
      <c r="A53" s="484" t="s">
        <v>192</v>
      </c>
      <c r="B53" s="484" t="s">
        <v>192</v>
      </c>
      <c r="C53" s="379" t="s">
        <v>193</v>
      </c>
      <c r="D53" s="347" t="s">
        <v>179</v>
      </c>
      <c r="E53" s="347"/>
      <c r="F53" s="347"/>
      <c r="G53" s="347"/>
      <c r="H53" s="347"/>
      <c r="I53" s="1076"/>
      <c r="J53" s="411">
        <v>41066</v>
      </c>
      <c r="K53" s="411"/>
      <c r="L53" s="1077" t="str">
        <f t="shared" si="30"/>
        <v/>
      </c>
      <c r="M53" s="381">
        <v>42161</v>
      </c>
      <c r="N53" s="381">
        <v>42527</v>
      </c>
      <c r="O53" s="381"/>
      <c r="P53" s="381"/>
      <c r="Q53" s="381">
        <v>42736</v>
      </c>
      <c r="R53" s="381" t="s">
        <v>156</v>
      </c>
      <c r="S53" s="347" t="s">
        <v>162</v>
      </c>
      <c r="T53" s="347"/>
      <c r="U53" s="383"/>
      <c r="V53" s="347"/>
      <c r="W53" s="347"/>
      <c r="X53" s="385">
        <v>37274</v>
      </c>
      <c r="Y53" s="761">
        <f t="shared" si="31"/>
        <v>13.95890410958904</v>
      </c>
      <c r="Z53" s="347" t="s">
        <v>13</v>
      </c>
      <c r="AA53" s="773" t="str">
        <f t="shared" si="51"/>
        <v/>
      </c>
      <c r="AB53" s="773" t="str">
        <f t="shared" si="52"/>
        <v/>
      </c>
      <c r="AC53" s="773" t="str">
        <f t="shared" si="53"/>
        <v>M</v>
      </c>
      <c r="AD53" s="773" t="str">
        <f t="shared" si="54"/>
        <v/>
      </c>
      <c r="AE53" s="773" t="str">
        <f t="shared" si="55"/>
        <v/>
      </c>
      <c r="AF53" s="770"/>
      <c r="AG53" s="770"/>
      <c r="AH53" s="770"/>
      <c r="AI53" s="770"/>
      <c r="AJ53" s="770"/>
      <c r="AK53" s="770"/>
      <c r="AL53" s="770">
        <f t="shared" ref="AL53:AL66" si="57">Q53-J53</f>
        <v>1670</v>
      </c>
      <c r="AM53" s="770">
        <f t="shared" ref="AM53:AM66" si="58">AL53/365</f>
        <v>4.5753424657534243</v>
      </c>
      <c r="AN53" s="770">
        <f t="shared" si="47"/>
        <v>4</v>
      </c>
      <c r="AO53" s="761">
        <f t="shared" si="32"/>
        <v>6.9041095890410915</v>
      </c>
      <c r="AP53" s="1074"/>
      <c r="AQ53" s="782">
        <f t="shared" si="33"/>
        <v>42370</v>
      </c>
      <c r="AR53" s="782">
        <f t="shared" si="38"/>
        <v>42736</v>
      </c>
      <c r="AS53" s="770">
        <f t="shared" si="34"/>
        <v>366</v>
      </c>
      <c r="AT53" s="790">
        <f>IF(AQ53&gt;'[1]calculs enfants présents'!$A$56,0,IF(Q53&lt;'[1]calculs enfants présents'!$A$56,Q53-AQ53,'[1]calculs enfants présents'!$A$56-AQ53))</f>
        <v>0</v>
      </c>
      <c r="AU53" s="790">
        <f t="shared" si="35"/>
        <v>31</v>
      </c>
      <c r="AV53" s="790">
        <f t="shared" si="36"/>
        <v>-31</v>
      </c>
      <c r="AW53" s="412"/>
      <c r="AX53" s="381">
        <v>42369</v>
      </c>
      <c r="AY53" s="955">
        <f t="shared" si="39"/>
        <v>42527</v>
      </c>
      <c r="AZ53" s="955">
        <f t="shared" si="40"/>
        <v>42736</v>
      </c>
      <c r="BA53" s="955">
        <f t="shared" si="41"/>
        <v>42493</v>
      </c>
      <c r="BB53" s="1105"/>
      <c r="BC53" s="1103"/>
      <c r="BD53" s="1105"/>
      <c r="BE53" s="1104">
        <f t="shared" si="56"/>
        <v>41156</v>
      </c>
      <c r="BF53" s="460"/>
      <c r="BG53" s="349"/>
      <c r="BH53" s="465"/>
      <c r="BI53" s="390"/>
      <c r="BJ53" s="382"/>
    </row>
    <row r="54" spans="1:72" s="566" customFormat="1" ht="12.75" customHeight="1" x14ac:dyDescent="0.2">
      <c r="A54" s="484" t="s">
        <v>728</v>
      </c>
      <c r="B54" s="484" t="s">
        <v>334</v>
      </c>
      <c r="C54" s="379" t="s">
        <v>335</v>
      </c>
      <c r="D54" s="347" t="s">
        <v>183</v>
      </c>
      <c r="E54" s="347" t="s">
        <v>87</v>
      </c>
      <c r="F54" s="347"/>
      <c r="G54" s="347"/>
      <c r="H54" s="347"/>
      <c r="I54" s="1076">
        <v>41827</v>
      </c>
      <c r="J54" s="411">
        <v>41849</v>
      </c>
      <c r="K54" s="411"/>
      <c r="L54" s="1078">
        <f t="shared" si="30"/>
        <v>22</v>
      </c>
      <c r="M54" s="381">
        <v>42214</v>
      </c>
      <c r="N54" s="381">
        <v>42580</v>
      </c>
      <c r="O54" s="381" t="s">
        <v>674</v>
      </c>
      <c r="P54" s="381"/>
      <c r="Q54" s="381">
        <v>42736</v>
      </c>
      <c r="R54" s="381" t="s">
        <v>156</v>
      </c>
      <c r="S54" s="347" t="s">
        <v>62</v>
      </c>
      <c r="T54" s="347"/>
      <c r="U54" s="383"/>
      <c r="V54" s="347"/>
      <c r="W54" s="347"/>
      <c r="X54" s="385">
        <v>37636</v>
      </c>
      <c r="Y54" s="761">
        <f t="shared" si="31"/>
        <v>12.967123287671233</v>
      </c>
      <c r="Z54" s="347" t="s">
        <v>13</v>
      </c>
      <c r="AA54" s="770" t="str">
        <f t="shared" si="51"/>
        <v/>
      </c>
      <c r="AB54" s="770" t="str">
        <f t="shared" si="52"/>
        <v/>
      </c>
      <c r="AC54" s="770" t="str">
        <f t="shared" si="53"/>
        <v>M</v>
      </c>
      <c r="AD54" s="770" t="str">
        <f t="shared" si="54"/>
        <v/>
      </c>
      <c r="AE54" s="770" t="str">
        <f t="shared" si="55"/>
        <v/>
      </c>
      <c r="AF54" s="770"/>
      <c r="AG54" s="770"/>
      <c r="AH54" s="770"/>
      <c r="AI54" s="770"/>
      <c r="AJ54" s="770"/>
      <c r="AK54" s="770"/>
      <c r="AL54" s="770">
        <f t="shared" si="57"/>
        <v>887</v>
      </c>
      <c r="AM54" s="770">
        <f t="shared" si="58"/>
        <v>2.43013698630137</v>
      </c>
      <c r="AN54" s="770">
        <f t="shared" si="47"/>
        <v>2</v>
      </c>
      <c r="AO54" s="761">
        <f t="shared" si="32"/>
        <v>5.1616438356164398</v>
      </c>
      <c r="AP54" s="1074"/>
      <c r="AQ54" s="782">
        <f t="shared" si="33"/>
        <v>42370</v>
      </c>
      <c r="AR54" s="782">
        <f t="shared" si="38"/>
        <v>42736</v>
      </c>
      <c r="AS54" s="770">
        <f t="shared" si="34"/>
        <v>366</v>
      </c>
      <c r="AT54" s="790">
        <f>IF(AQ54&gt;'[1]calculs enfants présents'!$A$56,0,IF(Q54&lt;'[1]calculs enfants présents'!$A$56,Q54-AQ54,'[1]calculs enfants présents'!$A$56-AQ54))</f>
        <v>0</v>
      </c>
      <c r="AU54" s="791">
        <f t="shared" si="35"/>
        <v>31</v>
      </c>
      <c r="AV54" s="790">
        <f t="shared" si="36"/>
        <v>-31</v>
      </c>
      <c r="AW54" s="412"/>
      <c r="AX54" s="381">
        <v>42369</v>
      </c>
      <c r="AY54" s="955">
        <f t="shared" si="39"/>
        <v>42580</v>
      </c>
      <c r="AZ54" s="955">
        <f t="shared" si="40"/>
        <v>42736</v>
      </c>
      <c r="BA54" s="955">
        <f t="shared" si="41"/>
        <v>42549</v>
      </c>
      <c r="BB54" s="1105"/>
      <c r="BC54" s="1103"/>
      <c r="BD54" s="1105"/>
      <c r="BE54" s="1104">
        <f t="shared" si="56"/>
        <v>41940</v>
      </c>
      <c r="BF54" s="460"/>
      <c r="BG54" s="349"/>
      <c r="BH54" s="465"/>
      <c r="BI54" s="462">
        <v>42044</v>
      </c>
      <c r="BJ54" s="382" t="s">
        <v>438</v>
      </c>
      <c r="BK54" s="387"/>
      <c r="BL54" s="387"/>
      <c r="BM54" s="387"/>
      <c r="BN54" s="387"/>
      <c r="BO54" s="387"/>
      <c r="BP54" s="387"/>
      <c r="BQ54" s="387"/>
      <c r="BR54" s="387"/>
      <c r="BS54" s="612"/>
      <c r="BT54" s="612"/>
    </row>
    <row r="55" spans="1:72" s="387" customFormat="1" x14ac:dyDescent="0.2">
      <c r="A55" s="695" t="s">
        <v>414</v>
      </c>
      <c r="B55" s="695" t="s">
        <v>302</v>
      </c>
      <c r="C55" s="698" t="s">
        <v>303</v>
      </c>
      <c r="D55" s="555" t="s">
        <v>310</v>
      </c>
      <c r="E55" s="555" t="s">
        <v>228</v>
      </c>
      <c r="F55" s="555"/>
      <c r="G55" s="555"/>
      <c r="H55" s="555"/>
      <c r="I55" s="799">
        <v>41684</v>
      </c>
      <c r="J55" s="709">
        <v>41710</v>
      </c>
      <c r="K55" s="709"/>
      <c r="L55" s="1075">
        <f t="shared" si="30"/>
        <v>26</v>
      </c>
      <c r="M55" s="609">
        <v>42075</v>
      </c>
      <c r="N55" s="609">
        <v>42441</v>
      </c>
      <c r="O55" s="609" t="s">
        <v>159</v>
      </c>
      <c r="P55" s="609">
        <v>42496</v>
      </c>
      <c r="Q55" s="609">
        <v>42736</v>
      </c>
      <c r="R55" s="609" t="s">
        <v>156</v>
      </c>
      <c r="S55" s="555" t="s">
        <v>225</v>
      </c>
      <c r="T55" s="555"/>
      <c r="U55" s="558"/>
      <c r="V55" s="555"/>
      <c r="W55" s="555"/>
      <c r="X55" s="714">
        <v>35921</v>
      </c>
      <c r="Y55" s="759">
        <f t="shared" si="31"/>
        <v>17.665753424657535</v>
      </c>
      <c r="Z55" s="555" t="s">
        <v>21</v>
      </c>
      <c r="AA55" s="778" t="str">
        <f t="shared" si="51"/>
        <v/>
      </c>
      <c r="AB55" s="778" t="str">
        <f t="shared" si="52"/>
        <v/>
      </c>
      <c r="AC55" s="778" t="str">
        <f t="shared" si="53"/>
        <v/>
      </c>
      <c r="AD55" s="778" t="str">
        <f t="shared" si="54"/>
        <v>F</v>
      </c>
      <c r="AE55" s="778" t="str">
        <f t="shared" si="55"/>
        <v/>
      </c>
      <c r="AF55" s="765"/>
      <c r="AG55" s="765"/>
      <c r="AH55" s="765"/>
      <c r="AI55" s="765"/>
      <c r="AJ55" s="765"/>
      <c r="AK55" s="765"/>
      <c r="AL55" s="765">
        <f t="shared" si="57"/>
        <v>1026</v>
      </c>
      <c r="AM55" s="765">
        <f t="shared" si="58"/>
        <v>2.8109589041095893</v>
      </c>
      <c r="AN55" s="765">
        <f t="shared" si="47"/>
        <v>2</v>
      </c>
      <c r="AO55" s="759">
        <f t="shared" si="32"/>
        <v>9.7315068493150712</v>
      </c>
      <c r="AP55" s="1079"/>
      <c r="AQ55" s="1080">
        <f t="shared" si="33"/>
        <v>42370</v>
      </c>
      <c r="AR55" s="1080">
        <f t="shared" si="38"/>
        <v>42736</v>
      </c>
      <c r="AS55" s="765">
        <f t="shared" si="34"/>
        <v>366</v>
      </c>
      <c r="AT55" s="786">
        <f>IF(AQ55&gt;'[1]calculs enfants présents'!$A$56,0,IF(Q55&lt;'[1]calculs enfants présents'!$A$56,Q55-AQ55,'[1]calculs enfants présents'!$A$56-AQ55))</f>
        <v>0</v>
      </c>
      <c r="AU55" s="786">
        <f t="shared" si="35"/>
        <v>31</v>
      </c>
      <c r="AV55" s="786">
        <f t="shared" si="36"/>
        <v>-31</v>
      </c>
      <c r="AW55" s="559"/>
      <c r="AX55" s="609">
        <v>42369</v>
      </c>
      <c r="AY55" s="956">
        <f t="shared" si="39"/>
        <v>42441</v>
      </c>
      <c r="AZ55" s="956">
        <f t="shared" si="40"/>
        <v>42736</v>
      </c>
      <c r="BA55" s="956">
        <f t="shared" si="41"/>
        <v>42409</v>
      </c>
      <c r="BB55" s="577">
        <v>42402</v>
      </c>
      <c r="BC55" s="1106" t="s">
        <v>271</v>
      </c>
      <c r="BD55" s="577">
        <v>42402</v>
      </c>
      <c r="BE55" s="1107">
        <f t="shared" si="56"/>
        <v>41800</v>
      </c>
      <c r="BF55" s="561"/>
      <c r="BG55" s="556"/>
      <c r="BH55" s="563"/>
      <c r="BI55" s="561">
        <v>41906</v>
      </c>
      <c r="BJ55" s="611" t="s">
        <v>274</v>
      </c>
      <c r="BK55" s="566"/>
      <c r="BL55" s="566"/>
      <c r="BM55" s="566"/>
      <c r="BN55" s="566"/>
      <c r="BO55" s="566"/>
      <c r="BP55" s="566"/>
      <c r="BQ55" s="566"/>
      <c r="BR55" s="566"/>
      <c r="BS55" s="1238"/>
      <c r="BT55" s="1238"/>
    </row>
    <row r="56" spans="1:72" s="401" customFormat="1" ht="12.75" customHeight="1" x14ac:dyDescent="0.2">
      <c r="A56" s="484" t="s">
        <v>558</v>
      </c>
      <c r="B56" s="484" t="s">
        <v>195</v>
      </c>
      <c r="C56" s="379" t="s">
        <v>179</v>
      </c>
      <c r="D56" s="347" t="s">
        <v>70</v>
      </c>
      <c r="E56" s="347"/>
      <c r="F56" s="347"/>
      <c r="G56" s="347"/>
      <c r="H56" s="347"/>
      <c r="I56" s="347"/>
      <c r="J56" s="411">
        <v>41043</v>
      </c>
      <c r="K56" s="411"/>
      <c r="L56" s="1077" t="str">
        <f t="shared" si="30"/>
        <v/>
      </c>
      <c r="M56" s="381">
        <v>42138</v>
      </c>
      <c r="N56" s="708">
        <v>42504</v>
      </c>
      <c r="O56" s="708"/>
      <c r="P56" s="708"/>
      <c r="Q56" s="708">
        <v>42736</v>
      </c>
      <c r="R56" s="381" t="s">
        <v>16</v>
      </c>
      <c r="S56" s="347" t="s">
        <v>16</v>
      </c>
      <c r="T56" s="347"/>
      <c r="U56" s="383"/>
      <c r="V56" s="347"/>
      <c r="W56" s="347"/>
      <c r="X56" s="385">
        <v>37946</v>
      </c>
      <c r="Y56" s="761">
        <f t="shared" si="31"/>
        <v>12.117808219178082</v>
      </c>
      <c r="Z56" s="347" t="s">
        <v>21</v>
      </c>
      <c r="AA56" s="773" t="str">
        <f t="shared" si="51"/>
        <v/>
      </c>
      <c r="AB56" s="773" t="str">
        <f t="shared" si="52"/>
        <v/>
      </c>
      <c r="AC56" s="773" t="str">
        <f t="shared" si="53"/>
        <v>F</v>
      </c>
      <c r="AD56" s="773" t="str">
        <f t="shared" si="54"/>
        <v/>
      </c>
      <c r="AE56" s="773" t="str">
        <f t="shared" si="55"/>
        <v/>
      </c>
      <c r="AF56" s="770"/>
      <c r="AG56" s="770"/>
      <c r="AH56" s="770"/>
      <c r="AI56" s="770"/>
      <c r="AJ56" s="770"/>
      <c r="AK56" s="770"/>
      <c r="AL56" s="770">
        <f t="shared" si="57"/>
        <v>1693</v>
      </c>
      <c r="AM56" s="770">
        <f t="shared" si="58"/>
        <v>4.6383561643835618</v>
      </c>
      <c r="AN56" s="773">
        <f t="shared" si="47"/>
        <v>4</v>
      </c>
      <c r="AO56" s="761">
        <f t="shared" si="32"/>
        <v>7.6602739726027416</v>
      </c>
      <c r="AP56" s="1074"/>
      <c r="AQ56" s="782">
        <f t="shared" si="33"/>
        <v>42370</v>
      </c>
      <c r="AR56" s="782">
        <f t="shared" si="38"/>
        <v>42736</v>
      </c>
      <c r="AS56" s="770">
        <f t="shared" si="34"/>
        <v>366</v>
      </c>
      <c r="AT56" s="790">
        <f>IF(AQ56&gt;'[1]calculs enfants présents'!$A$56,0,IF(Q56&lt;'[1]calculs enfants présents'!$A$56,Q56-AQ56,'[1]calculs enfants présents'!$A$56-AQ56))</f>
        <v>0</v>
      </c>
      <c r="AU56" s="790">
        <f t="shared" si="35"/>
        <v>31</v>
      </c>
      <c r="AV56" s="790">
        <f t="shared" si="36"/>
        <v>-31</v>
      </c>
      <c r="AW56" s="412"/>
      <c r="AX56" s="381">
        <v>42369</v>
      </c>
      <c r="AY56" s="955">
        <f t="shared" si="39"/>
        <v>42504</v>
      </c>
      <c r="AZ56" s="955">
        <f t="shared" si="40"/>
        <v>42736</v>
      </c>
      <c r="BA56" s="955">
        <f t="shared" si="41"/>
        <v>42472</v>
      </c>
      <c r="BB56" s="1105"/>
      <c r="BC56" s="1127"/>
      <c r="BD56" s="1105"/>
      <c r="BE56" s="1104">
        <f t="shared" si="56"/>
        <v>41128</v>
      </c>
      <c r="BF56" s="466"/>
      <c r="BG56" s="358"/>
      <c r="BH56" s="467"/>
      <c r="BI56" s="612"/>
      <c r="BJ56" s="382"/>
      <c r="BK56" s="387"/>
      <c r="BL56" s="387"/>
      <c r="BM56" s="387"/>
      <c r="BN56" s="387"/>
      <c r="BO56" s="387"/>
      <c r="BP56" s="387"/>
      <c r="BQ56" s="387"/>
      <c r="BR56" s="387"/>
      <c r="BS56" s="506"/>
      <c r="BT56" s="506"/>
    </row>
    <row r="57" spans="1:72" s="387" customFormat="1" ht="13.15" customHeight="1" x14ac:dyDescent="0.2">
      <c r="A57" s="1118" t="s">
        <v>558</v>
      </c>
      <c r="B57" s="484" t="s">
        <v>195</v>
      </c>
      <c r="C57" s="379" t="s">
        <v>196</v>
      </c>
      <c r="D57" s="347" t="s">
        <v>70</v>
      </c>
      <c r="E57" s="347"/>
      <c r="F57" s="347"/>
      <c r="G57" s="347"/>
      <c r="H57" s="347"/>
      <c r="I57" s="347"/>
      <c r="J57" s="411">
        <v>41043</v>
      </c>
      <c r="K57" s="411"/>
      <c r="L57" s="1077" t="str">
        <f t="shared" si="30"/>
        <v/>
      </c>
      <c r="M57" s="381">
        <v>42138</v>
      </c>
      <c r="N57" s="708">
        <v>42504</v>
      </c>
      <c r="O57" s="708"/>
      <c r="P57" s="708"/>
      <c r="Q57" s="708">
        <v>42736</v>
      </c>
      <c r="R57" s="381" t="s">
        <v>16</v>
      </c>
      <c r="S57" s="347" t="s">
        <v>16</v>
      </c>
      <c r="T57" s="347"/>
      <c r="U57" s="383"/>
      <c r="V57" s="347"/>
      <c r="W57" s="347"/>
      <c r="X57" s="385">
        <v>37946</v>
      </c>
      <c r="Y57" s="761">
        <f t="shared" si="31"/>
        <v>12.117808219178082</v>
      </c>
      <c r="Z57" s="347" t="s">
        <v>13</v>
      </c>
      <c r="AA57" s="773" t="str">
        <f t="shared" si="51"/>
        <v/>
      </c>
      <c r="AB57" s="773" t="str">
        <f t="shared" si="52"/>
        <v/>
      </c>
      <c r="AC57" s="773" t="str">
        <f t="shared" si="53"/>
        <v>M</v>
      </c>
      <c r="AD57" s="773" t="str">
        <f t="shared" si="54"/>
        <v/>
      </c>
      <c r="AE57" s="773" t="str">
        <f t="shared" si="55"/>
        <v/>
      </c>
      <c r="AF57" s="770"/>
      <c r="AG57" s="770"/>
      <c r="AH57" s="770"/>
      <c r="AI57" s="770"/>
      <c r="AJ57" s="770"/>
      <c r="AK57" s="770"/>
      <c r="AL57" s="770">
        <f t="shared" si="57"/>
        <v>1693</v>
      </c>
      <c r="AM57" s="770">
        <f t="shared" si="58"/>
        <v>4.6383561643835618</v>
      </c>
      <c r="AN57" s="773">
        <f t="shared" si="47"/>
        <v>4</v>
      </c>
      <c r="AO57" s="761">
        <f t="shared" si="32"/>
        <v>7.6602739726027416</v>
      </c>
      <c r="AP57" s="1074"/>
      <c r="AQ57" s="782">
        <f t="shared" si="33"/>
        <v>42370</v>
      </c>
      <c r="AR57" s="782">
        <f t="shared" si="38"/>
        <v>42736</v>
      </c>
      <c r="AS57" s="770">
        <f t="shared" si="34"/>
        <v>366</v>
      </c>
      <c r="AT57" s="790">
        <f>IF(AQ57&gt;'[1]calculs enfants présents'!$A$56,0,IF(Q57&lt;'[1]calculs enfants présents'!$A$56,Q57-AQ57,'[1]calculs enfants présents'!$A$56-AQ57))</f>
        <v>0</v>
      </c>
      <c r="AU57" s="790">
        <f t="shared" si="35"/>
        <v>31</v>
      </c>
      <c r="AV57" s="790">
        <f t="shared" si="36"/>
        <v>-31</v>
      </c>
      <c r="AW57" s="412"/>
      <c r="AX57" s="381">
        <v>42369</v>
      </c>
      <c r="AY57" s="955">
        <f t="shared" si="39"/>
        <v>42504</v>
      </c>
      <c r="AZ57" s="955">
        <f t="shared" si="40"/>
        <v>42736</v>
      </c>
      <c r="BA57" s="955">
        <f t="shared" si="41"/>
        <v>42472</v>
      </c>
      <c r="BB57" s="1105"/>
      <c r="BC57" s="1103"/>
      <c r="BD57" s="1105"/>
      <c r="BE57" s="1104">
        <f t="shared" si="56"/>
        <v>41128</v>
      </c>
      <c r="BF57" s="460"/>
      <c r="BG57" s="349"/>
      <c r="BH57" s="465"/>
      <c r="BI57" s="390"/>
      <c r="BJ57" s="382"/>
      <c r="BK57" s="374"/>
      <c r="BL57" s="374"/>
      <c r="BM57" s="374"/>
      <c r="BN57" s="374"/>
      <c r="BO57" s="374"/>
      <c r="BP57" s="374"/>
      <c r="BQ57" s="374"/>
      <c r="BR57" s="374"/>
      <c r="BS57" s="374"/>
      <c r="BT57" s="374"/>
    </row>
    <row r="58" spans="1:72" s="566" customFormat="1" ht="13.15" customHeight="1" x14ac:dyDescent="0.2">
      <c r="A58" s="1128" t="s">
        <v>832</v>
      </c>
      <c r="B58" s="1128" t="s">
        <v>762</v>
      </c>
      <c r="C58" s="403" t="s">
        <v>763</v>
      </c>
      <c r="D58" s="355" t="s">
        <v>714</v>
      </c>
      <c r="E58" s="355" t="s">
        <v>87</v>
      </c>
      <c r="F58" s="355"/>
      <c r="G58" s="355" t="s">
        <v>67</v>
      </c>
      <c r="H58" s="355"/>
      <c r="I58" s="921">
        <v>42387</v>
      </c>
      <c r="J58" s="495">
        <v>42401</v>
      </c>
      <c r="K58" s="495"/>
      <c r="L58" s="1108">
        <f t="shared" si="30"/>
        <v>14</v>
      </c>
      <c r="M58" s="405">
        <v>42401</v>
      </c>
      <c r="N58" s="405">
        <v>42767</v>
      </c>
      <c r="O58" s="405"/>
      <c r="P58" s="405"/>
      <c r="Q58" s="405">
        <v>42736</v>
      </c>
      <c r="R58" s="405" t="s">
        <v>156</v>
      </c>
      <c r="S58" s="355" t="s">
        <v>156</v>
      </c>
      <c r="T58" s="355"/>
      <c r="U58" s="408"/>
      <c r="V58" s="355"/>
      <c r="W58" s="355"/>
      <c r="X58" s="410">
        <v>37576</v>
      </c>
      <c r="Y58" s="800">
        <f t="shared" si="31"/>
        <v>13.131506849315068</v>
      </c>
      <c r="Z58" s="355" t="s">
        <v>13</v>
      </c>
      <c r="AA58" s="779" t="str">
        <f t="shared" si="51"/>
        <v/>
      </c>
      <c r="AB58" s="779" t="str">
        <f t="shared" si="52"/>
        <v/>
      </c>
      <c r="AC58" s="779" t="str">
        <f t="shared" si="53"/>
        <v>M</v>
      </c>
      <c r="AD58" s="779" t="str">
        <f t="shared" si="54"/>
        <v/>
      </c>
      <c r="AE58" s="779" t="str">
        <f t="shared" si="55"/>
        <v/>
      </c>
      <c r="AF58" s="779"/>
      <c r="AG58" s="779"/>
      <c r="AH58" s="779"/>
      <c r="AI58" s="779"/>
      <c r="AJ58" s="779"/>
      <c r="AK58" s="779"/>
      <c r="AL58" s="779">
        <f t="shared" si="57"/>
        <v>335</v>
      </c>
      <c r="AM58" s="779">
        <f t="shared" si="58"/>
        <v>0.9178082191780822</v>
      </c>
      <c r="AN58" s="779"/>
      <c r="AO58" s="800">
        <f t="shared" si="32"/>
        <v>11.013698630136986</v>
      </c>
      <c r="AP58" s="1087"/>
      <c r="AQ58" s="1072">
        <f t="shared" si="33"/>
        <v>42401</v>
      </c>
      <c r="AR58" s="1072">
        <f t="shared" si="38"/>
        <v>42736</v>
      </c>
      <c r="AS58" s="779">
        <f t="shared" ref="AS58:AS59" si="59">Q58-AQ58</f>
        <v>335</v>
      </c>
      <c r="AT58" s="1036">
        <f>IF(AQ58&gt;'[1]calculs enfants présents'!$A$56,0,IF(Q58&lt;'[1]calculs enfants présents'!$A$56,Q58-AQ58,'[1]calculs enfants présents'!$A$56-AQ58))</f>
        <v>0</v>
      </c>
      <c r="AU58" s="1037">
        <f t="shared" si="35"/>
        <v>0</v>
      </c>
      <c r="AV58" s="1036">
        <f t="shared" ref="AV58:AV59" si="60">AT58-AU58</f>
        <v>0</v>
      </c>
      <c r="AW58" s="1048"/>
      <c r="AX58" s="405">
        <v>42369</v>
      </c>
      <c r="AY58" s="954">
        <f t="shared" si="39"/>
        <v>42767</v>
      </c>
      <c r="AZ58" s="954">
        <f t="shared" si="40"/>
        <v>42736</v>
      </c>
      <c r="BA58" s="954">
        <f t="shared" si="41"/>
        <v>42738</v>
      </c>
      <c r="BB58" s="1109"/>
      <c r="BC58" s="1110"/>
      <c r="BD58" s="921"/>
      <c r="BE58" s="1111" t="str">
        <f>IF(K58&lt;&gt;"",(K58+90)-(WEEKDAY(K58+90,2)-2),"DIPC")</f>
        <v>DIPC</v>
      </c>
      <c r="BF58" s="511"/>
      <c r="BG58" s="356"/>
      <c r="BH58" s="509"/>
      <c r="BI58" s="356"/>
      <c r="BJ58" s="554"/>
      <c r="BK58" s="396"/>
      <c r="BL58" s="396"/>
      <c r="BM58" s="396"/>
      <c r="BN58" s="396"/>
      <c r="BO58" s="396"/>
      <c r="BP58" s="396"/>
      <c r="BQ58" s="396"/>
      <c r="BR58" s="396"/>
      <c r="BS58" s="396"/>
      <c r="BT58" s="396"/>
    </row>
    <row r="59" spans="1:72" s="566" customFormat="1" ht="13.15" customHeight="1" x14ac:dyDescent="0.2">
      <c r="A59" s="402" t="s">
        <v>832</v>
      </c>
      <c r="B59" s="402" t="s">
        <v>762</v>
      </c>
      <c r="C59" s="403" t="s">
        <v>764</v>
      </c>
      <c r="D59" s="355" t="s">
        <v>714</v>
      </c>
      <c r="E59" s="355" t="s">
        <v>87</v>
      </c>
      <c r="F59" s="355"/>
      <c r="G59" s="355" t="s">
        <v>67</v>
      </c>
      <c r="H59" s="355"/>
      <c r="I59" s="921">
        <v>42387</v>
      </c>
      <c r="J59" s="495">
        <v>42401</v>
      </c>
      <c r="K59" s="495"/>
      <c r="L59" s="1108">
        <f t="shared" si="30"/>
        <v>14</v>
      </c>
      <c r="M59" s="405">
        <v>42401</v>
      </c>
      <c r="N59" s="405">
        <v>42767</v>
      </c>
      <c r="O59" s="405"/>
      <c r="P59" s="405"/>
      <c r="Q59" s="405">
        <v>42736</v>
      </c>
      <c r="R59" s="405" t="s">
        <v>156</v>
      </c>
      <c r="S59" s="355" t="s">
        <v>156</v>
      </c>
      <c r="T59" s="355"/>
      <c r="U59" s="408"/>
      <c r="V59" s="355"/>
      <c r="W59" s="355"/>
      <c r="X59" s="410">
        <v>36342</v>
      </c>
      <c r="Y59" s="800">
        <f t="shared" si="31"/>
        <v>16.512328767123286</v>
      </c>
      <c r="Z59" s="355" t="s">
        <v>13</v>
      </c>
      <c r="AA59" s="779" t="str">
        <f t="shared" si="51"/>
        <v/>
      </c>
      <c r="AB59" s="779" t="str">
        <f t="shared" si="52"/>
        <v/>
      </c>
      <c r="AC59" s="779" t="str">
        <f t="shared" si="53"/>
        <v/>
      </c>
      <c r="AD59" s="779" t="str">
        <f t="shared" si="54"/>
        <v>M</v>
      </c>
      <c r="AE59" s="779" t="str">
        <f t="shared" si="55"/>
        <v/>
      </c>
      <c r="AF59" s="779"/>
      <c r="AG59" s="779"/>
      <c r="AH59" s="779"/>
      <c r="AI59" s="779"/>
      <c r="AJ59" s="779"/>
      <c r="AK59" s="779"/>
      <c r="AL59" s="779">
        <f t="shared" si="57"/>
        <v>335</v>
      </c>
      <c r="AM59" s="779">
        <f t="shared" si="58"/>
        <v>0.9178082191780822</v>
      </c>
      <c r="AN59" s="779"/>
      <c r="AO59" s="800">
        <f t="shared" si="32"/>
        <v>11.013698630136986</v>
      </c>
      <c r="AP59" s="1087"/>
      <c r="AQ59" s="1072">
        <f t="shared" si="33"/>
        <v>42401</v>
      </c>
      <c r="AR59" s="1072">
        <f t="shared" si="38"/>
        <v>42736</v>
      </c>
      <c r="AS59" s="779">
        <f t="shared" si="59"/>
        <v>335</v>
      </c>
      <c r="AT59" s="1036">
        <f>IF(AQ59&gt;'[1]calculs enfants présents'!$A$56,0,IF(Q59&lt;'[1]calculs enfants présents'!$A$56,Q59-AQ59,'[1]calculs enfants présents'!$A$56-AQ59))</f>
        <v>0</v>
      </c>
      <c r="AU59" s="1037">
        <f t="shared" si="35"/>
        <v>0</v>
      </c>
      <c r="AV59" s="1036">
        <f t="shared" si="60"/>
        <v>0</v>
      </c>
      <c r="AW59" s="1048"/>
      <c r="AX59" s="405">
        <v>42369</v>
      </c>
      <c r="AY59" s="954">
        <f t="shared" si="39"/>
        <v>42767</v>
      </c>
      <c r="AZ59" s="954">
        <f t="shared" si="40"/>
        <v>42736</v>
      </c>
      <c r="BA59" s="954">
        <f t="shared" si="41"/>
        <v>42738</v>
      </c>
      <c r="BB59" s="1109"/>
      <c r="BC59" s="1110"/>
      <c r="BD59" s="921"/>
      <c r="BE59" s="1111" t="str">
        <f>IF(K59&lt;&gt;"",(K59+90)-(WEEKDAY(K59+90,2)-2),"DIPC")</f>
        <v>DIPC</v>
      </c>
      <c r="BF59" s="511"/>
      <c r="BG59" s="356"/>
      <c r="BH59" s="509"/>
      <c r="BI59" s="356"/>
      <c r="BJ59" s="554"/>
      <c r="BK59" s="396"/>
      <c r="BL59" s="396"/>
      <c r="BM59" s="396"/>
      <c r="BN59" s="396"/>
      <c r="BO59" s="396"/>
      <c r="BP59" s="396"/>
      <c r="BQ59" s="396"/>
      <c r="BR59" s="396"/>
      <c r="BS59" s="396"/>
      <c r="BT59" s="396"/>
    </row>
    <row r="60" spans="1:72" s="566" customFormat="1" ht="13.15" customHeight="1" x14ac:dyDescent="0.2">
      <c r="A60" s="484" t="s">
        <v>527</v>
      </c>
      <c r="B60" s="484" t="s">
        <v>294</v>
      </c>
      <c r="C60" s="379" t="s">
        <v>295</v>
      </c>
      <c r="D60" s="347" t="s">
        <v>70</v>
      </c>
      <c r="E60" s="347"/>
      <c r="F60" s="347"/>
      <c r="G60" s="347"/>
      <c r="H60" s="347"/>
      <c r="I60" s="1076">
        <v>41617</v>
      </c>
      <c r="J60" s="411">
        <v>41716</v>
      </c>
      <c r="K60" s="411"/>
      <c r="L60" s="1077">
        <f t="shared" si="30"/>
        <v>99</v>
      </c>
      <c r="M60" s="381">
        <v>42081</v>
      </c>
      <c r="N60" s="381">
        <v>42447</v>
      </c>
      <c r="O60" s="381"/>
      <c r="P60" s="381"/>
      <c r="Q60" s="381">
        <v>42736</v>
      </c>
      <c r="R60" s="381" t="s">
        <v>156</v>
      </c>
      <c r="S60" s="347" t="s">
        <v>156</v>
      </c>
      <c r="T60" s="347"/>
      <c r="U60" s="383"/>
      <c r="V60" s="347"/>
      <c r="W60" s="347"/>
      <c r="X60" s="385">
        <v>36952</v>
      </c>
      <c r="Y60" s="761">
        <f t="shared" si="31"/>
        <v>14.841095890410958</v>
      </c>
      <c r="Z60" s="347" t="s">
        <v>13</v>
      </c>
      <c r="AA60" s="773" t="str">
        <f t="shared" si="51"/>
        <v/>
      </c>
      <c r="AB60" s="773" t="str">
        <f t="shared" si="52"/>
        <v/>
      </c>
      <c r="AC60" s="773" t="str">
        <f t="shared" si="53"/>
        <v>M</v>
      </c>
      <c r="AD60" s="773" t="str">
        <f t="shared" si="54"/>
        <v/>
      </c>
      <c r="AE60" s="773" t="str">
        <f t="shared" si="55"/>
        <v/>
      </c>
      <c r="AF60" s="770"/>
      <c r="AG60" s="770"/>
      <c r="AH60" s="770"/>
      <c r="AI60" s="770"/>
      <c r="AJ60" s="770"/>
      <c r="AK60" s="770"/>
      <c r="AL60" s="770">
        <f t="shared" si="57"/>
        <v>1020</v>
      </c>
      <c r="AM60" s="770">
        <f t="shared" si="58"/>
        <v>2.7945205479452055</v>
      </c>
      <c r="AN60" s="770">
        <f t="shared" ref="AN60:AN66" si="61">INT(AM60)</f>
        <v>2</v>
      </c>
      <c r="AO60" s="761">
        <f t="shared" si="32"/>
        <v>9.5342465753424666</v>
      </c>
      <c r="AP60" s="1074"/>
      <c r="AQ60" s="782">
        <f t="shared" si="33"/>
        <v>42370</v>
      </c>
      <c r="AR60" s="782">
        <f t="shared" si="38"/>
        <v>42736</v>
      </c>
      <c r="AS60" s="770">
        <f t="shared" si="34"/>
        <v>366</v>
      </c>
      <c r="AT60" s="790">
        <f>IF(AQ60&gt;'[1]calculs enfants présents'!$A$56,0,IF(Q60&lt;'[1]calculs enfants présents'!$A$56,Q60-AQ60,'[1]calculs enfants présents'!$A$56-AQ60))</f>
        <v>0</v>
      </c>
      <c r="AU60" s="790">
        <f t="shared" si="35"/>
        <v>31</v>
      </c>
      <c r="AV60" s="790">
        <f t="shared" ref="AV60:AV91" si="62">AT60-AU60</f>
        <v>-31</v>
      </c>
      <c r="AW60" s="412"/>
      <c r="AX60" s="381">
        <v>42369</v>
      </c>
      <c r="AY60" s="955">
        <f t="shared" si="39"/>
        <v>42447</v>
      </c>
      <c r="AZ60" s="955">
        <f t="shared" si="40"/>
        <v>42736</v>
      </c>
      <c r="BA60" s="955">
        <f t="shared" si="41"/>
        <v>42416</v>
      </c>
      <c r="BB60" s="1105">
        <v>42416</v>
      </c>
      <c r="BC60" s="1103" t="s">
        <v>276</v>
      </c>
      <c r="BD60" s="1076">
        <v>42416</v>
      </c>
      <c r="BE60" s="1104">
        <f t="shared" ref="BE60:BE66" si="63">(J60+90)-(WEEKDAY(J60+90,2)-2)</f>
        <v>41807</v>
      </c>
      <c r="BF60" s="460"/>
      <c r="BG60" s="349"/>
      <c r="BH60" s="465"/>
      <c r="BI60" s="390"/>
      <c r="BJ60" s="382"/>
      <c r="BK60" s="387"/>
      <c r="BL60" s="387"/>
      <c r="BM60" s="387"/>
      <c r="BN60" s="387"/>
      <c r="BO60" s="387"/>
      <c r="BP60" s="387"/>
      <c r="BQ60" s="387"/>
      <c r="BR60" s="387"/>
      <c r="BS60" s="506"/>
      <c r="BT60" s="506"/>
    </row>
    <row r="61" spans="1:72" s="566" customFormat="1" ht="13.15" customHeight="1" x14ac:dyDescent="0.2">
      <c r="A61" s="484" t="s">
        <v>598</v>
      </c>
      <c r="B61" s="484" t="s">
        <v>598</v>
      </c>
      <c r="C61" s="379" t="s">
        <v>599</v>
      </c>
      <c r="D61" s="347" t="s">
        <v>138</v>
      </c>
      <c r="E61" s="347" t="s">
        <v>87</v>
      </c>
      <c r="F61" s="347"/>
      <c r="G61" s="347"/>
      <c r="H61" s="347"/>
      <c r="I61" s="1076">
        <v>42192</v>
      </c>
      <c r="J61" s="411">
        <v>42250</v>
      </c>
      <c r="K61" s="411">
        <v>42268</v>
      </c>
      <c r="L61" s="1078">
        <f t="shared" si="30"/>
        <v>58</v>
      </c>
      <c r="M61" s="381">
        <v>42250</v>
      </c>
      <c r="N61" s="381">
        <v>42250</v>
      </c>
      <c r="O61" s="381"/>
      <c r="P61" s="381"/>
      <c r="Q61" s="381">
        <v>42736</v>
      </c>
      <c r="R61" s="381" t="s">
        <v>16</v>
      </c>
      <c r="S61" s="347" t="s">
        <v>16</v>
      </c>
      <c r="T61" s="347"/>
      <c r="U61" s="383"/>
      <c r="V61" s="347"/>
      <c r="W61" s="347"/>
      <c r="X61" s="385">
        <v>37007</v>
      </c>
      <c r="Y61" s="761">
        <f t="shared" si="31"/>
        <v>14.69041095890411</v>
      </c>
      <c r="Z61" s="347" t="s">
        <v>21</v>
      </c>
      <c r="AA61" s="770" t="str">
        <f t="shared" si="51"/>
        <v/>
      </c>
      <c r="AB61" s="770" t="str">
        <f t="shared" si="52"/>
        <v/>
      </c>
      <c r="AC61" s="770" t="str">
        <f t="shared" si="53"/>
        <v>F</v>
      </c>
      <c r="AD61" s="770" t="str">
        <f t="shared" si="54"/>
        <v/>
      </c>
      <c r="AE61" s="770" t="str">
        <f t="shared" si="55"/>
        <v/>
      </c>
      <c r="AF61" s="770"/>
      <c r="AG61" s="770"/>
      <c r="AH61" s="770"/>
      <c r="AI61" s="770"/>
      <c r="AJ61" s="770"/>
      <c r="AK61" s="770"/>
      <c r="AL61" s="770">
        <f t="shared" si="57"/>
        <v>486</v>
      </c>
      <c r="AM61" s="770">
        <f t="shared" si="58"/>
        <v>1.3315068493150686</v>
      </c>
      <c r="AN61" s="770">
        <f t="shared" si="61"/>
        <v>1</v>
      </c>
      <c r="AO61" s="761">
        <f t="shared" si="32"/>
        <v>3.9780821917808229</v>
      </c>
      <c r="AP61" s="1074"/>
      <c r="AQ61" s="782">
        <f t="shared" si="33"/>
        <v>42370</v>
      </c>
      <c r="AR61" s="782">
        <f t="shared" si="38"/>
        <v>42736</v>
      </c>
      <c r="AS61" s="770">
        <f t="shared" si="34"/>
        <v>366</v>
      </c>
      <c r="AT61" s="790">
        <f>IF(AQ61&gt;'[1]calculs enfants présents'!$A$56,0,IF(Q61&lt;'[1]calculs enfants présents'!$A$56,Q61-AQ61,'[1]calculs enfants présents'!$A$56-AQ61))</f>
        <v>0</v>
      </c>
      <c r="AU61" s="791">
        <f t="shared" si="35"/>
        <v>31</v>
      </c>
      <c r="AV61" s="790">
        <f t="shared" si="62"/>
        <v>-31</v>
      </c>
      <c r="AW61" s="412"/>
      <c r="AX61" s="381">
        <v>42369</v>
      </c>
      <c r="AY61" s="955">
        <f t="shared" si="39"/>
        <v>42250</v>
      </c>
      <c r="AZ61" s="955">
        <f t="shared" si="40"/>
        <v>42736</v>
      </c>
      <c r="BA61" s="955">
        <f t="shared" si="41"/>
        <v>42220</v>
      </c>
      <c r="BB61" s="1105"/>
      <c r="BC61" s="1103"/>
      <c r="BD61" s="1076"/>
      <c r="BE61" s="1104">
        <f t="shared" si="63"/>
        <v>42339</v>
      </c>
      <c r="BF61" s="460">
        <v>42374</v>
      </c>
      <c r="BG61" s="349" t="s">
        <v>274</v>
      </c>
      <c r="BH61" s="465">
        <v>42009</v>
      </c>
      <c r="BI61" s="349"/>
      <c r="BJ61" s="572"/>
      <c r="BK61" s="387"/>
      <c r="BL61" s="387"/>
      <c r="BM61" s="387"/>
      <c r="BN61" s="387"/>
      <c r="BO61" s="387"/>
      <c r="BP61" s="387"/>
      <c r="BQ61" s="387"/>
      <c r="BR61" s="387"/>
      <c r="BS61" s="387"/>
      <c r="BT61" s="387"/>
    </row>
    <row r="62" spans="1:72" s="387" customFormat="1" ht="13.15" customHeight="1" x14ac:dyDescent="0.2">
      <c r="A62" s="484" t="s">
        <v>710</v>
      </c>
      <c r="B62" s="484" t="s">
        <v>341</v>
      </c>
      <c r="C62" s="379" t="s">
        <v>342</v>
      </c>
      <c r="D62" s="347" t="s">
        <v>310</v>
      </c>
      <c r="E62" s="347" t="s">
        <v>87</v>
      </c>
      <c r="F62" s="347"/>
      <c r="G62" s="347"/>
      <c r="H62" s="347"/>
      <c r="I62" s="1076">
        <v>41843</v>
      </c>
      <c r="J62" s="411">
        <v>41850</v>
      </c>
      <c r="K62" s="411"/>
      <c r="L62" s="1078">
        <f t="shared" si="30"/>
        <v>7</v>
      </c>
      <c r="M62" s="381">
        <v>42154</v>
      </c>
      <c r="N62" s="381">
        <v>42520</v>
      </c>
      <c r="O62" s="381"/>
      <c r="P62" s="381"/>
      <c r="Q62" s="381">
        <v>42736</v>
      </c>
      <c r="R62" s="381" t="s">
        <v>156</v>
      </c>
      <c r="S62" s="347" t="s">
        <v>160</v>
      </c>
      <c r="T62" s="347"/>
      <c r="U62" s="383"/>
      <c r="V62" s="347"/>
      <c r="W62" s="347"/>
      <c r="X62" s="385">
        <v>38796</v>
      </c>
      <c r="Y62" s="761">
        <f t="shared" si="31"/>
        <v>9.7890410958904113</v>
      </c>
      <c r="Z62" s="347" t="s">
        <v>13</v>
      </c>
      <c r="AA62" s="770" t="str">
        <f t="shared" si="51"/>
        <v/>
      </c>
      <c r="AB62" s="770" t="str">
        <f t="shared" si="52"/>
        <v>M</v>
      </c>
      <c r="AC62" s="770" t="str">
        <f t="shared" si="53"/>
        <v/>
      </c>
      <c r="AD62" s="770" t="str">
        <f t="shared" si="54"/>
        <v/>
      </c>
      <c r="AE62" s="770" t="str">
        <f t="shared" si="55"/>
        <v/>
      </c>
      <c r="AF62" s="770"/>
      <c r="AG62" s="770"/>
      <c r="AH62" s="770"/>
      <c r="AI62" s="770"/>
      <c r="AJ62" s="770"/>
      <c r="AK62" s="770"/>
      <c r="AL62" s="770">
        <f t="shared" si="57"/>
        <v>886</v>
      </c>
      <c r="AM62" s="770">
        <f t="shared" si="58"/>
        <v>2.4273972602739726</v>
      </c>
      <c r="AN62" s="770">
        <f t="shared" si="61"/>
        <v>2</v>
      </c>
      <c r="AO62" s="761">
        <f t="shared" si="32"/>
        <v>5.1287671232876715</v>
      </c>
      <c r="AP62" s="1074"/>
      <c r="AQ62" s="782">
        <f t="shared" si="33"/>
        <v>42370</v>
      </c>
      <c r="AR62" s="782">
        <f t="shared" si="38"/>
        <v>42736</v>
      </c>
      <c r="AS62" s="770">
        <f t="shared" si="34"/>
        <v>366</v>
      </c>
      <c r="AT62" s="790">
        <f>IF(AQ62&gt;'[1]calculs enfants présents'!$A$56,0,IF(Q62&lt;'[1]calculs enfants présents'!$A$56,Q62-AQ62,'[1]calculs enfants présents'!$A$56-AQ62))</f>
        <v>0</v>
      </c>
      <c r="AU62" s="791">
        <f t="shared" si="35"/>
        <v>31</v>
      </c>
      <c r="AV62" s="790">
        <f t="shared" si="62"/>
        <v>-31</v>
      </c>
      <c r="AW62" s="412"/>
      <c r="AX62" s="381">
        <v>42369</v>
      </c>
      <c r="AY62" s="955">
        <f t="shared" si="39"/>
        <v>42520</v>
      </c>
      <c r="AZ62" s="955">
        <f t="shared" si="40"/>
        <v>42736</v>
      </c>
      <c r="BA62" s="955">
        <f t="shared" si="41"/>
        <v>42486</v>
      </c>
      <c r="BB62" s="1105"/>
      <c r="BC62" s="1103"/>
      <c r="BD62" s="1076"/>
      <c r="BE62" s="1104">
        <f t="shared" si="63"/>
        <v>41940</v>
      </c>
      <c r="BF62" s="460"/>
      <c r="BG62" s="349"/>
      <c r="BH62" s="465"/>
      <c r="BI62" s="390"/>
      <c r="BJ62" s="382"/>
    </row>
    <row r="63" spans="1:72" s="387" customFormat="1" ht="12.75" customHeight="1" x14ac:dyDescent="0.2">
      <c r="A63" s="733" t="s">
        <v>417</v>
      </c>
      <c r="B63" s="733" t="s">
        <v>227</v>
      </c>
      <c r="C63" s="734" t="s">
        <v>226</v>
      </c>
      <c r="D63" s="712" t="s">
        <v>70</v>
      </c>
      <c r="E63" s="712"/>
      <c r="F63" s="712"/>
      <c r="G63" s="712"/>
      <c r="H63" s="712"/>
      <c r="I63" s="1081">
        <v>41344</v>
      </c>
      <c r="J63" s="735">
        <v>41428</v>
      </c>
      <c r="K63" s="735"/>
      <c r="L63" s="1112">
        <f t="shared" si="30"/>
        <v>84</v>
      </c>
      <c r="M63" s="722">
        <v>42158</v>
      </c>
      <c r="N63" s="723">
        <v>42411</v>
      </c>
      <c r="O63" s="723" t="s">
        <v>739</v>
      </c>
      <c r="P63" s="723">
        <v>42411</v>
      </c>
      <c r="Q63" s="723">
        <v>42411</v>
      </c>
      <c r="R63" s="722" t="s">
        <v>156</v>
      </c>
      <c r="S63" s="712" t="s">
        <v>156</v>
      </c>
      <c r="T63" s="712"/>
      <c r="U63" s="713"/>
      <c r="V63" s="712"/>
      <c r="W63" s="712"/>
      <c r="X63" s="724">
        <v>35837</v>
      </c>
      <c r="Y63" s="762">
        <f t="shared" si="31"/>
        <v>17.895890410958906</v>
      </c>
      <c r="Z63" s="712" t="s">
        <v>13</v>
      </c>
      <c r="AA63" s="777" t="str">
        <f t="shared" si="51"/>
        <v/>
      </c>
      <c r="AB63" s="777" t="str">
        <f t="shared" si="52"/>
        <v/>
      </c>
      <c r="AC63" s="777" t="str">
        <f t="shared" si="53"/>
        <v/>
      </c>
      <c r="AD63" s="777" t="str">
        <f t="shared" si="54"/>
        <v>M</v>
      </c>
      <c r="AE63" s="777" t="str">
        <f t="shared" si="55"/>
        <v/>
      </c>
      <c r="AF63" s="772"/>
      <c r="AG63" s="772"/>
      <c r="AH63" s="772"/>
      <c r="AI63" s="772"/>
      <c r="AJ63" s="772"/>
      <c r="AK63" s="772"/>
      <c r="AL63" s="772">
        <f t="shared" si="57"/>
        <v>983</v>
      </c>
      <c r="AM63" s="772">
        <f t="shared" si="58"/>
        <v>2.6931506849315068</v>
      </c>
      <c r="AN63" s="772">
        <f t="shared" si="61"/>
        <v>2</v>
      </c>
      <c r="AO63" s="762">
        <f t="shared" si="32"/>
        <v>8.3178082191780813</v>
      </c>
      <c r="AP63" s="1073"/>
      <c r="AQ63" s="1113">
        <f t="shared" si="33"/>
        <v>42370</v>
      </c>
      <c r="AR63" s="1113">
        <f t="shared" si="38"/>
        <v>42411</v>
      </c>
      <c r="AS63" s="772">
        <f t="shared" si="34"/>
        <v>41</v>
      </c>
      <c r="AT63" s="792">
        <f>IF(AQ63&gt;'[1]calculs enfants présents'!$A$56,0,IF(Q63&lt;'[1]calculs enfants présents'!$A$56,Q63-AQ63,'[1]calculs enfants présents'!$A$56-AQ63))</f>
        <v>0</v>
      </c>
      <c r="AU63" s="822">
        <f t="shared" si="35"/>
        <v>31</v>
      </c>
      <c r="AV63" s="792">
        <f t="shared" si="62"/>
        <v>-31</v>
      </c>
      <c r="AW63" s="725"/>
      <c r="AX63" s="722">
        <v>42369</v>
      </c>
      <c r="AY63" s="1114">
        <f t="shared" si="39"/>
        <v>42411</v>
      </c>
      <c r="AZ63" s="1114">
        <f t="shared" si="40"/>
        <v>42411</v>
      </c>
      <c r="BA63" s="1114">
        <f t="shared" si="41"/>
        <v>42381</v>
      </c>
      <c r="BB63" s="1115">
        <v>42381</v>
      </c>
      <c r="BC63" s="1116" t="s">
        <v>270</v>
      </c>
      <c r="BD63" s="1115">
        <v>42381</v>
      </c>
      <c r="BE63" s="1117">
        <f t="shared" si="63"/>
        <v>41513</v>
      </c>
      <c r="BF63" s="726"/>
      <c r="BG63" s="721"/>
      <c r="BH63" s="727"/>
      <c r="BI63" s="490"/>
      <c r="BJ63" s="426"/>
      <c r="BK63" s="401"/>
      <c r="BL63" s="401"/>
      <c r="BM63" s="401"/>
      <c r="BN63" s="401"/>
      <c r="BO63" s="401"/>
      <c r="BP63" s="401"/>
      <c r="BQ63" s="401"/>
      <c r="BR63" s="401"/>
      <c r="BS63" s="401"/>
      <c r="BT63" s="401"/>
    </row>
    <row r="64" spans="1:72" s="566" customFormat="1" ht="13.15" customHeight="1" x14ac:dyDescent="0.2">
      <c r="A64" s="484" t="s">
        <v>630</v>
      </c>
      <c r="B64" s="484" t="s">
        <v>567</v>
      </c>
      <c r="C64" s="379" t="s">
        <v>568</v>
      </c>
      <c r="D64" s="347" t="s">
        <v>310</v>
      </c>
      <c r="E64" s="347" t="s">
        <v>70</v>
      </c>
      <c r="F64" s="347"/>
      <c r="G64" s="347"/>
      <c r="H64" s="347"/>
      <c r="I64" s="1076">
        <v>42184</v>
      </c>
      <c r="J64" s="411">
        <v>42261</v>
      </c>
      <c r="K64" s="411">
        <v>42263</v>
      </c>
      <c r="L64" s="1078">
        <f t="shared" si="30"/>
        <v>77</v>
      </c>
      <c r="M64" s="381">
        <v>42261</v>
      </c>
      <c r="N64" s="381">
        <v>42627</v>
      </c>
      <c r="O64" s="381"/>
      <c r="P64" s="381"/>
      <c r="Q64" s="381">
        <v>42736</v>
      </c>
      <c r="R64" s="381" t="s">
        <v>16</v>
      </c>
      <c r="S64" s="347" t="s">
        <v>13</v>
      </c>
      <c r="T64" s="347"/>
      <c r="U64" s="383"/>
      <c r="V64" s="347"/>
      <c r="W64" s="347"/>
      <c r="X64" s="385">
        <v>38760</v>
      </c>
      <c r="Y64" s="761">
        <f t="shared" si="31"/>
        <v>9.8876712328767127</v>
      </c>
      <c r="Z64" s="347" t="s">
        <v>13</v>
      </c>
      <c r="AA64" s="770" t="str">
        <f t="shared" si="51"/>
        <v/>
      </c>
      <c r="AB64" s="770" t="s">
        <v>13</v>
      </c>
      <c r="AC64" s="770" t="str">
        <f t="shared" si="53"/>
        <v/>
      </c>
      <c r="AD64" s="770" t="str">
        <f t="shared" si="54"/>
        <v/>
      </c>
      <c r="AE64" s="770" t="str">
        <f t="shared" si="55"/>
        <v/>
      </c>
      <c r="AF64" s="770"/>
      <c r="AG64" s="770"/>
      <c r="AH64" s="770"/>
      <c r="AI64" s="770"/>
      <c r="AJ64" s="770"/>
      <c r="AK64" s="770"/>
      <c r="AL64" s="770">
        <f t="shared" si="57"/>
        <v>475</v>
      </c>
      <c r="AM64" s="770">
        <f t="shared" si="58"/>
        <v>1.3013698630136987</v>
      </c>
      <c r="AN64" s="770">
        <f t="shared" si="61"/>
        <v>1</v>
      </c>
      <c r="AO64" s="761">
        <f t="shared" si="32"/>
        <v>3.6164383561643847</v>
      </c>
      <c r="AP64" s="1074"/>
      <c r="AQ64" s="782">
        <f t="shared" si="33"/>
        <v>42370</v>
      </c>
      <c r="AR64" s="782">
        <f t="shared" si="38"/>
        <v>42736</v>
      </c>
      <c r="AS64" s="770">
        <f t="shared" si="34"/>
        <v>366</v>
      </c>
      <c r="AT64" s="790">
        <f>IF(AQ64&gt;'[1]calculs enfants présents'!$A$56,0,IF(Q64&lt;'[1]calculs enfants présents'!$A$56,Q64-AQ64,'[1]calculs enfants présents'!$A$56-AQ64))</f>
        <v>0</v>
      </c>
      <c r="AU64" s="791">
        <f t="shared" si="35"/>
        <v>31</v>
      </c>
      <c r="AV64" s="790">
        <f t="shared" si="62"/>
        <v>-31</v>
      </c>
      <c r="AW64" s="412"/>
      <c r="AX64" s="381">
        <v>42369</v>
      </c>
      <c r="AY64" s="955">
        <f t="shared" si="39"/>
        <v>42627</v>
      </c>
      <c r="AZ64" s="955">
        <f t="shared" si="40"/>
        <v>42736</v>
      </c>
      <c r="BA64" s="955">
        <f t="shared" si="41"/>
        <v>42598</v>
      </c>
      <c r="BB64" s="1105"/>
      <c r="BC64" s="1103"/>
      <c r="BD64" s="1076"/>
      <c r="BE64" s="1104">
        <f t="shared" si="63"/>
        <v>42346</v>
      </c>
      <c r="BF64" s="460">
        <v>42388</v>
      </c>
      <c r="BG64" s="349" t="s">
        <v>274</v>
      </c>
      <c r="BH64" s="465">
        <v>42388</v>
      </c>
      <c r="BI64" s="349"/>
      <c r="BJ64" s="572"/>
      <c r="BK64" s="387"/>
      <c r="BL64" s="387"/>
      <c r="BM64" s="387"/>
      <c r="BN64" s="387"/>
      <c r="BO64" s="387"/>
      <c r="BP64" s="387"/>
      <c r="BQ64" s="387"/>
      <c r="BR64" s="387"/>
      <c r="BS64" s="387"/>
      <c r="BT64" s="387"/>
    </row>
    <row r="65" spans="1:72" s="387" customFormat="1" ht="12.75" customHeight="1" x14ac:dyDescent="0.2">
      <c r="A65" s="484" t="s">
        <v>633</v>
      </c>
      <c r="B65" s="484" t="s">
        <v>607</v>
      </c>
      <c r="C65" s="379" t="s">
        <v>608</v>
      </c>
      <c r="D65" s="347" t="s">
        <v>138</v>
      </c>
      <c r="E65" s="347" t="s">
        <v>70</v>
      </c>
      <c r="F65" s="347"/>
      <c r="G65" s="347"/>
      <c r="H65" s="347"/>
      <c r="I65" s="1076">
        <v>42201</v>
      </c>
      <c r="J65" s="411">
        <v>42250</v>
      </c>
      <c r="K65" s="411">
        <v>42265</v>
      </c>
      <c r="L65" s="1078">
        <f t="shared" si="30"/>
        <v>49</v>
      </c>
      <c r="M65" s="381">
        <v>42250</v>
      </c>
      <c r="N65" s="381">
        <v>42616</v>
      </c>
      <c r="O65" s="381"/>
      <c r="P65" s="381"/>
      <c r="Q65" s="381">
        <v>42736</v>
      </c>
      <c r="R65" s="381" t="s">
        <v>156</v>
      </c>
      <c r="S65" s="347" t="s">
        <v>62</v>
      </c>
      <c r="T65" s="347"/>
      <c r="U65" s="383"/>
      <c r="V65" s="347"/>
      <c r="W65" s="347"/>
      <c r="X65" s="385">
        <v>37368</v>
      </c>
      <c r="Y65" s="761">
        <f t="shared" si="31"/>
        <v>13.701369863013699</v>
      </c>
      <c r="Z65" s="347" t="s">
        <v>21</v>
      </c>
      <c r="AA65" s="770" t="str">
        <f t="shared" si="51"/>
        <v/>
      </c>
      <c r="AB65" s="770" t="str">
        <f>IF(AND(Y65&gt;=6,Y65&lt;11),IF(Z65="M","M","F"),"")</f>
        <v/>
      </c>
      <c r="AC65" s="770" t="str">
        <f t="shared" si="53"/>
        <v>F</v>
      </c>
      <c r="AD65" s="770" t="str">
        <f t="shared" si="54"/>
        <v/>
      </c>
      <c r="AE65" s="770" t="str">
        <f t="shared" si="55"/>
        <v/>
      </c>
      <c r="AF65" s="770"/>
      <c r="AG65" s="770"/>
      <c r="AH65" s="770"/>
      <c r="AI65" s="770"/>
      <c r="AJ65" s="770"/>
      <c r="AK65" s="770"/>
      <c r="AL65" s="770">
        <f t="shared" si="57"/>
        <v>486</v>
      </c>
      <c r="AM65" s="770">
        <f t="shared" si="58"/>
        <v>1.3315068493150686</v>
      </c>
      <c r="AN65" s="770">
        <f t="shared" si="61"/>
        <v>1</v>
      </c>
      <c r="AO65" s="761">
        <f t="shared" si="32"/>
        <v>3.9780821917808229</v>
      </c>
      <c r="AP65" s="1074"/>
      <c r="AQ65" s="782">
        <f t="shared" si="33"/>
        <v>42370</v>
      </c>
      <c r="AR65" s="782">
        <f t="shared" si="38"/>
        <v>42736</v>
      </c>
      <c r="AS65" s="770">
        <f t="shared" si="34"/>
        <v>366</v>
      </c>
      <c r="AT65" s="790">
        <f>IF(AQ65&gt;'[1]calculs enfants présents'!$A$56,0,IF(Q65&lt;'[1]calculs enfants présents'!$A$56,Q65-AQ65,'[1]calculs enfants présents'!$A$56-AQ65))</f>
        <v>0</v>
      </c>
      <c r="AU65" s="791">
        <f t="shared" si="35"/>
        <v>31</v>
      </c>
      <c r="AV65" s="790">
        <f t="shared" si="62"/>
        <v>-31</v>
      </c>
      <c r="AW65" s="412"/>
      <c r="AX65" s="381">
        <v>42369</v>
      </c>
      <c r="AY65" s="955">
        <f t="shared" si="39"/>
        <v>42616</v>
      </c>
      <c r="AZ65" s="955">
        <f t="shared" si="40"/>
        <v>42736</v>
      </c>
      <c r="BA65" s="955">
        <f t="shared" si="41"/>
        <v>42584</v>
      </c>
      <c r="BB65" s="1105"/>
      <c r="BC65" s="1103"/>
      <c r="BD65" s="1076"/>
      <c r="BE65" s="1104">
        <f t="shared" si="63"/>
        <v>42339</v>
      </c>
      <c r="BF65" s="460">
        <v>42360</v>
      </c>
      <c r="BG65" s="349" t="s">
        <v>271</v>
      </c>
      <c r="BH65" s="465">
        <v>42360</v>
      </c>
      <c r="BI65" s="349"/>
      <c r="BJ65" s="572"/>
      <c r="BK65" s="374"/>
      <c r="BL65" s="374"/>
      <c r="BM65" s="374"/>
      <c r="BN65" s="374"/>
      <c r="BO65" s="374"/>
      <c r="BP65" s="374"/>
      <c r="BQ65" s="374"/>
      <c r="BR65" s="374"/>
      <c r="BS65" s="652"/>
      <c r="BT65" s="652"/>
    </row>
    <row r="66" spans="1:72" s="387" customFormat="1" ht="12.75" customHeight="1" x14ac:dyDescent="0.2">
      <c r="A66" s="484" t="s">
        <v>633</v>
      </c>
      <c r="B66" s="484" t="s">
        <v>607</v>
      </c>
      <c r="C66" s="379" t="s">
        <v>721</v>
      </c>
      <c r="D66" s="347" t="s">
        <v>138</v>
      </c>
      <c r="E66" s="347" t="s">
        <v>70</v>
      </c>
      <c r="F66" s="347"/>
      <c r="G66" s="347"/>
      <c r="H66" s="347"/>
      <c r="I66" s="347"/>
      <c r="J66" s="411">
        <v>42338</v>
      </c>
      <c r="K66" s="411"/>
      <c r="L66" s="411"/>
      <c r="M66" s="411">
        <v>42338</v>
      </c>
      <c r="N66" s="411">
        <v>42616</v>
      </c>
      <c r="O66" s="411" t="s">
        <v>674</v>
      </c>
      <c r="P66" s="411" t="s">
        <v>674</v>
      </c>
      <c r="Q66" s="411">
        <v>42736</v>
      </c>
      <c r="R66" s="381" t="s">
        <v>156</v>
      </c>
      <c r="S66" s="347" t="s">
        <v>62</v>
      </c>
      <c r="T66" s="347"/>
      <c r="U66" s="383"/>
      <c r="V66" s="347"/>
      <c r="W66" s="347"/>
      <c r="X66" s="385">
        <v>36203</v>
      </c>
      <c r="Y66" s="1146">
        <v>16.893150684931506</v>
      </c>
      <c r="Z66" s="347" t="s">
        <v>13</v>
      </c>
      <c r="AA66" s="770"/>
      <c r="AB66" s="770"/>
      <c r="AC66" s="770"/>
      <c r="AD66" s="770"/>
      <c r="AE66" s="770"/>
      <c r="AF66" s="770"/>
      <c r="AG66" s="770"/>
      <c r="AH66" s="770"/>
      <c r="AI66" s="770"/>
      <c r="AJ66" s="770"/>
      <c r="AK66" s="770"/>
      <c r="AL66" s="770">
        <f t="shared" si="57"/>
        <v>398</v>
      </c>
      <c r="AM66" s="770">
        <f t="shared" si="58"/>
        <v>1.0904109589041096</v>
      </c>
      <c r="AN66" s="770">
        <f t="shared" si="61"/>
        <v>1</v>
      </c>
      <c r="AO66" s="761">
        <f t="shared" ref="AO66" si="64">(AM66-AN66)*12</f>
        <v>1.0849315068493146</v>
      </c>
      <c r="AP66" s="1074"/>
      <c r="AQ66" s="782">
        <f t="shared" ref="AQ66:AQ97" si="65">IF(J66&lt;DATE(2016,1,1),DATE(2016,1,1),J66)</f>
        <v>42370</v>
      </c>
      <c r="AR66" s="782">
        <v>42370</v>
      </c>
      <c r="AS66" s="770">
        <f t="shared" ref="AS66:AS97" si="66">Q66-AQ66</f>
        <v>366</v>
      </c>
      <c r="AT66" s="790">
        <f>IF(AQ66&gt;'[1]calculs enfants présents'!$A$56,0,IF(Q66&lt;'[1]calculs enfants présents'!$A$56,Q66-AQ66,'[1]calculs enfants présents'!$A$56-AQ66))</f>
        <v>0</v>
      </c>
      <c r="AU66" s="791">
        <f t="shared" ref="AU66:AU97" si="67">IF($AQ66&gt;$AV$1,0,IF($Q66&lt;$AV$1,$Q66-$AQ66,$AV$1-$AQ66))</f>
        <v>31</v>
      </c>
      <c r="AV66" s="790">
        <f t="shared" si="62"/>
        <v>-31</v>
      </c>
      <c r="AW66" s="412"/>
      <c r="AX66" s="381">
        <v>42370</v>
      </c>
      <c r="AY66" s="1119">
        <v>42615</v>
      </c>
      <c r="AZ66" s="1119">
        <v>42370</v>
      </c>
      <c r="BA66" s="1119">
        <v>42584</v>
      </c>
      <c r="BB66" s="1105"/>
      <c r="BC66" s="1103"/>
      <c r="BD66" s="1076"/>
      <c r="BE66" s="1119">
        <f t="shared" si="63"/>
        <v>42423</v>
      </c>
      <c r="BF66" s="459"/>
      <c r="BG66" s="322"/>
      <c r="BH66" s="465"/>
      <c r="BJ66" s="382"/>
      <c r="BS66" s="374"/>
      <c r="BT66" s="374"/>
    </row>
    <row r="67" spans="1:72" s="566" customFormat="1" ht="12.75" customHeight="1" x14ac:dyDescent="0.2">
      <c r="A67" s="402" t="s">
        <v>771</v>
      </c>
      <c r="B67" s="402" t="s">
        <v>771</v>
      </c>
      <c r="C67" s="403" t="s">
        <v>772</v>
      </c>
      <c r="D67" s="355" t="s">
        <v>714</v>
      </c>
      <c r="E67" s="355"/>
      <c r="F67" s="355"/>
      <c r="G67" s="355" t="s">
        <v>67</v>
      </c>
      <c r="H67" s="355"/>
      <c r="I67" s="921">
        <v>42331</v>
      </c>
      <c r="J67" s="495">
        <v>42389</v>
      </c>
      <c r="K67" s="495"/>
      <c r="L67" s="1108">
        <f t="shared" ref="L67:L98" si="68">IF(I67&lt;&gt;"",J67-I67,"")</f>
        <v>58</v>
      </c>
      <c r="M67" s="495">
        <v>42380</v>
      </c>
      <c r="N67" s="495">
        <v>42746</v>
      </c>
      <c r="O67" s="495"/>
      <c r="P67" s="495"/>
      <c r="Q67" s="405">
        <v>42746</v>
      </c>
      <c r="R67" s="405" t="s">
        <v>16</v>
      </c>
      <c r="S67" s="355" t="s">
        <v>20</v>
      </c>
      <c r="T67" s="347"/>
      <c r="U67" s="383"/>
      <c r="V67" s="347"/>
      <c r="W67" s="347"/>
      <c r="X67" s="410">
        <v>37558</v>
      </c>
      <c r="Y67" s="800">
        <f t="shared" ref="Y67:Y98" si="69">(AX67-X67)/365</f>
        <v>13.180821917808219</v>
      </c>
      <c r="Z67" s="355" t="s">
        <v>21</v>
      </c>
      <c r="AA67" s="779"/>
      <c r="AB67" s="779"/>
      <c r="AC67" s="779"/>
      <c r="AD67" s="779"/>
      <c r="AE67" s="779"/>
      <c r="AF67" s="770"/>
      <c r="AG67" s="770"/>
      <c r="AH67" s="770"/>
      <c r="AI67" s="770"/>
      <c r="AJ67" s="770"/>
      <c r="AK67" s="770"/>
      <c r="AL67" s="770"/>
      <c r="AM67" s="770"/>
      <c r="AN67" s="779"/>
      <c r="AO67" s="800"/>
      <c r="AP67" s="1087"/>
      <c r="AQ67" s="1072">
        <f t="shared" si="65"/>
        <v>42389</v>
      </c>
      <c r="AR67" s="1072">
        <v>42736</v>
      </c>
      <c r="AS67" s="779">
        <f t="shared" si="66"/>
        <v>357</v>
      </c>
      <c r="AT67" s="1036">
        <f>IF(AQ67&gt;'[1]calculs enfants présents'!$A$56,0,IF(Q67&lt;'[1]calculs enfants présents'!$A$56,Q67-AQ67,'[1]calculs enfants présents'!$A$56-AQ67))</f>
        <v>0</v>
      </c>
      <c r="AU67" s="1037">
        <f t="shared" si="67"/>
        <v>12</v>
      </c>
      <c r="AV67" s="1036">
        <f t="shared" si="62"/>
        <v>-12</v>
      </c>
      <c r="AW67" s="1048"/>
      <c r="AX67" s="405">
        <v>42369</v>
      </c>
      <c r="AY67" s="954">
        <f t="shared" ref="AY67:AY98" si="70">N67</f>
        <v>42746</v>
      </c>
      <c r="AZ67" s="954">
        <f t="shared" ref="AZ67:AZ98" si="71">AR67</f>
        <v>42736</v>
      </c>
      <c r="BA67" s="954">
        <f t="shared" ref="BA67:BA98" si="72">(N67-30)-(WEEKDAY(N67-30,2)-2)</f>
        <v>42717</v>
      </c>
      <c r="BB67" s="1109"/>
      <c r="BC67" s="1110"/>
      <c r="BD67" s="921"/>
      <c r="BE67" s="1111" t="str">
        <f>IF(K67&lt;&gt;"",(K67+90)-(WEEKDAY(K67+90,2)-2),"DIPC")</f>
        <v>DIPC</v>
      </c>
      <c r="BF67" s="672"/>
      <c r="BG67" s="1067"/>
      <c r="BH67" s="509"/>
      <c r="BI67" s="396"/>
      <c r="BJ67" s="407"/>
      <c r="BK67" s="396"/>
      <c r="BL67" s="396"/>
      <c r="BM67" s="396"/>
      <c r="BN67" s="396"/>
      <c r="BO67" s="396"/>
      <c r="BP67" s="396"/>
      <c r="BQ67" s="396"/>
      <c r="BR67" s="396"/>
      <c r="BS67" s="396"/>
      <c r="BT67" s="396"/>
    </row>
    <row r="68" spans="1:72" s="387" customFormat="1" ht="12.75" customHeight="1" x14ac:dyDescent="0.2">
      <c r="A68" s="1138" t="s">
        <v>415</v>
      </c>
      <c r="B68" s="1138" t="s">
        <v>198</v>
      </c>
      <c r="C68" s="1139" t="s">
        <v>199</v>
      </c>
      <c r="D68" s="353" t="s">
        <v>183</v>
      </c>
      <c r="E68" s="353"/>
      <c r="F68" s="353"/>
      <c r="G68" s="353"/>
      <c r="H68" s="353"/>
      <c r="I68" s="353"/>
      <c r="J68" s="1141">
        <v>41246</v>
      </c>
      <c r="K68" s="1141"/>
      <c r="L68" s="1159" t="str">
        <f t="shared" si="68"/>
        <v/>
      </c>
      <c r="M68" s="1143">
        <v>42341</v>
      </c>
      <c r="N68" s="1164">
        <v>42707</v>
      </c>
      <c r="O68" s="1164"/>
      <c r="P68" s="1164"/>
      <c r="Q68" s="1164">
        <v>42736</v>
      </c>
      <c r="R68" s="1143" t="s">
        <v>156</v>
      </c>
      <c r="S68" s="353" t="s">
        <v>157</v>
      </c>
      <c r="T68" s="353"/>
      <c r="U68" s="1144"/>
      <c r="V68" s="353"/>
      <c r="W68" s="353"/>
      <c r="X68" s="1145">
        <v>36979</v>
      </c>
      <c r="Y68" s="1146">
        <f t="shared" si="69"/>
        <v>14.767123287671232</v>
      </c>
      <c r="Z68" s="353" t="s">
        <v>13</v>
      </c>
      <c r="AA68" s="1160" t="str">
        <f t="shared" ref="AA68:AA75" si="73">IF(Y68&lt;6,IF(Z68="M","M","F"),"")</f>
        <v/>
      </c>
      <c r="AB68" s="1160" t="str">
        <f t="shared" ref="AB68:AB75" si="74">IF(AND(Y68&gt;=6,Y68&lt;11),IF(Z68="M","M","F"),"")</f>
        <v/>
      </c>
      <c r="AC68" s="1160" t="str">
        <f t="shared" ref="AC68:AC75" si="75">IF(AND(Y68&gt;=11,Y68&lt;15),IF(Z68="M","M","F"),"")</f>
        <v>M</v>
      </c>
      <c r="AD68" s="1160" t="str">
        <f t="shared" ref="AD68:AD75" si="76">IF(AND(Y68&gt;=15,Y68&lt;18),IF(Z68="M","M","F"),"")</f>
        <v/>
      </c>
      <c r="AE68" s="1160" t="str">
        <f t="shared" ref="AE68:AE75" si="77">IF(Y68&gt;18,IF(Z68="M","M","F"),"")</f>
        <v/>
      </c>
      <c r="AF68" s="763"/>
      <c r="AG68" s="763"/>
      <c r="AH68" s="763"/>
      <c r="AI68" s="763"/>
      <c r="AJ68" s="763"/>
      <c r="AK68" s="763"/>
      <c r="AL68" s="763">
        <f>Q68-J68</f>
        <v>1490</v>
      </c>
      <c r="AM68" s="763">
        <f>AL68/365</f>
        <v>4.0821917808219181</v>
      </c>
      <c r="AN68" s="1160">
        <f t="shared" ref="AN68:AN80" si="78">INT(AM68)</f>
        <v>4</v>
      </c>
      <c r="AO68" s="1146">
        <f t="shared" ref="AO68:AO80" si="79">(AM68-AN68)*12</f>
        <v>0.98630136986301764</v>
      </c>
      <c r="AP68" s="1147"/>
      <c r="AQ68" s="1148">
        <f t="shared" si="65"/>
        <v>42370</v>
      </c>
      <c r="AR68" s="1148">
        <f t="shared" ref="AR68:AR99" si="80">Q68</f>
        <v>42736</v>
      </c>
      <c r="AS68" s="763">
        <f t="shared" si="66"/>
        <v>366</v>
      </c>
      <c r="AT68" s="1149">
        <f>IF(AQ68&gt;'[1]calculs enfants présents'!$A$56,0,IF(Q68&lt;'[1]calculs enfants présents'!$A$56,Q68-AQ68,'[1]calculs enfants présents'!$A$56-AQ68))</f>
        <v>0</v>
      </c>
      <c r="AU68" s="1150">
        <f t="shared" si="67"/>
        <v>31</v>
      </c>
      <c r="AV68" s="1149">
        <f t="shared" si="62"/>
        <v>-31</v>
      </c>
      <c r="AW68" s="326"/>
      <c r="AX68" s="1143">
        <v>42369</v>
      </c>
      <c r="AY68" s="1151">
        <f t="shared" si="70"/>
        <v>42707</v>
      </c>
      <c r="AZ68" s="1151">
        <f t="shared" si="71"/>
        <v>42736</v>
      </c>
      <c r="BA68" s="1151">
        <f t="shared" si="72"/>
        <v>42675</v>
      </c>
      <c r="BB68" s="1140">
        <v>42325</v>
      </c>
      <c r="BC68" s="1153" t="s">
        <v>271</v>
      </c>
      <c r="BD68" s="1140">
        <v>42325</v>
      </c>
      <c r="BE68" s="1154">
        <f>(J68+90)-(WEEKDAY(J68+90,2)-2)</f>
        <v>41331</v>
      </c>
      <c r="BF68" s="1156"/>
      <c r="BG68" s="1156"/>
      <c r="BH68" s="1157"/>
      <c r="BI68" s="1165"/>
      <c r="BJ68" s="1163"/>
      <c r="BK68" s="388"/>
      <c r="BL68" s="388"/>
      <c r="BM68" s="388"/>
      <c r="BN68" s="388"/>
      <c r="BO68" s="388"/>
      <c r="BP68" s="388"/>
      <c r="BQ68" s="388"/>
      <c r="BR68" s="388"/>
      <c r="BS68" s="388"/>
      <c r="BT68" s="388"/>
    </row>
    <row r="69" spans="1:72" ht="12.75" customHeight="1" x14ac:dyDescent="0.2">
      <c r="A69" s="1138" t="s">
        <v>735</v>
      </c>
      <c r="B69" s="1138" t="s">
        <v>735</v>
      </c>
      <c r="C69" s="1139" t="s">
        <v>736</v>
      </c>
      <c r="D69" s="353" t="s">
        <v>183</v>
      </c>
      <c r="E69" s="353"/>
      <c r="F69" s="353"/>
      <c r="G69" s="353" t="s">
        <v>674</v>
      </c>
      <c r="H69" s="353" t="s">
        <v>674</v>
      </c>
      <c r="I69" s="1140">
        <v>42352</v>
      </c>
      <c r="J69" s="1141">
        <v>42353</v>
      </c>
      <c r="K69" s="1141"/>
      <c r="L69" s="1159">
        <f t="shared" si="68"/>
        <v>1</v>
      </c>
      <c r="M69" s="1143">
        <v>42353</v>
      </c>
      <c r="N69" s="1143">
        <v>42707</v>
      </c>
      <c r="O69" s="1143"/>
      <c r="P69" s="1143"/>
      <c r="Q69" s="1143">
        <v>42736</v>
      </c>
      <c r="R69" s="1143" t="s">
        <v>156</v>
      </c>
      <c r="S69" s="353" t="s">
        <v>157</v>
      </c>
      <c r="T69" s="353"/>
      <c r="U69" s="1144"/>
      <c r="V69" s="353"/>
      <c r="W69" s="353"/>
      <c r="X69" s="1145">
        <v>41418</v>
      </c>
      <c r="Y69" s="1146">
        <f t="shared" si="69"/>
        <v>2.6054794520547944</v>
      </c>
      <c r="Z69" s="353" t="s">
        <v>13</v>
      </c>
      <c r="AA69" s="763" t="str">
        <f t="shared" si="73"/>
        <v>M</v>
      </c>
      <c r="AB69" s="763" t="str">
        <f t="shared" si="74"/>
        <v/>
      </c>
      <c r="AC69" s="763" t="str">
        <f t="shared" si="75"/>
        <v/>
      </c>
      <c r="AD69" s="763" t="str">
        <f t="shared" si="76"/>
        <v/>
      </c>
      <c r="AE69" s="763" t="str">
        <f t="shared" si="77"/>
        <v/>
      </c>
      <c r="AF69" s="763"/>
      <c r="AG69" s="763"/>
      <c r="AH69" s="763"/>
      <c r="AI69" s="763"/>
      <c r="AJ69" s="763"/>
      <c r="AK69" s="763"/>
      <c r="AL69" s="763">
        <f>Q69-J69</f>
        <v>383</v>
      </c>
      <c r="AM69" s="763">
        <f>AL69/365</f>
        <v>1.0493150684931507</v>
      </c>
      <c r="AN69" s="763">
        <f t="shared" si="78"/>
        <v>1</v>
      </c>
      <c r="AO69" s="1146">
        <f t="shared" si="79"/>
        <v>0.59178082191780845</v>
      </c>
      <c r="AP69" s="1147"/>
      <c r="AQ69" s="1148">
        <f t="shared" si="65"/>
        <v>42370</v>
      </c>
      <c r="AR69" s="1148">
        <f t="shared" si="80"/>
        <v>42736</v>
      </c>
      <c r="AS69" s="763">
        <f t="shared" si="66"/>
        <v>366</v>
      </c>
      <c r="AT69" s="1149">
        <f>IF(AQ69&gt;'[1]calculs enfants présents'!$A$56,0,IF(Q69&lt;'[1]calculs enfants présents'!$A$56,Q69-AQ69,'[1]calculs enfants présents'!$A$56-AQ69))</f>
        <v>0</v>
      </c>
      <c r="AU69" s="1150">
        <f t="shared" si="67"/>
        <v>31</v>
      </c>
      <c r="AV69" s="1149">
        <f t="shared" si="62"/>
        <v>-31</v>
      </c>
      <c r="AW69" s="326"/>
      <c r="AX69" s="1143">
        <v>42369</v>
      </c>
      <c r="AY69" s="1151">
        <f t="shared" si="70"/>
        <v>42707</v>
      </c>
      <c r="AZ69" s="1151">
        <f t="shared" si="71"/>
        <v>42736</v>
      </c>
      <c r="BA69" s="1151">
        <f t="shared" si="72"/>
        <v>42675</v>
      </c>
      <c r="BB69" s="1152"/>
      <c r="BC69" s="1153"/>
      <c r="BD69" s="1140"/>
      <c r="BE69" s="1154" t="str">
        <f>IF(K69&lt;&gt;"",(K69+90)-(WEEKDAY(K69+90,2)-2),"DIPC")</f>
        <v>DIPC</v>
      </c>
      <c r="BF69" s="1155"/>
      <c r="BG69" s="1156"/>
      <c r="BH69" s="1157"/>
      <c r="BI69" s="1156"/>
      <c r="BJ69" s="1158"/>
      <c r="BK69" s="388"/>
      <c r="BL69" s="388"/>
      <c r="BM69" s="388"/>
      <c r="BN69" s="388"/>
      <c r="BO69" s="388"/>
      <c r="BP69" s="388"/>
      <c r="BQ69" s="388"/>
      <c r="BR69" s="388"/>
      <c r="BS69" s="388"/>
      <c r="BT69" s="388"/>
    </row>
    <row r="70" spans="1:72" s="401" customFormat="1" ht="12.75" customHeight="1" x14ac:dyDescent="0.2">
      <c r="A70" s="484" t="s">
        <v>735</v>
      </c>
      <c r="B70" s="484" t="s">
        <v>735</v>
      </c>
      <c r="C70" s="379" t="s">
        <v>218</v>
      </c>
      <c r="D70" s="347" t="s">
        <v>183</v>
      </c>
      <c r="E70" s="347"/>
      <c r="F70" s="347"/>
      <c r="G70" s="347" t="s">
        <v>674</v>
      </c>
      <c r="H70" s="347" t="s">
        <v>674</v>
      </c>
      <c r="I70" s="1076">
        <v>42352</v>
      </c>
      <c r="J70" s="411">
        <v>42353</v>
      </c>
      <c r="K70" s="411"/>
      <c r="L70" s="1078">
        <f t="shared" si="68"/>
        <v>1</v>
      </c>
      <c r="M70" s="381">
        <v>42353</v>
      </c>
      <c r="N70" s="381">
        <v>42707</v>
      </c>
      <c r="O70" s="381"/>
      <c r="P70" s="381"/>
      <c r="Q70" s="381">
        <v>42736</v>
      </c>
      <c r="R70" s="381" t="s">
        <v>156</v>
      </c>
      <c r="S70" s="347" t="s">
        <v>157</v>
      </c>
      <c r="T70" s="347"/>
      <c r="U70" s="383"/>
      <c r="V70" s="347"/>
      <c r="W70" s="347"/>
      <c r="X70" s="385">
        <v>41955</v>
      </c>
      <c r="Y70" s="761">
        <f t="shared" si="69"/>
        <v>1.1342465753424658</v>
      </c>
      <c r="Z70" s="347" t="s">
        <v>13</v>
      </c>
      <c r="AA70" s="770" t="str">
        <f t="shared" si="73"/>
        <v>M</v>
      </c>
      <c r="AB70" s="770" t="str">
        <f t="shared" si="74"/>
        <v/>
      </c>
      <c r="AC70" s="770" t="str">
        <f t="shared" si="75"/>
        <v/>
      </c>
      <c r="AD70" s="770" t="str">
        <f t="shared" si="76"/>
        <v/>
      </c>
      <c r="AE70" s="770" t="str">
        <f t="shared" si="77"/>
        <v/>
      </c>
      <c r="AF70" s="770"/>
      <c r="AG70" s="770"/>
      <c r="AH70" s="770"/>
      <c r="AI70" s="770"/>
      <c r="AJ70" s="770"/>
      <c r="AK70" s="770"/>
      <c r="AL70" s="770">
        <f>Q70-J70</f>
        <v>383</v>
      </c>
      <c r="AM70" s="770">
        <f>AL70/365</f>
        <v>1.0493150684931507</v>
      </c>
      <c r="AN70" s="770">
        <f t="shared" si="78"/>
        <v>1</v>
      </c>
      <c r="AO70" s="761">
        <f t="shared" si="79"/>
        <v>0.59178082191780845</v>
      </c>
      <c r="AP70" s="1074"/>
      <c r="AQ70" s="782">
        <f t="shared" si="65"/>
        <v>42370</v>
      </c>
      <c r="AR70" s="782">
        <f t="shared" si="80"/>
        <v>42736</v>
      </c>
      <c r="AS70" s="770">
        <f t="shared" si="66"/>
        <v>366</v>
      </c>
      <c r="AT70" s="790">
        <f>IF(AQ70&gt;'[1]calculs enfants présents'!$A$56,0,IF(Q70&lt;'[1]calculs enfants présents'!$A$56,Q70-AQ70,'[1]calculs enfants présents'!$A$56-AQ70))</f>
        <v>0</v>
      </c>
      <c r="AU70" s="791">
        <f t="shared" si="67"/>
        <v>31</v>
      </c>
      <c r="AV70" s="790">
        <f t="shared" si="62"/>
        <v>-31</v>
      </c>
      <c r="AW70" s="412"/>
      <c r="AX70" s="381">
        <v>42369</v>
      </c>
      <c r="AY70" s="955">
        <f t="shared" si="70"/>
        <v>42707</v>
      </c>
      <c r="AZ70" s="955">
        <f t="shared" si="71"/>
        <v>42736</v>
      </c>
      <c r="BA70" s="955">
        <f t="shared" si="72"/>
        <v>42675</v>
      </c>
      <c r="BB70" s="1105"/>
      <c r="BC70" s="1103"/>
      <c r="BD70" s="1076"/>
      <c r="BE70" s="1104" t="str">
        <f>IF(K70&lt;&gt;"",(K70+90)-(WEEKDAY(K70+90,2)-2),"DIPC")</f>
        <v>DIPC</v>
      </c>
      <c r="BF70" s="460"/>
      <c r="BG70" s="349"/>
      <c r="BH70" s="465"/>
      <c r="BI70" s="349"/>
      <c r="BJ70" s="572"/>
      <c r="BK70" s="387"/>
      <c r="BL70" s="387"/>
      <c r="BM70" s="387"/>
      <c r="BN70" s="387"/>
      <c r="BO70" s="387"/>
      <c r="BP70" s="387"/>
      <c r="BQ70" s="387"/>
      <c r="BR70" s="387"/>
      <c r="BS70" s="387"/>
      <c r="BT70" s="387"/>
    </row>
    <row r="71" spans="1:72" s="566" customFormat="1" ht="12.75" customHeight="1" x14ac:dyDescent="0.2">
      <c r="A71" s="1138" t="s">
        <v>415</v>
      </c>
      <c r="B71" s="1138" t="s">
        <v>200</v>
      </c>
      <c r="C71" s="1139" t="s">
        <v>201</v>
      </c>
      <c r="D71" s="353" t="s">
        <v>183</v>
      </c>
      <c r="E71" s="353"/>
      <c r="F71" s="353"/>
      <c r="G71" s="353"/>
      <c r="H71" s="353"/>
      <c r="I71" s="353"/>
      <c r="J71" s="1141">
        <v>41246</v>
      </c>
      <c r="K71" s="1141"/>
      <c r="L71" s="1159" t="str">
        <f t="shared" si="68"/>
        <v/>
      </c>
      <c r="M71" s="1143">
        <v>42341</v>
      </c>
      <c r="N71" s="1164">
        <v>42707</v>
      </c>
      <c r="O71" s="1164"/>
      <c r="P71" s="1164"/>
      <c r="Q71" s="1164">
        <v>42736</v>
      </c>
      <c r="R71" s="1143" t="s">
        <v>156</v>
      </c>
      <c r="S71" s="353" t="s">
        <v>157</v>
      </c>
      <c r="T71" s="353"/>
      <c r="U71" s="1144"/>
      <c r="V71" s="353"/>
      <c r="W71" s="353"/>
      <c r="X71" s="1145">
        <v>39350</v>
      </c>
      <c r="Y71" s="1146">
        <f t="shared" si="69"/>
        <v>8.2712328767123289</v>
      </c>
      <c r="Z71" s="353" t="s">
        <v>21</v>
      </c>
      <c r="AA71" s="1160" t="str">
        <f t="shared" si="73"/>
        <v/>
      </c>
      <c r="AB71" s="1160" t="str">
        <f t="shared" si="74"/>
        <v>F</v>
      </c>
      <c r="AC71" s="1160" t="str">
        <f t="shared" si="75"/>
        <v/>
      </c>
      <c r="AD71" s="1160" t="str">
        <f t="shared" si="76"/>
        <v/>
      </c>
      <c r="AE71" s="1160" t="str">
        <f t="shared" si="77"/>
        <v/>
      </c>
      <c r="AF71" s="763"/>
      <c r="AG71" s="763"/>
      <c r="AH71" s="763"/>
      <c r="AI71" s="763"/>
      <c r="AJ71" s="763"/>
      <c r="AK71" s="763"/>
      <c r="AL71" s="763">
        <f>Q71-J71</f>
        <v>1490</v>
      </c>
      <c r="AM71" s="763">
        <f>AL71/365</f>
        <v>4.0821917808219181</v>
      </c>
      <c r="AN71" s="1160">
        <f t="shared" si="78"/>
        <v>4</v>
      </c>
      <c r="AO71" s="1146">
        <f t="shared" si="79"/>
        <v>0.98630136986301764</v>
      </c>
      <c r="AP71" s="1147"/>
      <c r="AQ71" s="1148">
        <f t="shared" si="65"/>
        <v>42370</v>
      </c>
      <c r="AR71" s="1148">
        <f t="shared" si="80"/>
        <v>42736</v>
      </c>
      <c r="AS71" s="763">
        <f t="shared" si="66"/>
        <v>366</v>
      </c>
      <c r="AT71" s="1149">
        <f>IF(AQ71&gt;'[1]calculs enfants présents'!$A$56,0,IF(Q71&lt;'[1]calculs enfants présents'!$A$56,Q71-AQ71,'[1]calculs enfants présents'!$A$56-AQ71))</f>
        <v>0</v>
      </c>
      <c r="AU71" s="1150">
        <f t="shared" si="67"/>
        <v>31</v>
      </c>
      <c r="AV71" s="1149">
        <f t="shared" si="62"/>
        <v>-31</v>
      </c>
      <c r="AW71" s="326"/>
      <c r="AX71" s="1143">
        <v>42369</v>
      </c>
      <c r="AY71" s="1151">
        <f t="shared" si="70"/>
        <v>42707</v>
      </c>
      <c r="AZ71" s="1151">
        <f t="shared" si="71"/>
        <v>42736</v>
      </c>
      <c r="BA71" s="1151">
        <f t="shared" si="72"/>
        <v>42675</v>
      </c>
      <c r="BB71" s="1140">
        <v>42325</v>
      </c>
      <c r="BC71" s="1153" t="s">
        <v>271</v>
      </c>
      <c r="BD71" s="1140"/>
      <c r="BE71" s="1154">
        <f>(J71+90)-(WEEKDAY(J71+90,2)-2)</f>
        <v>41331</v>
      </c>
      <c r="BF71" s="1156"/>
      <c r="BG71" s="1156"/>
      <c r="BH71" s="1157"/>
      <c r="BI71" s="1165"/>
      <c r="BJ71" s="1163"/>
      <c r="BK71" s="388"/>
      <c r="BL71" s="388"/>
      <c r="BM71" s="388"/>
      <c r="BN71" s="388"/>
      <c r="BO71" s="388"/>
      <c r="BP71" s="388"/>
      <c r="BQ71" s="388"/>
      <c r="BR71" s="388"/>
      <c r="BS71" s="388"/>
      <c r="BT71" s="388"/>
    </row>
    <row r="72" spans="1:72" s="388" customFormat="1" ht="13.15" customHeight="1" x14ac:dyDescent="0.2">
      <c r="A72" s="484" t="s">
        <v>538</v>
      </c>
      <c r="B72" s="484" t="s">
        <v>520</v>
      </c>
      <c r="C72" s="700" t="s">
        <v>521</v>
      </c>
      <c r="D72" s="347" t="s">
        <v>310</v>
      </c>
      <c r="E72" s="349" t="s">
        <v>179</v>
      </c>
      <c r="F72" s="384"/>
      <c r="G72" s="347"/>
      <c r="H72" s="347"/>
      <c r="I72" s="485">
        <v>42121</v>
      </c>
      <c r="J72" s="380">
        <v>42137</v>
      </c>
      <c r="K72" s="380">
        <v>42150</v>
      </c>
      <c r="L72" s="454">
        <f t="shared" si="68"/>
        <v>16</v>
      </c>
      <c r="M72" s="381">
        <v>42137</v>
      </c>
      <c r="N72" s="708">
        <v>42503</v>
      </c>
      <c r="O72" s="708"/>
      <c r="P72" s="708"/>
      <c r="Q72" s="708">
        <v>42736</v>
      </c>
      <c r="R72" s="399" t="s">
        <v>16</v>
      </c>
      <c r="S72" s="382" t="s">
        <v>16</v>
      </c>
      <c r="T72" s="347"/>
      <c r="U72" s="383"/>
      <c r="V72" s="384"/>
      <c r="W72" s="384"/>
      <c r="X72" s="385">
        <v>36608</v>
      </c>
      <c r="Y72" s="761">
        <f t="shared" si="69"/>
        <v>15.783561643835617</v>
      </c>
      <c r="Z72" s="347" t="s">
        <v>13</v>
      </c>
      <c r="AA72" s="1240" t="str">
        <f t="shared" si="73"/>
        <v/>
      </c>
      <c r="AB72" s="773" t="str">
        <f t="shared" si="74"/>
        <v/>
      </c>
      <c r="AC72" s="773" t="str">
        <f t="shared" si="75"/>
        <v/>
      </c>
      <c r="AD72" s="773" t="str">
        <f t="shared" si="76"/>
        <v>M</v>
      </c>
      <c r="AE72" s="773" t="str">
        <f t="shared" si="77"/>
        <v/>
      </c>
      <c r="AF72" s="770"/>
      <c r="AG72" s="769"/>
      <c r="AH72" s="769"/>
      <c r="AI72" s="769"/>
      <c r="AJ72" s="769"/>
      <c r="AK72" s="769"/>
      <c r="AL72" s="769"/>
      <c r="AM72" s="770"/>
      <c r="AN72" s="1308">
        <f t="shared" si="78"/>
        <v>0</v>
      </c>
      <c r="AO72" s="761">
        <f t="shared" si="79"/>
        <v>0</v>
      </c>
      <c r="AP72" s="345"/>
      <c r="AQ72" s="1189">
        <f t="shared" si="65"/>
        <v>42370</v>
      </c>
      <c r="AR72" s="1189">
        <f t="shared" si="80"/>
        <v>42736</v>
      </c>
      <c r="AS72" s="770">
        <f t="shared" si="66"/>
        <v>366</v>
      </c>
      <c r="AT72" s="790">
        <f>IF(AQ72&gt;'[1]calculs enfants présents'!$A$56,0,IF(Q72&lt;'[1]calculs enfants présents'!$A$56,Q72-AQ72,'[1]calculs enfants présents'!$A$56-AQ72))</f>
        <v>0</v>
      </c>
      <c r="AU72" s="791">
        <f t="shared" si="67"/>
        <v>31</v>
      </c>
      <c r="AV72" s="790">
        <f t="shared" si="62"/>
        <v>-31</v>
      </c>
      <c r="AW72" s="412"/>
      <c r="AX72" s="1190">
        <v>42369</v>
      </c>
      <c r="AY72" s="1241">
        <f t="shared" si="70"/>
        <v>42503</v>
      </c>
      <c r="AZ72" s="1241">
        <f t="shared" si="71"/>
        <v>42736</v>
      </c>
      <c r="BA72" s="472">
        <f t="shared" si="72"/>
        <v>42472</v>
      </c>
      <c r="BB72" s="460"/>
      <c r="BC72" s="469"/>
      <c r="BD72" s="460"/>
      <c r="BE72" s="491">
        <f>(J72+90)-(WEEKDAY(J72+90,2)-2)</f>
        <v>42227</v>
      </c>
      <c r="BF72" s="460"/>
      <c r="BG72" s="349"/>
      <c r="BH72" s="465"/>
      <c r="BI72" s="390"/>
      <c r="BJ72" s="382"/>
      <c r="BK72" s="387"/>
      <c r="BL72" s="387"/>
      <c r="BM72" s="387"/>
      <c r="BN72" s="387"/>
      <c r="BO72" s="387"/>
      <c r="BP72" s="387"/>
      <c r="BQ72" s="387"/>
      <c r="BR72" s="387"/>
      <c r="BS72" s="387"/>
      <c r="BT72" s="387"/>
    </row>
    <row r="73" spans="1:72" s="387" customFormat="1" ht="13.15" customHeight="1" x14ac:dyDescent="0.2">
      <c r="A73" s="402" t="s">
        <v>765</v>
      </c>
      <c r="B73" s="402" t="s">
        <v>765</v>
      </c>
      <c r="C73" s="583" t="s">
        <v>784</v>
      </c>
      <c r="D73" s="355" t="s">
        <v>714</v>
      </c>
      <c r="E73" s="356" t="s">
        <v>183</v>
      </c>
      <c r="F73" s="409"/>
      <c r="G73" s="355" t="s">
        <v>67</v>
      </c>
      <c r="H73" s="355"/>
      <c r="I73" s="452">
        <v>42387</v>
      </c>
      <c r="J73" s="404">
        <v>42394</v>
      </c>
      <c r="K73" s="404"/>
      <c r="L73" s="937">
        <f t="shared" si="68"/>
        <v>7</v>
      </c>
      <c r="M73" s="405">
        <v>42394</v>
      </c>
      <c r="N73" s="405">
        <v>42760</v>
      </c>
      <c r="O73" s="405"/>
      <c r="P73" s="405"/>
      <c r="Q73" s="405">
        <v>42746</v>
      </c>
      <c r="R73" s="406" t="s">
        <v>16</v>
      </c>
      <c r="S73" s="407" t="s">
        <v>13</v>
      </c>
      <c r="T73" s="355"/>
      <c r="U73" s="408"/>
      <c r="V73" s="409"/>
      <c r="W73" s="409"/>
      <c r="X73" s="410">
        <v>36342</v>
      </c>
      <c r="Y73" s="800">
        <f t="shared" si="69"/>
        <v>16.512328767123286</v>
      </c>
      <c r="Z73" s="355" t="s">
        <v>21</v>
      </c>
      <c r="AA73" s="780" t="str">
        <f t="shared" si="73"/>
        <v/>
      </c>
      <c r="AB73" s="779" t="str">
        <f t="shared" si="74"/>
        <v/>
      </c>
      <c r="AC73" s="779" t="str">
        <f t="shared" si="75"/>
        <v/>
      </c>
      <c r="AD73" s="779" t="str">
        <f t="shared" si="76"/>
        <v>F</v>
      </c>
      <c r="AE73" s="779" t="str">
        <f t="shared" si="77"/>
        <v/>
      </c>
      <c r="AF73" s="779"/>
      <c r="AG73" s="780"/>
      <c r="AH73" s="780"/>
      <c r="AI73" s="780"/>
      <c r="AJ73" s="780"/>
      <c r="AK73" s="780"/>
      <c r="AL73" s="780">
        <f>Q73-J73</f>
        <v>352</v>
      </c>
      <c r="AM73" s="779">
        <f>AL73/365</f>
        <v>0.96438356164383565</v>
      </c>
      <c r="AN73" s="801">
        <f t="shared" si="78"/>
        <v>0</v>
      </c>
      <c r="AO73" s="800">
        <f t="shared" si="79"/>
        <v>11.572602739726028</v>
      </c>
      <c r="AP73" s="1309"/>
      <c r="AQ73" s="1310">
        <f t="shared" si="65"/>
        <v>42394</v>
      </c>
      <c r="AR73" s="1310">
        <f t="shared" si="80"/>
        <v>42746</v>
      </c>
      <c r="AS73" s="779">
        <f t="shared" si="66"/>
        <v>352</v>
      </c>
      <c r="AT73" s="1036">
        <f>IF(AQ73&gt;'[1]calculs enfants présents'!$A$56,0,IF(Q73&lt;'[1]calculs enfants présents'!$A$56,Q73-AQ73,'[1]calculs enfants présents'!$A$56-AQ73))</f>
        <v>0</v>
      </c>
      <c r="AU73" s="1037">
        <f t="shared" si="67"/>
        <v>7</v>
      </c>
      <c r="AV73" s="1036">
        <f t="shared" si="62"/>
        <v>-7</v>
      </c>
      <c r="AW73" s="1048"/>
      <c r="AX73" s="1311">
        <v>42369</v>
      </c>
      <c r="AY73" s="496">
        <f t="shared" si="70"/>
        <v>42760</v>
      </c>
      <c r="AZ73" s="496">
        <f t="shared" si="71"/>
        <v>42746</v>
      </c>
      <c r="BA73" s="487">
        <f t="shared" si="72"/>
        <v>42731</v>
      </c>
      <c r="BB73" s="539"/>
      <c r="BC73" s="553"/>
      <c r="BD73" s="511"/>
      <c r="BE73" s="492" t="str">
        <f>IF(K73&lt;&gt;"",(K73+90)-(WEEKDAY(K73+90,2)-2),"DIPC")</f>
        <v>DIPC</v>
      </c>
      <c r="BF73" s="511"/>
      <c r="BG73" s="356"/>
      <c r="BH73" s="509"/>
      <c r="BI73" s="356"/>
      <c r="BJ73" s="554"/>
      <c r="BK73" s="396"/>
      <c r="BL73" s="396"/>
      <c r="BM73" s="396"/>
      <c r="BN73" s="396"/>
      <c r="BO73" s="396"/>
      <c r="BP73" s="396"/>
      <c r="BQ73" s="396"/>
      <c r="BR73" s="396"/>
      <c r="BS73" s="396"/>
      <c r="BT73" s="396"/>
    </row>
    <row r="74" spans="1:72" s="388" customFormat="1" x14ac:dyDescent="0.2">
      <c r="A74" s="484" t="s">
        <v>593</v>
      </c>
      <c r="B74" s="484" t="s">
        <v>593</v>
      </c>
      <c r="C74" s="379" t="s">
        <v>594</v>
      </c>
      <c r="D74" s="347" t="s">
        <v>138</v>
      </c>
      <c r="E74" s="347" t="s">
        <v>310</v>
      </c>
      <c r="F74" s="347"/>
      <c r="G74" s="347"/>
      <c r="H74" s="347"/>
      <c r="I74" s="1076">
        <v>42188</v>
      </c>
      <c r="J74" s="411">
        <v>42257</v>
      </c>
      <c r="K74" s="411">
        <v>42279</v>
      </c>
      <c r="L74" s="1078">
        <f t="shared" si="68"/>
        <v>69</v>
      </c>
      <c r="M74" s="381">
        <v>42257</v>
      </c>
      <c r="N74" s="381">
        <v>42623</v>
      </c>
      <c r="O74" s="381"/>
      <c r="P74" s="381"/>
      <c r="Q74" s="381">
        <v>42736</v>
      </c>
      <c r="R74" s="381" t="s">
        <v>16</v>
      </c>
      <c r="S74" s="347" t="s">
        <v>20</v>
      </c>
      <c r="T74" s="347"/>
      <c r="U74" s="383"/>
      <c r="V74" s="347"/>
      <c r="W74" s="347"/>
      <c r="X74" s="385">
        <v>37050</v>
      </c>
      <c r="Y74" s="761">
        <f t="shared" si="69"/>
        <v>14.572602739726028</v>
      </c>
      <c r="Z74" s="347" t="s">
        <v>21</v>
      </c>
      <c r="AA74" s="770" t="str">
        <f t="shared" si="73"/>
        <v/>
      </c>
      <c r="AB74" s="770" t="str">
        <f t="shared" si="74"/>
        <v/>
      </c>
      <c r="AC74" s="770" t="str">
        <f t="shared" si="75"/>
        <v>F</v>
      </c>
      <c r="AD74" s="770" t="str">
        <f t="shared" si="76"/>
        <v/>
      </c>
      <c r="AE74" s="770" t="str">
        <f t="shared" si="77"/>
        <v/>
      </c>
      <c r="AF74" s="770"/>
      <c r="AG74" s="770"/>
      <c r="AH74" s="770"/>
      <c r="AI74" s="770"/>
      <c r="AJ74" s="770"/>
      <c r="AK74" s="770"/>
      <c r="AL74" s="770">
        <f>Q74-J74</f>
        <v>479</v>
      </c>
      <c r="AM74" s="770">
        <f>AL74/365</f>
        <v>1.3123287671232877</v>
      </c>
      <c r="AN74" s="770">
        <f t="shared" si="78"/>
        <v>1</v>
      </c>
      <c r="AO74" s="761">
        <f t="shared" si="79"/>
        <v>3.7479452054794526</v>
      </c>
      <c r="AP74" s="1074"/>
      <c r="AQ74" s="782">
        <f t="shared" si="65"/>
        <v>42370</v>
      </c>
      <c r="AR74" s="782">
        <f t="shared" si="80"/>
        <v>42736</v>
      </c>
      <c r="AS74" s="770">
        <f t="shared" si="66"/>
        <v>366</v>
      </c>
      <c r="AT74" s="790">
        <f>IF(AQ74&gt;'[1]calculs enfants présents'!$A$56,0,IF(Q74&lt;'[1]calculs enfants présents'!$A$56,Q74-AQ74,'[1]calculs enfants présents'!$A$56-AQ74))</f>
        <v>0</v>
      </c>
      <c r="AU74" s="791">
        <f t="shared" si="67"/>
        <v>31</v>
      </c>
      <c r="AV74" s="790">
        <f t="shared" si="62"/>
        <v>-31</v>
      </c>
      <c r="AW74" s="412"/>
      <c r="AX74" s="381">
        <v>42369</v>
      </c>
      <c r="AY74" s="955">
        <f t="shared" si="70"/>
        <v>42623</v>
      </c>
      <c r="AZ74" s="955">
        <f t="shared" si="71"/>
        <v>42736</v>
      </c>
      <c r="BA74" s="955">
        <f t="shared" si="72"/>
        <v>42591</v>
      </c>
      <c r="BB74" s="1105"/>
      <c r="BC74" s="1103"/>
      <c r="BD74" s="1076"/>
      <c r="BE74" s="1104">
        <f t="shared" ref="BE74:BE80" si="81">(J74+90)-(WEEKDAY(J74+90,2)-2)</f>
        <v>42346</v>
      </c>
      <c r="BF74" s="460">
        <v>42388</v>
      </c>
      <c r="BG74" s="349" t="s">
        <v>275</v>
      </c>
      <c r="BH74" s="465">
        <v>42388</v>
      </c>
      <c r="BI74" s="349"/>
      <c r="BJ74" s="572"/>
      <c r="BK74" s="374"/>
      <c r="BL74" s="374"/>
      <c r="BM74" s="374"/>
      <c r="BN74" s="374"/>
      <c r="BO74" s="374"/>
      <c r="BP74" s="374"/>
      <c r="BQ74" s="374"/>
      <c r="BR74" s="374"/>
      <c r="BS74" s="374"/>
      <c r="BT74" s="374"/>
    </row>
    <row r="75" spans="1:72" s="388" customFormat="1" ht="12.75" customHeight="1" x14ac:dyDescent="0.2">
      <c r="A75" s="484" t="s">
        <v>242</v>
      </c>
      <c r="B75" s="484" t="s">
        <v>242</v>
      </c>
      <c r="C75" s="379" t="s">
        <v>161</v>
      </c>
      <c r="D75" s="347" t="s">
        <v>70</v>
      </c>
      <c r="E75" s="347"/>
      <c r="F75" s="347"/>
      <c r="G75" s="347"/>
      <c r="H75" s="347"/>
      <c r="I75" s="1076">
        <v>41460</v>
      </c>
      <c r="J75" s="411">
        <v>41554</v>
      </c>
      <c r="K75" s="411"/>
      <c r="L75" s="1077">
        <f t="shared" si="68"/>
        <v>94</v>
      </c>
      <c r="M75" s="381">
        <v>42284</v>
      </c>
      <c r="N75" s="381">
        <v>42650</v>
      </c>
      <c r="O75" s="381" t="s">
        <v>674</v>
      </c>
      <c r="P75" s="381" t="s">
        <v>674</v>
      </c>
      <c r="Q75" s="381">
        <v>42736</v>
      </c>
      <c r="R75" s="381" t="s">
        <v>156</v>
      </c>
      <c r="S75" s="347" t="s">
        <v>162</v>
      </c>
      <c r="T75" s="346">
        <f>IF(Q75&gt;'[2]calculs enfants présents'!$A$56,0,IF(#REF!&lt;'[2]calculs enfants présents'!$A$56,#REF!-Q75,'[2]calculs enfants présents'!$A$56-Q75))</f>
        <v>0</v>
      </c>
      <c r="U75" s="346">
        <f>IF($AQ75&gt;$AV$1,0,IF($Q75&lt;$AV$1,$Q75-$AQ75,$AV$1-$AQ75))</f>
        <v>31</v>
      </c>
      <c r="V75" s="346">
        <f>T75-U75</f>
        <v>-31</v>
      </c>
      <c r="W75" s="347"/>
      <c r="X75" s="385">
        <v>38213</v>
      </c>
      <c r="Y75" s="761">
        <f t="shared" si="69"/>
        <v>11.386301369863014</v>
      </c>
      <c r="Z75" s="347" t="s">
        <v>13</v>
      </c>
      <c r="AA75" s="773" t="str">
        <f t="shared" si="73"/>
        <v/>
      </c>
      <c r="AB75" s="773" t="str">
        <f t="shared" si="74"/>
        <v/>
      </c>
      <c r="AC75" s="773" t="str">
        <f t="shared" si="75"/>
        <v>M</v>
      </c>
      <c r="AD75" s="773" t="str">
        <f t="shared" si="76"/>
        <v/>
      </c>
      <c r="AE75" s="773" t="str">
        <f t="shared" si="77"/>
        <v/>
      </c>
      <c r="AF75" s="770"/>
      <c r="AG75" s="770"/>
      <c r="AH75" s="770"/>
      <c r="AI75" s="770"/>
      <c r="AJ75" s="770"/>
      <c r="AK75" s="770"/>
      <c r="AL75" s="770">
        <f>Q75-J75</f>
        <v>1182</v>
      </c>
      <c r="AM75" s="770">
        <f>AL75/365</f>
        <v>3.2383561643835614</v>
      </c>
      <c r="AN75" s="770">
        <f t="shared" si="78"/>
        <v>3</v>
      </c>
      <c r="AO75" s="761">
        <f t="shared" si="79"/>
        <v>2.8602739726027373</v>
      </c>
      <c r="AP75" s="1074"/>
      <c r="AQ75" s="782">
        <f t="shared" si="65"/>
        <v>42370</v>
      </c>
      <c r="AR75" s="782">
        <f t="shared" si="80"/>
        <v>42736</v>
      </c>
      <c r="AS75" s="770">
        <f t="shared" si="66"/>
        <v>366</v>
      </c>
      <c r="AT75" s="790">
        <f>IF(AQ75&gt;'[1]calculs enfants présents'!$A$56,0,IF(Q75&lt;'[1]calculs enfants présents'!$A$56,Q75-AQ75,'[1]calculs enfants présents'!$A$56-AQ75))</f>
        <v>0</v>
      </c>
      <c r="AU75" s="790">
        <f t="shared" si="67"/>
        <v>31</v>
      </c>
      <c r="AV75" s="790">
        <f t="shared" si="62"/>
        <v>-31</v>
      </c>
      <c r="AW75" s="412"/>
      <c r="AX75" s="381">
        <v>42369</v>
      </c>
      <c r="AY75" s="955">
        <f t="shared" si="70"/>
        <v>42650</v>
      </c>
      <c r="AZ75" s="955">
        <f t="shared" si="71"/>
        <v>42736</v>
      </c>
      <c r="BA75" s="955">
        <f t="shared" si="72"/>
        <v>42619</v>
      </c>
      <c r="BB75" s="1105"/>
      <c r="BC75" s="1103"/>
      <c r="BD75" s="1105"/>
      <c r="BE75" s="1104">
        <f t="shared" si="81"/>
        <v>41639</v>
      </c>
      <c r="BF75" s="460"/>
      <c r="BG75" s="349"/>
      <c r="BH75" s="465"/>
      <c r="BI75" s="390"/>
      <c r="BJ75" s="382"/>
      <c r="BK75" s="387"/>
      <c r="BL75" s="387"/>
      <c r="BM75" s="387"/>
      <c r="BN75" s="387"/>
      <c r="BO75" s="387"/>
      <c r="BP75" s="387"/>
      <c r="BQ75" s="387"/>
      <c r="BR75" s="387"/>
      <c r="BS75" s="390"/>
      <c r="BT75" s="390"/>
    </row>
    <row r="76" spans="1:72" s="566" customFormat="1" ht="12.75" customHeight="1" x14ac:dyDescent="0.2">
      <c r="A76" s="484" t="s">
        <v>242</v>
      </c>
      <c r="B76" s="484" t="s">
        <v>242</v>
      </c>
      <c r="C76" s="379" t="s">
        <v>209</v>
      </c>
      <c r="D76" s="347" t="s">
        <v>70</v>
      </c>
      <c r="E76" s="347"/>
      <c r="F76" s="347"/>
      <c r="G76" s="347"/>
      <c r="H76" s="347"/>
      <c r="I76" s="347"/>
      <c r="J76" s="411">
        <v>41606</v>
      </c>
      <c r="K76" s="411"/>
      <c r="L76" s="1077" t="str">
        <f t="shared" si="68"/>
        <v/>
      </c>
      <c r="M76" s="381">
        <v>42284</v>
      </c>
      <c r="N76" s="381">
        <v>42650</v>
      </c>
      <c r="O76" s="381" t="s">
        <v>674</v>
      </c>
      <c r="P76" s="381" t="s">
        <v>674</v>
      </c>
      <c r="Q76" s="381">
        <v>42736</v>
      </c>
      <c r="R76" s="381" t="s">
        <v>156</v>
      </c>
      <c r="S76" s="347" t="s">
        <v>162</v>
      </c>
      <c r="T76" s="347"/>
      <c r="U76" s="383"/>
      <c r="V76" s="347"/>
      <c r="W76" s="347"/>
      <c r="X76" s="385">
        <v>40457</v>
      </c>
      <c r="Y76" s="761">
        <f t="shared" si="69"/>
        <v>5.2383561643835614</v>
      </c>
      <c r="Z76" s="347" t="s">
        <v>13</v>
      </c>
      <c r="AA76" s="770"/>
      <c r="AB76" s="770"/>
      <c r="AC76" s="770"/>
      <c r="AD76" s="770"/>
      <c r="AE76" s="770"/>
      <c r="AF76" s="770"/>
      <c r="AG76" s="770"/>
      <c r="AH76" s="770"/>
      <c r="AI76" s="770"/>
      <c r="AJ76" s="770"/>
      <c r="AK76" s="770"/>
      <c r="AL76" s="770"/>
      <c r="AM76" s="770"/>
      <c r="AN76" s="770">
        <f t="shared" si="78"/>
        <v>0</v>
      </c>
      <c r="AO76" s="761">
        <f t="shared" si="79"/>
        <v>0</v>
      </c>
      <c r="AP76" s="1074"/>
      <c r="AQ76" s="782">
        <f t="shared" si="65"/>
        <v>42370</v>
      </c>
      <c r="AR76" s="782">
        <f t="shared" si="80"/>
        <v>42736</v>
      </c>
      <c r="AS76" s="770">
        <f t="shared" si="66"/>
        <v>366</v>
      </c>
      <c r="AT76" s="790">
        <f>IF(AQ76&gt;'[1]calculs enfants présents'!$A$56,0,IF(Q76&lt;'[1]calculs enfants présents'!$A$56,Q76-AQ76,'[1]calculs enfants présents'!$A$56-AQ76))</f>
        <v>0</v>
      </c>
      <c r="AU76" s="790">
        <f t="shared" si="67"/>
        <v>31</v>
      </c>
      <c r="AV76" s="790">
        <f t="shared" si="62"/>
        <v>-31</v>
      </c>
      <c r="AW76" s="412"/>
      <c r="AX76" s="381">
        <v>42369</v>
      </c>
      <c r="AY76" s="955">
        <f t="shared" si="70"/>
        <v>42650</v>
      </c>
      <c r="AZ76" s="955">
        <f t="shared" si="71"/>
        <v>42736</v>
      </c>
      <c r="BA76" s="955">
        <f t="shared" si="72"/>
        <v>42619</v>
      </c>
      <c r="BB76" s="1105"/>
      <c r="BC76" s="1103"/>
      <c r="BD76" s="347"/>
      <c r="BE76" s="1104">
        <f t="shared" si="81"/>
        <v>41695</v>
      </c>
      <c r="BF76" s="460"/>
      <c r="BG76" s="349"/>
      <c r="BH76" s="465"/>
      <c r="BI76" s="390"/>
      <c r="BJ76" s="382"/>
      <c r="BK76" s="387"/>
      <c r="BL76" s="387"/>
      <c r="BM76" s="387"/>
      <c r="BN76" s="387"/>
      <c r="BO76" s="387"/>
      <c r="BP76" s="387"/>
      <c r="BQ76" s="387"/>
      <c r="BR76" s="387"/>
      <c r="BS76" s="390"/>
      <c r="BT76" s="390"/>
    </row>
    <row r="77" spans="1:72" s="566" customFormat="1" ht="12.75" customHeight="1" x14ac:dyDescent="0.2">
      <c r="A77" s="1235" t="s">
        <v>785</v>
      </c>
      <c r="B77" s="1235" t="s">
        <v>365</v>
      </c>
      <c r="C77" s="1139" t="s">
        <v>366</v>
      </c>
      <c r="D77" s="353" t="s">
        <v>70</v>
      </c>
      <c r="E77" s="353" t="s">
        <v>70</v>
      </c>
      <c r="F77" s="353"/>
      <c r="G77" s="353"/>
      <c r="H77" s="353"/>
      <c r="I77" s="1140">
        <v>41939</v>
      </c>
      <c r="J77" s="1141">
        <v>41964</v>
      </c>
      <c r="K77" s="1141"/>
      <c r="L77" s="1142">
        <f t="shared" si="68"/>
        <v>25</v>
      </c>
      <c r="M77" s="1143">
        <v>42329</v>
      </c>
      <c r="N77" s="1164">
        <v>42695</v>
      </c>
      <c r="O77" s="1164" t="s">
        <v>674</v>
      </c>
      <c r="P77" s="1164" t="s">
        <v>674</v>
      </c>
      <c r="Q77" s="1164">
        <v>42736</v>
      </c>
      <c r="R77" s="1143" t="s">
        <v>16</v>
      </c>
      <c r="S77" s="353" t="s">
        <v>16</v>
      </c>
      <c r="T77" s="353"/>
      <c r="U77" s="1144"/>
      <c r="V77" s="353"/>
      <c r="W77" s="353"/>
      <c r="X77" s="1145">
        <v>36869</v>
      </c>
      <c r="Y77" s="1146">
        <f t="shared" si="69"/>
        <v>15.068493150684931</v>
      </c>
      <c r="Z77" s="353" t="s">
        <v>21</v>
      </c>
      <c r="AA77" s="1160" t="str">
        <f t="shared" ref="AA77:AA96" si="82">IF(Y77&lt;6,IF(Z77="M","M","F"),"")</f>
        <v/>
      </c>
      <c r="AB77" s="1160" t="str">
        <f t="shared" ref="AB77:AB115" si="83">IF(AND(Y77&gt;=6,Y77&lt;11),IF(Z77="M","M","F"),"")</f>
        <v/>
      </c>
      <c r="AC77" s="1160" t="str">
        <f>IF(AND(Y77&gt;=11,Y77&lt;15),IF(Z77="M","M","F"),"")</f>
        <v/>
      </c>
      <c r="AD77" s="1160" t="str">
        <f>IF(AND(Y77&gt;=15,Y77&lt;18),IF(Z77="M","M","F"),"")</f>
        <v>F</v>
      </c>
      <c r="AE77" s="1160" t="str">
        <f>IF(Y77&gt;18,IF(Z77="M","M","F"),"")</f>
        <v/>
      </c>
      <c r="AF77" s="763"/>
      <c r="AG77" s="763"/>
      <c r="AH77" s="763"/>
      <c r="AI77" s="763"/>
      <c r="AJ77" s="763"/>
      <c r="AK77" s="763"/>
      <c r="AL77" s="763">
        <f>Q77-J77</f>
        <v>772</v>
      </c>
      <c r="AM77" s="763">
        <f>AL77/365</f>
        <v>2.1150684931506851</v>
      </c>
      <c r="AN77" s="763">
        <f t="shared" si="78"/>
        <v>2</v>
      </c>
      <c r="AO77" s="1146">
        <f t="shared" si="79"/>
        <v>1.3808219178082215</v>
      </c>
      <c r="AP77" s="1147"/>
      <c r="AQ77" s="1148">
        <f t="shared" si="65"/>
        <v>42370</v>
      </c>
      <c r="AR77" s="1148">
        <f t="shared" si="80"/>
        <v>42736</v>
      </c>
      <c r="AS77" s="763">
        <f t="shared" si="66"/>
        <v>366</v>
      </c>
      <c r="AT77" s="1149">
        <f>IF(AQ77&gt;'[1]calculs enfants présents'!$A$56,0,IF(Q77&lt;'[1]calculs enfants présents'!$A$56,Q77-AQ77,'[1]calculs enfants présents'!$A$56-AQ77))</f>
        <v>0</v>
      </c>
      <c r="AU77" s="1149">
        <f t="shared" si="67"/>
        <v>31</v>
      </c>
      <c r="AV77" s="1149">
        <f t="shared" si="62"/>
        <v>-31</v>
      </c>
      <c r="AW77" s="326"/>
      <c r="AX77" s="1143">
        <v>42369</v>
      </c>
      <c r="AY77" s="1151">
        <f t="shared" si="70"/>
        <v>42695</v>
      </c>
      <c r="AZ77" s="1151">
        <f t="shared" si="71"/>
        <v>42736</v>
      </c>
      <c r="BA77" s="1151">
        <f t="shared" si="72"/>
        <v>42661</v>
      </c>
      <c r="BB77" s="1152"/>
      <c r="BC77" s="1153"/>
      <c r="BD77" s="1140"/>
      <c r="BE77" s="1154">
        <f t="shared" si="81"/>
        <v>42052</v>
      </c>
      <c r="BF77" s="1155"/>
      <c r="BG77" s="1156"/>
      <c r="BH77" s="1157"/>
      <c r="BI77" s="1165"/>
      <c r="BJ77" s="1163"/>
      <c r="BK77" s="1165"/>
      <c r="BL77" s="1165"/>
      <c r="BM77" s="1165"/>
      <c r="BN77" s="1165"/>
      <c r="BO77" s="1165"/>
      <c r="BP77" s="1165"/>
      <c r="BQ77" s="1165"/>
      <c r="BR77" s="1165"/>
      <c r="BS77" s="1165"/>
      <c r="BT77" s="1165"/>
    </row>
    <row r="78" spans="1:72" s="387" customFormat="1" ht="13.15" customHeight="1" x14ac:dyDescent="0.2">
      <c r="A78" s="484" t="s">
        <v>833</v>
      </c>
      <c r="B78" s="484" t="s">
        <v>514</v>
      </c>
      <c r="C78" s="379" t="s">
        <v>515</v>
      </c>
      <c r="D78" s="347" t="s">
        <v>183</v>
      </c>
      <c r="E78" s="347" t="s">
        <v>87</v>
      </c>
      <c r="F78" s="347"/>
      <c r="G78" s="347"/>
      <c r="H78" s="347"/>
      <c r="I78" s="1076">
        <v>42118</v>
      </c>
      <c r="J78" s="411">
        <v>42144</v>
      </c>
      <c r="K78" s="411">
        <v>42160</v>
      </c>
      <c r="L78" s="1077">
        <f t="shared" si="68"/>
        <v>26</v>
      </c>
      <c r="M78" s="381">
        <v>42144</v>
      </c>
      <c r="N78" s="708">
        <v>42510</v>
      </c>
      <c r="O78" s="708"/>
      <c r="P78" s="708"/>
      <c r="Q78" s="708">
        <v>42736</v>
      </c>
      <c r="R78" s="381" t="s">
        <v>16</v>
      </c>
      <c r="S78" s="347" t="s">
        <v>13</v>
      </c>
      <c r="T78" s="347"/>
      <c r="U78" s="383"/>
      <c r="V78" s="347"/>
      <c r="W78" s="347"/>
      <c r="X78" s="385">
        <v>36129</v>
      </c>
      <c r="Y78" s="761">
        <f t="shared" si="69"/>
        <v>17.095890410958905</v>
      </c>
      <c r="Z78" s="347" t="s">
        <v>13</v>
      </c>
      <c r="AA78" s="773" t="str">
        <f t="shared" si="82"/>
        <v/>
      </c>
      <c r="AB78" s="773" t="str">
        <f t="shared" si="83"/>
        <v/>
      </c>
      <c r="AC78" s="773" t="str">
        <f>IF(AND(Y78&gt;=11,Y78&lt;15),IF(Z78="M","M","F"),"")</f>
        <v/>
      </c>
      <c r="AD78" s="773" t="str">
        <f>IF(AND(Y78&gt;=15,Y78&lt;18),IF(Z78="M","M","F"),"")</f>
        <v>M</v>
      </c>
      <c r="AE78" s="773" t="str">
        <f>IF(Y78&gt;18,IF(Z78="M","M","F"),"")</f>
        <v/>
      </c>
      <c r="AF78" s="770"/>
      <c r="AG78" s="770"/>
      <c r="AH78" s="770"/>
      <c r="AI78" s="770"/>
      <c r="AJ78" s="770"/>
      <c r="AK78" s="770"/>
      <c r="AL78" s="770"/>
      <c r="AM78" s="770"/>
      <c r="AN78" s="770">
        <f t="shared" si="78"/>
        <v>0</v>
      </c>
      <c r="AO78" s="761">
        <f t="shared" si="79"/>
        <v>0</v>
      </c>
      <c r="AP78" s="1074"/>
      <c r="AQ78" s="782">
        <f t="shared" si="65"/>
        <v>42370</v>
      </c>
      <c r="AR78" s="782">
        <f t="shared" si="80"/>
        <v>42736</v>
      </c>
      <c r="AS78" s="770">
        <f t="shared" si="66"/>
        <v>366</v>
      </c>
      <c r="AT78" s="790">
        <f>IF(AQ78&gt;'[1]calculs enfants présents'!$A$56,0,IF(Q78&lt;'[1]calculs enfants présents'!$A$56,Q78-AQ78,'[1]calculs enfants présents'!$A$56-AQ78))</f>
        <v>0</v>
      </c>
      <c r="AU78" s="790">
        <f t="shared" si="67"/>
        <v>31</v>
      </c>
      <c r="AV78" s="790">
        <f t="shared" si="62"/>
        <v>-31</v>
      </c>
      <c r="AW78" s="412"/>
      <c r="AX78" s="381">
        <v>42369</v>
      </c>
      <c r="AY78" s="955">
        <f t="shared" si="70"/>
        <v>42510</v>
      </c>
      <c r="AZ78" s="955">
        <f t="shared" si="71"/>
        <v>42736</v>
      </c>
      <c r="BA78" s="955">
        <f t="shared" si="72"/>
        <v>42479</v>
      </c>
      <c r="BB78" s="1105"/>
      <c r="BC78" s="1103"/>
      <c r="BD78" s="1076"/>
      <c r="BE78" s="1104">
        <f t="shared" si="81"/>
        <v>42234</v>
      </c>
      <c r="BF78" s="460"/>
      <c r="BG78" s="349"/>
      <c r="BH78" s="465"/>
      <c r="BI78" s="390"/>
      <c r="BJ78" s="382"/>
      <c r="BK78" s="566"/>
      <c r="BL78" s="566"/>
      <c r="BM78" s="566"/>
      <c r="BN78" s="566"/>
      <c r="BO78" s="566"/>
      <c r="BP78" s="566"/>
      <c r="BQ78" s="566"/>
      <c r="BR78" s="566"/>
      <c r="BS78" s="566"/>
      <c r="BT78" s="566"/>
    </row>
    <row r="79" spans="1:72" s="387" customFormat="1" ht="13.5" customHeight="1" x14ac:dyDescent="0.2">
      <c r="A79" s="694" t="s">
        <v>834</v>
      </c>
      <c r="B79" s="694" t="s">
        <v>336</v>
      </c>
      <c r="C79" s="697" t="s">
        <v>298</v>
      </c>
      <c r="D79" s="701" t="s">
        <v>87</v>
      </c>
      <c r="E79" s="347" t="s">
        <v>310</v>
      </c>
      <c r="F79" s="347"/>
      <c r="G79" s="347"/>
      <c r="H79" s="347"/>
      <c r="I79" s="1076">
        <v>41827</v>
      </c>
      <c r="J79" s="411">
        <v>41852</v>
      </c>
      <c r="K79" s="411"/>
      <c r="L79" s="1077">
        <f t="shared" si="68"/>
        <v>25</v>
      </c>
      <c r="M79" s="381">
        <v>42217</v>
      </c>
      <c r="N79" s="708">
        <v>42582</v>
      </c>
      <c r="O79" s="708"/>
      <c r="P79" s="708"/>
      <c r="Q79" s="708">
        <v>42736</v>
      </c>
      <c r="R79" s="381" t="s">
        <v>16</v>
      </c>
      <c r="S79" s="347" t="s">
        <v>16</v>
      </c>
      <c r="T79" s="347"/>
      <c r="U79" s="383"/>
      <c r="V79" s="347"/>
      <c r="W79" s="347"/>
      <c r="X79" s="385">
        <v>38611</v>
      </c>
      <c r="Y79" s="761">
        <f t="shared" si="69"/>
        <v>10.295890410958904</v>
      </c>
      <c r="Z79" s="347" t="s">
        <v>21</v>
      </c>
      <c r="AA79" s="773" t="str">
        <f t="shared" si="82"/>
        <v/>
      </c>
      <c r="AB79" s="773" t="str">
        <f t="shared" si="83"/>
        <v>F</v>
      </c>
      <c r="AC79" s="773" t="str">
        <f>IF(AND(Y79&gt;=11,Y79&lt;15),IF(Z79="M","M","F"),"")</f>
        <v/>
      </c>
      <c r="AD79" s="773" t="str">
        <f>IF(AND(Y79&gt;=15,Y79&lt;18),IF(Z79="M","M","F"),"")</f>
        <v/>
      </c>
      <c r="AE79" s="773" t="str">
        <f>IF(Y79&gt;18,IF(Z79="M","M","F"),"")</f>
        <v/>
      </c>
      <c r="AF79" s="770"/>
      <c r="AG79" s="770"/>
      <c r="AH79" s="770"/>
      <c r="AI79" s="770"/>
      <c r="AJ79" s="770"/>
      <c r="AK79" s="770"/>
      <c r="AL79" s="770">
        <f>Q79-J79</f>
        <v>884</v>
      </c>
      <c r="AM79" s="770">
        <f>AL79/365</f>
        <v>2.4219178082191779</v>
      </c>
      <c r="AN79" s="770">
        <f t="shared" si="78"/>
        <v>2</v>
      </c>
      <c r="AO79" s="761">
        <f t="shared" si="79"/>
        <v>5.0630136986301348</v>
      </c>
      <c r="AP79" s="1074"/>
      <c r="AQ79" s="782">
        <f t="shared" si="65"/>
        <v>42370</v>
      </c>
      <c r="AR79" s="782">
        <f t="shared" si="80"/>
        <v>42736</v>
      </c>
      <c r="AS79" s="773">
        <f t="shared" si="66"/>
        <v>366</v>
      </c>
      <c r="AT79" s="790">
        <f>IF(AQ79&gt;'[1]calculs enfants présents'!$A$56,0,IF(Q79&lt;'[1]calculs enfants présents'!$A$56,Q79-AQ79,'[1]calculs enfants présents'!$A$56-AQ79))</f>
        <v>0</v>
      </c>
      <c r="AU79" s="790">
        <f t="shared" si="67"/>
        <v>31</v>
      </c>
      <c r="AV79" s="790">
        <f t="shared" si="62"/>
        <v>-31</v>
      </c>
      <c r="AW79" s="412"/>
      <c r="AX79" s="381">
        <v>42369</v>
      </c>
      <c r="AY79" s="955">
        <f t="shared" si="70"/>
        <v>42582</v>
      </c>
      <c r="AZ79" s="955">
        <f t="shared" si="71"/>
        <v>42736</v>
      </c>
      <c r="BA79" s="955">
        <f t="shared" si="72"/>
        <v>42549</v>
      </c>
      <c r="BB79" s="1105"/>
      <c r="BC79" s="1103"/>
      <c r="BD79" s="1105"/>
      <c r="BE79" s="1104">
        <f t="shared" si="81"/>
        <v>41940</v>
      </c>
      <c r="BF79" s="460"/>
      <c r="BG79" s="349"/>
      <c r="BH79" s="465"/>
      <c r="BI79" s="349" t="s">
        <v>460</v>
      </c>
      <c r="BJ79" s="572">
        <v>42081</v>
      </c>
      <c r="BK79" s="566"/>
      <c r="BL79" s="566"/>
      <c r="BM79" s="566"/>
      <c r="BN79" s="566"/>
      <c r="BO79" s="566"/>
      <c r="BP79" s="566"/>
      <c r="BQ79" s="566"/>
      <c r="BR79" s="566"/>
      <c r="BS79" s="566"/>
      <c r="BT79" s="566"/>
    </row>
    <row r="80" spans="1:72" ht="12" customHeight="1" x14ac:dyDescent="0.2">
      <c r="A80" s="1118" t="s">
        <v>632</v>
      </c>
      <c r="B80" s="1118" t="s">
        <v>585</v>
      </c>
      <c r="C80" s="379" t="s">
        <v>586</v>
      </c>
      <c r="D80" s="347" t="s">
        <v>87</v>
      </c>
      <c r="E80" s="347" t="s">
        <v>310</v>
      </c>
      <c r="F80" s="347"/>
      <c r="I80" s="1076">
        <v>42186</v>
      </c>
      <c r="J80" s="411">
        <v>42254</v>
      </c>
      <c r="K80" s="411"/>
      <c r="L80" s="1078">
        <f t="shared" si="68"/>
        <v>68</v>
      </c>
      <c r="M80" s="381">
        <v>42254</v>
      </c>
      <c r="N80" s="381">
        <v>42620</v>
      </c>
      <c r="O80" s="381"/>
      <c r="P80" s="381"/>
      <c r="Q80" s="381">
        <v>42736</v>
      </c>
      <c r="R80" s="381" t="s">
        <v>156</v>
      </c>
      <c r="S80" s="347" t="s">
        <v>162</v>
      </c>
      <c r="V80" s="347"/>
      <c r="W80" s="347"/>
      <c r="X80" s="385">
        <v>37597</v>
      </c>
      <c r="Y80" s="761">
        <f t="shared" si="69"/>
        <v>13.073972602739726</v>
      </c>
      <c r="Z80" s="347" t="s">
        <v>13</v>
      </c>
      <c r="AA80" s="770" t="str">
        <f t="shared" si="82"/>
        <v/>
      </c>
      <c r="AB80" s="770" t="str">
        <f t="shared" si="83"/>
        <v/>
      </c>
      <c r="AC80" s="770" t="s">
        <v>13</v>
      </c>
      <c r="AD80" s="770" t="str">
        <f>IF(AND(Y80&gt;=15,Y80&lt;18),IF(Z80="M","M","F"),"")</f>
        <v/>
      </c>
      <c r="AE80" s="770" t="str">
        <f>IF(Y80&gt;18,IF(Z80="M","M","F"),"")</f>
        <v/>
      </c>
      <c r="AG80" s="770"/>
      <c r="AH80" s="770"/>
      <c r="AI80" s="770"/>
      <c r="AJ80" s="770"/>
      <c r="AK80" s="770"/>
      <c r="AL80" s="770">
        <f>Q80-J80</f>
        <v>482</v>
      </c>
      <c r="AM80" s="770">
        <f>AL80/365</f>
        <v>1.3205479452054794</v>
      </c>
      <c r="AN80" s="770">
        <f t="shared" si="78"/>
        <v>1</v>
      </c>
      <c r="AO80" s="761">
        <f t="shared" si="79"/>
        <v>3.8465753424657523</v>
      </c>
      <c r="AP80" s="1074"/>
      <c r="AQ80" s="782">
        <f t="shared" si="65"/>
        <v>42370</v>
      </c>
      <c r="AR80" s="782">
        <f t="shared" si="80"/>
        <v>42736</v>
      </c>
      <c r="AS80" s="770">
        <f t="shared" si="66"/>
        <v>366</v>
      </c>
      <c r="AT80" s="790">
        <f>IF(AQ80&gt;'[1]calculs enfants présents'!$A$56,0,IF(Q80&lt;'[1]calculs enfants présents'!$A$56,Q80-AQ80,'[1]calculs enfants présents'!$A$56-AQ80))</f>
        <v>0</v>
      </c>
      <c r="AU80" s="791">
        <f t="shared" si="67"/>
        <v>31</v>
      </c>
      <c r="AV80" s="790">
        <f t="shared" si="62"/>
        <v>-31</v>
      </c>
      <c r="AW80" s="412"/>
      <c r="AX80" s="381">
        <v>42369</v>
      </c>
      <c r="AY80" s="955">
        <f t="shared" si="70"/>
        <v>42620</v>
      </c>
      <c r="AZ80" s="955">
        <f t="shared" si="71"/>
        <v>42736</v>
      </c>
      <c r="BA80" s="955">
        <f t="shared" si="72"/>
        <v>42591</v>
      </c>
      <c r="BB80" s="1105"/>
      <c r="BC80" s="1103"/>
      <c r="BD80" s="1076"/>
      <c r="BE80" s="1104">
        <f t="shared" si="81"/>
        <v>42339</v>
      </c>
      <c r="BF80" s="460">
        <v>42374</v>
      </c>
      <c r="BG80" s="349" t="s">
        <v>271</v>
      </c>
      <c r="BH80" s="465">
        <v>42009</v>
      </c>
      <c r="BI80" s="349"/>
      <c r="BJ80" s="572"/>
      <c r="BK80" s="374"/>
      <c r="BL80" s="374"/>
      <c r="BM80" s="374"/>
      <c r="BN80" s="374"/>
      <c r="BO80" s="374"/>
      <c r="BP80" s="374"/>
      <c r="BQ80" s="374"/>
      <c r="BR80" s="374"/>
    </row>
    <row r="81" spans="1:72" s="388" customFormat="1" ht="12.75" customHeight="1" x14ac:dyDescent="0.2">
      <c r="A81" s="1138" t="s">
        <v>755</v>
      </c>
      <c r="B81" s="1138" t="s">
        <v>755</v>
      </c>
      <c r="C81" s="1139" t="s">
        <v>202</v>
      </c>
      <c r="D81" s="353" t="s">
        <v>179</v>
      </c>
      <c r="E81" s="353" t="s">
        <v>183</v>
      </c>
      <c r="F81" s="353"/>
      <c r="G81" s="353" t="s">
        <v>67</v>
      </c>
      <c r="H81" s="353"/>
      <c r="I81" s="1140">
        <v>42368</v>
      </c>
      <c r="J81" s="1141">
        <v>42380</v>
      </c>
      <c r="K81" s="1141">
        <v>42391</v>
      </c>
      <c r="L81" s="1159">
        <f t="shared" si="68"/>
        <v>12</v>
      </c>
      <c r="M81" s="1141">
        <v>42380</v>
      </c>
      <c r="N81" s="1141">
        <v>42746</v>
      </c>
      <c r="O81" s="1141"/>
      <c r="P81" s="1141"/>
      <c r="Q81" s="1141">
        <v>42736</v>
      </c>
      <c r="R81" s="1143" t="s">
        <v>156</v>
      </c>
      <c r="S81" s="353" t="s">
        <v>62</v>
      </c>
      <c r="T81" s="353"/>
      <c r="U81" s="1144"/>
      <c r="V81" s="353"/>
      <c r="W81" s="353"/>
      <c r="X81" s="1145">
        <v>36453</v>
      </c>
      <c r="Y81" s="1146">
        <f t="shared" si="69"/>
        <v>17.210958904109589</v>
      </c>
      <c r="Z81" s="353" t="s">
        <v>21</v>
      </c>
      <c r="AA81" s="763" t="str">
        <f t="shared" si="82"/>
        <v/>
      </c>
      <c r="AB81" s="763" t="str">
        <f t="shared" si="83"/>
        <v/>
      </c>
      <c r="AC81" s="1160" t="str">
        <f t="shared" ref="AC81:AC96" si="84">IF(AND(Y81&gt;=11,Y81&lt;15),IF(Z81="M","M","F"),"")</f>
        <v/>
      </c>
      <c r="AD81" s="763"/>
      <c r="AE81" s="763"/>
      <c r="AF81" s="763"/>
      <c r="AG81" s="763"/>
      <c r="AH81" s="763"/>
      <c r="AI81" s="763"/>
      <c r="AJ81" s="763"/>
      <c r="AK81" s="763"/>
      <c r="AL81" s="763"/>
      <c r="AM81" s="763"/>
      <c r="AN81" s="763"/>
      <c r="AO81" s="1146"/>
      <c r="AP81" s="1147"/>
      <c r="AQ81" s="1148">
        <f t="shared" si="65"/>
        <v>42380</v>
      </c>
      <c r="AR81" s="1148">
        <f t="shared" si="80"/>
        <v>42736</v>
      </c>
      <c r="AS81" s="763">
        <f t="shared" si="66"/>
        <v>356</v>
      </c>
      <c r="AT81" s="1149">
        <f>IF(AQ81&gt;'[1]calculs enfants présents'!$A$56,0,IF(Q81&lt;'[1]calculs enfants présents'!$A$56,Q81-AQ81,'[1]calculs enfants présents'!$A$56-AQ81))</f>
        <v>0</v>
      </c>
      <c r="AU81" s="1150">
        <f t="shared" si="67"/>
        <v>21</v>
      </c>
      <c r="AV81" s="1149">
        <f t="shared" si="62"/>
        <v>-21</v>
      </c>
      <c r="AW81" s="326"/>
      <c r="AX81" s="1143">
        <v>42735</v>
      </c>
      <c r="AY81" s="1151">
        <f t="shared" si="70"/>
        <v>42746</v>
      </c>
      <c r="AZ81" s="1151">
        <f t="shared" si="71"/>
        <v>42736</v>
      </c>
      <c r="BA81" s="1151">
        <f t="shared" si="72"/>
        <v>42717</v>
      </c>
      <c r="BB81" s="1152"/>
      <c r="BC81" s="1153" t="s">
        <v>674</v>
      </c>
      <c r="BD81" s="1140"/>
      <c r="BE81" s="1154">
        <f>IF(K81&lt;&gt;"",(K81+90)-(WEEKDAY(K81+90,2)-2),"DIPC")</f>
        <v>42479</v>
      </c>
      <c r="BF81" s="1161"/>
      <c r="BG81" s="1162"/>
      <c r="BH81" s="1157"/>
      <c r="BJ81" s="1163"/>
    </row>
    <row r="82" spans="1:72" s="387" customFormat="1" ht="12.75" customHeight="1" x14ac:dyDescent="0.2">
      <c r="A82" s="694" t="s">
        <v>489</v>
      </c>
      <c r="B82" s="694" t="s">
        <v>466</v>
      </c>
      <c r="C82" s="697" t="s">
        <v>467</v>
      </c>
      <c r="D82" s="701" t="s">
        <v>183</v>
      </c>
      <c r="E82" s="347" t="s">
        <v>310</v>
      </c>
      <c r="F82" s="347"/>
      <c r="G82" s="347"/>
      <c r="H82" s="347"/>
      <c r="I82" s="1076">
        <v>42075</v>
      </c>
      <c r="J82" s="411">
        <v>42093</v>
      </c>
      <c r="K82" s="411"/>
      <c r="L82" s="1077">
        <f t="shared" si="68"/>
        <v>18</v>
      </c>
      <c r="M82" s="381">
        <v>42093</v>
      </c>
      <c r="N82" s="708">
        <v>42459</v>
      </c>
      <c r="O82" s="708"/>
      <c r="P82" s="708"/>
      <c r="Q82" s="708">
        <v>42736</v>
      </c>
      <c r="R82" s="381" t="s">
        <v>156</v>
      </c>
      <c r="S82" s="347" t="s">
        <v>62</v>
      </c>
      <c r="T82" s="347"/>
      <c r="U82" s="383"/>
      <c r="V82" s="347"/>
      <c r="W82" s="347"/>
      <c r="X82" s="385">
        <v>39850</v>
      </c>
      <c r="Y82" s="761">
        <f t="shared" si="69"/>
        <v>6.9013698630136986</v>
      </c>
      <c r="Z82" s="347" t="s">
        <v>21</v>
      </c>
      <c r="AA82" s="773" t="str">
        <f t="shared" si="82"/>
        <v/>
      </c>
      <c r="AB82" s="773" t="str">
        <f t="shared" si="83"/>
        <v>F</v>
      </c>
      <c r="AC82" s="773" t="str">
        <f t="shared" si="84"/>
        <v/>
      </c>
      <c r="AD82" s="773" t="str">
        <f>IF(AND(Y82&gt;=15,Y82&lt;18),IF(Z82="M","M","F"),"")</f>
        <v/>
      </c>
      <c r="AE82" s="773" t="str">
        <f>IF(Y82&gt;18,IF(Z82="M","M","F"),"")</f>
        <v/>
      </c>
      <c r="AF82" s="770"/>
      <c r="AG82" s="770"/>
      <c r="AH82" s="770"/>
      <c r="AI82" s="770"/>
      <c r="AJ82" s="770"/>
      <c r="AK82" s="770"/>
      <c r="AL82" s="770">
        <f>Q82-J82</f>
        <v>643</v>
      </c>
      <c r="AM82" s="770">
        <f>AL82/365</f>
        <v>1.7616438356164383</v>
      </c>
      <c r="AN82" s="770">
        <f>INT(AM82)</f>
        <v>1</v>
      </c>
      <c r="AO82" s="761">
        <f>(AM82-AN82)*12</f>
        <v>9.1397260273972591</v>
      </c>
      <c r="AP82" s="1074"/>
      <c r="AQ82" s="782">
        <f t="shared" si="65"/>
        <v>42370</v>
      </c>
      <c r="AR82" s="782">
        <f t="shared" si="80"/>
        <v>42736</v>
      </c>
      <c r="AS82" s="773">
        <f t="shared" si="66"/>
        <v>366</v>
      </c>
      <c r="AT82" s="790">
        <f>IF(AQ82&gt;'[1]calculs enfants présents'!$A$56,0,IF(Q82&lt;'[1]calculs enfants présents'!$A$56,Q82-AQ82,'[1]calculs enfants présents'!$A$56-AQ82))</f>
        <v>0</v>
      </c>
      <c r="AU82" s="790">
        <f t="shared" si="67"/>
        <v>31</v>
      </c>
      <c r="AV82" s="790">
        <f t="shared" si="62"/>
        <v>-31</v>
      </c>
      <c r="AW82" s="412"/>
      <c r="AX82" s="381">
        <v>42369</v>
      </c>
      <c r="AY82" s="955">
        <f t="shared" si="70"/>
        <v>42459</v>
      </c>
      <c r="AZ82" s="955">
        <f t="shared" si="71"/>
        <v>42736</v>
      </c>
      <c r="BA82" s="955">
        <f t="shared" si="72"/>
        <v>42430</v>
      </c>
      <c r="BB82" s="1076">
        <v>42437</v>
      </c>
      <c r="BC82" s="1103" t="s">
        <v>270</v>
      </c>
      <c r="BD82" s="1076">
        <v>42437</v>
      </c>
      <c r="BE82" s="1104">
        <f>(J82+90)-(WEEKDAY(J82+90,2)-2)</f>
        <v>42178</v>
      </c>
      <c r="BF82" s="460"/>
      <c r="BG82" s="349"/>
      <c r="BH82" s="465"/>
      <c r="BI82" s="390"/>
      <c r="BJ82" s="382"/>
      <c r="BK82" s="401"/>
      <c r="BL82" s="401"/>
      <c r="BM82" s="401"/>
      <c r="BN82" s="401"/>
      <c r="BO82" s="401"/>
      <c r="BP82" s="401"/>
      <c r="BQ82" s="401"/>
      <c r="BR82" s="401"/>
      <c r="BS82" s="745"/>
      <c r="BT82" s="745"/>
    </row>
    <row r="83" spans="1:72" s="387" customFormat="1" ht="13.15" customHeight="1" x14ac:dyDescent="0.2">
      <c r="A83" s="695" t="s">
        <v>835</v>
      </c>
      <c r="B83" s="695" t="s">
        <v>308</v>
      </c>
      <c r="C83" s="698" t="s">
        <v>304</v>
      </c>
      <c r="D83" s="555" t="s">
        <v>310</v>
      </c>
      <c r="E83" s="555" t="s">
        <v>310</v>
      </c>
      <c r="F83" s="555"/>
      <c r="G83" s="555"/>
      <c r="H83" s="555"/>
      <c r="I83" s="799">
        <v>41684</v>
      </c>
      <c r="J83" s="709">
        <v>41710</v>
      </c>
      <c r="K83" s="709"/>
      <c r="L83" s="1075">
        <f t="shared" si="68"/>
        <v>26</v>
      </c>
      <c r="M83" s="609">
        <v>42075</v>
      </c>
      <c r="N83" s="609">
        <v>42441</v>
      </c>
      <c r="O83" s="609" t="s">
        <v>628</v>
      </c>
      <c r="P83" s="609">
        <v>42806</v>
      </c>
      <c r="Q83" s="609">
        <v>42736</v>
      </c>
      <c r="R83" s="609" t="s">
        <v>156</v>
      </c>
      <c r="S83" s="555" t="s">
        <v>225</v>
      </c>
      <c r="T83" s="555"/>
      <c r="U83" s="558"/>
      <c r="V83" s="555"/>
      <c r="W83" s="555"/>
      <c r="X83" s="714">
        <v>40234</v>
      </c>
      <c r="Y83" s="759">
        <f t="shared" si="69"/>
        <v>5.8493150684931505</v>
      </c>
      <c r="Z83" s="555" t="s">
        <v>21</v>
      </c>
      <c r="AA83" s="778" t="str">
        <f t="shared" si="82"/>
        <v>F</v>
      </c>
      <c r="AB83" s="778" t="str">
        <f t="shared" si="83"/>
        <v/>
      </c>
      <c r="AC83" s="778" t="str">
        <f t="shared" si="84"/>
        <v/>
      </c>
      <c r="AD83" s="778" t="str">
        <f>IF(AND(Y83&gt;=15,Y83&lt;18),IF(Z83="M","M","F"),"")</f>
        <v/>
      </c>
      <c r="AE83" s="778" t="str">
        <f>IF(Y83&gt;18,IF(Z83="M","M","F"),"")</f>
        <v/>
      </c>
      <c r="AF83" s="765"/>
      <c r="AG83" s="765"/>
      <c r="AH83" s="765"/>
      <c r="AI83" s="765"/>
      <c r="AJ83" s="765"/>
      <c r="AK83" s="765"/>
      <c r="AL83" s="765">
        <f>Q83-J83</f>
        <v>1026</v>
      </c>
      <c r="AM83" s="765">
        <f>AL83/365</f>
        <v>2.8109589041095893</v>
      </c>
      <c r="AN83" s="765">
        <f>INT(AM83)</f>
        <v>2</v>
      </c>
      <c r="AO83" s="759">
        <f>(AM83-AN83)*12</f>
        <v>9.7315068493150712</v>
      </c>
      <c r="AP83" s="1079"/>
      <c r="AQ83" s="1080">
        <f t="shared" si="65"/>
        <v>42370</v>
      </c>
      <c r="AR83" s="1080">
        <f t="shared" si="80"/>
        <v>42736</v>
      </c>
      <c r="AS83" s="765">
        <f t="shared" si="66"/>
        <v>366</v>
      </c>
      <c r="AT83" s="786">
        <f>IF(AQ83&gt;'[1]calculs enfants présents'!$A$56,0,IF(Q83&lt;'[1]calculs enfants présents'!$A$56,Q83-AQ83,'[1]calculs enfants présents'!$A$56-AQ83))</f>
        <v>0</v>
      </c>
      <c r="AU83" s="786">
        <f t="shared" si="67"/>
        <v>31</v>
      </c>
      <c r="AV83" s="786">
        <f t="shared" si="62"/>
        <v>-31</v>
      </c>
      <c r="AW83" s="559"/>
      <c r="AX83" s="609">
        <v>42369</v>
      </c>
      <c r="AY83" s="956">
        <f t="shared" si="70"/>
        <v>42441</v>
      </c>
      <c r="AZ83" s="956">
        <f t="shared" si="71"/>
        <v>42736</v>
      </c>
      <c r="BA83" s="956">
        <f t="shared" si="72"/>
        <v>42409</v>
      </c>
      <c r="BB83" s="577">
        <v>42402</v>
      </c>
      <c r="BC83" s="1106" t="s">
        <v>271</v>
      </c>
      <c r="BD83" s="555"/>
      <c r="BE83" s="1107">
        <f>(J83+90)-(WEEKDAY(J83+90,2)-2)</f>
        <v>41800</v>
      </c>
      <c r="BF83" s="561"/>
      <c r="BG83" s="556"/>
      <c r="BH83" s="563"/>
      <c r="BI83" s="567">
        <v>41906</v>
      </c>
      <c r="BJ83" s="611" t="s">
        <v>356</v>
      </c>
      <c r="BK83" s="566"/>
      <c r="BL83" s="566"/>
      <c r="BM83" s="566"/>
      <c r="BN83" s="566"/>
      <c r="BO83" s="566"/>
      <c r="BP83" s="566"/>
      <c r="BQ83" s="566"/>
      <c r="BR83" s="566"/>
      <c r="BS83" s="566"/>
      <c r="BT83" s="566"/>
    </row>
    <row r="84" spans="1:72" s="388" customFormat="1" ht="12.75" customHeight="1" x14ac:dyDescent="0.2">
      <c r="A84" s="695" t="s">
        <v>414</v>
      </c>
      <c r="B84" s="695" t="s">
        <v>308</v>
      </c>
      <c r="C84" s="698" t="s">
        <v>305</v>
      </c>
      <c r="D84" s="555" t="s">
        <v>310</v>
      </c>
      <c r="E84" s="555" t="s">
        <v>310</v>
      </c>
      <c r="F84" s="555"/>
      <c r="G84" s="555"/>
      <c r="H84" s="555"/>
      <c r="I84" s="799">
        <v>41684</v>
      </c>
      <c r="J84" s="709">
        <v>41710</v>
      </c>
      <c r="K84" s="709"/>
      <c r="L84" s="1075">
        <f t="shared" si="68"/>
        <v>26</v>
      </c>
      <c r="M84" s="609">
        <v>42075</v>
      </c>
      <c r="N84" s="609">
        <v>42441</v>
      </c>
      <c r="O84" s="609" t="s">
        <v>628</v>
      </c>
      <c r="P84" s="609">
        <v>42806</v>
      </c>
      <c r="Q84" s="609">
        <v>42736</v>
      </c>
      <c r="R84" s="609" t="s">
        <v>156</v>
      </c>
      <c r="S84" s="555" t="s">
        <v>225</v>
      </c>
      <c r="T84" s="555"/>
      <c r="U84" s="558"/>
      <c r="V84" s="555"/>
      <c r="W84" s="555"/>
      <c r="X84" s="714">
        <v>39149</v>
      </c>
      <c r="Y84" s="759">
        <f t="shared" si="69"/>
        <v>8.8219178082191778</v>
      </c>
      <c r="Z84" s="555" t="s">
        <v>13</v>
      </c>
      <c r="AA84" s="778" t="str">
        <f t="shared" si="82"/>
        <v/>
      </c>
      <c r="AB84" s="778" t="str">
        <f t="shared" si="83"/>
        <v>M</v>
      </c>
      <c r="AC84" s="778" t="str">
        <f t="shared" si="84"/>
        <v/>
      </c>
      <c r="AD84" s="778" t="str">
        <f>IF(AND(Y84&gt;=15,Y84&lt;18),IF(Z84="M","M","F"),"")</f>
        <v/>
      </c>
      <c r="AE84" s="778" t="str">
        <f>IF(Y84&gt;18,IF(Z84="M","M","F"),"")</f>
        <v/>
      </c>
      <c r="AF84" s="765"/>
      <c r="AG84" s="765"/>
      <c r="AH84" s="765"/>
      <c r="AI84" s="765"/>
      <c r="AJ84" s="765"/>
      <c r="AK84" s="765"/>
      <c r="AL84" s="765">
        <f>Q84-J84</f>
        <v>1026</v>
      </c>
      <c r="AM84" s="765">
        <f>AL84/365</f>
        <v>2.8109589041095893</v>
      </c>
      <c r="AN84" s="765">
        <f>INT(AM84)</f>
        <v>2</v>
      </c>
      <c r="AO84" s="759">
        <f>(AM84-AN84)*12</f>
        <v>9.7315068493150712</v>
      </c>
      <c r="AP84" s="1079"/>
      <c r="AQ84" s="1080">
        <f t="shared" si="65"/>
        <v>42370</v>
      </c>
      <c r="AR84" s="1080">
        <f t="shared" si="80"/>
        <v>42736</v>
      </c>
      <c r="AS84" s="765">
        <f t="shared" si="66"/>
        <v>366</v>
      </c>
      <c r="AT84" s="786">
        <f>IF(AQ84&gt;'[1]calculs enfants présents'!$A$56,0,IF(Q84&lt;'[1]calculs enfants présents'!$A$56,Q84-AQ84,'[1]calculs enfants présents'!$A$56-AQ84))</f>
        <v>0</v>
      </c>
      <c r="AU84" s="786">
        <f t="shared" si="67"/>
        <v>31</v>
      </c>
      <c r="AV84" s="786">
        <f t="shared" si="62"/>
        <v>-31</v>
      </c>
      <c r="AW84" s="559"/>
      <c r="AX84" s="609">
        <v>42369</v>
      </c>
      <c r="AY84" s="956">
        <f t="shared" si="70"/>
        <v>42441</v>
      </c>
      <c r="AZ84" s="956">
        <f t="shared" si="71"/>
        <v>42736</v>
      </c>
      <c r="BA84" s="956">
        <f t="shared" si="72"/>
        <v>42409</v>
      </c>
      <c r="BB84" s="577">
        <v>42402</v>
      </c>
      <c r="BC84" s="1106" t="s">
        <v>271</v>
      </c>
      <c r="BD84" s="555"/>
      <c r="BE84" s="1107">
        <f>(J84+90)-(WEEKDAY(J84+90,2)-2)</f>
        <v>41800</v>
      </c>
      <c r="BF84" s="561"/>
      <c r="BG84" s="556"/>
      <c r="BH84" s="563"/>
      <c r="BI84" s="567">
        <v>41906</v>
      </c>
      <c r="BJ84" s="611" t="s">
        <v>356</v>
      </c>
      <c r="BK84" s="566"/>
      <c r="BL84" s="566"/>
      <c r="BM84" s="566"/>
      <c r="BN84" s="566"/>
      <c r="BO84" s="566"/>
      <c r="BP84" s="566"/>
      <c r="BQ84" s="566"/>
      <c r="BR84" s="566"/>
      <c r="BS84" s="566"/>
      <c r="BT84" s="566"/>
    </row>
    <row r="85" spans="1:72" ht="12.75" customHeight="1" x14ac:dyDescent="0.2">
      <c r="A85" s="695" t="s">
        <v>414</v>
      </c>
      <c r="B85" s="695" t="s">
        <v>308</v>
      </c>
      <c r="C85" s="698" t="s">
        <v>158</v>
      </c>
      <c r="D85" s="555" t="s">
        <v>310</v>
      </c>
      <c r="E85" s="555" t="s">
        <v>228</v>
      </c>
      <c r="F85" s="555"/>
      <c r="G85" s="555"/>
      <c r="H85" s="555"/>
      <c r="I85" s="799">
        <v>41684</v>
      </c>
      <c r="J85" s="709">
        <v>41710</v>
      </c>
      <c r="K85" s="709"/>
      <c r="L85" s="1075">
        <f t="shared" si="68"/>
        <v>26</v>
      </c>
      <c r="M85" s="609">
        <v>42075</v>
      </c>
      <c r="N85" s="609">
        <v>42441</v>
      </c>
      <c r="O85" s="609" t="s">
        <v>628</v>
      </c>
      <c r="P85" s="609">
        <v>42806</v>
      </c>
      <c r="Q85" s="609">
        <v>42736</v>
      </c>
      <c r="R85" s="609" t="s">
        <v>156</v>
      </c>
      <c r="S85" s="555" t="s">
        <v>225</v>
      </c>
      <c r="T85" s="555"/>
      <c r="U85" s="558"/>
      <c r="V85" s="555"/>
      <c r="W85" s="555"/>
      <c r="X85" s="714">
        <v>38483</v>
      </c>
      <c r="Y85" s="759">
        <f t="shared" si="69"/>
        <v>10.646575342465754</v>
      </c>
      <c r="Z85" s="555" t="s">
        <v>21</v>
      </c>
      <c r="AA85" s="778" t="str">
        <f t="shared" si="82"/>
        <v/>
      </c>
      <c r="AB85" s="778" t="str">
        <f t="shared" si="83"/>
        <v>F</v>
      </c>
      <c r="AC85" s="778" t="str">
        <f t="shared" si="84"/>
        <v/>
      </c>
      <c r="AD85" s="778" t="str">
        <f>IF(AND(Y85&gt;=15,Y85&lt;18),IF(Z85="M","M","F"),"")</f>
        <v/>
      </c>
      <c r="AE85" s="778" t="str">
        <f>IF(Y85&gt;18,IF(Z85="M","M","F"),"")</f>
        <v/>
      </c>
      <c r="AF85" s="765"/>
      <c r="AG85" s="765"/>
      <c r="AH85" s="765"/>
      <c r="AI85" s="765"/>
      <c r="AJ85" s="765"/>
      <c r="AK85" s="765"/>
      <c r="AL85" s="765">
        <f>Q85-J85</f>
        <v>1026</v>
      </c>
      <c r="AM85" s="765">
        <f>AL85/365</f>
        <v>2.8109589041095893</v>
      </c>
      <c r="AN85" s="765">
        <f>INT(AM85)</f>
        <v>2</v>
      </c>
      <c r="AO85" s="759">
        <f>(AM85-AN85)*12</f>
        <v>9.7315068493150712</v>
      </c>
      <c r="AP85" s="1079"/>
      <c r="AQ85" s="1080">
        <f t="shared" si="65"/>
        <v>42370</v>
      </c>
      <c r="AR85" s="1080">
        <f t="shared" si="80"/>
        <v>42736</v>
      </c>
      <c r="AS85" s="765">
        <f t="shared" si="66"/>
        <v>366</v>
      </c>
      <c r="AT85" s="786">
        <f>IF(AQ85&gt;'[1]calculs enfants présents'!$A$56,0,IF(Q85&lt;'[1]calculs enfants présents'!$A$56,Q85-AQ85,'[1]calculs enfants présents'!$A$56-AQ85))</f>
        <v>0</v>
      </c>
      <c r="AU85" s="786">
        <f t="shared" si="67"/>
        <v>31</v>
      </c>
      <c r="AV85" s="786">
        <f t="shared" si="62"/>
        <v>-31</v>
      </c>
      <c r="AW85" s="559"/>
      <c r="AX85" s="609">
        <v>42369</v>
      </c>
      <c r="AY85" s="956">
        <f t="shared" si="70"/>
        <v>42441</v>
      </c>
      <c r="AZ85" s="956">
        <f t="shared" si="71"/>
        <v>42736</v>
      </c>
      <c r="BA85" s="956">
        <f t="shared" si="72"/>
        <v>42409</v>
      </c>
      <c r="BB85" s="577">
        <v>42402</v>
      </c>
      <c r="BC85" s="1106" t="s">
        <v>271</v>
      </c>
      <c r="BD85" s="555"/>
      <c r="BE85" s="1107">
        <f>(J85+90)-(WEEKDAY(J85+90,2)-2)</f>
        <v>41800</v>
      </c>
      <c r="BF85" s="561"/>
      <c r="BG85" s="556"/>
      <c r="BH85" s="563"/>
      <c r="BI85" s="567">
        <v>41906</v>
      </c>
      <c r="BJ85" s="611" t="s">
        <v>356</v>
      </c>
      <c r="BK85" s="566"/>
      <c r="BL85" s="566"/>
      <c r="BM85" s="566"/>
      <c r="BN85" s="566"/>
      <c r="BO85" s="566"/>
      <c r="BP85" s="566"/>
      <c r="BQ85" s="566"/>
      <c r="BR85" s="566"/>
      <c r="BS85" s="565"/>
      <c r="BT85" s="565"/>
    </row>
    <row r="86" spans="1:72" s="401" customFormat="1" ht="12.75" customHeight="1" x14ac:dyDescent="0.2">
      <c r="A86" s="484" t="s">
        <v>485</v>
      </c>
      <c r="B86" s="484" t="s">
        <v>485</v>
      </c>
      <c r="C86" s="379" t="s">
        <v>486</v>
      </c>
      <c r="D86" s="347" t="s">
        <v>179</v>
      </c>
      <c r="E86" s="347" t="s">
        <v>228</v>
      </c>
      <c r="F86" s="347"/>
      <c r="G86" s="347"/>
      <c r="H86" s="347"/>
      <c r="I86" s="1076">
        <v>42096</v>
      </c>
      <c r="J86" s="411">
        <v>42111</v>
      </c>
      <c r="K86" s="411"/>
      <c r="L86" s="1077">
        <f t="shared" si="68"/>
        <v>15</v>
      </c>
      <c r="M86" s="381">
        <v>42111</v>
      </c>
      <c r="N86" s="381">
        <v>42477</v>
      </c>
      <c r="O86" s="381"/>
      <c r="P86" s="381"/>
      <c r="Q86" s="381">
        <v>42736</v>
      </c>
      <c r="R86" s="381" t="s">
        <v>156</v>
      </c>
      <c r="S86" s="347" t="s">
        <v>62</v>
      </c>
      <c r="T86" s="347"/>
      <c r="U86" s="383"/>
      <c r="V86" s="347"/>
      <c r="W86" s="347"/>
      <c r="X86" s="385">
        <v>38750</v>
      </c>
      <c r="Y86" s="761">
        <f t="shared" si="69"/>
        <v>9.9150684931506845</v>
      </c>
      <c r="Z86" s="347" t="s">
        <v>13</v>
      </c>
      <c r="AA86" s="773" t="str">
        <f t="shared" si="82"/>
        <v/>
      </c>
      <c r="AB86" s="773" t="str">
        <f t="shared" si="83"/>
        <v>M</v>
      </c>
      <c r="AC86" s="773" t="str">
        <f t="shared" si="84"/>
        <v/>
      </c>
      <c r="AD86" s="773" t="str">
        <f>IF(AND(Y86&gt;=15,Y86&lt;18),IF(Z86="M","M","F"),"")</f>
        <v/>
      </c>
      <c r="AE86" s="773" t="str">
        <f>IF(Y86&gt;18,IF(Z86="M","M","F"),"")</f>
        <v/>
      </c>
      <c r="AF86" s="770"/>
      <c r="AG86" s="770"/>
      <c r="AH86" s="770"/>
      <c r="AI86" s="770"/>
      <c r="AJ86" s="770"/>
      <c r="AK86" s="770"/>
      <c r="AL86" s="770">
        <f>Q86-J86</f>
        <v>625</v>
      </c>
      <c r="AM86" s="770">
        <f>AL86/365</f>
        <v>1.7123287671232876</v>
      </c>
      <c r="AN86" s="770">
        <f>INT(AM86)</f>
        <v>1</v>
      </c>
      <c r="AO86" s="761">
        <f>(AM86-AN86)*12</f>
        <v>8.5479452054794507</v>
      </c>
      <c r="AP86" s="1074"/>
      <c r="AQ86" s="782">
        <f t="shared" si="65"/>
        <v>42370</v>
      </c>
      <c r="AR86" s="782">
        <f t="shared" si="80"/>
        <v>42736</v>
      </c>
      <c r="AS86" s="770">
        <f t="shared" si="66"/>
        <v>366</v>
      </c>
      <c r="AT86" s="790">
        <f>IF(AQ86&gt;'[1]calculs enfants présents'!$A$56,0,IF(Q86&lt;'[1]calculs enfants présents'!$A$56,Q86-AQ86,'[1]calculs enfants présents'!$A$56-AQ86))</f>
        <v>0</v>
      </c>
      <c r="AU86" s="790">
        <f t="shared" si="67"/>
        <v>31</v>
      </c>
      <c r="AV86" s="790">
        <f t="shared" si="62"/>
        <v>-31</v>
      </c>
      <c r="AW86" s="412"/>
      <c r="AX86" s="381">
        <v>42369</v>
      </c>
      <c r="AY86" s="955">
        <f t="shared" si="70"/>
        <v>42477</v>
      </c>
      <c r="AZ86" s="955">
        <f t="shared" si="71"/>
        <v>42736</v>
      </c>
      <c r="BA86" s="955">
        <f t="shared" si="72"/>
        <v>42444</v>
      </c>
      <c r="BB86" s="1105"/>
      <c r="BC86" s="1103"/>
      <c r="BD86" s="347"/>
      <c r="BE86" s="1104">
        <f>(J86+90)-(WEEKDAY(J86+90,2)-2)</f>
        <v>42199</v>
      </c>
      <c r="BF86" s="460"/>
      <c r="BG86" s="349"/>
      <c r="BH86" s="465"/>
      <c r="BI86" s="462"/>
      <c r="BJ86" s="572"/>
      <c r="BK86" s="387"/>
      <c r="BL86" s="387"/>
      <c r="BM86" s="387"/>
      <c r="BN86" s="387"/>
      <c r="BO86" s="387"/>
      <c r="BP86" s="387"/>
      <c r="BQ86" s="387"/>
      <c r="BR86" s="387"/>
      <c r="BS86" s="387"/>
      <c r="BT86" s="387"/>
    </row>
    <row r="87" spans="1:72" s="388" customFormat="1" ht="12.75" customHeight="1" x14ac:dyDescent="0.2">
      <c r="A87" s="1138" t="s">
        <v>752</v>
      </c>
      <c r="B87" s="1138" t="s">
        <v>752</v>
      </c>
      <c r="C87" s="1139" t="s">
        <v>753</v>
      </c>
      <c r="D87" s="353" t="s">
        <v>87</v>
      </c>
      <c r="E87" s="353" t="s">
        <v>70</v>
      </c>
      <c r="F87" s="353"/>
      <c r="G87" s="353" t="s">
        <v>67</v>
      </c>
      <c r="H87" s="353"/>
      <c r="I87" s="1140">
        <v>42368</v>
      </c>
      <c r="J87" s="1141">
        <v>42380</v>
      </c>
      <c r="K87" s="1141"/>
      <c r="L87" s="1159">
        <f t="shared" si="68"/>
        <v>12</v>
      </c>
      <c r="M87" s="1141">
        <v>42380</v>
      </c>
      <c r="N87" s="1141">
        <v>42746</v>
      </c>
      <c r="O87" s="1141"/>
      <c r="P87" s="1141"/>
      <c r="Q87" s="1141">
        <v>42736</v>
      </c>
      <c r="R87" s="1143" t="s">
        <v>156</v>
      </c>
      <c r="S87" s="353" t="s">
        <v>62</v>
      </c>
      <c r="T87" s="353"/>
      <c r="U87" s="1144"/>
      <c r="V87" s="353"/>
      <c r="W87" s="353"/>
      <c r="X87" s="1145">
        <v>37279</v>
      </c>
      <c r="Y87" s="1146">
        <f t="shared" si="69"/>
        <v>14.947945205479453</v>
      </c>
      <c r="Z87" s="353" t="s">
        <v>13</v>
      </c>
      <c r="AA87" s="763" t="str">
        <f t="shared" si="82"/>
        <v/>
      </c>
      <c r="AB87" s="763" t="str">
        <f t="shared" si="83"/>
        <v/>
      </c>
      <c r="AC87" s="1160" t="str">
        <f t="shared" si="84"/>
        <v>M</v>
      </c>
      <c r="AD87" s="763"/>
      <c r="AE87" s="763"/>
      <c r="AF87" s="763"/>
      <c r="AG87" s="763"/>
      <c r="AH87" s="763"/>
      <c r="AI87" s="763"/>
      <c r="AJ87" s="763"/>
      <c r="AK87" s="763"/>
      <c r="AL87" s="763"/>
      <c r="AM87" s="763"/>
      <c r="AN87" s="763"/>
      <c r="AO87" s="1146"/>
      <c r="AP87" s="1147"/>
      <c r="AQ87" s="1148">
        <f t="shared" si="65"/>
        <v>42380</v>
      </c>
      <c r="AR87" s="1148">
        <f t="shared" si="80"/>
        <v>42736</v>
      </c>
      <c r="AS87" s="763">
        <f t="shared" si="66"/>
        <v>356</v>
      </c>
      <c r="AT87" s="1149">
        <f>IF(AQ87&gt;'[1]calculs enfants présents'!$A$56,0,IF(Q87&lt;'[1]calculs enfants présents'!$A$56,Q87-AQ87,'[1]calculs enfants présents'!$A$56-AQ87))</f>
        <v>0</v>
      </c>
      <c r="AU87" s="1150">
        <f t="shared" si="67"/>
        <v>21</v>
      </c>
      <c r="AV87" s="1149">
        <f t="shared" si="62"/>
        <v>-21</v>
      </c>
      <c r="AW87" s="326"/>
      <c r="AX87" s="1143">
        <v>42735</v>
      </c>
      <c r="AY87" s="1151">
        <f t="shared" si="70"/>
        <v>42746</v>
      </c>
      <c r="AZ87" s="1151">
        <f t="shared" si="71"/>
        <v>42736</v>
      </c>
      <c r="BA87" s="1151">
        <f t="shared" si="72"/>
        <v>42717</v>
      </c>
      <c r="BB87" s="1152"/>
      <c r="BC87" s="1153"/>
      <c r="BD87" s="1140"/>
      <c r="BE87" s="1154" t="str">
        <f>IF(K87&lt;&gt;"",(K87+90)-(WEEKDAY(K87+90,2)-2),"DIPC")</f>
        <v>DIPC</v>
      </c>
      <c r="BF87" s="1161"/>
      <c r="BG87" s="1162"/>
      <c r="BH87" s="1157"/>
      <c r="BJ87" s="1163"/>
    </row>
    <row r="88" spans="1:72" s="387" customFormat="1" ht="12.6" customHeight="1" x14ac:dyDescent="0.2">
      <c r="A88" s="1118" t="s">
        <v>508</v>
      </c>
      <c r="B88" s="1118" t="s">
        <v>509</v>
      </c>
      <c r="C88" s="379" t="s">
        <v>510</v>
      </c>
      <c r="D88" s="347" t="s">
        <v>310</v>
      </c>
      <c r="E88" s="347" t="s">
        <v>138</v>
      </c>
      <c r="F88" s="347"/>
      <c r="G88" s="347"/>
      <c r="H88" s="347"/>
      <c r="I88" s="1076">
        <v>42080</v>
      </c>
      <c r="J88" s="411">
        <v>42104</v>
      </c>
      <c r="K88" s="411"/>
      <c r="L88" s="1077">
        <f t="shared" si="68"/>
        <v>24</v>
      </c>
      <c r="M88" s="381">
        <v>42104</v>
      </c>
      <c r="N88" s="381">
        <v>42470</v>
      </c>
      <c r="O88" s="381"/>
      <c r="P88" s="381"/>
      <c r="Q88" s="381">
        <v>42736</v>
      </c>
      <c r="R88" s="381" t="s">
        <v>16</v>
      </c>
      <c r="S88" s="347" t="s">
        <v>20</v>
      </c>
      <c r="T88" s="347"/>
      <c r="U88" s="383"/>
      <c r="V88" s="347"/>
      <c r="W88" s="347"/>
      <c r="X88" s="385">
        <v>36691</v>
      </c>
      <c r="Y88" s="761">
        <f t="shared" si="69"/>
        <v>15.556164383561644</v>
      </c>
      <c r="Z88" s="347" t="s">
        <v>21</v>
      </c>
      <c r="AA88" s="773" t="str">
        <f t="shared" si="82"/>
        <v/>
      </c>
      <c r="AB88" s="773" t="str">
        <f t="shared" si="83"/>
        <v/>
      </c>
      <c r="AC88" s="773" t="str">
        <f t="shared" si="84"/>
        <v/>
      </c>
      <c r="AD88" s="773" t="str">
        <f>IF(AND(Y88&gt;=15,Y88&lt;18),IF(Z88="M","M","F"),"")</f>
        <v>F</v>
      </c>
      <c r="AE88" s="773" t="str">
        <f t="shared" ref="AE88:AE96" si="85">IF(Y88&gt;18,IF(Z88="M","M","F"),"")</f>
        <v/>
      </c>
      <c r="AF88" s="770"/>
      <c r="AG88" s="770"/>
      <c r="AH88" s="770"/>
      <c r="AI88" s="770"/>
      <c r="AJ88" s="770"/>
      <c r="AK88" s="770"/>
      <c r="AL88" s="770">
        <f t="shared" ref="AL88:AL95" si="86">Q88-J88</f>
        <v>632</v>
      </c>
      <c r="AM88" s="770">
        <f t="shared" ref="AM88:AM95" si="87">AL88/365</f>
        <v>1.7315068493150685</v>
      </c>
      <c r="AN88" s="770">
        <f t="shared" ref="AN88:AN96" si="88">INT(AM88)</f>
        <v>1</v>
      </c>
      <c r="AO88" s="761">
        <f t="shared" ref="AO88:AO115" si="89">(AM88-AN88)*12</f>
        <v>8.7780821917808218</v>
      </c>
      <c r="AP88" s="1074"/>
      <c r="AQ88" s="782">
        <f t="shared" si="65"/>
        <v>42370</v>
      </c>
      <c r="AR88" s="782">
        <f t="shared" si="80"/>
        <v>42736</v>
      </c>
      <c r="AS88" s="770">
        <f t="shared" si="66"/>
        <v>366</v>
      </c>
      <c r="AT88" s="790">
        <f>IF(AQ88&gt;'[1]calculs enfants présents'!$A$56,0,IF(Q88&lt;'[1]calculs enfants présents'!$A$56,Q88-AQ88,'[1]calculs enfants présents'!$A$56-AQ88))</f>
        <v>0</v>
      </c>
      <c r="AU88" s="790">
        <f t="shared" si="67"/>
        <v>31</v>
      </c>
      <c r="AV88" s="790">
        <f t="shared" si="62"/>
        <v>-31</v>
      </c>
      <c r="AW88" s="412"/>
      <c r="AX88" s="381">
        <v>42369</v>
      </c>
      <c r="AY88" s="955">
        <f t="shared" si="70"/>
        <v>42470</v>
      </c>
      <c r="AZ88" s="955">
        <f t="shared" si="71"/>
        <v>42736</v>
      </c>
      <c r="BA88" s="955">
        <f t="shared" si="72"/>
        <v>42437</v>
      </c>
      <c r="BB88" s="1105"/>
      <c r="BC88" s="1103"/>
      <c r="BD88" s="347"/>
      <c r="BE88" s="1104">
        <f>(J88+90)-(WEEKDAY(J88+90,2)-2)</f>
        <v>42192</v>
      </c>
      <c r="BF88" s="460"/>
      <c r="BG88" s="349"/>
      <c r="BH88" s="465"/>
      <c r="BI88" s="462"/>
      <c r="BJ88" s="572"/>
    </row>
    <row r="89" spans="1:72" ht="12.75" customHeight="1" x14ac:dyDescent="0.2">
      <c r="A89" s="375" t="s">
        <v>360</v>
      </c>
      <c r="B89" s="375" t="s">
        <v>360</v>
      </c>
      <c r="C89" s="391" t="s">
        <v>161</v>
      </c>
      <c r="D89" s="366" t="s">
        <v>138</v>
      </c>
      <c r="E89" s="366" t="s">
        <v>310</v>
      </c>
      <c r="F89" s="366" t="s">
        <v>66</v>
      </c>
      <c r="G89" s="366"/>
      <c r="H89" s="366"/>
      <c r="I89" s="1129">
        <v>41920</v>
      </c>
      <c r="J89" s="512">
        <v>42016</v>
      </c>
      <c r="K89" s="512"/>
      <c r="L89" s="1130">
        <f t="shared" si="68"/>
        <v>96</v>
      </c>
      <c r="M89" s="369">
        <v>42016</v>
      </c>
      <c r="N89" s="369">
        <v>42381</v>
      </c>
      <c r="O89" s="369" t="s">
        <v>674</v>
      </c>
      <c r="P89" s="369" t="s">
        <v>674</v>
      </c>
      <c r="Q89" s="369">
        <v>42381</v>
      </c>
      <c r="R89" s="369" t="s">
        <v>16</v>
      </c>
      <c r="S89" s="366" t="s">
        <v>16</v>
      </c>
      <c r="T89" s="366"/>
      <c r="U89" s="393"/>
      <c r="V89" s="366"/>
      <c r="W89" s="366"/>
      <c r="X89" s="370">
        <v>36270</v>
      </c>
      <c r="Y89" s="760">
        <f t="shared" si="69"/>
        <v>16.709589041095889</v>
      </c>
      <c r="Z89" s="366" t="s">
        <v>13</v>
      </c>
      <c r="AA89" s="775" t="str">
        <f t="shared" si="82"/>
        <v/>
      </c>
      <c r="AB89" s="775" t="str">
        <f t="shared" si="83"/>
        <v/>
      </c>
      <c r="AC89" s="775" t="str">
        <f t="shared" si="84"/>
        <v/>
      </c>
      <c r="AD89" s="775" t="str">
        <f>IF(AND(Y89&gt;=15,Y89&lt;18),IF(Z89="M","M","F"),"")</f>
        <v>M</v>
      </c>
      <c r="AE89" s="775" t="str">
        <f t="shared" si="85"/>
        <v/>
      </c>
      <c r="AF89" s="767"/>
      <c r="AG89" s="767"/>
      <c r="AH89" s="767"/>
      <c r="AI89" s="767"/>
      <c r="AJ89" s="767"/>
      <c r="AK89" s="767"/>
      <c r="AL89" s="767">
        <f t="shared" si="86"/>
        <v>365</v>
      </c>
      <c r="AM89" s="767">
        <f t="shared" si="87"/>
        <v>1</v>
      </c>
      <c r="AN89" s="767">
        <f t="shared" si="88"/>
        <v>1</v>
      </c>
      <c r="AO89" s="760">
        <f t="shared" si="89"/>
        <v>0</v>
      </c>
      <c r="AP89" s="1131"/>
      <c r="AQ89" s="1132">
        <f t="shared" si="65"/>
        <v>42370</v>
      </c>
      <c r="AR89" s="1132">
        <f t="shared" si="80"/>
        <v>42381</v>
      </c>
      <c r="AS89" s="767">
        <f t="shared" si="66"/>
        <v>11</v>
      </c>
      <c r="AT89" s="788">
        <f>IF(AQ89&gt;'[1]calculs enfants présents'!$A$56,0,IF(Q89&lt;'[1]calculs enfants présents'!$A$56,Q89-AQ89,'[1]calculs enfants présents'!$A$56-AQ89))</f>
        <v>0</v>
      </c>
      <c r="AU89" s="788">
        <f t="shared" si="67"/>
        <v>11</v>
      </c>
      <c r="AV89" s="788">
        <f t="shared" si="62"/>
        <v>-11</v>
      </c>
      <c r="AW89" s="367"/>
      <c r="AX89" s="369">
        <v>42369</v>
      </c>
      <c r="AY89" s="1133">
        <f t="shared" si="70"/>
        <v>42381</v>
      </c>
      <c r="AZ89" s="1133">
        <f t="shared" si="71"/>
        <v>42381</v>
      </c>
      <c r="BA89" s="1133">
        <f t="shared" si="72"/>
        <v>42346</v>
      </c>
      <c r="BB89" s="670">
        <v>42339</v>
      </c>
      <c r="BC89" s="1134" t="s">
        <v>276</v>
      </c>
      <c r="BD89" s="1129">
        <v>42339</v>
      </c>
      <c r="BE89" s="1135">
        <f>(J89+90)-(WEEKDAY(J89+90,2)-2)</f>
        <v>42101</v>
      </c>
      <c r="BF89" s="483"/>
      <c r="BG89" s="357"/>
      <c r="BH89" s="482"/>
      <c r="BI89" s="400"/>
      <c r="BJ89" s="625"/>
      <c r="BK89" s="374"/>
      <c r="BL89" s="374"/>
      <c r="BM89" s="374"/>
      <c r="BN89" s="374"/>
      <c r="BO89" s="374"/>
      <c r="BP89" s="374"/>
      <c r="BQ89" s="374"/>
      <c r="BR89" s="374"/>
    </row>
    <row r="90" spans="1:72" ht="12.75" customHeight="1" x14ac:dyDescent="0.2">
      <c r="A90" s="375" t="s">
        <v>360</v>
      </c>
      <c r="B90" s="375" t="s">
        <v>360</v>
      </c>
      <c r="C90" s="391" t="s">
        <v>218</v>
      </c>
      <c r="D90" s="366" t="s">
        <v>138</v>
      </c>
      <c r="E90" s="366" t="s">
        <v>310</v>
      </c>
      <c r="F90" s="366" t="s">
        <v>66</v>
      </c>
      <c r="G90" s="366"/>
      <c r="H90" s="366"/>
      <c r="I90" s="1129">
        <v>42039</v>
      </c>
      <c r="J90" s="512">
        <v>42039</v>
      </c>
      <c r="K90" s="512"/>
      <c r="L90" s="1130">
        <f t="shared" si="68"/>
        <v>0</v>
      </c>
      <c r="M90" s="369">
        <v>42039</v>
      </c>
      <c r="N90" s="369">
        <v>42381</v>
      </c>
      <c r="O90" s="369" t="s">
        <v>674</v>
      </c>
      <c r="P90" s="369" t="s">
        <v>674</v>
      </c>
      <c r="Q90" s="369">
        <v>42381</v>
      </c>
      <c r="R90" s="369" t="s">
        <v>16</v>
      </c>
      <c r="S90" s="366" t="s">
        <v>16</v>
      </c>
      <c r="T90" s="366"/>
      <c r="U90" s="393"/>
      <c r="V90" s="366"/>
      <c r="W90" s="366"/>
      <c r="X90" s="370">
        <v>38664</v>
      </c>
      <c r="Y90" s="760">
        <f t="shared" si="69"/>
        <v>10.150684931506849</v>
      </c>
      <c r="Z90" s="366" t="s">
        <v>13</v>
      </c>
      <c r="AA90" s="775" t="str">
        <f t="shared" si="82"/>
        <v/>
      </c>
      <c r="AB90" s="775" t="str">
        <f t="shared" si="83"/>
        <v>M</v>
      </c>
      <c r="AC90" s="775" t="str">
        <f t="shared" si="84"/>
        <v/>
      </c>
      <c r="AD90" s="775" t="str">
        <f>IF(AND(Y90&gt;=15,Y90&lt;18),IF(Z90="M","M","F"),"")</f>
        <v/>
      </c>
      <c r="AE90" s="775" t="str">
        <f t="shared" si="85"/>
        <v/>
      </c>
      <c r="AF90" s="767"/>
      <c r="AG90" s="767"/>
      <c r="AH90" s="767"/>
      <c r="AI90" s="767"/>
      <c r="AJ90" s="767"/>
      <c r="AK90" s="767"/>
      <c r="AL90" s="767">
        <f t="shared" si="86"/>
        <v>342</v>
      </c>
      <c r="AM90" s="767">
        <f t="shared" si="87"/>
        <v>0.93698630136986305</v>
      </c>
      <c r="AN90" s="767">
        <f t="shared" si="88"/>
        <v>0</v>
      </c>
      <c r="AO90" s="760">
        <f t="shared" si="89"/>
        <v>11.243835616438357</v>
      </c>
      <c r="AP90" s="1131"/>
      <c r="AQ90" s="1132">
        <f t="shared" si="65"/>
        <v>42370</v>
      </c>
      <c r="AR90" s="1132">
        <f t="shared" si="80"/>
        <v>42381</v>
      </c>
      <c r="AS90" s="767">
        <f t="shared" si="66"/>
        <v>11</v>
      </c>
      <c r="AT90" s="788">
        <f>IF(AQ90&gt;'[1]calculs enfants présents'!$A$56,0,IF(Q90&lt;'[1]calculs enfants présents'!$A$56,Q90-AQ90,'[1]calculs enfants présents'!$A$56-AQ90))</f>
        <v>0</v>
      </c>
      <c r="AU90" s="788">
        <f t="shared" si="67"/>
        <v>11</v>
      </c>
      <c r="AV90" s="788">
        <f t="shared" si="62"/>
        <v>-11</v>
      </c>
      <c r="AW90" s="367"/>
      <c r="AX90" s="369">
        <v>42369</v>
      </c>
      <c r="AY90" s="1133">
        <f t="shared" si="70"/>
        <v>42381</v>
      </c>
      <c r="AZ90" s="1133">
        <f t="shared" si="71"/>
        <v>42381</v>
      </c>
      <c r="BA90" s="1133">
        <f t="shared" si="72"/>
        <v>42346</v>
      </c>
      <c r="BB90" s="670">
        <v>42339</v>
      </c>
      <c r="BC90" s="1134" t="s">
        <v>276</v>
      </c>
      <c r="BD90" s="366"/>
      <c r="BE90" s="1135">
        <f>(J90+90)-(WEEKDAY(J90+90,2)-2)</f>
        <v>42129</v>
      </c>
      <c r="BF90" s="483"/>
      <c r="BG90" s="357"/>
      <c r="BH90" s="482"/>
      <c r="BI90" s="400"/>
      <c r="BJ90" s="625"/>
      <c r="BK90" s="374"/>
      <c r="BL90" s="374"/>
      <c r="BM90" s="374"/>
      <c r="BN90" s="374"/>
      <c r="BO90" s="374"/>
      <c r="BP90" s="374"/>
      <c r="BQ90" s="374"/>
      <c r="BR90" s="374"/>
    </row>
    <row r="91" spans="1:72" s="387" customFormat="1" ht="13.15" customHeight="1" x14ac:dyDescent="0.2">
      <c r="A91" s="484" t="s">
        <v>566</v>
      </c>
      <c r="B91" s="484" t="s">
        <v>525</v>
      </c>
      <c r="C91" s="379" t="s">
        <v>526</v>
      </c>
      <c r="D91" s="347" t="s">
        <v>183</v>
      </c>
      <c r="E91" s="347" t="s">
        <v>228</v>
      </c>
      <c r="F91" s="347"/>
      <c r="G91" s="347"/>
      <c r="H91" s="347"/>
      <c r="I91" s="1076">
        <v>42121</v>
      </c>
      <c r="J91" s="411">
        <v>42163</v>
      </c>
      <c r="K91" s="411"/>
      <c r="L91" s="1077">
        <f t="shared" si="68"/>
        <v>42</v>
      </c>
      <c r="M91" s="381">
        <v>42163</v>
      </c>
      <c r="N91" s="381">
        <v>42529</v>
      </c>
      <c r="O91" s="381"/>
      <c r="P91" s="381"/>
      <c r="Q91" s="381">
        <v>42736</v>
      </c>
      <c r="R91" s="381" t="s">
        <v>16</v>
      </c>
      <c r="S91" s="347" t="s">
        <v>16</v>
      </c>
      <c r="T91" s="355"/>
      <c r="U91" s="408"/>
      <c r="V91" s="355"/>
      <c r="W91" s="355"/>
      <c r="X91" s="385">
        <v>37800</v>
      </c>
      <c r="Y91" s="761">
        <f t="shared" si="69"/>
        <v>12.517808219178082</v>
      </c>
      <c r="Z91" s="347" t="s">
        <v>13</v>
      </c>
      <c r="AA91" s="773" t="str">
        <f t="shared" si="82"/>
        <v/>
      </c>
      <c r="AB91" s="773" t="str">
        <f t="shared" si="83"/>
        <v/>
      </c>
      <c r="AC91" s="773" t="str">
        <f t="shared" si="84"/>
        <v>M</v>
      </c>
      <c r="AD91" s="773" t="str">
        <f>IF(AND(Y91&gt;=15,Y91&lt;18),IF(Z91="M","M","F"),"")</f>
        <v/>
      </c>
      <c r="AE91" s="773" t="str">
        <f t="shared" si="85"/>
        <v/>
      </c>
      <c r="AF91" s="779"/>
      <c r="AG91" s="779"/>
      <c r="AH91" s="779"/>
      <c r="AI91" s="779"/>
      <c r="AJ91" s="779"/>
      <c r="AK91" s="779"/>
      <c r="AL91" s="779">
        <f t="shared" si="86"/>
        <v>573</v>
      </c>
      <c r="AM91" s="779">
        <f t="shared" si="87"/>
        <v>1.5698630136986302</v>
      </c>
      <c r="AN91" s="770">
        <f t="shared" si="88"/>
        <v>1</v>
      </c>
      <c r="AO91" s="761">
        <f t="shared" si="89"/>
        <v>6.8383561643835629</v>
      </c>
      <c r="AP91" s="1074"/>
      <c r="AQ91" s="782">
        <f t="shared" si="65"/>
        <v>42370</v>
      </c>
      <c r="AR91" s="782">
        <f t="shared" si="80"/>
        <v>42736</v>
      </c>
      <c r="AS91" s="770">
        <f t="shared" si="66"/>
        <v>366</v>
      </c>
      <c r="AT91" s="790">
        <f>IF(AQ91&gt;'[1]calculs enfants présents'!$A$56,0,IF(Q91&lt;'[1]calculs enfants présents'!$A$56,Q91-AQ91,'[1]calculs enfants présents'!$A$56-AQ91))</f>
        <v>0</v>
      </c>
      <c r="AU91" s="790">
        <f t="shared" si="67"/>
        <v>31</v>
      </c>
      <c r="AV91" s="790">
        <f t="shared" si="62"/>
        <v>-31</v>
      </c>
      <c r="AW91" s="412"/>
      <c r="AX91" s="381">
        <v>42369</v>
      </c>
      <c r="AY91" s="955">
        <f t="shared" si="70"/>
        <v>42529</v>
      </c>
      <c r="AZ91" s="955">
        <f t="shared" si="71"/>
        <v>42736</v>
      </c>
      <c r="BA91" s="955">
        <f t="shared" si="72"/>
        <v>42500</v>
      </c>
      <c r="BB91" s="1105"/>
      <c r="BC91" s="1103"/>
      <c r="BD91" s="347"/>
      <c r="BE91" s="1104">
        <f>(J91+90)-(WEEKDAY(J91+90,2)-2)</f>
        <v>42248</v>
      </c>
      <c r="BF91" s="460">
        <v>42332</v>
      </c>
      <c r="BG91" s="349" t="s">
        <v>275</v>
      </c>
      <c r="BH91" s="465">
        <v>42332</v>
      </c>
      <c r="BI91" s="462"/>
      <c r="BJ91" s="572"/>
      <c r="BK91" s="401"/>
      <c r="BL91" s="401"/>
      <c r="BM91" s="401"/>
      <c r="BN91" s="401"/>
      <c r="BO91" s="401"/>
      <c r="BP91" s="401"/>
      <c r="BQ91" s="401"/>
      <c r="BR91" s="401"/>
      <c r="BS91" s="745"/>
      <c r="BT91" s="745"/>
    </row>
    <row r="92" spans="1:72" ht="13.15" customHeight="1" x14ac:dyDescent="0.2">
      <c r="A92" s="484" t="s">
        <v>584</v>
      </c>
      <c r="B92" s="484" t="s">
        <v>584</v>
      </c>
      <c r="C92" s="379" t="s">
        <v>219</v>
      </c>
      <c r="D92" s="347" t="s">
        <v>87</v>
      </c>
      <c r="E92" s="347" t="s">
        <v>179</v>
      </c>
      <c r="F92" s="347"/>
      <c r="I92" s="1076">
        <v>42184</v>
      </c>
      <c r="J92" s="411">
        <v>42250</v>
      </c>
      <c r="K92" s="411"/>
      <c r="L92" s="1078">
        <f t="shared" si="68"/>
        <v>66</v>
      </c>
      <c r="M92" s="381">
        <v>42250</v>
      </c>
      <c r="N92" s="381">
        <v>42616</v>
      </c>
      <c r="O92" s="381"/>
      <c r="P92" s="381"/>
      <c r="Q92" s="381">
        <v>42736</v>
      </c>
      <c r="R92" s="381" t="s">
        <v>156</v>
      </c>
      <c r="S92" s="347" t="s">
        <v>160</v>
      </c>
      <c r="V92" s="347"/>
      <c r="W92" s="347"/>
      <c r="X92" s="385">
        <v>36083</v>
      </c>
      <c r="Y92" s="761">
        <f t="shared" si="69"/>
        <v>17.221917808219178</v>
      </c>
      <c r="Z92" s="347" t="s">
        <v>13</v>
      </c>
      <c r="AA92" s="770" t="str">
        <f t="shared" si="82"/>
        <v/>
      </c>
      <c r="AB92" s="770" t="str">
        <f t="shared" si="83"/>
        <v/>
      </c>
      <c r="AC92" s="770" t="str">
        <f t="shared" si="84"/>
        <v/>
      </c>
      <c r="AD92" s="770" t="s">
        <v>13</v>
      </c>
      <c r="AE92" s="770" t="str">
        <f t="shared" si="85"/>
        <v/>
      </c>
      <c r="AG92" s="770"/>
      <c r="AH92" s="770"/>
      <c r="AI92" s="770"/>
      <c r="AJ92" s="770"/>
      <c r="AK92" s="770"/>
      <c r="AL92" s="770">
        <f t="shared" si="86"/>
        <v>486</v>
      </c>
      <c r="AM92" s="770">
        <f t="shared" si="87"/>
        <v>1.3315068493150686</v>
      </c>
      <c r="AN92" s="770">
        <f t="shared" si="88"/>
        <v>1</v>
      </c>
      <c r="AO92" s="761">
        <f t="shared" si="89"/>
        <v>3.9780821917808229</v>
      </c>
      <c r="AP92" s="1074"/>
      <c r="AQ92" s="782">
        <f t="shared" si="65"/>
        <v>42370</v>
      </c>
      <c r="AR92" s="782">
        <f t="shared" si="80"/>
        <v>42736</v>
      </c>
      <c r="AS92" s="770">
        <f t="shared" si="66"/>
        <v>366</v>
      </c>
      <c r="AT92" s="790">
        <f>IF(AQ92&gt;'[1]calculs enfants présents'!$A$56,0,IF(Q92&lt;'[1]calculs enfants présents'!$A$56,Q92-AQ92,'[1]calculs enfants présents'!$A$56-AQ92))</f>
        <v>0</v>
      </c>
      <c r="AU92" s="791">
        <f t="shared" si="67"/>
        <v>31</v>
      </c>
      <c r="AV92" s="790">
        <f t="shared" ref="AV92:AV123" si="90">AT92-AU92</f>
        <v>-31</v>
      </c>
      <c r="AW92" s="412"/>
      <c r="AX92" s="381">
        <v>42369</v>
      </c>
      <c r="AY92" s="955">
        <f t="shared" si="70"/>
        <v>42616</v>
      </c>
      <c r="AZ92" s="955">
        <f t="shared" si="71"/>
        <v>42736</v>
      </c>
      <c r="BA92" s="955">
        <f t="shared" si="72"/>
        <v>42584</v>
      </c>
      <c r="BB92" s="1105"/>
      <c r="BC92" s="1103"/>
      <c r="BD92" s="1076"/>
      <c r="BE92" s="1104">
        <f>(J92+90)-(WEEKDAY(J92+90,2)-2)</f>
        <v>42339</v>
      </c>
      <c r="BF92" s="460">
        <v>42346</v>
      </c>
      <c r="BG92" s="349" t="s">
        <v>274</v>
      </c>
      <c r="BH92" s="465">
        <v>42346</v>
      </c>
      <c r="BI92" s="349"/>
      <c r="BJ92" s="572"/>
      <c r="BK92" s="374"/>
      <c r="BL92" s="374"/>
      <c r="BM92" s="374"/>
      <c r="BN92" s="374"/>
      <c r="BO92" s="374"/>
      <c r="BP92" s="374"/>
      <c r="BQ92" s="374"/>
      <c r="BR92" s="374"/>
      <c r="BS92" s="652"/>
      <c r="BT92" s="652"/>
    </row>
    <row r="93" spans="1:72" s="400" customFormat="1" ht="12.75" customHeight="1" x14ac:dyDescent="0.2">
      <c r="A93" s="1118" t="s">
        <v>643</v>
      </c>
      <c r="B93" s="1118" t="s">
        <v>643</v>
      </c>
      <c r="C93" s="379" t="s">
        <v>203</v>
      </c>
      <c r="D93" s="347" t="s">
        <v>714</v>
      </c>
      <c r="E93" s="347" t="s">
        <v>183</v>
      </c>
      <c r="F93" s="347"/>
      <c r="G93" s="347"/>
      <c r="H93" s="347"/>
      <c r="I93" s="1076">
        <v>42278</v>
      </c>
      <c r="J93" s="411">
        <v>42300</v>
      </c>
      <c r="K93" s="411">
        <v>42326</v>
      </c>
      <c r="L93" s="1078">
        <f t="shared" si="68"/>
        <v>22</v>
      </c>
      <c r="M93" s="381">
        <v>42300</v>
      </c>
      <c r="N93" s="381">
        <v>42666</v>
      </c>
      <c r="O93" s="381"/>
      <c r="P93" s="381"/>
      <c r="Q93" s="381">
        <v>42736</v>
      </c>
      <c r="R93" s="381" t="s">
        <v>156</v>
      </c>
      <c r="S93" s="347" t="s">
        <v>157</v>
      </c>
      <c r="T93" s="347"/>
      <c r="U93" s="383"/>
      <c r="V93" s="347"/>
      <c r="W93" s="347"/>
      <c r="X93" s="385">
        <v>38020</v>
      </c>
      <c r="Y93" s="761">
        <f t="shared" si="69"/>
        <v>11.915068493150685</v>
      </c>
      <c r="Z93" s="347" t="s">
        <v>13</v>
      </c>
      <c r="AA93" s="770" t="str">
        <f t="shared" si="82"/>
        <v/>
      </c>
      <c r="AB93" s="770" t="str">
        <f t="shared" si="83"/>
        <v/>
      </c>
      <c r="AC93" s="770" t="str">
        <f t="shared" si="84"/>
        <v>M</v>
      </c>
      <c r="AD93" s="770" t="str">
        <f>IF(AND(Y93&gt;=15,Y93&lt;18),IF(Z93="M","M","F"),"")</f>
        <v/>
      </c>
      <c r="AE93" s="770" t="str">
        <f t="shared" si="85"/>
        <v/>
      </c>
      <c r="AF93" s="770"/>
      <c r="AG93" s="770"/>
      <c r="AH93" s="770"/>
      <c r="AI93" s="770"/>
      <c r="AJ93" s="770"/>
      <c r="AK93" s="770"/>
      <c r="AL93" s="770">
        <f t="shared" si="86"/>
        <v>436</v>
      </c>
      <c r="AM93" s="770">
        <f t="shared" si="87"/>
        <v>1.1945205479452055</v>
      </c>
      <c r="AN93" s="770">
        <f t="shared" si="88"/>
        <v>1</v>
      </c>
      <c r="AO93" s="761">
        <f t="shared" si="89"/>
        <v>2.3342465753424655</v>
      </c>
      <c r="AP93" s="1074"/>
      <c r="AQ93" s="782">
        <f t="shared" si="65"/>
        <v>42370</v>
      </c>
      <c r="AR93" s="782">
        <f t="shared" si="80"/>
        <v>42736</v>
      </c>
      <c r="AS93" s="770">
        <f t="shared" si="66"/>
        <v>366</v>
      </c>
      <c r="AT93" s="790">
        <f>IF(AQ93&gt;'[1]calculs enfants présents'!$A$56,0,IF(Q93&lt;'[1]calculs enfants présents'!$A$56,Q93-AQ93,'[1]calculs enfants présents'!$A$56-AQ93))</f>
        <v>0</v>
      </c>
      <c r="AU93" s="791">
        <f t="shared" si="67"/>
        <v>31</v>
      </c>
      <c r="AV93" s="790">
        <f t="shared" si="90"/>
        <v>-31</v>
      </c>
      <c r="AW93" s="412"/>
      <c r="AX93" s="381">
        <v>42369</v>
      </c>
      <c r="AY93" s="955">
        <f t="shared" si="70"/>
        <v>42666</v>
      </c>
      <c r="AZ93" s="955">
        <f t="shared" si="71"/>
        <v>42736</v>
      </c>
      <c r="BA93" s="955">
        <f t="shared" si="72"/>
        <v>42633</v>
      </c>
      <c r="BB93" s="1105"/>
      <c r="BC93" s="1103"/>
      <c r="BD93" s="1076"/>
      <c r="BE93" s="1104">
        <f>IF(K93&lt;&gt;"",(K93+90)-(WEEKDAY(K93+90,2)-2),"DIPC")</f>
        <v>42416</v>
      </c>
      <c r="BF93" s="460">
        <v>42423</v>
      </c>
      <c r="BG93" s="349" t="s">
        <v>276</v>
      </c>
      <c r="BH93" s="465">
        <v>42423</v>
      </c>
      <c r="BI93" s="349"/>
      <c r="BJ93" s="572"/>
      <c r="BK93" s="374"/>
      <c r="BL93" s="374"/>
      <c r="BM93" s="374"/>
      <c r="BN93" s="374"/>
      <c r="BO93" s="374"/>
      <c r="BP93" s="374"/>
      <c r="BQ93" s="374"/>
      <c r="BR93" s="374"/>
      <c r="BS93" s="374"/>
      <c r="BT93" s="374"/>
    </row>
    <row r="94" spans="1:72" s="566" customFormat="1" ht="12.75" customHeight="1" x14ac:dyDescent="0.2">
      <c r="A94" s="484" t="s">
        <v>718</v>
      </c>
      <c r="B94" s="484" t="s">
        <v>610</v>
      </c>
      <c r="C94" s="379" t="s">
        <v>719</v>
      </c>
      <c r="D94" s="347" t="s">
        <v>87</v>
      </c>
      <c r="E94" s="347" t="s">
        <v>70</v>
      </c>
      <c r="F94" s="347"/>
      <c r="G94" s="347"/>
      <c r="H94" s="347"/>
      <c r="I94" s="1076">
        <v>42215</v>
      </c>
      <c r="J94" s="411">
        <v>42340</v>
      </c>
      <c r="K94" s="411" t="s">
        <v>742</v>
      </c>
      <c r="L94" s="1078">
        <f t="shared" si="68"/>
        <v>125</v>
      </c>
      <c r="M94" s="411">
        <v>42340</v>
      </c>
      <c r="N94" s="411">
        <v>42523</v>
      </c>
      <c r="O94" s="411"/>
      <c r="P94" s="411"/>
      <c r="Q94" s="708">
        <v>42736</v>
      </c>
      <c r="R94" s="381" t="s">
        <v>16</v>
      </c>
      <c r="S94" s="347" t="s">
        <v>16</v>
      </c>
      <c r="T94" s="385">
        <v>38126</v>
      </c>
      <c r="U94" s="761">
        <v>11.624657534246575</v>
      </c>
      <c r="V94" s="347" t="s">
        <v>13</v>
      </c>
      <c r="W94" s="770"/>
      <c r="X94" s="385">
        <v>38126</v>
      </c>
      <c r="Y94" s="761">
        <f t="shared" si="69"/>
        <v>11.624657534246575</v>
      </c>
      <c r="Z94" s="347" t="s">
        <v>13</v>
      </c>
      <c r="AA94" s="770" t="str">
        <f t="shared" si="82"/>
        <v/>
      </c>
      <c r="AB94" s="770" t="str">
        <f t="shared" si="83"/>
        <v/>
      </c>
      <c r="AC94" s="770" t="str">
        <f t="shared" si="84"/>
        <v>M</v>
      </c>
      <c r="AD94" s="770" t="str">
        <f>IF(AND(Y94&gt;=15,Y94&lt;18),IF(Z94="M","M","F"),"")</f>
        <v/>
      </c>
      <c r="AE94" s="770" t="str">
        <f t="shared" si="85"/>
        <v/>
      </c>
      <c r="AF94" s="770"/>
      <c r="AG94" s="770"/>
      <c r="AH94" s="770"/>
      <c r="AI94" s="770"/>
      <c r="AJ94" s="770"/>
      <c r="AK94" s="770"/>
      <c r="AL94" s="770">
        <f t="shared" si="86"/>
        <v>396</v>
      </c>
      <c r="AM94" s="770">
        <f t="shared" si="87"/>
        <v>1.0849315068493151</v>
      </c>
      <c r="AN94" s="770">
        <f t="shared" si="88"/>
        <v>1</v>
      </c>
      <c r="AO94" s="761">
        <f t="shared" si="89"/>
        <v>1.0191780821917806</v>
      </c>
      <c r="AP94" s="1074"/>
      <c r="AQ94" s="782">
        <f t="shared" si="65"/>
        <v>42370</v>
      </c>
      <c r="AR94" s="782">
        <f t="shared" si="80"/>
        <v>42736</v>
      </c>
      <c r="AS94" s="770">
        <f t="shared" si="66"/>
        <v>366</v>
      </c>
      <c r="AT94" s="790">
        <f>IF(AQ94&gt;'[1]calculs enfants présents'!$A$56,0,IF(Q94&lt;'[1]calculs enfants présents'!$A$56,Q94-AQ94,'[1]calculs enfants présents'!$A$56-AQ94))</f>
        <v>0</v>
      </c>
      <c r="AU94" s="791">
        <f t="shared" si="67"/>
        <v>31</v>
      </c>
      <c r="AV94" s="790">
        <f t="shared" si="90"/>
        <v>-31</v>
      </c>
      <c r="AW94" s="412"/>
      <c r="AX94" s="381">
        <v>42369</v>
      </c>
      <c r="AY94" s="955">
        <f t="shared" si="70"/>
        <v>42523</v>
      </c>
      <c r="AZ94" s="955">
        <f t="shared" si="71"/>
        <v>42736</v>
      </c>
      <c r="BA94" s="955">
        <f t="shared" si="72"/>
        <v>42493</v>
      </c>
      <c r="BB94" s="1105"/>
      <c r="BC94" s="1103"/>
      <c r="BD94" s="1076"/>
      <c r="BE94" s="1104" t="e">
        <f>IF(K94&lt;&gt;"",(K94+90)-(WEEKDAY(K94+90,2)-2),"DIPC")</f>
        <v>#VALUE!</v>
      </c>
      <c r="BF94" s="460"/>
      <c r="BG94" s="349"/>
      <c r="BH94" s="465"/>
      <c r="BI94" s="349"/>
      <c r="BJ94" s="572"/>
      <c r="BK94" s="396"/>
      <c r="BL94" s="396"/>
      <c r="BM94" s="396"/>
      <c r="BN94" s="396"/>
      <c r="BO94" s="396"/>
      <c r="BP94" s="396"/>
      <c r="BQ94" s="396"/>
      <c r="BR94" s="396"/>
      <c r="BS94" s="396"/>
      <c r="BT94" s="396"/>
    </row>
    <row r="95" spans="1:72" s="401" customFormat="1" ht="13.15" customHeight="1" x14ac:dyDescent="0.2">
      <c r="A95" s="484" t="s">
        <v>718</v>
      </c>
      <c r="B95" s="484" t="s">
        <v>610</v>
      </c>
      <c r="C95" s="379" t="s">
        <v>611</v>
      </c>
      <c r="D95" s="347" t="s">
        <v>87</v>
      </c>
      <c r="E95" s="347" t="s">
        <v>70</v>
      </c>
      <c r="F95" s="347"/>
      <c r="G95" s="347"/>
      <c r="H95" s="347"/>
      <c r="I95" s="1076">
        <v>42215</v>
      </c>
      <c r="J95" s="411">
        <v>42340</v>
      </c>
      <c r="K95" s="411" t="s">
        <v>742</v>
      </c>
      <c r="L95" s="1078">
        <f t="shared" si="68"/>
        <v>125</v>
      </c>
      <c r="M95" s="411">
        <v>42340</v>
      </c>
      <c r="N95" s="411">
        <v>42523</v>
      </c>
      <c r="O95" s="411"/>
      <c r="P95" s="411"/>
      <c r="Q95" s="708">
        <v>42736</v>
      </c>
      <c r="R95" s="381" t="s">
        <v>16</v>
      </c>
      <c r="S95" s="347" t="s">
        <v>16</v>
      </c>
      <c r="T95" s="385">
        <v>36493</v>
      </c>
      <c r="U95" s="761">
        <v>16.098630136986301</v>
      </c>
      <c r="V95" s="347" t="s">
        <v>21</v>
      </c>
      <c r="W95" s="770"/>
      <c r="X95" s="385">
        <v>36493</v>
      </c>
      <c r="Y95" s="761">
        <f t="shared" si="69"/>
        <v>16.098630136986301</v>
      </c>
      <c r="Z95" s="347" t="s">
        <v>21</v>
      </c>
      <c r="AA95" s="770" t="str">
        <f t="shared" si="82"/>
        <v/>
      </c>
      <c r="AB95" s="770" t="str">
        <f t="shared" si="83"/>
        <v/>
      </c>
      <c r="AC95" s="770" t="str">
        <f t="shared" si="84"/>
        <v/>
      </c>
      <c r="AD95" s="770" t="str">
        <f>IF(AND(Y95&gt;=15,Y95&lt;18),IF(Z95="M","M","F"),"")</f>
        <v>F</v>
      </c>
      <c r="AE95" s="770" t="str">
        <f t="shared" si="85"/>
        <v/>
      </c>
      <c r="AF95" s="770"/>
      <c r="AG95" s="770"/>
      <c r="AH95" s="770"/>
      <c r="AI95" s="770"/>
      <c r="AJ95" s="770"/>
      <c r="AK95" s="770"/>
      <c r="AL95" s="770">
        <f t="shared" si="86"/>
        <v>396</v>
      </c>
      <c r="AM95" s="770">
        <f t="shared" si="87"/>
        <v>1.0849315068493151</v>
      </c>
      <c r="AN95" s="770">
        <f t="shared" si="88"/>
        <v>1</v>
      </c>
      <c r="AO95" s="761">
        <f t="shared" si="89"/>
        <v>1.0191780821917806</v>
      </c>
      <c r="AP95" s="1074"/>
      <c r="AQ95" s="782">
        <f t="shared" si="65"/>
        <v>42370</v>
      </c>
      <c r="AR95" s="782">
        <f t="shared" si="80"/>
        <v>42736</v>
      </c>
      <c r="AS95" s="770">
        <f t="shared" si="66"/>
        <v>366</v>
      </c>
      <c r="AT95" s="790">
        <f>IF(AQ95&gt;'[1]calculs enfants présents'!$A$56,0,IF(Q95&lt;'[1]calculs enfants présents'!$A$56,Q95-AQ95,'[1]calculs enfants présents'!$A$56-AQ95))</f>
        <v>0</v>
      </c>
      <c r="AU95" s="791">
        <f t="shared" si="67"/>
        <v>31</v>
      </c>
      <c r="AV95" s="790">
        <f t="shared" si="90"/>
        <v>-31</v>
      </c>
      <c r="AW95" s="412"/>
      <c r="AX95" s="381">
        <v>42369</v>
      </c>
      <c r="AY95" s="955">
        <f t="shared" si="70"/>
        <v>42523</v>
      </c>
      <c r="AZ95" s="955">
        <f t="shared" si="71"/>
        <v>42736</v>
      </c>
      <c r="BA95" s="955">
        <f t="shared" si="72"/>
        <v>42493</v>
      </c>
      <c r="BB95" s="1105"/>
      <c r="BC95" s="1103"/>
      <c r="BD95" s="1076"/>
      <c r="BE95" s="1104" t="e">
        <f>IF(K95&lt;&gt;"",(K95+90)-(WEEKDAY(K95+90,2)-2),"DIPC")</f>
        <v>#VALUE!</v>
      </c>
      <c r="BF95" s="460"/>
      <c r="BG95" s="349"/>
      <c r="BH95" s="465"/>
      <c r="BI95" s="349"/>
      <c r="BJ95" s="572"/>
      <c r="BK95" s="396"/>
      <c r="BL95" s="396"/>
      <c r="BM95" s="396"/>
      <c r="BN95" s="396"/>
      <c r="BO95" s="396"/>
      <c r="BP95" s="396"/>
      <c r="BQ95" s="396"/>
      <c r="BR95" s="396"/>
      <c r="BS95" s="396"/>
      <c r="BT95" s="396"/>
    </row>
    <row r="96" spans="1:72" s="401" customFormat="1" ht="12.75" customHeight="1" x14ac:dyDescent="0.2">
      <c r="A96" s="484" t="s">
        <v>472</v>
      </c>
      <c r="B96" s="484" t="s">
        <v>472</v>
      </c>
      <c r="C96" s="379" t="s">
        <v>473</v>
      </c>
      <c r="D96" s="347" t="s">
        <v>310</v>
      </c>
      <c r="E96" s="347" t="s">
        <v>70</v>
      </c>
      <c r="F96" s="347"/>
      <c r="G96" s="347"/>
      <c r="H96" s="347"/>
      <c r="I96" s="1076">
        <v>42087</v>
      </c>
      <c r="J96" s="411">
        <v>42111</v>
      </c>
      <c r="K96" s="411"/>
      <c r="L96" s="1077">
        <f t="shared" si="68"/>
        <v>24</v>
      </c>
      <c r="M96" s="381">
        <v>42111</v>
      </c>
      <c r="N96" s="381">
        <v>42477</v>
      </c>
      <c r="O96" s="381"/>
      <c r="P96" s="381"/>
      <c r="Q96" s="381">
        <v>42736</v>
      </c>
      <c r="R96" s="381" t="s">
        <v>156</v>
      </c>
      <c r="S96" s="347" t="s">
        <v>62</v>
      </c>
      <c r="T96" s="347"/>
      <c r="U96" s="383"/>
      <c r="V96" s="347"/>
      <c r="W96" s="347"/>
      <c r="X96" s="385">
        <v>36297</v>
      </c>
      <c r="Y96" s="761">
        <f t="shared" si="69"/>
        <v>16.635616438356163</v>
      </c>
      <c r="Z96" s="347" t="s">
        <v>21</v>
      </c>
      <c r="AA96" s="773" t="str">
        <f t="shared" si="82"/>
        <v/>
      </c>
      <c r="AB96" s="773" t="str">
        <f t="shared" si="83"/>
        <v/>
      </c>
      <c r="AC96" s="773" t="str">
        <f t="shared" si="84"/>
        <v/>
      </c>
      <c r="AD96" s="773" t="str">
        <f>IF(AND(Y96&gt;=15,Y96&lt;18),IF(Z96="M","M","F"),"")</f>
        <v>F</v>
      </c>
      <c r="AE96" s="773" t="str">
        <f t="shared" si="85"/>
        <v/>
      </c>
      <c r="AF96" s="770"/>
      <c r="AG96" s="770"/>
      <c r="AH96" s="770"/>
      <c r="AI96" s="770"/>
      <c r="AJ96" s="770"/>
      <c r="AK96" s="770"/>
      <c r="AL96" s="770"/>
      <c r="AM96" s="770"/>
      <c r="AN96" s="770">
        <f t="shared" si="88"/>
        <v>0</v>
      </c>
      <c r="AO96" s="760">
        <f t="shared" si="89"/>
        <v>0</v>
      </c>
      <c r="AP96" s="1074"/>
      <c r="AQ96" s="782">
        <f t="shared" si="65"/>
        <v>42370</v>
      </c>
      <c r="AR96" s="782">
        <f t="shared" si="80"/>
        <v>42736</v>
      </c>
      <c r="AS96" s="770">
        <f t="shared" si="66"/>
        <v>366</v>
      </c>
      <c r="AT96" s="790">
        <f>IF(AQ96&gt;'[1]calculs enfants présents'!$A$56,0,IF(Q96&lt;'[1]calculs enfants présents'!$A$56,Q96-AQ96,'[1]calculs enfants présents'!$A$56-AQ96))</f>
        <v>0</v>
      </c>
      <c r="AU96" s="790">
        <f t="shared" si="67"/>
        <v>31</v>
      </c>
      <c r="AV96" s="790">
        <f t="shared" si="90"/>
        <v>-31</v>
      </c>
      <c r="AW96" s="412"/>
      <c r="AX96" s="381">
        <v>42369</v>
      </c>
      <c r="AY96" s="955">
        <f t="shared" si="70"/>
        <v>42477</v>
      </c>
      <c r="AZ96" s="955">
        <f t="shared" si="71"/>
        <v>42736</v>
      </c>
      <c r="BA96" s="955">
        <f t="shared" si="72"/>
        <v>42444</v>
      </c>
      <c r="BB96" s="1105"/>
      <c r="BC96" s="1103"/>
      <c r="BD96" s="1076"/>
      <c r="BE96" s="1104">
        <f>(J96+90)-(WEEKDAY(J96+90,2)-2)</f>
        <v>42199</v>
      </c>
      <c r="BF96" s="460"/>
      <c r="BG96" s="349"/>
      <c r="BH96" s="465"/>
      <c r="BI96" s="390"/>
      <c r="BJ96" s="572"/>
      <c r="BK96" s="387"/>
      <c r="BL96" s="387"/>
      <c r="BM96" s="387"/>
      <c r="BN96" s="387"/>
      <c r="BO96" s="387"/>
      <c r="BP96" s="387"/>
      <c r="BQ96" s="387"/>
      <c r="BR96" s="387"/>
      <c r="BS96" s="387"/>
      <c r="BT96" s="387"/>
    </row>
    <row r="97" spans="1:72" s="401" customFormat="1" ht="13.15" customHeight="1" x14ac:dyDescent="0.2">
      <c r="A97" s="484" t="s">
        <v>71</v>
      </c>
      <c r="B97" s="484" t="s">
        <v>71</v>
      </c>
      <c r="C97" s="379" t="s">
        <v>725</v>
      </c>
      <c r="D97" s="347" t="s">
        <v>714</v>
      </c>
      <c r="E97" s="347" t="s">
        <v>87</v>
      </c>
      <c r="F97" s="347"/>
      <c r="G97" s="347"/>
      <c r="H97" s="347"/>
      <c r="I97" s="1076">
        <v>42179</v>
      </c>
      <c r="J97" s="411">
        <v>42298</v>
      </c>
      <c r="K97" s="411">
        <v>42317</v>
      </c>
      <c r="L97" s="1077">
        <f t="shared" si="68"/>
        <v>119</v>
      </c>
      <c r="M97" s="381">
        <v>42298</v>
      </c>
      <c r="N97" s="381">
        <v>42664</v>
      </c>
      <c r="O97" s="381"/>
      <c r="P97" s="381"/>
      <c r="Q97" s="381">
        <v>42736</v>
      </c>
      <c r="R97" s="381" t="s">
        <v>16</v>
      </c>
      <c r="S97" s="347" t="s">
        <v>16</v>
      </c>
      <c r="T97" s="347"/>
      <c r="U97" s="383"/>
      <c r="V97" s="347"/>
      <c r="W97" s="347"/>
      <c r="X97" s="385">
        <v>36891</v>
      </c>
      <c r="Y97" s="761">
        <f t="shared" si="69"/>
        <v>15.008219178082191</v>
      </c>
      <c r="Z97" s="347" t="s">
        <v>21</v>
      </c>
      <c r="AA97" s="773"/>
      <c r="AB97" s="772" t="str">
        <f t="shared" si="83"/>
        <v/>
      </c>
      <c r="AC97" s="773"/>
      <c r="AD97" s="773"/>
      <c r="AE97" s="773"/>
      <c r="AF97" s="770"/>
      <c r="AG97" s="770"/>
      <c r="AH97" s="770"/>
      <c r="AI97" s="770"/>
      <c r="AJ97" s="770"/>
      <c r="AK97" s="770"/>
      <c r="AL97" s="770"/>
      <c r="AM97" s="770"/>
      <c r="AN97" s="770"/>
      <c r="AO97" s="760">
        <f t="shared" si="89"/>
        <v>0</v>
      </c>
      <c r="AP97" s="1074"/>
      <c r="AQ97" s="782">
        <f t="shared" si="65"/>
        <v>42370</v>
      </c>
      <c r="AR97" s="782">
        <f t="shared" si="80"/>
        <v>42736</v>
      </c>
      <c r="AS97" s="770">
        <f t="shared" si="66"/>
        <v>366</v>
      </c>
      <c r="AT97" s="790">
        <f>IF(AQ97&gt;'[1]calculs enfants présents'!$A$56,0,IF(Q97&lt;'[1]calculs enfants présents'!$A$56,Q97-AQ97,'[1]calculs enfants présents'!$A$56-AQ97))</f>
        <v>0</v>
      </c>
      <c r="AU97" s="790">
        <f t="shared" si="67"/>
        <v>31</v>
      </c>
      <c r="AV97" s="790">
        <f t="shared" si="90"/>
        <v>-31</v>
      </c>
      <c r="AW97" s="412"/>
      <c r="AX97" s="381">
        <v>42369</v>
      </c>
      <c r="AY97" s="955">
        <f t="shared" si="70"/>
        <v>42664</v>
      </c>
      <c r="AZ97" s="955">
        <f t="shared" si="71"/>
        <v>42736</v>
      </c>
      <c r="BA97" s="955">
        <f t="shared" si="72"/>
        <v>42633</v>
      </c>
      <c r="BB97" s="1105"/>
      <c r="BC97" s="1103"/>
      <c r="BD97" s="1076"/>
      <c r="BE97" s="1104">
        <f>IF(K97&lt;&gt;"",(K97+90)-(WEEKDAY(K97+90,2)-2),"DIPC")</f>
        <v>42402</v>
      </c>
      <c r="BF97" s="460">
        <v>42397</v>
      </c>
      <c r="BG97" s="349" t="s">
        <v>271</v>
      </c>
      <c r="BH97" s="465">
        <v>42397</v>
      </c>
      <c r="BI97" s="390"/>
      <c r="BJ97" s="572"/>
    </row>
    <row r="98" spans="1:72" s="387" customFormat="1" ht="13.15" customHeight="1" x14ac:dyDescent="0.2">
      <c r="A98" s="484" t="s">
        <v>836</v>
      </c>
      <c r="B98" s="484" t="s">
        <v>494</v>
      </c>
      <c r="C98" s="379" t="s">
        <v>495</v>
      </c>
      <c r="D98" s="347" t="s">
        <v>138</v>
      </c>
      <c r="E98" s="347" t="s">
        <v>70</v>
      </c>
      <c r="F98" s="347"/>
      <c r="G98" s="347"/>
      <c r="H98" s="347"/>
      <c r="I98" s="1076">
        <v>42107</v>
      </c>
      <c r="J98" s="411">
        <v>42153</v>
      </c>
      <c r="K98" s="411"/>
      <c r="L98" s="1077">
        <f t="shared" si="68"/>
        <v>46</v>
      </c>
      <c r="M98" s="381">
        <v>42153</v>
      </c>
      <c r="N98" s="381">
        <v>42519</v>
      </c>
      <c r="O98" s="381"/>
      <c r="P98" s="381"/>
      <c r="Q98" s="381">
        <v>42736</v>
      </c>
      <c r="R98" s="381" t="s">
        <v>16</v>
      </c>
      <c r="S98" s="347" t="s">
        <v>13</v>
      </c>
      <c r="T98" s="347"/>
      <c r="U98" s="383"/>
      <c r="V98" s="347"/>
      <c r="W98" s="347"/>
      <c r="X98" s="385">
        <v>36812</v>
      </c>
      <c r="Y98" s="761">
        <f t="shared" si="69"/>
        <v>15.224657534246575</v>
      </c>
      <c r="Z98" s="347" t="s">
        <v>13</v>
      </c>
      <c r="AA98" s="773" t="str">
        <f t="shared" ref="AA98:AA115" si="91">IF(Y98&lt;6,IF(Z98="M","M","F"),"")</f>
        <v/>
      </c>
      <c r="AB98" s="773" t="str">
        <f t="shared" si="83"/>
        <v/>
      </c>
      <c r="AC98" s="773" t="str">
        <f>IF(AND(Y98&gt;=11,Y98&lt;15),IF(Z98="M","M","F"),"")</f>
        <v/>
      </c>
      <c r="AD98" s="773" t="str">
        <f>IF(AND(Y98&gt;=15,Y98&lt;18),IF(Z98="M","M","F"),"")</f>
        <v>M</v>
      </c>
      <c r="AE98" s="773" t="str">
        <f t="shared" ref="AE98:AE115" si="92">IF(Y98&gt;18,IF(Z98="M","M","F"),"")</f>
        <v/>
      </c>
      <c r="AF98" s="770"/>
      <c r="AG98" s="770"/>
      <c r="AH98" s="770"/>
      <c r="AI98" s="770"/>
      <c r="AJ98" s="770"/>
      <c r="AK98" s="770"/>
      <c r="AL98" s="770"/>
      <c r="AM98" s="770"/>
      <c r="AN98" s="770">
        <f t="shared" ref="AN98:AN115" si="93">INT(AM98)</f>
        <v>0</v>
      </c>
      <c r="AO98" s="760">
        <f t="shared" si="89"/>
        <v>0</v>
      </c>
      <c r="AP98" s="1074"/>
      <c r="AQ98" s="782">
        <f t="shared" ref="AQ98:AQ129" si="94">IF(J98&lt;DATE(2016,1,1),DATE(2016,1,1),J98)</f>
        <v>42370</v>
      </c>
      <c r="AR98" s="782">
        <f t="shared" si="80"/>
        <v>42736</v>
      </c>
      <c r="AS98" s="770">
        <f t="shared" ref="AS98:AS128" si="95">Q98-AQ98</f>
        <v>366</v>
      </c>
      <c r="AT98" s="790">
        <f>IF(AQ98&gt;'[1]calculs enfants présents'!$A$56,0,IF(Q98&lt;'[1]calculs enfants présents'!$A$56,Q98-AQ98,'[1]calculs enfants présents'!$A$56-AQ98))</f>
        <v>0</v>
      </c>
      <c r="AU98" s="790">
        <f t="shared" ref="AU98:AU129" si="96">IF($AQ98&gt;$AV$1,0,IF($Q98&lt;$AV$1,$Q98-$AQ98,$AV$1-$AQ98))</f>
        <v>31</v>
      </c>
      <c r="AV98" s="790">
        <f t="shared" si="90"/>
        <v>-31</v>
      </c>
      <c r="AW98" s="412"/>
      <c r="AX98" s="381">
        <v>42369</v>
      </c>
      <c r="AY98" s="955">
        <f t="shared" si="70"/>
        <v>42519</v>
      </c>
      <c r="AZ98" s="955">
        <f t="shared" si="71"/>
        <v>42736</v>
      </c>
      <c r="BA98" s="955">
        <f t="shared" si="72"/>
        <v>42486</v>
      </c>
      <c r="BB98" s="1105"/>
      <c r="BC98" s="1103"/>
      <c r="BD98" s="1076"/>
      <c r="BE98" s="1104">
        <f>(J98+90)-(WEEKDAY(J98+90,2)-2)</f>
        <v>42241</v>
      </c>
      <c r="BF98" s="460"/>
      <c r="BG98" s="349"/>
      <c r="BH98" s="465"/>
      <c r="BI98" s="390"/>
      <c r="BJ98" s="572"/>
      <c r="BS98" s="612"/>
      <c r="BT98" s="612"/>
    </row>
    <row r="99" spans="1:72" s="571" customFormat="1" ht="13.15" customHeight="1" x14ac:dyDescent="0.2">
      <c r="A99" s="484" t="s">
        <v>673</v>
      </c>
      <c r="B99" s="484" t="s">
        <v>580</v>
      </c>
      <c r="C99" s="379" t="s">
        <v>581</v>
      </c>
      <c r="D99" s="347" t="s">
        <v>714</v>
      </c>
      <c r="E99" s="347" t="s">
        <v>87</v>
      </c>
      <c r="F99" s="347"/>
      <c r="G99" s="347"/>
      <c r="H99" s="347"/>
      <c r="I99" s="1076">
        <v>42186</v>
      </c>
      <c r="J99" s="411">
        <v>42286</v>
      </c>
      <c r="K99" s="411">
        <v>42299</v>
      </c>
      <c r="L99" s="1077">
        <f t="shared" ref="L99:L126" si="97">IF(I99&lt;&gt;"",J99-I99,"")</f>
        <v>100</v>
      </c>
      <c r="M99" s="381">
        <v>42286</v>
      </c>
      <c r="N99" s="381">
        <v>42652</v>
      </c>
      <c r="O99" s="381"/>
      <c r="P99" s="381"/>
      <c r="Q99" s="381">
        <v>42736</v>
      </c>
      <c r="R99" s="381" t="s">
        <v>156</v>
      </c>
      <c r="S99" s="347" t="s">
        <v>156</v>
      </c>
      <c r="T99" s="347"/>
      <c r="U99" s="383"/>
      <c r="V99" s="347"/>
      <c r="W99" s="347"/>
      <c r="X99" s="385">
        <v>37685</v>
      </c>
      <c r="Y99" s="761">
        <f t="shared" ref="Y99:Y130" si="98">(AX99-X99)/365</f>
        <v>12.832876712328767</v>
      </c>
      <c r="Z99" s="347" t="s">
        <v>13</v>
      </c>
      <c r="AA99" s="773" t="str">
        <f t="shared" si="91"/>
        <v/>
      </c>
      <c r="AB99" s="772" t="str">
        <f t="shared" si="83"/>
        <v/>
      </c>
      <c r="AC99" s="773" t="str">
        <f>IF(AND(Y99&gt;=11,Y99&lt;15),IF(Z99="M","M","F"),"")</f>
        <v>M</v>
      </c>
      <c r="AD99" s="773" t="str">
        <f>IF(AND(Y99&gt;=15,Y99&lt;18),IF(Z99="M","M","F"),"")</f>
        <v/>
      </c>
      <c r="AE99" s="773" t="str">
        <f t="shared" si="92"/>
        <v/>
      </c>
      <c r="AF99" s="770"/>
      <c r="AG99" s="770"/>
      <c r="AH99" s="770"/>
      <c r="AI99" s="770"/>
      <c r="AJ99" s="770"/>
      <c r="AK99" s="770"/>
      <c r="AL99" s="770"/>
      <c r="AM99" s="770"/>
      <c r="AN99" s="770">
        <f t="shared" si="93"/>
        <v>0</v>
      </c>
      <c r="AO99" s="761">
        <f t="shared" si="89"/>
        <v>0</v>
      </c>
      <c r="AP99" s="1074"/>
      <c r="AQ99" s="782">
        <f t="shared" si="94"/>
        <v>42370</v>
      </c>
      <c r="AR99" s="782">
        <f t="shared" si="80"/>
        <v>42736</v>
      </c>
      <c r="AS99" s="770">
        <f t="shared" si="95"/>
        <v>366</v>
      </c>
      <c r="AT99" s="790">
        <f>IF(AQ99&gt;'[1]calculs enfants présents'!$A$56,0,IF(Q99&lt;'[1]calculs enfants présents'!$A$56,Q99-AQ99,'[1]calculs enfants présents'!$A$56-AQ99))</f>
        <v>0</v>
      </c>
      <c r="AU99" s="790">
        <f t="shared" si="96"/>
        <v>31</v>
      </c>
      <c r="AV99" s="790">
        <f t="shared" si="90"/>
        <v>-31</v>
      </c>
      <c r="AW99" s="412"/>
      <c r="AX99" s="381">
        <v>42369</v>
      </c>
      <c r="AY99" s="955">
        <f t="shared" ref="AY99:AY115" si="99">N99</f>
        <v>42652</v>
      </c>
      <c r="AZ99" s="955">
        <f t="shared" ref="AZ99:AZ115" si="100">AR99</f>
        <v>42736</v>
      </c>
      <c r="BA99" s="955">
        <f t="shared" ref="BA99:BA115" si="101">(N99-30)-(WEEKDAY(N99-30,2)-2)</f>
        <v>42619</v>
      </c>
      <c r="BB99" s="1105"/>
      <c r="BC99" s="1103"/>
      <c r="BD99" s="1076"/>
      <c r="BE99" s="1104">
        <f>IF(K99&lt;&gt;"",(K99+90)-(WEEKDAY(K99+90,2)-2),"DIPC")</f>
        <v>42388</v>
      </c>
      <c r="BF99" s="460">
        <v>42404</v>
      </c>
      <c r="BG99" s="349" t="s">
        <v>271</v>
      </c>
      <c r="BH99" s="465">
        <v>42404</v>
      </c>
      <c r="BI99" s="390"/>
      <c r="BJ99" s="572"/>
      <c r="BK99" s="387"/>
      <c r="BL99" s="387"/>
      <c r="BM99" s="387"/>
      <c r="BN99" s="387"/>
      <c r="BO99" s="387"/>
      <c r="BP99" s="387"/>
      <c r="BQ99" s="387"/>
      <c r="BR99" s="387"/>
      <c r="BS99" s="387"/>
      <c r="BT99" s="387"/>
    </row>
    <row r="100" spans="1:72" s="387" customFormat="1" x14ac:dyDescent="0.2">
      <c r="A100" s="484" t="s">
        <v>546</v>
      </c>
      <c r="B100" s="484" t="s">
        <v>475</v>
      </c>
      <c r="C100" s="379" t="s">
        <v>476</v>
      </c>
      <c r="D100" s="347" t="s">
        <v>87</v>
      </c>
      <c r="E100" s="347" t="s">
        <v>138</v>
      </c>
      <c r="F100" s="347"/>
      <c r="G100" s="347"/>
      <c r="H100" s="347"/>
      <c r="I100" s="1076">
        <v>42090</v>
      </c>
      <c r="J100" s="411">
        <v>42153</v>
      </c>
      <c r="K100" s="411"/>
      <c r="L100" s="1077">
        <f t="shared" si="97"/>
        <v>63</v>
      </c>
      <c r="M100" s="381">
        <v>42153</v>
      </c>
      <c r="N100" s="381">
        <v>42519</v>
      </c>
      <c r="O100" s="381"/>
      <c r="P100" s="381"/>
      <c r="Q100" s="381">
        <v>42736</v>
      </c>
      <c r="R100" s="381" t="s">
        <v>16</v>
      </c>
      <c r="S100" s="347" t="s">
        <v>13</v>
      </c>
      <c r="T100" s="347"/>
      <c r="U100" s="383"/>
      <c r="V100" s="347"/>
      <c r="W100" s="347"/>
      <c r="X100" s="385">
        <v>37146</v>
      </c>
      <c r="Y100" s="761">
        <f t="shared" si="98"/>
        <v>14.30958904109589</v>
      </c>
      <c r="Z100" s="347" t="s">
        <v>13</v>
      </c>
      <c r="AA100" s="773" t="str">
        <f t="shared" si="91"/>
        <v/>
      </c>
      <c r="AB100" s="773" t="str">
        <f t="shared" si="83"/>
        <v/>
      </c>
      <c r="AC100" s="773" t="str">
        <f>IF(AND(Y100&gt;=11,Y100&lt;15),IF(Z100="M","M","F"),"")</f>
        <v>M</v>
      </c>
      <c r="AD100" s="773" t="str">
        <f>IF(AND(Y100&gt;=15,Y100&lt;18),IF(Z100="M","M","F"),"")</f>
        <v/>
      </c>
      <c r="AE100" s="773" t="str">
        <f t="shared" si="92"/>
        <v/>
      </c>
      <c r="AF100" s="770"/>
      <c r="AG100" s="770"/>
      <c r="AH100" s="770"/>
      <c r="AI100" s="770"/>
      <c r="AJ100" s="770"/>
      <c r="AK100" s="770"/>
      <c r="AL100" s="770"/>
      <c r="AM100" s="770"/>
      <c r="AN100" s="770">
        <f t="shared" si="93"/>
        <v>0</v>
      </c>
      <c r="AO100" s="761">
        <f t="shared" si="89"/>
        <v>0</v>
      </c>
      <c r="AP100" s="1074"/>
      <c r="AQ100" s="782">
        <f t="shared" si="94"/>
        <v>42370</v>
      </c>
      <c r="AR100" s="782">
        <f t="shared" ref="AR100:AR131" si="102">Q100</f>
        <v>42736</v>
      </c>
      <c r="AS100" s="770">
        <f t="shared" si="95"/>
        <v>366</v>
      </c>
      <c r="AT100" s="790">
        <f>IF(AQ100&gt;'[1]calculs enfants présents'!$A$56,0,IF(Q100&lt;'[1]calculs enfants présents'!$A$56,Q100-AQ100,'[1]calculs enfants présents'!$A$56-AQ100))</f>
        <v>0</v>
      </c>
      <c r="AU100" s="790">
        <f t="shared" si="96"/>
        <v>31</v>
      </c>
      <c r="AV100" s="790">
        <f t="shared" si="90"/>
        <v>-31</v>
      </c>
      <c r="AW100" s="412"/>
      <c r="AX100" s="381">
        <v>42369</v>
      </c>
      <c r="AY100" s="955">
        <f t="shared" si="99"/>
        <v>42519</v>
      </c>
      <c r="AZ100" s="955">
        <f t="shared" si="100"/>
        <v>42736</v>
      </c>
      <c r="BA100" s="955">
        <f t="shared" si="101"/>
        <v>42486</v>
      </c>
      <c r="BB100" s="1105"/>
      <c r="BC100" s="1103"/>
      <c r="BD100" s="1076"/>
      <c r="BE100" s="1104">
        <f t="shared" ref="BE100:BE107" si="103">(J100+90)-(WEEKDAY(J100+90,2)-2)</f>
        <v>42241</v>
      </c>
      <c r="BF100" s="460"/>
      <c r="BG100" s="349"/>
      <c r="BH100" s="465"/>
      <c r="BI100" s="390"/>
      <c r="BJ100" s="572"/>
      <c r="BK100" s="401"/>
      <c r="BL100" s="401"/>
      <c r="BM100" s="401"/>
      <c r="BN100" s="401"/>
      <c r="BO100" s="401"/>
      <c r="BP100" s="401"/>
      <c r="BQ100" s="401"/>
      <c r="BR100" s="401"/>
      <c r="BS100" s="401"/>
      <c r="BT100" s="401"/>
    </row>
    <row r="101" spans="1:72" ht="13.15" customHeight="1" x14ac:dyDescent="0.2">
      <c r="A101" s="484" t="s">
        <v>631</v>
      </c>
      <c r="B101" s="484" t="s">
        <v>577</v>
      </c>
      <c r="C101" s="379" t="s">
        <v>578</v>
      </c>
      <c r="D101" s="347" t="s">
        <v>183</v>
      </c>
      <c r="E101" s="347" t="s">
        <v>310</v>
      </c>
      <c r="F101" s="347"/>
      <c r="I101" s="1076">
        <v>42181</v>
      </c>
      <c r="J101" s="411">
        <v>42254</v>
      </c>
      <c r="K101" s="411"/>
      <c r="L101" s="1078">
        <f t="shared" si="97"/>
        <v>73</v>
      </c>
      <c r="M101" s="381">
        <v>42254</v>
      </c>
      <c r="N101" s="381">
        <v>42620</v>
      </c>
      <c r="O101" s="381"/>
      <c r="P101" s="381"/>
      <c r="Q101" s="381">
        <v>42736</v>
      </c>
      <c r="R101" s="381" t="s">
        <v>156</v>
      </c>
      <c r="S101" s="347" t="s">
        <v>156</v>
      </c>
      <c r="V101" s="347"/>
      <c r="W101" s="347"/>
      <c r="X101" s="385">
        <v>37655</v>
      </c>
      <c r="Y101" s="761">
        <f t="shared" si="98"/>
        <v>12.915068493150685</v>
      </c>
      <c r="Z101" s="347" t="s">
        <v>13</v>
      </c>
      <c r="AA101" s="770" t="str">
        <f t="shared" si="91"/>
        <v/>
      </c>
      <c r="AB101" s="770" t="str">
        <f t="shared" si="83"/>
        <v/>
      </c>
      <c r="AC101" s="770" t="s">
        <v>13</v>
      </c>
      <c r="AD101" s="770" t="str">
        <f>IF(AND(Y101&gt;=15,Y101&lt;18),IF(Z101="M","M","F"),"")</f>
        <v/>
      </c>
      <c r="AE101" s="770" t="str">
        <f t="shared" si="92"/>
        <v/>
      </c>
      <c r="AG101" s="770"/>
      <c r="AH101" s="770"/>
      <c r="AI101" s="770"/>
      <c r="AJ101" s="770"/>
      <c r="AK101" s="770"/>
      <c r="AL101" s="770">
        <f>Q101-J101</f>
        <v>482</v>
      </c>
      <c r="AM101" s="770">
        <f>AL101/365</f>
        <v>1.3205479452054794</v>
      </c>
      <c r="AN101" s="770">
        <f t="shared" si="93"/>
        <v>1</v>
      </c>
      <c r="AO101" s="761">
        <f t="shared" si="89"/>
        <v>3.8465753424657523</v>
      </c>
      <c r="AP101" s="1074"/>
      <c r="AQ101" s="782">
        <f t="shared" si="94"/>
        <v>42370</v>
      </c>
      <c r="AR101" s="782">
        <f t="shared" si="102"/>
        <v>42736</v>
      </c>
      <c r="AS101" s="770">
        <f t="shared" si="95"/>
        <v>366</v>
      </c>
      <c r="AT101" s="790">
        <f>IF(AQ101&gt;'[1]calculs enfants présents'!$A$56,0,IF(Q101&lt;'[1]calculs enfants présents'!$A$56,Q101-AQ101,'[1]calculs enfants présents'!$A$56-AQ101))</f>
        <v>0</v>
      </c>
      <c r="AU101" s="791">
        <f t="shared" si="96"/>
        <v>31</v>
      </c>
      <c r="AV101" s="790">
        <f t="shared" si="90"/>
        <v>-31</v>
      </c>
      <c r="AW101" s="412"/>
      <c r="AX101" s="381">
        <v>42369</v>
      </c>
      <c r="AY101" s="955">
        <f t="shared" si="99"/>
        <v>42620</v>
      </c>
      <c r="AZ101" s="955">
        <f t="shared" si="100"/>
        <v>42736</v>
      </c>
      <c r="BA101" s="955">
        <f t="shared" si="101"/>
        <v>42591</v>
      </c>
      <c r="BB101" s="1105"/>
      <c r="BC101" s="1103"/>
      <c r="BD101" s="1076"/>
      <c r="BE101" s="1104">
        <f t="shared" si="103"/>
        <v>42339</v>
      </c>
      <c r="BF101" s="460">
        <v>42374</v>
      </c>
      <c r="BG101" s="349" t="s">
        <v>275</v>
      </c>
      <c r="BH101" s="465">
        <v>42374</v>
      </c>
      <c r="BI101" s="349"/>
      <c r="BJ101" s="572"/>
      <c r="BK101" s="401"/>
      <c r="BL101" s="401"/>
      <c r="BM101" s="401"/>
      <c r="BN101" s="401"/>
      <c r="BO101" s="401"/>
      <c r="BP101" s="401"/>
      <c r="BQ101" s="401"/>
      <c r="BR101" s="401"/>
      <c r="BS101" s="401"/>
      <c r="BT101" s="401"/>
    </row>
    <row r="102" spans="1:72" s="401" customFormat="1" ht="12.75" customHeight="1" x14ac:dyDescent="0.2">
      <c r="A102" s="484" t="s">
        <v>631</v>
      </c>
      <c r="B102" s="484" t="s">
        <v>577</v>
      </c>
      <c r="C102" s="379" t="s">
        <v>579</v>
      </c>
      <c r="D102" s="347" t="s">
        <v>183</v>
      </c>
      <c r="E102" s="347" t="s">
        <v>310</v>
      </c>
      <c r="F102" s="347"/>
      <c r="G102" s="347"/>
      <c r="H102" s="347"/>
      <c r="I102" s="1076">
        <v>42181</v>
      </c>
      <c r="J102" s="411">
        <v>42254</v>
      </c>
      <c r="K102" s="411"/>
      <c r="L102" s="1078">
        <f t="shared" si="97"/>
        <v>73</v>
      </c>
      <c r="M102" s="381">
        <v>42254</v>
      </c>
      <c r="N102" s="381">
        <v>42620</v>
      </c>
      <c r="O102" s="381"/>
      <c r="P102" s="381"/>
      <c r="Q102" s="381">
        <v>42736</v>
      </c>
      <c r="R102" s="381" t="s">
        <v>156</v>
      </c>
      <c r="S102" s="347" t="s">
        <v>156</v>
      </c>
      <c r="T102" s="347"/>
      <c r="U102" s="383"/>
      <c r="V102" s="347"/>
      <c r="W102" s="347"/>
      <c r="X102" s="385">
        <v>36338</v>
      </c>
      <c r="Y102" s="761">
        <f t="shared" si="98"/>
        <v>16.523287671232875</v>
      </c>
      <c r="Z102" s="347" t="s">
        <v>13</v>
      </c>
      <c r="AA102" s="770" t="str">
        <f t="shared" si="91"/>
        <v/>
      </c>
      <c r="AB102" s="770" t="str">
        <f t="shared" si="83"/>
        <v/>
      </c>
      <c r="AC102" s="770" t="str">
        <f t="shared" ref="AC102:AC115" si="104">IF(AND(Y102&gt;=11,Y102&lt;15),IF(Z102="M","M","F"),"")</f>
        <v/>
      </c>
      <c r="AD102" s="770" t="s">
        <v>13</v>
      </c>
      <c r="AE102" s="770" t="str">
        <f t="shared" si="92"/>
        <v/>
      </c>
      <c r="AF102" s="770"/>
      <c r="AG102" s="770"/>
      <c r="AH102" s="770"/>
      <c r="AI102" s="770"/>
      <c r="AJ102" s="770"/>
      <c r="AK102" s="770"/>
      <c r="AL102" s="770">
        <f>Q102-J102</f>
        <v>482</v>
      </c>
      <c r="AM102" s="770">
        <f>AL102/365</f>
        <v>1.3205479452054794</v>
      </c>
      <c r="AN102" s="770">
        <f t="shared" si="93"/>
        <v>1</v>
      </c>
      <c r="AO102" s="761">
        <f t="shared" si="89"/>
        <v>3.8465753424657523</v>
      </c>
      <c r="AP102" s="1074"/>
      <c r="AQ102" s="782">
        <f t="shared" si="94"/>
        <v>42370</v>
      </c>
      <c r="AR102" s="782">
        <f t="shared" si="102"/>
        <v>42736</v>
      </c>
      <c r="AS102" s="770">
        <f t="shared" si="95"/>
        <v>366</v>
      </c>
      <c r="AT102" s="790">
        <f>IF(AQ102&gt;'[1]calculs enfants présents'!$A$56,0,IF(Q102&lt;'[1]calculs enfants présents'!$A$56,Q102-AQ102,'[1]calculs enfants présents'!$A$56-AQ102))</f>
        <v>0</v>
      </c>
      <c r="AU102" s="791">
        <f t="shared" si="96"/>
        <v>31</v>
      </c>
      <c r="AV102" s="790">
        <f t="shared" si="90"/>
        <v>-31</v>
      </c>
      <c r="AW102" s="412"/>
      <c r="AX102" s="381">
        <v>42369</v>
      </c>
      <c r="AY102" s="955">
        <f t="shared" si="99"/>
        <v>42620</v>
      </c>
      <c r="AZ102" s="955">
        <f t="shared" si="100"/>
        <v>42736</v>
      </c>
      <c r="BA102" s="955">
        <f t="shared" si="101"/>
        <v>42591</v>
      </c>
      <c r="BB102" s="1105"/>
      <c r="BC102" s="1103"/>
      <c r="BD102" s="1076"/>
      <c r="BE102" s="1104">
        <f t="shared" si="103"/>
        <v>42339</v>
      </c>
      <c r="BF102" s="460">
        <v>42374</v>
      </c>
      <c r="BG102" s="349" t="s">
        <v>275</v>
      </c>
      <c r="BH102" s="465"/>
      <c r="BI102" s="349"/>
      <c r="BJ102" s="572"/>
      <c r="BK102" s="566"/>
      <c r="BL102" s="566"/>
      <c r="BM102" s="566"/>
      <c r="BN102" s="566"/>
      <c r="BO102" s="566"/>
      <c r="BP102" s="566"/>
      <c r="BQ102" s="566"/>
      <c r="BR102" s="566"/>
      <c r="BS102" s="566"/>
      <c r="BT102" s="566"/>
    </row>
    <row r="103" spans="1:72" ht="12.75" customHeight="1" x14ac:dyDescent="0.2">
      <c r="A103" s="484" t="s">
        <v>614</v>
      </c>
      <c r="B103" s="484" t="s">
        <v>560</v>
      </c>
      <c r="C103" s="379" t="s">
        <v>561</v>
      </c>
      <c r="D103" s="347" t="s">
        <v>310</v>
      </c>
      <c r="E103" s="347" t="s">
        <v>87</v>
      </c>
      <c r="F103" s="347"/>
      <c r="I103" s="1076">
        <v>42179</v>
      </c>
      <c r="J103" s="411">
        <v>42202</v>
      </c>
      <c r="K103" s="411"/>
      <c r="L103" s="1077">
        <f t="shared" si="97"/>
        <v>23</v>
      </c>
      <c r="M103" s="381">
        <v>42202</v>
      </c>
      <c r="N103" s="381">
        <v>42568</v>
      </c>
      <c r="O103" s="381"/>
      <c r="P103" s="381"/>
      <c r="Q103" s="381">
        <v>42736</v>
      </c>
      <c r="R103" s="381" t="s">
        <v>16</v>
      </c>
      <c r="S103" s="347" t="s">
        <v>20</v>
      </c>
      <c r="V103" s="347"/>
      <c r="W103" s="347"/>
      <c r="X103" s="385">
        <v>36885</v>
      </c>
      <c r="Y103" s="761">
        <f t="shared" si="98"/>
        <v>15.024657534246575</v>
      </c>
      <c r="Z103" s="347" t="s">
        <v>21</v>
      </c>
      <c r="AA103" s="773" t="str">
        <f t="shared" si="91"/>
        <v/>
      </c>
      <c r="AB103" s="773" t="str">
        <f t="shared" si="83"/>
        <v/>
      </c>
      <c r="AC103" s="773" t="str">
        <f t="shared" si="104"/>
        <v/>
      </c>
      <c r="AD103" s="773" t="str">
        <f t="shared" ref="AD103:AD115" si="105">IF(AND(Y103&gt;=15,Y103&lt;18),IF(Z103="M","M","F"),"")</f>
        <v>F</v>
      </c>
      <c r="AE103" s="773" t="str">
        <f t="shared" si="92"/>
        <v/>
      </c>
      <c r="AG103" s="770"/>
      <c r="AH103" s="770"/>
      <c r="AI103" s="770"/>
      <c r="AJ103" s="770"/>
      <c r="AK103" s="770"/>
      <c r="AL103" s="770"/>
      <c r="AN103" s="770">
        <f t="shared" si="93"/>
        <v>0</v>
      </c>
      <c r="AO103" s="761">
        <f t="shared" si="89"/>
        <v>0</v>
      </c>
      <c r="AP103" s="1074"/>
      <c r="AQ103" s="782">
        <f t="shared" si="94"/>
        <v>42370</v>
      </c>
      <c r="AR103" s="782">
        <f t="shared" si="102"/>
        <v>42736</v>
      </c>
      <c r="AS103" s="770">
        <f t="shared" si="95"/>
        <v>366</v>
      </c>
      <c r="AT103" s="790">
        <f>IF(AQ103&gt;'[1]calculs enfants présents'!$A$56,0,IF(Q103&lt;'[1]calculs enfants présents'!$A$56,Q103-AQ103,'[1]calculs enfants présents'!$A$56-AQ103))</f>
        <v>0</v>
      </c>
      <c r="AU103" s="790">
        <f t="shared" si="96"/>
        <v>31</v>
      </c>
      <c r="AV103" s="790">
        <f t="shared" si="90"/>
        <v>-31</v>
      </c>
      <c r="AW103" s="412"/>
      <c r="AX103" s="381">
        <v>42369</v>
      </c>
      <c r="AY103" s="955">
        <f t="shared" si="99"/>
        <v>42568</v>
      </c>
      <c r="AZ103" s="955">
        <f t="shared" si="100"/>
        <v>42736</v>
      </c>
      <c r="BA103" s="955">
        <f t="shared" si="101"/>
        <v>42535</v>
      </c>
      <c r="BB103" s="1105"/>
      <c r="BC103" s="1103"/>
      <c r="BD103" s="1076"/>
      <c r="BE103" s="1104">
        <f t="shared" si="103"/>
        <v>42290</v>
      </c>
      <c r="BF103" s="460">
        <v>42339</v>
      </c>
      <c r="BG103" s="349" t="s">
        <v>270</v>
      </c>
      <c r="BH103" s="465">
        <v>42339</v>
      </c>
      <c r="BI103" s="390"/>
      <c r="BJ103" s="572"/>
      <c r="BK103" s="612"/>
      <c r="BL103" s="612"/>
      <c r="BM103" s="612"/>
      <c r="BN103" s="612"/>
      <c r="BO103" s="612"/>
      <c r="BP103" s="612"/>
      <c r="BQ103" s="612"/>
      <c r="BR103" s="612"/>
      <c r="BS103" s="387"/>
      <c r="BT103" s="387"/>
    </row>
    <row r="104" spans="1:72" ht="12" customHeight="1" x14ac:dyDescent="0.2">
      <c r="A104" s="375" t="s">
        <v>826</v>
      </c>
      <c r="B104" s="375" t="s">
        <v>267</v>
      </c>
      <c r="C104" s="391" t="s">
        <v>266</v>
      </c>
      <c r="D104" s="366" t="s">
        <v>310</v>
      </c>
      <c r="E104" s="366"/>
      <c r="F104" s="366" t="s">
        <v>66</v>
      </c>
      <c r="G104" s="366"/>
      <c r="H104" s="366"/>
      <c r="I104" s="1129">
        <v>41528</v>
      </c>
      <c r="J104" s="512">
        <v>41726</v>
      </c>
      <c r="K104" s="512"/>
      <c r="L104" s="1130">
        <f t="shared" si="97"/>
        <v>198</v>
      </c>
      <c r="M104" s="369">
        <v>42091</v>
      </c>
      <c r="N104" s="369">
        <v>42388</v>
      </c>
      <c r="O104" s="369" t="s">
        <v>674</v>
      </c>
      <c r="P104" s="369" t="s">
        <v>674</v>
      </c>
      <c r="Q104" s="369">
        <v>42388</v>
      </c>
      <c r="R104" s="369" t="s">
        <v>16</v>
      </c>
      <c r="S104" s="366" t="s">
        <v>20</v>
      </c>
      <c r="T104" s="366"/>
      <c r="U104" s="393"/>
      <c r="V104" s="366"/>
      <c r="W104" s="366"/>
      <c r="X104" s="370">
        <v>36298</v>
      </c>
      <c r="Y104" s="760">
        <f t="shared" si="98"/>
        <v>16.632876712328766</v>
      </c>
      <c r="Z104" s="366" t="s">
        <v>13</v>
      </c>
      <c r="AA104" s="767" t="str">
        <f t="shared" si="91"/>
        <v/>
      </c>
      <c r="AB104" s="767" t="str">
        <f t="shared" si="83"/>
        <v/>
      </c>
      <c r="AC104" s="767" t="str">
        <f t="shared" si="104"/>
        <v/>
      </c>
      <c r="AD104" s="767" t="str">
        <f t="shared" si="105"/>
        <v>M</v>
      </c>
      <c r="AE104" s="767" t="str">
        <f t="shared" si="92"/>
        <v/>
      </c>
      <c r="AF104" s="767"/>
      <c r="AG104" s="767"/>
      <c r="AH104" s="767"/>
      <c r="AI104" s="767"/>
      <c r="AJ104" s="767"/>
      <c r="AK104" s="767"/>
      <c r="AL104" s="767">
        <f>Q104-J104</f>
        <v>662</v>
      </c>
      <c r="AM104" s="767">
        <f>AL104/365</f>
        <v>1.8136986301369864</v>
      </c>
      <c r="AN104" s="767">
        <f t="shared" si="93"/>
        <v>1</v>
      </c>
      <c r="AO104" s="760">
        <f t="shared" si="89"/>
        <v>9.7643835616438359</v>
      </c>
      <c r="AP104" s="1131"/>
      <c r="AQ104" s="1132">
        <f t="shared" si="94"/>
        <v>42370</v>
      </c>
      <c r="AR104" s="1132">
        <f t="shared" si="102"/>
        <v>42388</v>
      </c>
      <c r="AS104" s="767">
        <f t="shared" si="95"/>
        <v>18</v>
      </c>
      <c r="AT104" s="788">
        <f>IF(AQ104&gt;'[1]calculs enfants présents'!$A$56,0,IF(Q104&lt;'[1]calculs enfants présents'!$A$56,Q104-AQ104,'[1]calculs enfants présents'!$A$56-AQ104))</f>
        <v>0</v>
      </c>
      <c r="AU104" s="789">
        <f t="shared" si="96"/>
        <v>18</v>
      </c>
      <c r="AV104" s="788">
        <f t="shared" si="90"/>
        <v>-18</v>
      </c>
      <c r="AW104" s="367"/>
      <c r="AX104" s="369">
        <v>42369</v>
      </c>
      <c r="AY104" s="1133">
        <f t="shared" si="99"/>
        <v>42388</v>
      </c>
      <c r="AZ104" s="1133">
        <f t="shared" si="100"/>
        <v>42388</v>
      </c>
      <c r="BA104" s="1133">
        <f t="shared" si="101"/>
        <v>42353</v>
      </c>
      <c r="BB104" s="670">
        <v>42437</v>
      </c>
      <c r="BC104" s="1134" t="s">
        <v>276</v>
      </c>
      <c r="BD104" s="670">
        <v>42437</v>
      </c>
      <c r="BE104" s="1135">
        <f t="shared" si="103"/>
        <v>41814</v>
      </c>
      <c r="BF104" s="483"/>
      <c r="BG104" s="357"/>
      <c r="BH104" s="482"/>
      <c r="BI104" s="400"/>
      <c r="BJ104" s="392"/>
      <c r="BK104" s="374"/>
      <c r="BL104" s="374"/>
      <c r="BM104" s="374"/>
      <c r="BN104" s="374"/>
      <c r="BO104" s="374"/>
      <c r="BP104" s="374"/>
      <c r="BQ104" s="374"/>
      <c r="BR104" s="374"/>
    </row>
    <row r="105" spans="1:72" ht="13.15" customHeight="1" x14ac:dyDescent="0.2">
      <c r="A105" s="484" t="s">
        <v>836</v>
      </c>
      <c r="B105" s="484" t="s">
        <v>496</v>
      </c>
      <c r="C105" s="379" t="s">
        <v>497</v>
      </c>
      <c r="D105" s="347" t="s">
        <v>138</v>
      </c>
      <c r="E105" s="347" t="s">
        <v>70</v>
      </c>
      <c r="F105" s="347"/>
      <c r="I105" s="1076">
        <v>42107</v>
      </c>
      <c r="J105" s="411">
        <v>42153</v>
      </c>
      <c r="K105" s="411"/>
      <c r="L105" s="1077">
        <f t="shared" si="97"/>
        <v>46</v>
      </c>
      <c r="M105" s="381">
        <v>42153</v>
      </c>
      <c r="N105" s="381">
        <v>42519</v>
      </c>
      <c r="O105" s="381"/>
      <c r="P105" s="381"/>
      <c r="Q105" s="381">
        <v>42736</v>
      </c>
      <c r="R105" s="381" t="s">
        <v>16</v>
      </c>
      <c r="S105" s="347" t="s">
        <v>13</v>
      </c>
      <c r="V105" s="347"/>
      <c r="W105" s="347"/>
      <c r="X105" s="385">
        <v>37979</v>
      </c>
      <c r="Y105" s="761">
        <f t="shared" si="98"/>
        <v>12.027397260273972</v>
      </c>
      <c r="Z105" s="347" t="s">
        <v>13</v>
      </c>
      <c r="AA105" s="773" t="str">
        <f t="shared" si="91"/>
        <v/>
      </c>
      <c r="AB105" s="773" t="str">
        <f t="shared" si="83"/>
        <v/>
      </c>
      <c r="AC105" s="773" t="str">
        <f t="shared" si="104"/>
        <v>M</v>
      </c>
      <c r="AD105" s="773" t="str">
        <f t="shared" si="105"/>
        <v/>
      </c>
      <c r="AE105" s="773" t="str">
        <f t="shared" si="92"/>
        <v/>
      </c>
      <c r="AG105" s="770"/>
      <c r="AH105" s="770"/>
      <c r="AI105" s="770"/>
      <c r="AJ105" s="770"/>
      <c r="AK105" s="770"/>
      <c r="AL105" s="770"/>
      <c r="AN105" s="770">
        <f t="shared" si="93"/>
        <v>0</v>
      </c>
      <c r="AO105" s="761">
        <f t="shared" si="89"/>
        <v>0</v>
      </c>
      <c r="AP105" s="1074"/>
      <c r="AQ105" s="782">
        <f t="shared" si="94"/>
        <v>42370</v>
      </c>
      <c r="AR105" s="782">
        <f t="shared" si="102"/>
        <v>42736</v>
      </c>
      <c r="AS105" s="770">
        <f t="shared" si="95"/>
        <v>366</v>
      </c>
      <c r="AT105" s="790">
        <f>IF(AQ105&gt;'[1]calculs enfants présents'!$A$56,0,IF(Q105&lt;'[1]calculs enfants présents'!$A$56,Q105-AQ105,'[1]calculs enfants présents'!$A$56-AQ105))</f>
        <v>0</v>
      </c>
      <c r="AU105" s="790">
        <f t="shared" si="96"/>
        <v>31</v>
      </c>
      <c r="AV105" s="790">
        <f t="shared" si="90"/>
        <v>-31</v>
      </c>
      <c r="AW105" s="412"/>
      <c r="AX105" s="381">
        <v>42369</v>
      </c>
      <c r="AY105" s="955">
        <f t="shared" si="99"/>
        <v>42519</v>
      </c>
      <c r="AZ105" s="955">
        <f t="shared" si="100"/>
        <v>42736</v>
      </c>
      <c r="BA105" s="955">
        <f t="shared" si="101"/>
        <v>42486</v>
      </c>
      <c r="BB105" s="1105"/>
      <c r="BC105" s="1103"/>
      <c r="BD105" s="1076"/>
      <c r="BE105" s="1104">
        <f t="shared" si="103"/>
        <v>42241</v>
      </c>
      <c r="BF105" s="460"/>
      <c r="BG105" s="349"/>
      <c r="BH105" s="465"/>
      <c r="BI105" s="390"/>
      <c r="BJ105" s="572"/>
      <c r="BS105" s="387"/>
      <c r="BT105" s="387"/>
    </row>
    <row r="106" spans="1:72" s="387" customFormat="1" ht="12.75" customHeight="1" x14ac:dyDescent="0.2">
      <c r="A106" s="1070" t="s">
        <v>748</v>
      </c>
      <c r="B106" s="1070" t="s">
        <v>370</v>
      </c>
      <c r="C106" s="953" t="s">
        <v>359</v>
      </c>
      <c r="D106" s="347" t="s">
        <v>714</v>
      </c>
      <c r="E106" s="347" t="s">
        <v>183</v>
      </c>
      <c r="F106" s="347"/>
      <c r="G106" s="347"/>
      <c r="H106" s="347"/>
      <c r="I106" s="1076">
        <v>41920</v>
      </c>
      <c r="J106" s="411">
        <v>41957</v>
      </c>
      <c r="K106" s="411"/>
      <c r="L106" s="1077">
        <f t="shared" si="97"/>
        <v>37</v>
      </c>
      <c r="M106" s="381">
        <v>42322</v>
      </c>
      <c r="N106" s="411">
        <v>42688</v>
      </c>
      <c r="O106" s="411"/>
      <c r="P106" s="411"/>
      <c r="Q106" s="411">
        <v>42736</v>
      </c>
      <c r="R106" s="381" t="s">
        <v>156</v>
      </c>
      <c r="S106" s="347" t="s">
        <v>62</v>
      </c>
      <c r="T106" s="347"/>
      <c r="U106" s="383"/>
      <c r="V106" s="347"/>
      <c r="W106" s="347"/>
      <c r="X106" s="385">
        <v>41401</v>
      </c>
      <c r="Y106" s="761">
        <f t="shared" si="98"/>
        <v>2.6520547945205482</v>
      </c>
      <c r="Z106" s="347" t="s">
        <v>21</v>
      </c>
      <c r="AA106" s="770" t="str">
        <f t="shared" si="91"/>
        <v>F</v>
      </c>
      <c r="AB106" s="770" t="str">
        <f t="shared" si="83"/>
        <v/>
      </c>
      <c r="AC106" s="770" t="str">
        <f t="shared" si="104"/>
        <v/>
      </c>
      <c r="AD106" s="770" t="str">
        <f t="shared" si="105"/>
        <v/>
      </c>
      <c r="AE106" s="770" t="str">
        <f t="shared" si="92"/>
        <v/>
      </c>
      <c r="AF106" s="770"/>
      <c r="AG106" s="770"/>
      <c r="AH106" s="770"/>
      <c r="AI106" s="770"/>
      <c r="AJ106" s="770"/>
      <c r="AK106" s="770"/>
      <c r="AL106" s="770"/>
      <c r="AM106" s="770"/>
      <c r="AN106" s="770">
        <f t="shared" si="93"/>
        <v>0</v>
      </c>
      <c r="AO106" s="761">
        <f t="shared" si="89"/>
        <v>0</v>
      </c>
      <c r="AP106" s="1074"/>
      <c r="AQ106" s="782">
        <f t="shared" si="94"/>
        <v>42370</v>
      </c>
      <c r="AR106" s="782">
        <f t="shared" si="102"/>
        <v>42736</v>
      </c>
      <c r="AS106" s="770">
        <f t="shared" si="95"/>
        <v>366</v>
      </c>
      <c r="AT106" s="790">
        <f>IF(AQ106&gt;'[1]calculs enfants présents'!$A$56,0,IF(Q106&lt;'[1]calculs enfants présents'!$A$56,Q106-AQ106,'[1]calculs enfants présents'!$A$56-AQ106))</f>
        <v>0</v>
      </c>
      <c r="AU106" s="790">
        <f t="shared" si="96"/>
        <v>31</v>
      </c>
      <c r="AV106" s="790">
        <f t="shared" si="90"/>
        <v>-31</v>
      </c>
      <c r="AW106" s="716"/>
      <c r="AX106" s="381">
        <v>42369</v>
      </c>
      <c r="AY106" s="955">
        <f t="shared" si="99"/>
        <v>42688</v>
      </c>
      <c r="AZ106" s="955">
        <f t="shared" si="100"/>
        <v>42736</v>
      </c>
      <c r="BA106" s="955">
        <f t="shared" si="101"/>
        <v>42654</v>
      </c>
      <c r="BB106" s="950"/>
      <c r="BC106" s="1103"/>
      <c r="BD106" s="1105"/>
      <c r="BE106" s="1104">
        <f t="shared" si="103"/>
        <v>42045</v>
      </c>
      <c r="BF106" s="460"/>
      <c r="BG106" s="322"/>
      <c r="BH106" s="465"/>
      <c r="BI106" s="349" t="s">
        <v>477</v>
      </c>
      <c r="BJ106" s="572">
        <v>42097</v>
      </c>
    </row>
    <row r="107" spans="1:72" s="387" customFormat="1" ht="13.15" customHeight="1" x14ac:dyDescent="0.2">
      <c r="A107" s="733" t="s">
        <v>837</v>
      </c>
      <c r="B107" s="733" t="s">
        <v>427</v>
      </c>
      <c r="C107" s="734" t="s">
        <v>428</v>
      </c>
      <c r="D107" s="712" t="s">
        <v>714</v>
      </c>
      <c r="E107" s="712" t="s">
        <v>310</v>
      </c>
      <c r="F107" s="712"/>
      <c r="G107" s="712"/>
      <c r="H107" s="712"/>
      <c r="I107" s="1081">
        <v>42033</v>
      </c>
      <c r="J107" s="735">
        <v>42048</v>
      </c>
      <c r="K107" s="735">
        <v>42053</v>
      </c>
      <c r="L107" s="1112">
        <f t="shared" si="97"/>
        <v>15</v>
      </c>
      <c r="M107" s="722">
        <v>42048</v>
      </c>
      <c r="N107" s="722">
        <v>42413</v>
      </c>
      <c r="O107" s="723" t="s">
        <v>798</v>
      </c>
      <c r="P107" s="722">
        <v>42413</v>
      </c>
      <c r="Q107" s="722">
        <v>42736</v>
      </c>
      <c r="R107" s="722" t="s">
        <v>16</v>
      </c>
      <c r="S107" s="712" t="s">
        <v>16</v>
      </c>
      <c r="T107" s="712"/>
      <c r="U107" s="713"/>
      <c r="V107" s="712"/>
      <c r="W107" s="712"/>
      <c r="X107" s="724">
        <v>39444</v>
      </c>
      <c r="Y107" s="762">
        <f t="shared" si="98"/>
        <v>8.0136986301369859</v>
      </c>
      <c r="Z107" s="712" t="s">
        <v>13</v>
      </c>
      <c r="AA107" s="772" t="str">
        <f t="shared" si="91"/>
        <v/>
      </c>
      <c r="AB107" s="772" t="str">
        <f t="shared" si="83"/>
        <v>M</v>
      </c>
      <c r="AC107" s="772" t="str">
        <f t="shared" si="104"/>
        <v/>
      </c>
      <c r="AD107" s="772" t="str">
        <f t="shared" si="105"/>
        <v/>
      </c>
      <c r="AE107" s="772" t="str">
        <f t="shared" si="92"/>
        <v/>
      </c>
      <c r="AF107" s="772"/>
      <c r="AG107" s="772"/>
      <c r="AH107" s="772"/>
      <c r="AI107" s="772"/>
      <c r="AJ107" s="772"/>
      <c r="AK107" s="772"/>
      <c r="AL107" s="772"/>
      <c r="AM107" s="772"/>
      <c r="AN107" s="772">
        <f t="shared" si="93"/>
        <v>0</v>
      </c>
      <c r="AO107" s="762">
        <f t="shared" si="89"/>
        <v>0</v>
      </c>
      <c r="AP107" s="1073"/>
      <c r="AQ107" s="1113">
        <f t="shared" si="94"/>
        <v>42370</v>
      </c>
      <c r="AR107" s="1113">
        <f t="shared" si="102"/>
        <v>42736</v>
      </c>
      <c r="AS107" s="772">
        <f t="shared" si="95"/>
        <v>366</v>
      </c>
      <c r="AT107" s="792">
        <f>IF(AQ107&gt;'[1]calculs enfants présents'!$A$56,0,IF(Q107&lt;'[1]calculs enfants présents'!$A$56,Q107-AQ107,'[1]calculs enfants présents'!$A$56-AQ107))</f>
        <v>0</v>
      </c>
      <c r="AU107" s="793">
        <f t="shared" si="96"/>
        <v>31</v>
      </c>
      <c r="AV107" s="792">
        <f t="shared" si="90"/>
        <v>-31</v>
      </c>
      <c r="AW107" s="725"/>
      <c r="AX107" s="722">
        <v>42369</v>
      </c>
      <c r="AY107" s="1114">
        <f t="shared" si="99"/>
        <v>42413</v>
      </c>
      <c r="AZ107" s="1114">
        <f t="shared" si="100"/>
        <v>42736</v>
      </c>
      <c r="BA107" s="1114">
        <f t="shared" si="101"/>
        <v>42381</v>
      </c>
      <c r="BB107" s="1115">
        <v>42381</v>
      </c>
      <c r="BC107" s="1116" t="s">
        <v>276</v>
      </c>
      <c r="BD107" s="1115"/>
      <c r="BE107" s="1117">
        <f t="shared" si="103"/>
        <v>42136</v>
      </c>
      <c r="BF107" s="726"/>
      <c r="BG107" s="721"/>
      <c r="BH107" s="727"/>
      <c r="BI107" s="490"/>
      <c r="BJ107" s="426"/>
      <c r="BK107" s="401"/>
      <c r="BL107" s="401"/>
      <c r="BM107" s="401"/>
      <c r="BN107" s="401"/>
      <c r="BO107" s="401"/>
      <c r="BP107" s="401"/>
      <c r="BQ107" s="401"/>
      <c r="BR107" s="401"/>
      <c r="BS107" s="401"/>
      <c r="BT107" s="401"/>
    </row>
    <row r="108" spans="1:72" s="387" customFormat="1" ht="12.75" customHeight="1" x14ac:dyDescent="0.2">
      <c r="A108" s="484" t="s">
        <v>694</v>
      </c>
      <c r="B108" s="484" t="s">
        <v>694</v>
      </c>
      <c r="C108" s="379" t="s">
        <v>695</v>
      </c>
      <c r="D108" s="347" t="s">
        <v>714</v>
      </c>
      <c r="E108" s="347" t="s">
        <v>179</v>
      </c>
      <c r="F108" s="347"/>
      <c r="G108" s="347"/>
      <c r="H108" s="347"/>
      <c r="I108" s="1076">
        <v>42311</v>
      </c>
      <c r="J108" s="411">
        <v>42342</v>
      </c>
      <c r="K108" s="411" t="s">
        <v>742</v>
      </c>
      <c r="L108" s="1078">
        <f t="shared" si="97"/>
        <v>31</v>
      </c>
      <c r="M108" s="381">
        <v>42342</v>
      </c>
      <c r="N108" s="381">
        <v>42708</v>
      </c>
      <c r="O108" s="381"/>
      <c r="P108" s="381"/>
      <c r="Q108" s="381">
        <v>42736</v>
      </c>
      <c r="R108" s="381" t="s">
        <v>156</v>
      </c>
      <c r="S108" s="347" t="s">
        <v>62</v>
      </c>
      <c r="T108" s="355"/>
      <c r="U108" s="408"/>
      <c r="V108" s="355"/>
      <c r="W108" s="355"/>
      <c r="X108" s="385">
        <v>37316</v>
      </c>
      <c r="Y108" s="761">
        <f t="shared" si="98"/>
        <v>13.843835616438357</v>
      </c>
      <c r="Z108" s="347" t="s">
        <v>21</v>
      </c>
      <c r="AA108" s="770" t="str">
        <f t="shared" si="91"/>
        <v/>
      </c>
      <c r="AB108" s="770" t="str">
        <f t="shared" si="83"/>
        <v/>
      </c>
      <c r="AC108" s="770" t="str">
        <f t="shared" si="104"/>
        <v>F</v>
      </c>
      <c r="AD108" s="770" t="str">
        <f t="shared" si="105"/>
        <v/>
      </c>
      <c r="AE108" s="770" t="str">
        <f t="shared" si="92"/>
        <v/>
      </c>
      <c r="AF108" s="779"/>
      <c r="AG108" s="779"/>
      <c r="AH108" s="779"/>
      <c r="AI108" s="779"/>
      <c r="AJ108" s="779"/>
      <c r="AK108" s="779"/>
      <c r="AL108" s="779">
        <f t="shared" ref="AL108:AL115" si="106">Q108-J108</f>
        <v>394</v>
      </c>
      <c r="AM108" s="779">
        <f t="shared" ref="AM108:AM115" si="107">AL108/365</f>
        <v>1.0794520547945206</v>
      </c>
      <c r="AN108" s="770">
        <f t="shared" si="93"/>
        <v>1</v>
      </c>
      <c r="AO108" s="761">
        <f t="shared" si="89"/>
        <v>0.95342465753424666</v>
      </c>
      <c r="AP108" s="1074"/>
      <c r="AQ108" s="782">
        <f t="shared" si="94"/>
        <v>42370</v>
      </c>
      <c r="AR108" s="782">
        <f t="shared" si="102"/>
        <v>42736</v>
      </c>
      <c r="AS108" s="770">
        <f t="shared" si="95"/>
        <v>366</v>
      </c>
      <c r="AT108" s="790">
        <f>IF(AQ108&gt;'[1]calculs enfants présents'!$A$56,0,IF(Q108&lt;'[1]calculs enfants présents'!$A$56,Q108-AQ108,'[1]calculs enfants présents'!$A$56-AQ108))</f>
        <v>0</v>
      </c>
      <c r="AU108" s="791">
        <f t="shared" si="96"/>
        <v>31</v>
      </c>
      <c r="AV108" s="790">
        <f t="shared" si="90"/>
        <v>-31</v>
      </c>
      <c r="AW108" s="412"/>
      <c r="AX108" s="381">
        <v>42369</v>
      </c>
      <c r="AY108" s="955">
        <f t="shared" si="99"/>
        <v>42708</v>
      </c>
      <c r="AZ108" s="955">
        <f t="shared" si="100"/>
        <v>42736</v>
      </c>
      <c r="BA108" s="955">
        <f t="shared" si="101"/>
        <v>42675</v>
      </c>
      <c r="BB108" s="1105"/>
      <c r="BC108" s="1103"/>
      <c r="BD108" s="1076"/>
      <c r="BE108" s="1104" t="e">
        <f>IF(K108&lt;&gt;"",(K108+90)-(WEEKDAY(K108+90,2)-2),"DIPC")</f>
        <v>#VALUE!</v>
      </c>
      <c r="BF108" s="460"/>
      <c r="BG108" s="349"/>
      <c r="BH108" s="465"/>
      <c r="BI108" s="349"/>
      <c r="BJ108" s="572"/>
    </row>
    <row r="109" spans="1:72" s="401" customFormat="1" ht="12.75" customHeight="1" x14ac:dyDescent="0.2">
      <c r="A109" s="484" t="s">
        <v>694</v>
      </c>
      <c r="B109" s="484" t="s">
        <v>694</v>
      </c>
      <c r="C109" s="379" t="s">
        <v>696</v>
      </c>
      <c r="D109" s="347" t="s">
        <v>714</v>
      </c>
      <c r="E109" s="347" t="s">
        <v>179</v>
      </c>
      <c r="F109" s="347"/>
      <c r="G109" s="347"/>
      <c r="H109" s="347"/>
      <c r="I109" s="1076">
        <v>42311</v>
      </c>
      <c r="J109" s="411">
        <v>42342</v>
      </c>
      <c r="K109" s="411" t="s">
        <v>742</v>
      </c>
      <c r="L109" s="1078">
        <f t="shared" si="97"/>
        <v>31</v>
      </c>
      <c r="M109" s="381">
        <v>42342</v>
      </c>
      <c r="N109" s="381">
        <v>42708</v>
      </c>
      <c r="O109" s="381"/>
      <c r="P109" s="381"/>
      <c r="Q109" s="381">
        <v>42736</v>
      </c>
      <c r="R109" s="381" t="s">
        <v>156</v>
      </c>
      <c r="S109" s="347" t="s">
        <v>62</v>
      </c>
      <c r="T109" s="355"/>
      <c r="U109" s="408"/>
      <c r="V109" s="355"/>
      <c r="W109" s="355"/>
      <c r="X109" s="385">
        <v>38217</v>
      </c>
      <c r="Y109" s="761">
        <f t="shared" si="98"/>
        <v>11.375342465753425</v>
      </c>
      <c r="Z109" s="347" t="s">
        <v>21</v>
      </c>
      <c r="AA109" s="770" t="str">
        <f t="shared" si="91"/>
        <v/>
      </c>
      <c r="AB109" s="770" t="str">
        <f t="shared" si="83"/>
        <v/>
      </c>
      <c r="AC109" s="770" t="str">
        <f t="shared" si="104"/>
        <v>F</v>
      </c>
      <c r="AD109" s="770" t="str">
        <f t="shared" si="105"/>
        <v/>
      </c>
      <c r="AE109" s="770" t="str">
        <f t="shared" si="92"/>
        <v/>
      </c>
      <c r="AF109" s="779"/>
      <c r="AG109" s="779"/>
      <c r="AH109" s="779"/>
      <c r="AI109" s="779"/>
      <c r="AJ109" s="779"/>
      <c r="AK109" s="779"/>
      <c r="AL109" s="779">
        <f t="shared" si="106"/>
        <v>394</v>
      </c>
      <c r="AM109" s="779">
        <f t="shared" si="107"/>
        <v>1.0794520547945206</v>
      </c>
      <c r="AN109" s="770">
        <f t="shared" si="93"/>
        <v>1</v>
      </c>
      <c r="AO109" s="761">
        <f t="shared" si="89"/>
        <v>0.95342465753424666</v>
      </c>
      <c r="AP109" s="1074"/>
      <c r="AQ109" s="782">
        <f t="shared" si="94"/>
        <v>42370</v>
      </c>
      <c r="AR109" s="782">
        <f t="shared" si="102"/>
        <v>42736</v>
      </c>
      <c r="AS109" s="770">
        <f t="shared" si="95"/>
        <v>366</v>
      </c>
      <c r="AT109" s="790">
        <f>IF(AQ109&gt;'[1]calculs enfants présents'!$A$56,0,IF(Q109&lt;'[1]calculs enfants présents'!$A$56,Q109-AQ109,'[1]calculs enfants présents'!$A$56-AQ109))</f>
        <v>0</v>
      </c>
      <c r="AU109" s="791">
        <f t="shared" si="96"/>
        <v>31</v>
      </c>
      <c r="AV109" s="790">
        <f t="shared" si="90"/>
        <v>-31</v>
      </c>
      <c r="AW109" s="412"/>
      <c r="AX109" s="381">
        <v>42369</v>
      </c>
      <c r="AY109" s="955">
        <f t="shared" si="99"/>
        <v>42708</v>
      </c>
      <c r="AZ109" s="955">
        <f t="shared" si="100"/>
        <v>42736</v>
      </c>
      <c r="BA109" s="955">
        <f t="shared" si="101"/>
        <v>42675</v>
      </c>
      <c r="BB109" s="1105"/>
      <c r="BC109" s="1103"/>
      <c r="BD109" s="1076"/>
      <c r="BE109" s="1104" t="e">
        <f>IF(K109&lt;&gt;"",(K109+90)-(WEEKDAY(K109+90,2)-2),"DIPC")</f>
        <v>#VALUE!</v>
      </c>
      <c r="BF109" s="460"/>
      <c r="BG109" s="349"/>
      <c r="BH109" s="465"/>
      <c r="BI109" s="349"/>
      <c r="BJ109" s="572"/>
      <c r="BK109" s="387"/>
      <c r="BL109" s="387"/>
      <c r="BM109" s="387"/>
      <c r="BN109" s="387"/>
      <c r="BO109" s="387"/>
      <c r="BP109" s="387"/>
      <c r="BQ109" s="387"/>
      <c r="BR109" s="387"/>
      <c r="BS109" s="387"/>
      <c r="BT109" s="387"/>
    </row>
    <row r="110" spans="1:72" x14ac:dyDescent="0.2">
      <c r="A110" s="484" t="s">
        <v>634</v>
      </c>
      <c r="B110" s="484" t="s">
        <v>297</v>
      </c>
      <c r="C110" s="379" t="s">
        <v>298</v>
      </c>
      <c r="D110" s="347" t="s">
        <v>179</v>
      </c>
      <c r="E110" s="347"/>
      <c r="F110" s="347"/>
      <c r="I110" s="1076">
        <v>41645</v>
      </c>
      <c r="J110" s="411">
        <v>41710</v>
      </c>
      <c r="K110" s="411"/>
      <c r="L110" s="1077">
        <f t="shared" si="97"/>
        <v>65</v>
      </c>
      <c r="M110" s="381">
        <v>42259</v>
      </c>
      <c r="N110" s="381">
        <v>42625</v>
      </c>
      <c r="O110" s="381"/>
      <c r="P110" s="381"/>
      <c r="Q110" s="381">
        <v>42736</v>
      </c>
      <c r="R110" s="381" t="s">
        <v>156</v>
      </c>
      <c r="S110" s="347" t="s">
        <v>156</v>
      </c>
      <c r="V110" s="347"/>
      <c r="W110" s="347"/>
      <c r="X110" s="385">
        <v>38686</v>
      </c>
      <c r="Y110" s="761">
        <f t="shared" si="98"/>
        <v>10.09041095890411</v>
      </c>
      <c r="Z110" s="347" t="s">
        <v>21</v>
      </c>
      <c r="AA110" s="770" t="str">
        <f t="shared" si="91"/>
        <v/>
      </c>
      <c r="AB110" s="770" t="str">
        <f t="shared" si="83"/>
        <v>F</v>
      </c>
      <c r="AC110" s="770" t="str">
        <f t="shared" si="104"/>
        <v/>
      </c>
      <c r="AD110" s="770" t="str">
        <f t="shared" si="105"/>
        <v/>
      </c>
      <c r="AE110" s="770" t="str">
        <f t="shared" si="92"/>
        <v/>
      </c>
      <c r="AG110" s="770"/>
      <c r="AH110" s="770"/>
      <c r="AI110" s="770"/>
      <c r="AJ110" s="770"/>
      <c r="AK110" s="770"/>
      <c r="AL110" s="770">
        <f t="shared" si="106"/>
        <v>1026</v>
      </c>
      <c r="AM110" s="770">
        <f t="shared" si="107"/>
        <v>2.8109589041095893</v>
      </c>
      <c r="AN110" s="770">
        <f t="shared" si="93"/>
        <v>2</v>
      </c>
      <c r="AO110" s="761">
        <f t="shared" si="89"/>
        <v>9.7315068493150712</v>
      </c>
      <c r="AP110" s="1074"/>
      <c r="AQ110" s="782">
        <f t="shared" si="94"/>
        <v>42370</v>
      </c>
      <c r="AR110" s="782">
        <f t="shared" si="102"/>
        <v>42736</v>
      </c>
      <c r="AS110" s="770">
        <f t="shared" si="95"/>
        <v>366</v>
      </c>
      <c r="AT110" s="790">
        <f>IF(AQ110&gt;'[1]calculs enfants présents'!$A$56,0,IF(Q110&lt;'[1]calculs enfants présents'!$A$56,Q110-AQ110,'[1]calculs enfants présents'!$A$56-AQ110))</f>
        <v>0</v>
      </c>
      <c r="AU110" s="790">
        <f t="shared" si="96"/>
        <v>31</v>
      </c>
      <c r="AV110" s="790">
        <f t="shared" si="90"/>
        <v>-31</v>
      </c>
      <c r="AW110" s="412"/>
      <c r="AX110" s="381">
        <v>42369</v>
      </c>
      <c r="AY110" s="955">
        <f t="shared" si="99"/>
        <v>42625</v>
      </c>
      <c r="AZ110" s="955">
        <f t="shared" si="100"/>
        <v>42736</v>
      </c>
      <c r="BA110" s="955">
        <f t="shared" si="101"/>
        <v>42591</v>
      </c>
      <c r="BB110" s="1105"/>
      <c r="BC110" s="1103"/>
      <c r="BD110" s="1105"/>
      <c r="BE110" s="1104">
        <f>(J110+90)-(WEEKDAY(J110+90,2)-2)</f>
        <v>41800</v>
      </c>
      <c r="BF110" s="460"/>
      <c r="BG110" s="349"/>
      <c r="BH110" s="465"/>
      <c r="BI110" s="390"/>
      <c r="BJ110" s="382"/>
      <c r="BK110" s="374"/>
      <c r="BL110" s="374"/>
      <c r="BM110" s="374"/>
      <c r="BN110" s="374"/>
      <c r="BO110" s="374"/>
      <c r="BP110" s="374"/>
      <c r="BQ110" s="374"/>
      <c r="BR110" s="374"/>
    </row>
    <row r="111" spans="1:72" ht="12.75" customHeight="1" x14ac:dyDescent="0.2">
      <c r="A111" s="484" t="s">
        <v>635</v>
      </c>
      <c r="B111" s="484" t="s">
        <v>597</v>
      </c>
      <c r="C111" s="379" t="s">
        <v>348</v>
      </c>
      <c r="D111" s="347" t="s">
        <v>70</v>
      </c>
      <c r="E111" s="347" t="s">
        <v>179</v>
      </c>
      <c r="F111" s="347"/>
      <c r="I111" s="1076">
        <v>42192</v>
      </c>
      <c r="J111" s="411">
        <v>42257</v>
      </c>
      <c r="K111" s="411">
        <v>42339</v>
      </c>
      <c r="L111" s="1078">
        <f t="shared" si="97"/>
        <v>65</v>
      </c>
      <c r="M111" s="381">
        <v>42257</v>
      </c>
      <c r="N111" s="381">
        <v>42623</v>
      </c>
      <c r="O111" s="381"/>
      <c r="P111" s="381"/>
      <c r="Q111" s="381">
        <v>42736</v>
      </c>
      <c r="R111" s="381" t="s">
        <v>156</v>
      </c>
      <c r="S111" s="347" t="s">
        <v>156</v>
      </c>
      <c r="V111" s="347"/>
      <c r="W111" s="347"/>
      <c r="X111" s="385">
        <v>36876</v>
      </c>
      <c r="Y111" s="761">
        <f t="shared" si="98"/>
        <v>15.049315068493151</v>
      </c>
      <c r="Z111" s="347" t="s">
        <v>21</v>
      </c>
      <c r="AA111" s="770" t="str">
        <f t="shared" si="91"/>
        <v/>
      </c>
      <c r="AB111" s="770" t="str">
        <f t="shared" si="83"/>
        <v/>
      </c>
      <c r="AC111" s="770" t="str">
        <f t="shared" si="104"/>
        <v/>
      </c>
      <c r="AD111" s="770" t="str">
        <f t="shared" si="105"/>
        <v>F</v>
      </c>
      <c r="AE111" s="770" t="str">
        <f t="shared" si="92"/>
        <v/>
      </c>
      <c r="AG111" s="770"/>
      <c r="AH111" s="770"/>
      <c r="AI111" s="770"/>
      <c r="AJ111" s="770"/>
      <c r="AK111" s="770"/>
      <c r="AL111" s="770">
        <f t="shared" si="106"/>
        <v>479</v>
      </c>
      <c r="AM111" s="770">
        <f t="shared" si="107"/>
        <v>1.3123287671232877</v>
      </c>
      <c r="AN111" s="770">
        <f t="shared" si="93"/>
        <v>1</v>
      </c>
      <c r="AO111" s="761">
        <f t="shared" si="89"/>
        <v>3.7479452054794526</v>
      </c>
      <c r="AP111" s="1074"/>
      <c r="AQ111" s="782">
        <f t="shared" si="94"/>
        <v>42370</v>
      </c>
      <c r="AR111" s="782">
        <f t="shared" si="102"/>
        <v>42736</v>
      </c>
      <c r="AS111" s="770">
        <f t="shared" si="95"/>
        <v>366</v>
      </c>
      <c r="AT111" s="790">
        <f>IF(AQ111&gt;'[1]calculs enfants présents'!$A$56,0,IF(Q111&lt;'[1]calculs enfants présents'!$A$56,Q111-AQ111,'[1]calculs enfants présents'!$A$56-AQ111))</f>
        <v>0</v>
      </c>
      <c r="AU111" s="791">
        <f t="shared" si="96"/>
        <v>31</v>
      </c>
      <c r="AV111" s="790">
        <f t="shared" si="90"/>
        <v>-31</v>
      </c>
      <c r="AW111" s="412"/>
      <c r="AX111" s="381">
        <v>42369</v>
      </c>
      <c r="AY111" s="955">
        <f t="shared" si="99"/>
        <v>42623</v>
      </c>
      <c r="AZ111" s="955">
        <f t="shared" si="100"/>
        <v>42736</v>
      </c>
      <c r="BA111" s="955">
        <f t="shared" si="101"/>
        <v>42591</v>
      </c>
      <c r="BB111" s="1105"/>
      <c r="BC111" s="1103"/>
      <c r="BD111" s="1076"/>
      <c r="BE111" s="1104">
        <f>(J111+90)-(WEEKDAY(J111+90,2)-2)</f>
        <v>42346</v>
      </c>
      <c r="BF111" s="460">
        <v>42395</v>
      </c>
      <c r="BG111" s="349" t="s">
        <v>276</v>
      </c>
      <c r="BH111" s="465">
        <v>42395</v>
      </c>
      <c r="BI111" s="349"/>
      <c r="BJ111" s="572"/>
      <c r="BS111" s="612"/>
      <c r="BT111" s="612"/>
    </row>
    <row r="112" spans="1:72" s="387" customFormat="1" ht="13.15" customHeight="1" x14ac:dyDescent="0.2">
      <c r="A112" s="733" t="s">
        <v>299</v>
      </c>
      <c r="B112" s="733" t="s">
        <v>299</v>
      </c>
      <c r="C112" s="734" t="s">
        <v>300</v>
      </c>
      <c r="D112" s="712" t="s">
        <v>138</v>
      </c>
      <c r="E112" s="712"/>
      <c r="F112" s="712" t="s">
        <v>66</v>
      </c>
      <c r="G112" s="712"/>
      <c r="H112" s="712"/>
      <c r="I112" s="1081">
        <v>41653</v>
      </c>
      <c r="J112" s="735">
        <v>41674</v>
      </c>
      <c r="K112" s="735"/>
      <c r="L112" s="1112">
        <f t="shared" si="97"/>
        <v>21</v>
      </c>
      <c r="M112" s="722">
        <v>42039</v>
      </c>
      <c r="N112" s="722">
        <v>42404</v>
      </c>
      <c r="O112" s="722" t="s">
        <v>739</v>
      </c>
      <c r="P112" s="722">
        <v>42404</v>
      </c>
      <c r="Q112" s="722">
        <v>42404</v>
      </c>
      <c r="R112" s="722" t="s">
        <v>16</v>
      </c>
      <c r="S112" s="712" t="s">
        <v>20</v>
      </c>
      <c r="T112" s="712"/>
      <c r="U112" s="713"/>
      <c r="V112" s="712"/>
      <c r="W112" s="712"/>
      <c r="X112" s="724">
        <v>37901</v>
      </c>
      <c r="Y112" s="762">
        <f t="shared" si="98"/>
        <v>12.241095890410959</v>
      </c>
      <c r="Z112" s="712" t="s">
        <v>21</v>
      </c>
      <c r="AA112" s="772" t="str">
        <f t="shared" si="91"/>
        <v/>
      </c>
      <c r="AB112" s="772" t="str">
        <f t="shared" si="83"/>
        <v/>
      </c>
      <c r="AC112" s="772" t="str">
        <f t="shared" si="104"/>
        <v>F</v>
      </c>
      <c r="AD112" s="772" t="str">
        <f t="shared" si="105"/>
        <v/>
      </c>
      <c r="AE112" s="772" t="str">
        <f t="shared" si="92"/>
        <v/>
      </c>
      <c r="AF112" s="772"/>
      <c r="AG112" s="772"/>
      <c r="AH112" s="772"/>
      <c r="AI112" s="772"/>
      <c r="AJ112" s="772"/>
      <c r="AK112" s="772"/>
      <c r="AL112" s="772">
        <f t="shared" si="106"/>
        <v>730</v>
      </c>
      <c r="AM112" s="772">
        <f t="shared" si="107"/>
        <v>2</v>
      </c>
      <c r="AN112" s="772">
        <f t="shared" si="93"/>
        <v>2</v>
      </c>
      <c r="AO112" s="762">
        <f t="shared" si="89"/>
        <v>0</v>
      </c>
      <c r="AP112" s="1073"/>
      <c r="AQ112" s="1113">
        <f t="shared" si="94"/>
        <v>42370</v>
      </c>
      <c r="AR112" s="1113">
        <f t="shared" si="102"/>
        <v>42404</v>
      </c>
      <c r="AS112" s="772">
        <f t="shared" si="95"/>
        <v>34</v>
      </c>
      <c r="AT112" s="792">
        <f>IF(AQ112&gt;'[1]calculs enfants présents'!$A$56,0,IF(Q112&lt;'[1]calculs enfants présents'!$A$56,Q112-AQ112,'[1]calculs enfants présents'!$A$56-AQ112))</f>
        <v>0</v>
      </c>
      <c r="AU112" s="793">
        <f t="shared" si="96"/>
        <v>31</v>
      </c>
      <c r="AV112" s="792">
        <f t="shared" si="90"/>
        <v>-31</v>
      </c>
      <c r="AW112" s="725"/>
      <c r="AX112" s="722">
        <v>42369</v>
      </c>
      <c r="AY112" s="1114">
        <f t="shared" si="99"/>
        <v>42404</v>
      </c>
      <c r="AZ112" s="1114">
        <f t="shared" si="100"/>
        <v>42404</v>
      </c>
      <c r="BA112" s="1114">
        <f t="shared" si="101"/>
        <v>42374</v>
      </c>
      <c r="BB112" s="1115">
        <v>42374</v>
      </c>
      <c r="BC112" s="1116" t="s">
        <v>276</v>
      </c>
      <c r="BD112" s="1115">
        <v>42374</v>
      </c>
      <c r="BE112" s="1117">
        <f>(J112+90)-(WEEKDAY(J112+90,2)-2)</f>
        <v>41765</v>
      </c>
      <c r="BF112" s="750"/>
      <c r="BG112" s="721"/>
      <c r="BH112" s="727"/>
      <c r="BI112" s="490"/>
      <c r="BJ112" s="426"/>
      <c r="BK112" s="401"/>
      <c r="BL112" s="401"/>
      <c r="BM112" s="401"/>
      <c r="BN112" s="401"/>
      <c r="BO112" s="401"/>
      <c r="BP112" s="401"/>
      <c r="BQ112" s="401"/>
      <c r="BR112" s="401"/>
      <c r="BS112" s="401"/>
      <c r="BT112" s="401"/>
    </row>
    <row r="113" spans="1:72" ht="12.75" customHeight="1" x14ac:dyDescent="0.2">
      <c r="A113" s="484" t="s">
        <v>332</v>
      </c>
      <c r="B113" s="484" t="s">
        <v>332</v>
      </c>
      <c r="C113" s="379" t="s">
        <v>333</v>
      </c>
      <c r="D113" s="347" t="s">
        <v>87</v>
      </c>
      <c r="E113" s="347" t="s">
        <v>310</v>
      </c>
      <c r="F113" s="347"/>
      <c r="I113" s="1076">
        <v>41824</v>
      </c>
      <c r="J113" s="411">
        <v>41838</v>
      </c>
      <c r="K113" s="411"/>
      <c r="L113" s="1078">
        <f t="shared" si="97"/>
        <v>14</v>
      </c>
      <c r="M113" s="381">
        <v>42203</v>
      </c>
      <c r="N113" s="381">
        <v>42569</v>
      </c>
      <c r="O113" s="381"/>
      <c r="P113" s="381"/>
      <c r="Q113" s="381">
        <v>42736</v>
      </c>
      <c r="R113" s="381" t="s">
        <v>156</v>
      </c>
      <c r="S113" s="347" t="s">
        <v>156</v>
      </c>
      <c r="V113" s="347"/>
      <c r="W113" s="347"/>
      <c r="X113" s="385">
        <v>40698</v>
      </c>
      <c r="Y113" s="761">
        <f t="shared" si="98"/>
        <v>4.5780821917808217</v>
      </c>
      <c r="Z113" s="347" t="s">
        <v>13</v>
      </c>
      <c r="AA113" s="770" t="str">
        <f t="shared" si="91"/>
        <v>M</v>
      </c>
      <c r="AB113" s="770" t="str">
        <f t="shared" si="83"/>
        <v/>
      </c>
      <c r="AC113" s="770" t="str">
        <f t="shared" si="104"/>
        <v/>
      </c>
      <c r="AD113" s="770" t="str">
        <f t="shared" si="105"/>
        <v/>
      </c>
      <c r="AE113" s="770" t="str">
        <f t="shared" si="92"/>
        <v/>
      </c>
      <c r="AG113" s="770"/>
      <c r="AH113" s="770"/>
      <c r="AI113" s="770"/>
      <c r="AJ113" s="770"/>
      <c r="AK113" s="770"/>
      <c r="AL113" s="770">
        <f t="shared" si="106"/>
        <v>898</v>
      </c>
      <c r="AM113" s="770">
        <f t="shared" si="107"/>
        <v>2.4602739726027396</v>
      </c>
      <c r="AN113" s="770">
        <f t="shared" si="93"/>
        <v>2</v>
      </c>
      <c r="AO113" s="761">
        <f t="shared" si="89"/>
        <v>5.5232876712328753</v>
      </c>
      <c r="AP113" s="1074"/>
      <c r="AQ113" s="782">
        <f t="shared" si="94"/>
        <v>42370</v>
      </c>
      <c r="AR113" s="782">
        <f t="shared" si="102"/>
        <v>42736</v>
      </c>
      <c r="AS113" s="770">
        <f t="shared" si="95"/>
        <v>366</v>
      </c>
      <c r="AT113" s="790">
        <f>IF(AQ113&gt;'[1]calculs enfants présents'!$A$56,0,IF(Q113&lt;'[1]calculs enfants présents'!$A$56,Q113-AQ113,'[1]calculs enfants présents'!$A$56-AQ113))</f>
        <v>0</v>
      </c>
      <c r="AU113" s="791">
        <f t="shared" si="96"/>
        <v>31</v>
      </c>
      <c r="AV113" s="790">
        <f t="shared" si="90"/>
        <v>-31</v>
      </c>
      <c r="AW113" s="412"/>
      <c r="AX113" s="381">
        <v>42369</v>
      </c>
      <c r="AY113" s="955">
        <f t="shared" si="99"/>
        <v>42569</v>
      </c>
      <c r="AZ113" s="955">
        <f t="shared" si="100"/>
        <v>42736</v>
      </c>
      <c r="BA113" s="955">
        <f t="shared" si="101"/>
        <v>42535</v>
      </c>
      <c r="BB113" s="1105"/>
      <c r="BC113" s="1103"/>
      <c r="BD113" s="1105"/>
      <c r="BE113" s="1104">
        <f>(J113+90)-(WEEKDAY(J113+90,2)-2)</f>
        <v>41926</v>
      </c>
      <c r="BF113" s="460"/>
      <c r="BG113" s="349"/>
      <c r="BH113" s="465"/>
      <c r="BI113" s="349" t="s">
        <v>273</v>
      </c>
      <c r="BJ113" s="572">
        <v>42067</v>
      </c>
      <c r="BK113" s="569"/>
      <c r="BL113" s="569"/>
      <c r="BM113" s="569"/>
      <c r="BN113" s="569"/>
      <c r="BO113" s="569"/>
      <c r="BP113" s="569"/>
      <c r="BQ113" s="569"/>
      <c r="BR113" s="569"/>
      <c r="BS113" s="566"/>
      <c r="BT113" s="566"/>
    </row>
    <row r="114" spans="1:72" s="387" customFormat="1" ht="12.75" customHeight="1" x14ac:dyDescent="0.2">
      <c r="A114" s="484" t="s">
        <v>703</v>
      </c>
      <c r="B114" s="484" t="s">
        <v>236</v>
      </c>
      <c r="C114" s="379" t="s">
        <v>187</v>
      </c>
      <c r="D114" s="347" t="s">
        <v>714</v>
      </c>
      <c r="E114" s="347"/>
      <c r="F114" s="347"/>
      <c r="G114" s="347"/>
      <c r="H114" s="347"/>
      <c r="I114" s="1076">
        <v>41400</v>
      </c>
      <c r="J114" s="411">
        <v>41528</v>
      </c>
      <c r="K114" s="411"/>
      <c r="L114" s="1077">
        <f t="shared" si="97"/>
        <v>128</v>
      </c>
      <c r="M114" s="381">
        <v>42258</v>
      </c>
      <c r="N114" s="708">
        <v>42624</v>
      </c>
      <c r="O114" s="708"/>
      <c r="P114" s="708"/>
      <c r="Q114" s="708">
        <v>42736</v>
      </c>
      <c r="R114" s="381" t="s">
        <v>16</v>
      </c>
      <c r="S114" s="347" t="s">
        <v>13</v>
      </c>
      <c r="T114" s="347"/>
      <c r="U114" s="383"/>
      <c r="V114" s="347"/>
      <c r="W114" s="347"/>
      <c r="X114" s="385">
        <v>36576</v>
      </c>
      <c r="Y114" s="761">
        <f t="shared" si="98"/>
        <v>15.871232876712329</v>
      </c>
      <c r="Z114" s="347" t="s">
        <v>13</v>
      </c>
      <c r="AA114" s="773" t="str">
        <f t="shared" si="91"/>
        <v/>
      </c>
      <c r="AB114" s="773" t="str">
        <f t="shared" si="83"/>
        <v/>
      </c>
      <c r="AC114" s="773" t="str">
        <f t="shared" si="104"/>
        <v/>
      </c>
      <c r="AD114" s="773" t="str">
        <f t="shared" si="105"/>
        <v>M</v>
      </c>
      <c r="AE114" s="773" t="str">
        <f t="shared" si="92"/>
        <v/>
      </c>
      <c r="AF114" s="770"/>
      <c r="AG114" s="770"/>
      <c r="AH114" s="770"/>
      <c r="AI114" s="770"/>
      <c r="AJ114" s="770"/>
      <c r="AK114" s="770"/>
      <c r="AL114" s="770">
        <f t="shared" si="106"/>
        <v>1208</v>
      </c>
      <c r="AM114" s="770">
        <f t="shared" si="107"/>
        <v>3.3095890410958906</v>
      </c>
      <c r="AN114" s="770">
        <f t="shared" si="93"/>
        <v>3</v>
      </c>
      <c r="AO114" s="761">
        <f t="shared" si="89"/>
        <v>3.715068493150687</v>
      </c>
      <c r="AP114" s="1074"/>
      <c r="AQ114" s="782">
        <f t="shared" si="94"/>
        <v>42370</v>
      </c>
      <c r="AR114" s="782">
        <f t="shared" si="102"/>
        <v>42736</v>
      </c>
      <c r="AS114" s="770">
        <f t="shared" si="95"/>
        <v>366</v>
      </c>
      <c r="AT114" s="790">
        <f>IF(AQ114&gt;'[1]calculs enfants présents'!$A$56,0,IF(Q114&lt;'[1]calculs enfants présents'!$A$56,Q114-AQ114,'[1]calculs enfants présents'!$A$56-AQ114))</f>
        <v>0</v>
      </c>
      <c r="AU114" s="790">
        <f t="shared" si="96"/>
        <v>31</v>
      </c>
      <c r="AV114" s="790">
        <f t="shared" si="90"/>
        <v>-31</v>
      </c>
      <c r="AW114" s="412"/>
      <c r="AX114" s="381">
        <v>42369</v>
      </c>
      <c r="AY114" s="955">
        <f t="shared" si="99"/>
        <v>42624</v>
      </c>
      <c r="AZ114" s="955">
        <f t="shared" si="100"/>
        <v>42736</v>
      </c>
      <c r="BA114" s="955">
        <f t="shared" si="101"/>
        <v>42591</v>
      </c>
      <c r="BB114" s="1105"/>
      <c r="BC114" s="1103"/>
      <c r="BD114" s="1105"/>
      <c r="BE114" s="1104">
        <f>(J114+90)-(WEEKDAY(J114+90,2)-2)</f>
        <v>41618</v>
      </c>
      <c r="BF114" s="460"/>
      <c r="BG114" s="349"/>
      <c r="BH114" s="465"/>
      <c r="BI114" s="349" t="s">
        <v>271</v>
      </c>
      <c r="BJ114" s="572">
        <v>42020</v>
      </c>
    </row>
    <row r="115" spans="1:72" ht="13.15" customHeight="1" x14ac:dyDescent="0.2">
      <c r="A115" s="484" t="s">
        <v>576</v>
      </c>
      <c r="B115" s="484" t="s">
        <v>576</v>
      </c>
      <c r="C115" s="379" t="s">
        <v>697</v>
      </c>
      <c r="D115" s="347" t="s">
        <v>87</v>
      </c>
      <c r="E115" s="347" t="s">
        <v>565</v>
      </c>
      <c r="F115" s="347"/>
      <c r="I115" s="1076">
        <v>42186</v>
      </c>
      <c r="J115" s="411">
        <v>42298</v>
      </c>
      <c r="K115" s="411">
        <v>42314</v>
      </c>
      <c r="L115" s="1077">
        <f t="shared" si="97"/>
        <v>112</v>
      </c>
      <c r="M115" s="381">
        <v>42298</v>
      </c>
      <c r="N115" s="381">
        <v>42664</v>
      </c>
      <c r="O115" s="381"/>
      <c r="P115" s="381"/>
      <c r="Q115" s="381">
        <v>42736</v>
      </c>
      <c r="R115" s="381" t="s">
        <v>16</v>
      </c>
      <c r="S115" s="347" t="s">
        <v>20</v>
      </c>
      <c r="V115" s="347"/>
      <c r="W115" s="347"/>
      <c r="X115" s="385">
        <v>37530</v>
      </c>
      <c r="Y115" s="761">
        <f t="shared" si="98"/>
        <v>13.257534246575343</v>
      </c>
      <c r="Z115" s="347" t="s">
        <v>13</v>
      </c>
      <c r="AA115" s="770" t="str">
        <f t="shared" si="91"/>
        <v/>
      </c>
      <c r="AB115" s="770" t="str">
        <f t="shared" si="83"/>
        <v/>
      </c>
      <c r="AC115" s="770" t="str">
        <f t="shared" si="104"/>
        <v>M</v>
      </c>
      <c r="AD115" s="770" t="str">
        <f t="shared" si="105"/>
        <v/>
      </c>
      <c r="AE115" s="770" t="str">
        <f t="shared" si="92"/>
        <v/>
      </c>
      <c r="AG115" s="770"/>
      <c r="AH115" s="770"/>
      <c r="AI115" s="770"/>
      <c r="AJ115" s="770"/>
      <c r="AK115" s="770"/>
      <c r="AL115" s="770">
        <f t="shared" si="106"/>
        <v>438</v>
      </c>
      <c r="AM115" s="770">
        <f t="shared" si="107"/>
        <v>1.2</v>
      </c>
      <c r="AN115" s="770">
        <f t="shared" si="93"/>
        <v>1</v>
      </c>
      <c r="AO115" s="761">
        <f t="shared" si="89"/>
        <v>2.3999999999999995</v>
      </c>
      <c r="AP115" s="1074"/>
      <c r="AQ115" s="782">
        <f t="shared" si="94"/>
        <v>42370</v>
      </c>
      <c r="AR115" s="782">
        <f t="shared" si="102"/>
        <v>42736</v>
      </c>
      <c r="AS115" s="770">
        <f t="shared" si="95"/>
        <v>366</v>
      </c>
      <c r="AT115" s="790">
        <f>IF(AQ115&gt;'[1]calculs enfants présents'!$A$56,0,IF(Q115&lt;'[1]calculs enfants présents'!$A$56,Q115-AQ115,'[1]calculs enfants présents'!$A$56-AQ115))</f>
        <v>0</v>
      </c>
      <c r="AU115" s="791">
        <f t="shared" si="96"/>
        <v>31</v>
      </c>
      <c r="AV115" s="790">
        <f t="shared" si="90"/>
        <v>-31</v>
      </c>
      <c r="AW115" s="412"/>
      <c r="AX115" s="381">
        <v>42369</v>
      </c>
      <c r="AY115" s="955">
        <f t="shared" si="99"/>
        <v>42664</v>
      </c>
      <c r="AZ115" s="955">
        <f t="shared" si="100"/>
        <v>42736</v>
      </c>
      <c r="BA115" s="955">
        <f t="shared" si="101"/>
        <v>42633</v>
      </c>
      <c r="BB115" s="1105"/>
      <c r="BC115" s="1103"/>
      <c r="BD115" s="1105"/>
      <c r="BE115" s="1104">
        <f>IF(K115&lt;&gt;"",(K115+90)-(WEEKDAY(K115+90,2)-2),"DIPC")</f>
        <v>42402</v>
      </c>
      <c r="BF115" s="466">
        <v>42423</v>
      </c>
      <c r="BG115" s="349" t="s">
        <v>270</v>
      </c>
      <c r="BH115" s="465">
        <v>42423</v>
      </c>
      <c r="BI115" s="390"/>
      <c r="BJ115" s="382"/>
      <c r="BK115" s="569"/>
      <c r="BL115" s="569"/>
      <c r="BM115" s="569"/>
      <c r="BN115" s="569"/>
      <c r="BO115" s="569"/>
      <c r="BP115" s="569"/>
      <c r="BQ115" s="569"/>
      <c r="BR115" s="569"/>
      <c r="BS115" s="566"/>
      <c r="BT115" s="566"/>
    </row>
    <row r="116" spans="1:72" s="401" customFormat="1" ht="15" customHeight="1" x14ac:dyDescent="0.2">
      <c r="A116" s="484" t="s">
        <v>717</v>
      </c>
      <c r="B116" s="484" t="s">
        <v>576</v>
      </c>
      <c r="C116" s="379" t="s">
        <v>609</v>
      </c>
      <c r="D116" s="347" t="s">
        <v>87</v>
      </c>
      <c r="E116" s="347" t="s">
        <v>70</v>
      </c>
      <c r="F116" s="347"/>
      <c r="G116" s="347"/>
      <c r="H116" s="347"/>
      <c r="I116" s="1076">
        <v>42215</v>
      </c>
      <c r="J116" s="411">
        <v>42340</v>
      </c>
      <c r="K116" s="411" t="s">
        <v>742</v>
      </c>
      <c r="L116" s="1077">
        <f t="shared" si="97"/>
        <v>125</v>
      </c>
      <c r="M116" s="411">
        <v>42340</v>
      </c>
      <c r="N116" s="411">
        <v>42523</v>
      </c>
      <c r="O116" s="411"/>
      <c r="P116" s="411"/>
      <c r="Q116" s="708">
        <v>42736</v>
      </c>
      <c r="R116" s="381" t="s">
        <v>16</v>
      </c>
      <c r="S116" s="347" t="s">
        <v>16</v>
      </c>
      <c r="T116" s="347"/>
      <c r="U116" s="383"/>
      <c r="V116" s="347"/>
      <c r="W116" s="347"/>
      <c r="X116" s="385">
        <v>40383</v>
      </c>
      <c r="Y116" s="761">
        <f t="shared" si="98"/>
        <v>5.441095890410959</v>
      </c>
      <c r="Z116" s="347" t="s">
        <v>21</v>
      </c>
      <c r="AA116" s="770"/>
      <c r="AB116" s="770"/>
      <c r="AC116" s="770"/>
      <c r="AD116" s="770"/>
      <c r="AE116" s="770"/>
      <c r="AF116" s="770"/>
      <c r="AG116" s="770"/>
      <c r="AH116" s="770"/>
      <c r="AI116" s="770"/>
      <c r="AJ116" s="770"/>
      <c r="AK116" s="770"/>
      <c r="AL116" s="770"/>
      <c r="AM116" s="770"/>
      <c r="AN116" s="770"/>
      <c r="AO116" s="761"/>
      <c r="AP116" s="1074"/>
      <c r="AQ116" s="782">
        <f t="shared" si="94"/>
        <v>42370</v>
      </c>
      <c r="AR116" s="782">
        <f t="shared" si="102"/>
        <v>42736</v>
      </c>
      <c r="AS116" s="770">
        <f t="shared" si="95"/>
        <v>366</v>
      </c>
      <c r="AT116" s="790">
        <f>IF(AQ116&gt;'[1]calculs enfants présents'!$A$56,0,IF(Q116&lt;'[1]calculs enfants présents'!$A$56,Q116-AQ116,'[1]calculs enfants présents'!$A$56-AQ116))</f>
        <v>0</v>
      </c>
      <c r="AU116" s="790">
        <f t="shared" si="96"/>
        <v>31</v>
      </c>
      <c r="AV116" s="790">
        <f t="shared" si="90"/>
        <v>-31</v>
      </c>
      <c r="AW116" s="412"/>
      <c r="AX116" s="381">
        <v>42369</v>
      </c>
      <c r="AY116" s="1119"/>
      <c r="AZ116" s="1119"/>
      <c r="BA116" s="1119"/>
      <c r="BB116" s="1105"/>
      <c r="BC116" s="1103"/>
      <c r="BD116" s="1076"/>
      <c r="BE116" s="1119" t="e">
        <f>IF(K116&lt;&gt;"",(K116+90)-(WEEKDAY(K116+90,2)-2),"DIPC")</f>
        <v>#VALUE!</v>
      </c>
      <c r="BF116" s="459"/>
      <c r="BG116" s="322"/>
      <c r="BH116" s="465"/>
      <c r="BI116" s="390"/>
      <c r="BJ116" s="382"/>
      <c r="BK116" s="387"/>
      <c r="BL116" s="387"/>
      <c r="BM116" s="387"/>
      <c r="BN116" s="387"/>
      <c r="BO116" s="387"/>
      <c r="BP116" s="387"/>
      <c r="BQ116" s="387"/>
      <c r="BR116" s="387"/>
      <c r="BS116" s="387"/>
      <c r="BT116" s="387"/>
    </row>
    <row r="117" spans="1:72" s="566" customFormat="1" ht="12.75" customHeight="1" x14ac:dyDescent="0.2">
      <c r="A117" s="484" t="s">
        <v>582</v>
      </c>
      <c r="B117" s="484" t="s">
        <v>582</v>
      </c>
      <c r="C117" s="379" t="s">
        <v>583</v>
      </c>
      <c r="D117" s="347" t="s">
        <v>87</v>
      </c>
      <c r="E117" s="347" t="s">
        <v>138</v>
      </c>
      <c r="F117" s="347"/>
      <c r="G117" s="347"/>
      <c r="H117" s="347"/>
      <c r="I117" s="1076">
        <v>42185</v>
      </c>
      <c r="J117" s="411">
        <v>42250</v>
      </c>
      <c r="K117" s="411"/>
      <c r="L117" s="1077">
        <f t="shared" si="97"/>
        <v>65</v>
      </c>
      <c r="M117" s="381">
        <v>42250</v>
      </c>
      <c r="N117" s="381">
        <v>42616</v>
      </c>
      <c r="O117" s="381"/>
      <c r="P117" s="381"/>
      <c r="Q117" s="381">
        <v>42736</v>
      </c>
      <c r="R117" s="381" t="s">
        <v>16</v>
      </c>
      <c r="S117" s="347" t="s">
        <v>16</v>
      </c>
      <c r="T117" s="347"/>
      <c r="U117" s="383"/>
      <c r="V117" s="347"/>
      <c r="W117" s="347"/>
      <c r="X117" s="385">
        <v>38004</v>
      </c>
      <c r="Y117" s="761">
        <f t="shared" si="98"/>
        <v>11.95890410958904</v>
      </c>
      <c r="Z117" s="347" t="s">
        <v>13</v>
      </c>
      <c r="AA117" s="770" t="str">
        <f t="shared" ref="AA117:AA126" si="108">IF(Y117&lt;6,IF(Z117="M","M","F"),"")</f>
        <v/>
      </c>
      <c r="AB117" s="770" t="str">
        <f t="shared" ref="AB117:AB128" si="109">IF(AND(Y117&gt;=6,Y117&lt;11),IF(Z117="M","M","F"),"")</f>
        <v/>
      </c>
      <c r="AC117" s="770" t="s">
        <v>13</v>
      </c>
      <c r="AD117" s="770" t="str">
        <f t="shared" ref="AD117:AD128" si="110">IF(AND(Y117&gt;=15,Y117&lt;18),IF(Z117="M","M","F"),"")</f>
        <v/>
      </c>
      <c r="AE117" s="770" t="str">
        <f t="shared" ref="AE117:AE128" si="111">IF(Y117&gt;18,IF(Z117="M","M","F"),"")</f>
        <v/>
      </c>
      <c r="AF117" s="770"/>
      <c r="AG117" s="770"/>
      <c r="AH117" s="770"/>
      <c r="AI117" s="770"/>
      <c r="AJ117" s="770"/>
      <c r="AK117" s="770"/>
      <c r="AL117" s="770">
        <f t="shared" ref="AL117:AL123" si="112">Q117-J117</f>
        <v>486</v>
      </c>
      <c r="AM117" s="770">
        <f t="shared" ref="AM117:AM123" si="113">AL117/365</f>
        <v>1.3315068493150686</v>
      </c>
      <c r="AN117" s="770">
        <f t="shared" ref="AN117:AN128" si="114">INT(AM117)</f>
        <v>1</v>
      </c>
      <c r="AO117" s="761">
        <f t="shared" ref="AO117:AO137" si="115">(AM117-AN117)*12</f>
        <v>3.9780821917808229</v>
      </c>
      <c r="AP117" s="1074"/>
      <c r="AQ117" s="782">
        <f t="shared" si="94"/>
        <v>42370</v>
      </c>
      <c r="AR117" s="782">
        <f t="shared" si="102"/>
        <v>42736</v>
      </c>
      <c r="AS117" s="770">
        <f t="shared" si="95"/>
        <v>366</v>
      </c>
      <c r="AT117" s="790">
        <f>IF(AQ117&gt;'[1]calculs enfants présents'!$A$56,0,IF(Q117&lt;'[1]calculs enfants présents'!$A$56,Q117-AQ117,'[1]calculs enfants présents'!$A$56-AQ117))</f>
        <v>0</v>
      </c>
      <c r="AU117" s="791">
        <f t="shared" si="96"/>
        <v>31</v>
      </c>
      <c r="AV117" s="790">
        <f t="shared" si="90"/>
        <v>-31</v>
      </c>
      <c r="AW117" s="412"/>
      <c r="AX117" s="381">
        <v>42369</v>
      </c>
      <c r="AY117" s="955">
        <f t="shared" ref="AY117:AY148" si="116">N117</f>
        <v>42616</v>
      </c>
      <c r="AZ117" s="955">
        <f t="shared" ref="AZ117:AZ122" si="117">AR117</f>
        <v>42736</v>
      </c>
      <c r="BA117" s="955">
        <f t="shared" ref="BA117:BA148" si="118">(N117-30)-(WEEKDAY(N117-30,2)-2)</f>
        <v>42584</v>
      </c>
      <c r="BB117" s="1105"/>
      <c r="BC117" s="1103"/>
      <c r="BD117" s="1105"/>
      <c r="BE117" s="1104">
        <f>(J117+90)-(WEEKDAY(J117+90,2)-2)</f>
        <v>42339</v>
      </c>
      <c r="BF117" s="466">
        <v>42381</v>
      </c>
      <c r="BG117" s="349" t="s">
        <v>274</v>
      </c>
      <c r="BH117" s="465">
        <v>42381</v>
      </c>
      <c r="BI117" s="390"/>
      <c r="BJ117" s="382"/>
      <c r="BK117" s="396"/>
      <c r="BL117" s="396"/>
      <c r="BM117" s="396"/>
      <c r="BN117" s="396"/>
      <c r="BO117" s="396"/>
      <c r="BP117" s="396"/>
      <c r="BQ117" s="396"/>
      <c r="BR117" s="396"/>
      <c r="BS117" s="396"/>
      <c r="BT117" s="396"/>
    </row>
    <row r="118" spans="1:72" s="387" customFormat="1" ht="12.75" customHeight="1" x14ac:dyDescent="0.2">
      <c r="A118" s="484" t="s">
        <v>793</v>
      </c>
      <c r="B118" s="484" t="s">
        <v>783</v>
      </c>
      <c r="C118" s="379" t="s">
        <v>711</v>
      </c>
      <c r="D118" s="347" t="s">
        <v>179</v>
      </c>
      <c r="E118" s="347" t="s">
        <v>714</v>
      </c>
      <c r="F118" s="347"/>
      <c r="G118" s="347" t="s">
        <v>67</v>
      </c>
      <c r="H118" s="347"/>
      <c r="I118" s="1076">
        <v>42317</v>
      </c>
      <c r="J118" s="411">
        <v>42380</v>
      </c>
      <c r="K118" s="411"/>
      <c r="L118" s="1078">
        <f t="shared" si="97"/>
        <v>63</v>
      </c>
      <c r="M118" s="381">
        <v>42380</v>
      </c>
      <c r="N118" s="381">
        <v>42746</v>
      </c>
      <c r="O118" s="381"/>
      <c r="P118" s="381"/>
      <c r="Q118" s="381">
        <v>42736</v>
      </c>
      <c r="R118" s="381" t="s">
        <v>16</v>
      </c>
      <c r="S118" s="347" t="s">
        <v>162</v>
      </c>
      <c r="T118" s="347"/>
      <c r="U118" s="383"/>
      <c r="V118" s="347"/>
      <c r="W118" s="347"/>
      <c r="X118" s="385">
        <v>41390</v>
      </c>
      <c r="Y118" s="761">
        <f t="shared" si="98"/>
        <v>2.6821917808219178</v>
      </c>
      <c r="Z118" s="347" t="s">
        <v>21</v>
      </c>
      <c r="AA118" s="770" t="str">
        <f t="shared" si="108"/>
        <v>F</v>
      </c>
      <c r="AB118" s="770" t="str">
        <f t="shared" si="109"/>
        <v/>
      </c>
      <c r="AC118" s="770" t="str">
        <f t="shared" ref="AC118:AC127" si="119">IF(AND(Y118&gt;=11,Y118&lt;15),IF(Z118="M","M","F"),"")</f>
        <v/>
      </c>
      <c r="AD118" s="770" t="str">
        <f t="shared" si="110"/>
        <v/>
      </c>
      <c r="AE118" s="770" t="str">
        <f t="shared" si="111"/>
        <v/>
      </c>
      <c r="AF118" s="770"/>
      <c r="AG118" s="770"/>
      <c r="AH118" s="770"/>
      <c r="AI118" s="770"/>
      <c r="AJ118" s="770"/>
      <c r="AK118" s="770"/>
      <c r="AL118" s="770">
        <f t="shared" si="112"/>
        <v>356</v>
      </c>
      <c r="AM118" s="770">
        <f t="shared" si="113"/>
        <v>0.97534246575342465</v>
      </c>
      <c r="AN118" s="770">
        <f t="shared" si="114"/>
        <v>0</v>
      </c>
      <c r="AO118" s="761">
        <f t="shared" si="115"/>
        <v>11.704109589041096</v>
      </c>
      <c r="AP118" s="1074"/>
      <c r="AQ118" s="782">
        <f t="shared" si="94"/>
        <v>42380</v>
      </c>
      <c r="AR118" s="782">
        <f t="shared" si="102"/>
        <v>42736</v>
      </c>
      <c r="AS118" s="770">
        <f t="shared" si="95"/>
        <v>356</v>
      </c>
      <c r="AT118" s="790">
        <f>IF(AQ118&gt;'[1]calculs enfants présents'!$A$56,0,IF(Q118&lt;'[1]calculs enfants présents'!$A$56,Q118-AQ118,'[1]calculs enfants présents'!$A$56-AQ118))</f>
        <v>0</v>
      </c>
      <c r="AU118" s="791">
        <f t="shared" si="96"/>
        <v>21</v>
      </c>
      <c r="AV118" s="790">
        <f t="shared" si="90"/>
        <v>-21</v>
      </c>
      <c r="AW118" s="412"/>
      <c r="AX118" s="381">
        <v>42369</v>
      </c>
      <c r="AY118" s="955">
        <f t="shared" si="116"/>
        <v>42746</v>
      </c>
      <c r="AZ118" s="955">
        <f t="shared" si="117"/>
        <v>42736</v>
      </c>
      <c r="BA118" s="955">
        <f t="shared" si="118"/>
        <v>42717</v>
      </c>
      <c r="BB118" s="1105"/>
      <c r="BC118" s="1103"/>
      <c r="BD118" s="1076"/>
      <c r="BE118" s="1104" t="str">
        <f>IF(K118&lt;&gt;"",(K118+90)-(WEEKDAY(K118+90,2)-2),"DIPC")</f>
        <v>DIPC</v>
      </c>
      <c r="BF118" s="460"/>
      <c r="BG118" s="349"/>
      <c r="BH118" s="465"/>
      <c r="BI118" s="349"/>
      <c r="BJ118" s="572"/>
    </row>
    <row r="119" spans="1:72" s="401" customFormat="1" x14ac:dyDescent="0.2">
      <c r="A119" s="484" t="s">
        <v>413</v>
      </c>
      <c r="B119" s="484" t="s">
        <v>205</v>
      </c>
      <c r="C119" s="379" t="s">
        <v>206</v>
      </c>
      <c r="D119" s="347" t="s">
        <v>183</v>
      </c>
      <c r="E119" s="347"/>
      <c r="F119" s="347"/>
      <c r="G119" s="347"/>
      <c r="H119" s="347"/>
      <c r="I119" s="1076"/>
      <c r="J119" s="411">
        <v>41071</v>
      </c>
      <c r="K119" s="411"/>
      <c r="L119" s="1077" t="str">
        <f t="shared" si="97"/>
        <v/>
      </c>
      <c r="M119" s="381">
        <v>42166</v>
      </c>
      <c r="N119" s="708">
        <v>42532</v>
      </c>
      <c r="O119" s="708"/>
      <c r="P119" s="708"/>
      <c r="Q119" s="708">
        <v>42736</v>
      </c>
      <c r="R119" s="381" t="s">
        <v>16</v>
      </c>
      <c r="S119" s="347" t="s">
        <v>13</v>
      </c>
      <c r="T119" s="347"/>
      <c r="U119" s="383"/>
      <c r="V119" s="347"/>
      <c r="W119" s="347"/>
      <c r="X119" s="385">
        <v>35971</v>
      </c>
      <c r="Y119" s="761">
        <f t="shared" si="98"/>
        <v>17.528767123287672</v>
      </c>
      <c r="Z119" s="347" t="s">
        <v>21</v>
      </c>
      <c r="AA119" s="773" t="str">
        <f t="shared" si="108"/>
        <v/>
      </c>
      <c r="AB119" s="773" t="str">
        <f t="shared" si="109"/>
        <v/>
      </c>
      <c r="AC119" s="773" t="str">
        <f t="shared" si="119"/>
        <v/>
      </c>
      <c r="AD119" s="773" t="str">
        <f t="shared" si="110"/>
        <v>F</v>
      </c>
      <c r="AE119" s="773" t="str">
        <f t="shared" si="111"/>
        <v/>
      </c>
      <c r="AF119" s="770"/>
      <c r="AG119" s="770"/>
      <c r="AH119" s="770"/>
      <c r="AI119" s="770"/>
      <c r="AJ119" s="770"/>
      <c r="AK119" s="770"/>
      <c r="AL119" s="770">
        <f t="shared" si="112"/>
        <v>1665</v>
      </c>
      <c r="AM119" s="770">
        <f t="shared" si="113"/>
        <v>4.5616438356164384</v>
      </c>
      <c r="AN119" s="773">
        <f t="shared" si="114"/>
        <v>4</v>
      </c>
      <c r="AO119" s="761">
        <f t="shared" si="115"/>
        <v>6.7397260273972606</v>
      </c>
      <c r="AP119" s="1074"/>
      <c r="AQ119" s="782">
        <f t="shared" si="94"/>
        <v>42370</v>
      </c>
      <c r="AR119" s="782">
        <f t="shared" si="102"/>
        <v>42736</v>
      </c>
      <c r="AS119" s="770">
        <f t="shared" si="95"/>
        <v>366</v>
      </c>
      <c r="AT119" s="790">
        <f>IF(AQ119&gt;'[1]calculs enfants présents'!$A$56,0,IF(Q119&lt;'[1]calculs enfants présents'!$A$56,Q119-AQ119,'[1]calculs enfants présents'!$A$56-AQ119))</f>
        <v>0</v>
      </c>
      <c r="AU119" s="790">
        <f t="shared" si="96"/>
        <v>31</v>
      </c>
      <c r="AV119" s="790">
        <f t="shared" si="90"/>
        <v>-31</v>
      </c>
      <c r="AW119" s="346"/>
      <c r="AX119" s="381">
        <v>42369</v>
      </c>
      <c r="AY119" s="955">
        <f t="shared" si="116"/>
        <v>42532</v>
      </c>
      <c r="AZ119" s="955">
        <f t="shared" si="117"/>
        <v>42736</v>
      </c>
      <c r="BA119" s="955">
        <f t="shared" si="118"/>
        <v>42500</v>
      </c>
      <c r="BB119" s="1076"/>
      <c r="BC119" s="1103"/>
      <c r="BD119" s="1076"/>
      <c r="BE119" s="1104">
        <f>(J119+90)-(WEEKDAY(J119+90,2)-2)</f>
        <v>41156</v>
      </c>
      <c r="BF119" s="349"/>
      <c r="BG119" s="349"/>
      <c r="BH119" s="465"/>
      <c r="BI119" s="349" t="s">
        <v>275</v>
      </c>
      <c r="BJ119" s="572">
        <v>41908</v>
      </c>
      <c r="BK119" s="645"/>
      <c r="BL119" s="645"/>
      <c r="BM119" s="645"/>
      <c r="BN119" s="645"/>
      <c r="BO119" s="645"/>
      <c r="BP119" s="645"/>
      <c r="BQ119" s="645"/>
      <c r="BR119" s="645"/>
      <c r="BS119" s="645"/>
      <c r="BT119" s="645"/>
    </row>
    <row r="120" spans="1:72" s="566" customFormat="1" ht="13.15" customHeight="1" x14ac:dyDescent="0.2">
      <c r="A120" s="484" t="s">
        <v>749</v>
      </c>
      <c r="B120" s="484" t="s">
        <v>720</v>
      </c>
      <c r="C120" s="379" t="s">
        <v>186</v>
      </c>
      <c r="D120" s="347" t="s">
        <v>87</v>
      </c>
      <c r="E120" s="347" t="s">
        <v>310</v>
      </c>
      <c r="F120" s="347"/>
      <c r="G120" s="347"/>
      <c r="H120" s="347"/>
      <c r="I120" s="1076">
        <v>42313</v>
      </c>
      <c r="J120" s="411">
        <v>42340</v>
      </c>
      <c r="K120" s="411">
        <v>42345</v>
      </c>
      <c r="L120" s="1077">
        <f t="shared" si="97"/>
        <v>27</v>
      </c>
      <c r="M120" s="381">
        <v>42340</v>
      </c>
      <c r="N120" s="381">
        <v>42706</v>
      </c>
      <c r="O120" s="381"/>
      <c r="P120" s="381"/>
      <c r="Q120" s="381">
        <v>42736</v>
      </c>
      <c r="R120" s="381" t="s">
        <v>16</v>
      </c>
      <c r="S120" s="347" t="s">
        <v>16</v>
      </c>
      <c r="T120" s="347"/>
      <c r="U120" s="383"/>
      <c r="V120" s="347"/>
      <c r="W120" s="347"/>
      <c r="X120" s="385">
        <v>36697</v>
      </c>
      <c r="Y120" s="761">
        <f t="shared" si="98"/>
        <v>15.53972602739726</v>
      </c>
      <c r="Z120" s="347" t="s">
        <v>13</v>
      </c>
      <c r="AA120" s="770" t="str">
        <f t="shared" si="108"/>
        <v/>
      </c>
      <c r="AB120" s="770" t="str">
        <f t="shared" si="109"/>
        <v/>
      </c>
      <c r="AC120" s="770" t="str">
        <f t="shared" si="119"/>
        <v/>
      </c>
      <c r="AD120" s="770" t="str">
        <f t="shared" si="110"/>
        <v>M</v>
      </c>
      <c r="AE120" s="770" t="str">
        <f t="shared" si="111"/>
        <v/>
      </c>
      <c r="AF120" s="770"/>
      <c r="AG120" s="770"/>
      <c r="AH120" s="770"/>
      <c r="AI120" s="770"/>
      <c r="AJ120" s="770"/>
      <c r="AK120" s="770"/>
      <c r="AL120" s="770">
        <f t="shared" si="112"/>
        <v>396</v>
      </c>
      <c r="AM120" s="770">
        <f t="shared" si="113"/>
        <v>1.0849315068493151</v>
      </c>
      <c r="AN120" s="770">
        <f t="shared" si="114"/>
        <v>1</v>
      </c>
      <c r="AO120" s="761">
        <f t="shared" si="115"/>
        <v>1.0191780821917806</v>
      </c>
      <c r="AP120" s="1074"/>
      <c r="AQ120" s="782">
        <f t="shared" si="94"/>
        <v>42370</v>
      </c>
      <c r="AR120" s="782">
        <f t="shared" si="102"/>
        <v>42736</v>
      </c>
      <c r="AS120" s="770">
        <f t="shared" si="95"/>
        <v>366</v>
      </c>
      <c r="AT120" s="790">
        <f>IF(AQ120&gt;'[1]calculs enfants présents'!$A$56,0,IF(Q120&lt;'[1]calculs enfants présents'!$A$56,Q120-AQ120,'[1]calculs enfants présents'!$A$56-AQ120))</f>
        <v>0</v>
      </c>
      <c r="AU120" s="791">
        <f t="shared" si="96"/>
        <v>31</v>
      </c>
      <c r="AV120" s="790">
        <f t="shared" si="90"/>
        <v>-31</v>
      </c>
      <c r="AW120" s="412"/>
      <c r="AX120" s="381">
        <v>42369</v>
      </c>
      <c r="AY120" s="955">
        <f t="shared" si="116"/>
        <v>42706</v>
      </c>
      <c r="AZ120" s="955">
        <f t="shared" si="117"/>
        <v>42736</v>
      </c>
      <c r="BA120" s="955">
        <f t="shared" si="118"/>
        <v>42675</v>
      </c>
      <c r="BB120" s="1105"/>
      <c r="BC120" s="1103"/>
      <c r="BD120" s="1076"/>
      <c r="BE120" s="1104">
        <f>IF(K120&lt;&gt;"",(K120+90)-(WEEKDAY(K120+90,2)-2),"DIPC")</f>
        <v>42430</v>
      </c>
      <c r="BF120" s="460">
        <v>42453</v>
      </c>
      <c r="BG120" s="349" t="s">
        <v>276</v>
      </c>
      <c r="BH120" s="465">
        <v>42453</v>
      </c>
      <c r="BI120" s="349"/>
      <c r="BJ120" s="572"/>
      <c r="BK120" s="396"/>
      <c r="BL120" s="396"/>
      <c r="BM120" s="396"/>
      <c r="BN120" s="396"/>
      <c r="BO120" s="396"/>
      <c r="BP120" s="396"/>
      <c r="BQ120" s="396"/>
      <c r="BR120" s="396"/>
      <c r="BS120" s="396"/>
      <c r="BT120" s="396"/>
    </row>
    <row r="121" spans="1:72" s="387" customFormat="1" ht="12.75" customHeight="1" x14ac:dyDescent="0.2">
      <c r="A121" s="695" t="s">
        <v>760</v>
      </c>
      <c r="B121" s="695" t="s">
        <v>251</v>
      </c>
      <c r="C121" s="698" t="s">
        <v>252</v>
      </c>
      <c r="D121" s="555" t="s">
        <v>714</v>
      </c>
      <c r="E121" s="555"/>
      <c r="F121" s="555"/>
      <c r="G121" s="555"/>
      <c r="H121" s="555"/>
      <c r="I121" s="799">
        <v>41515</v>
      </c>
      <c r="J121" s="709">
        <v>41680</v>
      </c>
      <c r="K121" s="709"/>
      <c r="L121" s="1075">
        <f t="shared" si="97"/>
        <v>165</v>
      </c>
      <c r="M121" s="609">
        <v>42410</v>
      </c>
      <c r="N121" s="609">
        <v>42776</v>
      </c>
      <c r="O121" s="609" t="s">
        <v>628</v>
      </c>
      <c r="P121" s="609">
        <v>42776</v>
      </c>
      <c r="Q121" s="609">
        <v>42736</v>
      </c>
      <c r="R121" s="609" t="s">
        <v>156</v>
      </c>
      <c r="S121" s="555" t="s">
        <v>62</v>
      </c>
      <c r="T121" s="347"/>
      <c r="U121" s="383"/>
      <c r="V121" s="347"/>
      <c r="W121" s="347"/>
      <c r="X121" s="714">
        <v>40276</v>
      </c>
      <c r="Y121" s="759">
        <f t="shared" si="98"/>
        <v>5.7342465753424658</v>
      </c>
      <c r="Z121" s="555" t="s">
        <v>21</v>
      </c>
      <c r="AA121" s="765" t="str">
        <f t="shared" si="108"/>
        <v>F</v>
      </c>
      <c r="AB121" s="765" t="str">
        <f t="shared" si="109"/>
        <v/>
      </c>
      <c r="AC121" s="765" t="str">
        <f t="shared" si="119"/>
        <v/>
      </c>
      <c r="AD121" s="765" t="str">
        <f t="shared" si="110"/>
        <v/>
      </c>
      <c r="AE121" s="765" t="str">
        <f t="shared" si="111"/>
        <v/>
      </c>
      <c r="AF121" s="770"/>
      <c r="AG121" s="770"/>
      <c r="AH121" s="770"/>
      <c r="AI121" s="770"/>
      <c r="AJ121" s="770"/>
      <c r="AK121" s="770"/>
      <c r="AL121" s="770">
        <f t="shared" si="112"/>
        <v>1056</v>
      </c>
      <c r="AM121" s="770">
        <f t="shared" si="113"/>
        <v>2.893150684931507</v>
      </c>
      <c r="AN121" s="765">
        <f t="shared" si="114"/>
        <v>2</v>
      </c>
      <c r="AO121" s="759">
        <f t="shared" si="115"/>
        <v>10.717808219178083</v>
      </c>
      <c r="AP121" s="1079"/>
      <c r="AQ121" s="1080">
        <f t="shared" si="94"/>
        <v>42370</v>
      </c>
      <c r="AR121" s="1080">
        <f t="shared" si="102"/>
        <v>42736</v>
      </c>
      <c r="AS121" s="765">
        <f t="shared" si="95"/>
        <v>366</v>
      </c>
      <c r="AT121" s="786">
        <f>IF(AQ121&gt;'[1]calculs enfants présents'!$A$56,0,IF(Q121&lt;'[1]calculs enfants présents'!$A$56,Q121-AQ121,'[1]calculs enfants présents'!$A$56-AQ121))</f>
        <v>0</v>
      </c>
      <c r="AU121" s="787">
        <f t="shared" si="96"/>
        <v>31</v>
      </c>
      <c r="AV121" s="786">
        <f t="shared" si="90"/>
        <v>-31</v>
      </c>
      <c r="AW121" s="559"/>
      <c r="AX121" s="609">
        <v>42369</v>
      </c>
      <c r="AY121" s="956">
        <f t="shared" si="116"/>
        <v>42776</v>
      </c>
      <c r="AZ121" s="956">
        <f t="shared" si="117"/>
        <v>42736</v>
      </c>
      <c r="BA121" s="956">
        <f t="shared" si="118"/>
        <v>42745</v>
      </c>
      <c r="BB121" s="577">
        <v>42381</v>
      </c>
      <c r="BC121" s="1106" t="s">
        <v>271</v>
      </c>
      <c r="BD121" s="577">
        <v>42381</v>
      </c>
      <c r="BE121" s="1107">
        <f>(J121+90)-(WEEKDAY(J121+90,2)-2)</f>
        <v>41765</v>
      </c>
      <c r="BF121" s="561"/>
      <c r="BG121" s="556"/>
      <c r="BH121" s="563"/>
      <c r="BI121" s="565"/>
      <c r="BJ121" s="557"/>
      <c r="BK121" s="401"/>
      <c r="BL121" s="401"/>
      <c r="BM121" s="401"/>
      <c r="BN121" s="401"/>
      <c r="BO121" s="401"/>
      <c r="BP121" s="401"/>
      <c r="BQ121" s="401"/>
      <c r="BR121" s="401"/>
      <c r="BS121" s="401"/>
      <c r="BT121" s="401"/>
    </row>
    <row r="122" spans="1:72" ht="13.15" customHeight="1" x14ac:dyDescent="0.2">
      <c r="A122" s="695" t="s">
        <v>791</v>
      </c>
      <c r="B122" s="695" t="s">
        <v>296</v>
      </c>
      <c r="C122" s="698" t="s">
        <v>197</v>
      </c>
      <c r="D122" s="555" t="s">
        <v>179</v>
      </c>
      <c r="E122" s="555"/>
      <c r="F122" s="555"/>
      <c r="G122" s="555"/>
      <c r="H122" s="555"/>
      <c r="I122" s="799">
        <v>41641</v>
      </c>
      <c r="J122" s="709">
        <v>41687</v>
      </c>
      <c r="K122" s="709"/>
      <c r="L122" s="1075">
        <f t="shared" si="97"/>
        <v>46</v>
      </c>
      <c r="M122" s="609">
        <v>42052</v>
      </c>
      <c r="N122" s="609">
        <v>42417</v>
      </c>
      <c r="O122" s="609" t="s">
        <v>744</v>
      </c>
      <c r="P122" s="609">
        <v>42599</v>
      </c>
      <c r="Q122" s="609">
        <v>42736</v>
      </c>
      <c r="R122" s="609" t="s">
        <v>156</v>
      </c>
      <c r="S122" s="555" t="s">
        <v>156</v>
      </c>
      <c r="T122" s="555"/>
      <c r="U122" s="558"/>
      <c r="V122" s="555"/>
      <c r="W122" s="555"/>
      <c r="X122" s="714">
        <v>36742</v>
      </c>
      <c r="Y122" s="759">
        <f t="shared" si="98"/>
        <v>15.416438356164383</v>
      </c>
      <c r="Z122" s="555" t="s">
        <v>13</v>
      </c>
      <c r="AA122" s="765" t="str">
        <f t="shared" si="108"/>
        <v/>
      </c>
      <c r="AB122" s="765" t="str">
        <f t="shared" si="109"/>
        <v/>
      </c>
      <c r="AC122" s="765" t="str">
        <f t="shared" si="119"/>
        <v/>
      </c>
      <c r="AD122" s="765" t="str">
        <f t="shared" si="110"/>
        <v>M</v>
      </c>
      <c r="AE122" s="765" t="str">
        <f t="shared" si="111"/>
        <v/>
      </c>
      <c r="AF122" s="765"/>
      <c r="AG122" s="765"/>
      <c r="AH122" s="765"/>
      <c r="AI122" s="765"/>
      <c r="AJ122" s="765"/>
      <c r="AK122" s="765"/>
      <c r="AL122" s="765">
        <f t="shared" si="112"/>
        <v>1049</v>
      </c>
      <c r="AM122" s="765">
        <f t="shared" si="113"/>
        <v>2.8739726027397259</v>
      </c>
      <c r="AN122" s="765">
        <f t="shared" si="114"/>
        <v>2</v>
      </c>
      <c r="AO122" s="759">
        <f t="shared" si="115"/>
        <v>10.487671232876711</v>
      </c>
      <c r="AP122" s="1079"/>
      <c r="AQ122" s="1080">
        <f t="shared" si="94"/>
        <v>42370</v>
      </c>
      <c r="AR122" s="1080">
        <f t="shared" si="102"/>
        <v>42736</v>
      </c>
      <c r="AS122" s="765">
        <f t="shared" si="95"/>
        <v>366</v>
      </c>
      <c r="AT122" s="786">
        <f>IF(AQ122&gt;'[1]calculs enfants présents'!$A$56,0,IF(Q122&lt;'[1]calculs enfants présents'!$A$56,Q122-AQ122,'[1]calculs enfants présents'!$A$56-AQ122))</f>
        <v>0</v>
      </c>
      <c r="AU122" s="787">
        <f t="shared" si="96"/>
        <v>31</v>
      </c>
      <c r="AV122" s="786">
        <f t="shared" si="90"/>
        <v>-31</v>
      </c>
      <c r="AW122" s="559"/>
      <c r="AX122" s="609">
        <v>42369</v>
      </c>
      <c r="AY122" s="956">
        <f t="shared" si="116"/>
        <v>42417</v>
      </c>
      <c r="AZ122" s="956">
        <f t="shared" si="117"/>
        <v>42736</v>
      </c>
      <c r="BA122" s="956">
        <f t="shared" si="118"/>
        <v>42388</v>
      </c>
      <c r="BB122" s="577">
        <v>42388</v>
      </c>
      <c r="BC122" s="1106" t="s">
        <v>271</v>
      </c>
      <c r="BD122" s="577">
        <v>42388</v>
      </c>
      <c r="BE122" s="1107">
        <f>(J122+90)-(WEEKDAY(J122+90,2)-2)</f>
        <v>41772</v>
      </c>
      <c r="BF122" s="561"/>
      <c r="BG122" s="556"/>
      <c r="BH122" s="561"/>
      <c r="BI122" s="556" t="s">
        <v>274</v>
      </c>
      <c r="BJ122" s="611">
        <v>41967</v>
      </c>
      <c r="BK122" s="566"/>
      <c r="BL122" s="566"/>
      <c r="BM122" s="566"/>
      <c r="BN122" s="566"/>
      <c r="BO122" s="566"/>
      <c r="BP122" s="566"/>
      <c r="BQ122" s="566"/>
      <c r="BR122" s="566"/>
      <c r="BS122" s="566"/>
      <c r="BT122" s="566"/>
    </row>
    <row r="123" spans="1:72" s="401" customFormat="1" ht="12.75" customHeight="1" x14ac:dyDescent="0.2">
      <c r="A123" s="375" t="s">
        <v>677</v>
      </c>
      <c r="B123" s="375" t="s">
        <v>638</v>
      </c>
      <c r="C123" s="391" t="s">
        <v>639</v>
      </c>
      <c r="D123" s="366" t="s">
        <v>179</v>
      </c>
      <c r="E123" s="366" t="s">
        <v>714</v>
      </c>
      <c r="F123" s="366" t="s">
        <v>66</v>
      </c>
      <c r="G123" s="366" t="s">
        <v>674</v>
      </c>
      <c r="H123" s="366"/>
      <c r="I123" s="1129">
        <v>42268</v>
      </c>
      <c r="J123" s="512">
        <v>42286</v>
      </c>
      <c r="K123" s="512" t="s">
        <v>674</v>
      </c>
      <c r="L123" s="1130">
        <f t="shared" si="97"/>
        <v>18</v>
      </c>
      <c r="M123" s="369">
        <v>42286</v>
      </c>
      <c r="N123" s="369">
        <v>42375</v>
      </c>
      <c r="O123" s="369" t="s">
        <v>674</v>
      </c>
      <c r="P123" s="369" t="s">
        <v>674</v>
      </c>
      <c r="Q123" s="369">
        <v>42375</v>
      </c>
      <c r="R123" s="369" t="s">
        <v>16</v>
      </c>
      <c r="S123" s="366" t="s">
        <v>62</v>
      </c>
      <c r="T123" s="366"/>
      <c r="U123" s="393"/>
      <c r="V123" s="366"/>
      <c r="W123" s="366"/>
      <c r="X123" s="370">
        <v>36714</v>
      </c>
      <c r="Y123" s="760">
        <f t="shared" si="98"/>
        <v>15.493150684931507</v>
      </c>
      <c r="Z123" s="366" t="s">
        <v>21</v>
      </c>
      <c r="AA123" s="767" t="str">
        <f t="shared" si="108"/>
        <v/>
      </c>
      <c r="AB123" s="767" t="str">
        <f t="shared" si="109"/>
        <v/>
      </c>
      <c r="AC123" s="767" t="str">
        <f t="shared" si="119"/>
        <v/>
      </c>
      <c r="AD123" s="767" t="str">
        <f t="shared" si="110"/>
        <v>F</v>
      </c>
      <c r="AE123" s="767" t="str">
        <f t="shared" si="111"/>
        <v/>
      </c>
      <c r="AF123" s="767"/>
      <c r="AG123" s="767"/>
      <c r="AH123" s="767"/>
      <c r="AI123" s="767"/>
      <c r="AJ123" s="767"/>
      <c r="AK123" s="767"/>
      <c r="AL123" s="767">
        <f t="shared" si="112"/>
        <v>89</v>
      </c>
      <c r="AM123" s="767">
        <f t="shared" si="113"/>
        <v>0.24383561643835616</v>
      </c>
      <c r="AN123" s="767">
        <f t="shared" si="114"/>
        <v>0</v>
      </c>
      <c r="AO123" s="760">
        <f t="shared" si="115"/>
        <v>2.9260273972602739</v>
      </c>
      <c r="AP123" s="1131"/>
      <c r="AQ123" s="1132">
        <f t="shared" si="94"/>
        <v>42370</v>
      </c>
      <c r="AR123" s="1132">
        <f t="shared" si="102"/>
        <v>42375</v>
      </c>
      <c r="AS123" s="767">
        <f t="shared" si="95"/>
        <v>5</v>
      </c>
      <c r="AT123" s="788">
        <f>IF(AQ123&gt;'[1]calculs enfants présents'!$A$56,0,IF(Q123&lt;'[1]calculs enfants présents'!$A$56,Q123-AQ123,'[1]calculs enfants présents'!$A$56-AQ123))</f>
        <v>0</v>
      </c>
      <c r="AU123" s="789">
        <f t="shared" si="96"/>
        <v>5</v>
      </c>
      <c r="AV123" s="788">
        <f t="shared" si="90"/>
        <v>-5</v>
      </c>
      <c r="AW123" s="367"/>
      <c r="AX123" s="369">
        <v>42369</v>
      </c>
      <c r="AY123" s="1133">
        <f t="shared" si="116"/>
        <v>42375</v>
      </c>
      <c r="AZ123" s="1133"/>
      <c r="BA123" s="1133">
        <f t="shared" si="118"/>
        <v>42346</v>
      </c>
      <c r="BB123" s="670"/>
      <c r="BC123" s="1134"/>
      <c r="BD123" s="670"/>
      <c r="BE123" s="1135" t="e">
        <f>IF(K123&lt;&gt;"",(K123+90)-(WEEKDAY(K123+90,2)-2),"DIPC")</f>
        <v>#VALUE!</v>
      </c>
      <c r="BF123" s="684">
        <v>42418</v>
      </c>
      <c r="BG123" s="357" t="s">
        <v>271</v>
      </c>
      <c r="BH123" s="483">
        <v>42418</v>
      </c>
      <c r="BI123" s="400"/>
      <c r="BJ123" s="392"/>
      <c r="BK123" s="824"/>
      <c r="BL123" s="824"/>
      <c r="BM123" s="824"/>
      <c r="BN123" s="824"/>
      <c r="BO123" s="824"/>
      <c r="BP123" s="824"/>
      <c r="BQ123" s="824"/>
      <c r="BR123" s="824"/>
      <c r="BS123" s="825"/>
      <c r="BT123" s="825"/>
    </row>
    <row r="124" spans="1:72" s="387" customFormat="1" ht="12.75" customHeight="1" x14ac:dyDescent="0.2">
      <c r="A124" s="484" t="s">
        <v>421</v>
      </c>
      <c r="B124" s="484" t="s">
        <v>421</v>
      </c>
      <c r="C124" s="379" t="s">
        <v>245</v>
      </c>
      <c r="D124" s="347" t="s">
        <v>70</v>
      </c>
      <c r="E124" s="347" t="s">
        <v>310</v>
      </c>
      <c r="F124" s="347"/>
      <c r="G124" s="347"/>
      <c r="H124" s="347"/>
      <c r="I124" s="1076">
        <v>42027</v>
      </c>
      <c r="J124" s="411">
        <v>42079</v>
      </c>
      <c r="K124" s="411"/>
      <c r="L124" s="1077">
        <f t="shared" si="97"/>
        <v>52</v>
      </c>
      <c r="M124" s="381">
        <v>42079</v>
      </c>
      <c r="N124" s="381">
        <v>42445</v>
      </c>
      <c r="O124" s="381"/>
      <c r="P124" s="381"/>
      <c r="Q124" s="381">
        <v>42736</v>
      </c>
      <c r="R124" s="381" t="s">
        <v>156</v>
      </c>
      <c r="S124" s="347" t="s">
        <v>62</v>
      </c>
      <c r="T124" s="347"/>
      <c r="U124" s="383"/>
      <c r="V124" s="347"/>
      <c r="W124" s="347"/>
      <c r="X124" s="385">
        <v>40756</v>
      </c>
      <c r="Y124" s="761">
        <f t="shared" si="98"/>
        <v>4.419178082191781</v>
      </c>
      <c r="Z124" s="347" t="s">
        <v>13</v>
      </c>
      <c r="AA124" s="770" t="str">
        <f t="shared" si="108"/>
        <v>M</v>
      </c>
      <c r="AB124" s="770" t="str">
        <f t="shared" si="109"/>
        <v/>
      </c>
      <c r="AC124" s="770" t="str">
        <f t="shared" si="119"/>
        <v/>
      </c>
      <c r="AD124" s="770" t="str">
        <f t="shared" si="110"/>
        <v/>
      </c>
      <c r="AE124" s="770" t="str">
        <f t="shared" si="111"/>
        <v/>
      </c>
      <c r="AF124" s="770"/>
      <c r="AG124" s="770"/>
      <c r="AH124" s="770"/>
      <c r="AI124" s="770"/>
      <c r="AJ124" s="770"/>
      <c r="AK124" s="770"/>
      <c r="AL124" s="770"/>
      <c r="AM124" s="770"/>
      <c r="AN124" s="770">
        <f t="shared" si="114"/>
        <v>0</v>
      </c>
      <c r="AO124" s="761">
        <f t="shared" si="115"/>
        <v>0</v>
      </c>
      <c r="AP124" s="1074"/>
      <c r="AQ124" s="782">
        <f t="shared" si="94"/>
        <v>42370</v>
      </c>
      <c r="AR124" s="782">
        <f t="shared" si="102"/>
        <v>42736</v>
      </c>
      <c r="AS124" s="770">
        <f t="shared" si="95"/>
        <v>366</v>
      </c>
      <c r="AT124" s="790">
        <f>IF(AQ124&gt;'[1]calculs enfants présents'!$A$56,0,IF(Q124&lt;'[1]calculs enfants présents'!$A$56,Q124-AQ124,'[1]calculs enfants présents'!$A$56-AQ124))</f>
        <v>0</v>
      </c>
      <c r="AU124" s="791">
        <f t="shared" si="96"/>
        <v>31</v>
      </c>
      <c r="AV124" s="790">
        <f t="shared" ref="AV124:AV128" si="120">AT124-AU124</f>
        <v>-31</v>
      </c>
      <c r="AW124" s="412"/>
      <c r="AX124" s="381">
        <v>42369</v>
      </c>
      <c r="AY124" s="955">
        <f t="shared" si="116"/>
        <v>42445</v>
      </c>
      <c r="AZ124" s="955">
        <f t="shared" ref="AZ124:AZ155" si="121">AR124</f>
        <v>42736</v>
      </c>
      <c r="BA124" s="955">
        <f t="shared" si="118"/>
        <v>42416</v>
      </c>
      <c r="BB124" s="1105">
        <v>42416</v>
      </c>
      <c r="BC124" s="1103" t="s">
        <v>273</v>
      </c>
      <c r="BD124" s="1105">
        <v>42416</v>
      </c>
      <c r="BE124" s="1104">
        <f>(J124+90)-(WEEKDAY(J124+90,2)-2)</f>
        <v>42164</v>
      </c>
      <c r="BF124" s="460"/>
      <c r="BG124" s="349"/>
      <c r="BH124" s="465"/>
      <c r="BI124" s="349"/>
      <c r="BJ124" s="572"/>
      <c r="BK124" s="612"/>
      <c r="BL124" s="612"/>
      <c r="BM124" s="612"/>
      <c r="BN124" s="612"/>
      <c r="BO124" s="612"/>
      <c r="BP124" s="612"/>
      <c r="BQ124" s="612"/>
      <c r="BR124" s="612"/>
      <c r="BS124" s="612"/>
      <c r="BT124" s="612"/>
    </row>
    <row r="125" spans="1:72" ht="12.75" customHeight="1" x14ac:dyDescent="0.2">
      <c r="A125" s="484" t="s">
        <v>713</v>
      </c>
      <c r="B125" s="484" t="s">
        <v>207</v>
      </c>
      <c r="C125" s="379" t="s">
        <v>208</v>
      </c>
      <c r="D125" s="347" t="s">
        <v>310</v>
      </c>
      <c r="E125" s="347"/>
      <c r="F125" s="347"/>
      <c r="I125" s="1076"/>
      <c r="J125" s="411">
        <v>41176</v>
      </c>
      <c r="K125" s="411"/>
      <c r="L125" s="1077" t="str">
        <f t="shared" si="97"/>
        <v/>
      </c>
      <c r="M125" s="381">
        <v>42271</v>
      </c>
      <c r="N125" s="708">
        <v>42453</v>
      </c>
      <c r="O125" s="708"/>
      <c r="P125" s="708"/>
      <c r="Q125" s="708">
        <v>42736</v>
      </c>
      <c r="R125" s="381" t="s">
        <v>156</v>
      </c>
      <c r="S125" s="347" t="s">
        <v>157</v>
      </c>
      <c r="V125" s="347"/>
      <c r="W125" s="347"/>
      <c r="X125" s="385">
        <v>38194</v>
      </c>
      <c r="Y125" s="761">
        <f t="shared" si="98"/>
        <v>11.438356164383562</v>
      </c>
      <c r="Z125" s="347" t="s">
        <v>13</v>
      </c>
      <c r="AA125" s="773" t="str">
        <f t="shared" si="108"/>
        <v/>
      </c>
      <c r="AB125" s="773" t="str">
        <f t="shared" si="109"/>
        <v/>
      </c>
      <c r="AC125" s="773" t="str">
        <f t="shared" si="119"/>
        <v>M</v>
      </c>
      <c r="AD125" s="773" t="str">
        <f t="shared" si="110"/>
        <v/>
      </c>
      <c r="AE125" s="773" t="str">
        <f t="shared" si="111"/>
        <v/>
      </c>
      <c r="AG125" s="770"/>
      <c r="AH125" s="770"/>
      <c r="AI125" s="770"/>
      <c r="AJ125" s="770"/>
      <c r="AK125" s="770"/>
      <c r="AL125" s="770">
        <f>Q125-J125</f>
        <v>1560</v>
      </c>
      <c r="AM125" s="770">
        <f>AL125/365</f>
        <v>4.2739726027397262</v>
      </c>
      <c r="AN125" s="773">
        <f t="shared" si="114"/>
        <v>4</v>
      </c>
      <c r="AO125" s="761">
        <f t="shared" si="115"/>
        <v>3.2876712328767148</v>
      </c>
      <c r="AP125" s="1074"/>
      <c r="AQ125" s="782">
        <f t="shared" si="94"/>
        <v>42370</v>
      </c>
      <c r="AR125" s="782">
        <f t="shared" si="102"/>
        <v>42736</v>
      </c>
      <c r="AS125" s="770">
        <f t="shared" si="95"/>
        <v>366</v>
      </c>
      <c r="AT125" s="790">
        <f>IF(AQ125&gt;'[1]calculs enfants présents'!$A$56,0,IF(Q125&lt;'[1]calculs enfants présents'!$A$56,Q125-AQ125,'[1]calculs enfants présents'!$A$56-AQ125))</f>
        <v>0</v>
      </c>
      <c r="AU125" s="790">
        <f t="shared" si="96"/>
        <v>31</v>
      </c>
      <c r="AV125" s="790">
        <f t="shared" si="120"/>
        <v>-31</v>
      </c>
      <c r="AW125" s="412"/>
      <c r="AX125" s="381">
        <v>42369</v>
      </c>
      <c r="AY125" s="955">
        <f t="shared" si="116"/>
        <v>42453</v>
      </c>
      <c r="AZ125" s="955">
        <f t="shared" si="121"/>
        <v>42736</v>
      </c>
      <c r="BA125" s="955">
        <f t="shared" si="118"/>
        <v>42423</v>
      </c>
      <c r="BB125" s="1076"/>
      <c r="BC125" s="1103"/>
      <c r="BD125" s="1076"/>
      <c r="BE125" s="1104">
        <f>(J125+90)-(WEEKDAY(J125+90,2)-2)</f>
        <v>41261</v>
      </c>
      <c r="BF125" s="349"/>
      <c r="BG125" s="349"/>
      <c r="BH125" s="465"/>
      <c r="BI125" s="390"/>
      <c r="BJ125" s="382"/>
      <c r="BS125" s="387"/>
      <c r="BT125" s="387"/>
    </row>
    <row r="126" spans="1:72" ht="12.75" customHeight="1" x14ac:dyDescent="0.2">
      <c r="A126" s="484" t="s">
        <v>549</v>
      </c>
      <c r="B126" s="484" t="s">
        <v>529</v>
      </c>
      <c r="C126" s="379" t="s">
        <v>217</v>
      </c>
      <c r="D126" s="347" t="s">
        <v>70</v>
      </c>
      <c r="E126" s="347" t="s">
        <v>310</v>
      </c>
      <c r="F126" s="347"/>
      <c r="I126" s="1076">
        <v>42128</v>
      </c>
      <c r="J126" s="411">
        <v>42142</v>
      </c>
      <c r="K126" s="411"/>
      <c r="L126" s="1077">
        <f t="shared" si="97"/>
        <v>14</v>
      </c>
      <c r="M126" s="381">
        <v>42142</v>
      </c>
      <c r="N126" s="708">
        <v>42508</v>
      </c>
      <c r="O126" s="708"/>
      <c r="P126" s="708"/>
      <c r="Q126" s="708">
        <v>42736</v>
      </c>
      <c r="R126" s="381" t="s">
        <v>16</v>
      </c>
      <c r="S126" s="347" t="s">
        <v>16</v>
      </c>
      <c r="V126" s="347"/>
      <c r="W126" s="347"/>
      <c r="X126" s="385">
        <v>37071</v>
      </c>
      <c r="Y126" s="761">
        <f t="shared" si="98"/>
        <v>14.515068493150684</v>
      </c>
      <c r="Z126" s="347" t="s">
        <v>13</v>
      </c>
      <c r="AA126" s="773" t="str">
        <f t="shared" si="108"/>
        <v/>
      </c>
      <c r="AB126" s="773" t="str">
        <f t="shared" si="109"/>
        <v/>
      </c>
      <c r="AC126" s="773" t="str">
        <f t="shared" si="119"/>
        <v>M</v>
      </c>
      <c r="AD126" s="773" t="str">
        <f t="shared" si="110"/>
        <v/>
      </c>
      <c r="AE126" s="773" t="str">
        <f t="shared" si="111"/>
        <v/>
      </c>
      <c r="AG126" s="770"/>
      <c r="AH126" s="770"/>
      <c r="AI126" s="770"/>
      <c r="AJ126" s="770"/>
      <c r="AK126" s="770"/>
      <c r="AL126" s="770">
        <f>Q126-J126</f>
        <v>594</v>
      </c>
      <c r="AM126" s="770">
        <f>AL126/365</f>
        <v>1.6273972602739726</v>
      </c>
      <c r="AN126" s="773">
        <f t="shared" si="114"/>
        <v>1</v>
      </c>
      <c r="AO126" s="761">
        <f t="shared" si="115"/>
        <v>7.5287671232876709</v>
      </c>
      <c r="AP126" s="1074"/>
      <c r="AQ126" s="782">
        <f t="shared" si="94"/>
        <v>42370</v>
      </c>
      <c r="AR126" s="782">
        <f t="shared" si="102"/>
        <v>42736</v>
      </c>
      <c r="AS126" s="770">
        <f t="shared" si="95"/>
        <v>366</v>
      </c>
      <c r="AT126" s="790">
        <f>IF(AQ126&gt;'[1]calculs enfants présents'!$A$56,0,IF(Q126&lt;'[1]calculs enfants présents'!$A$56,Q126-AQ126,'[1]calculs enfants présents'!$A$56-AQ126))</f>
        <v>0</v>
      </c>
      <c r="AU126" s="790">
        <f t="shared" si="96"/>
        <v>31</v>
      </c>
      <c r="AV126" s="790">
        <f t="shared" si="120"/>
        <v>-31</v>
      </c>
      <c r="AW126" s="412"/>
      <c r="AX126" s="381">
        <v>42369</v>
      </c>
      <c r="AY126" s="955">
        <f t="shared" si="116"/>
        <v>42508</v>
      </c>
      <c r="AZ126" s="955">
        <f t="shared" si="121"/>
        <v>42736</v>
      </c>
      <c r="BA126" s="955">
        <f t="shared" si="118"/>
        <v>42479</v>
      </c>
      <c r="BB126" s="1076"/>
      <c r="BC126" s="1103"/>
      <c r="BD126" s="1076"/>
      <c r="BE126" s="1104">
        <f>(J126+90)-(WEEKDAY(J126+90,2)-2)</f>
        <v>42227</v>
      </c>
      <c r="BF126" s="460"/>
      <c r="BG126" s="349"/>
      <c r="BH126" s="465"/>
      <c r="BI126" s="390"/>
      <c r="BJ126" s="382"/>
      <c r="BK126" s="374"/>
      <c r="BL126" s="374"/>
      <c r="BM126" s="374"/>
      <c r="BN126" s="374"/>
      <c r="BO126" s="374"/>
      <c r="BP126" s="374"/>
      <c r="BQ126" s="374"/>
      <c r="BR126" s="374"/>
    </row>
    <row r="127" spans="1:72" s="401" customFormat="1" ht="12.75" customHeight="1" x14ac:dyDescent="0.2">
      <c r="A127" s="1138" t="s">
        <v>756</v>
      </c>
      <c r="B127" s="1138" t="s">
        <v>759</v>
      </c>
      <c r="C127" s="1139" t="s">
        <v>757</v>
      </c>
      <c r="D127" s="353" t="s">
        <v>87</v>
      </c>
      <c r="E127" s="353" t="s">
        <v>179</v>
      </c>
      <c r="F127" s="353"/>
      <c r="G127" s="353" t="s">
        <v>67</v>
      </c>
      <c r="H127" s="353"/>
      <c r="I127" s="1140">
        <v>42368</v>
      </c>
      <c r="J127" s="1141">
        <v>42380</v>
      </c>
      <c r="K127" s="1141"/>
      <c r="L127" s="1159">
        <v>48</v>
      </c>
      <c r="M127" s="1141">
        <v>42380</v>
      </c>
      <c r="N127" s="1141">
        <v>42746</v>
      </c>
      <c r="O127" s="1141"/>
      <c r="P127" s="1141"/>
      <c r="Q127" s="708">
        <v>42736</v>
      </c>
      <c r="R127" s="1143" t="s">
        <v>16</v>
      </c>
      <c r="S127" s="353" t="s">
        <v>20</v>
      </c>
      <c r="T127" s="1145"/>
      <c r="U127" s="1146"/>
      <c r="V127" s="1147"/>
      <c r="W127" s="763"/>
      <c r="X127" s="1145">
        <v>41093</v>
      </c>
      <c r="Y127" s="1146">
        <f t="shared" si="98"/>
        <v>4.4986301369863018</v>
      </c>
      <c r="Z127" s="353" t="s">
        <v>13</v>
      </c>
      <c r="AA127" s="763" t="s">
        <v>674</v>
      </c>
      <c r="AB127" s="763" t="str">
        <f t="shared" si="109"/>
        <v/>
      </c>
      <c r="AC127" s="763" t="str">
        <f t="shared" si="119"/>
        <v/>
      </c>
      <c r="AD127" s="1160" t="str">
        <f t="shared" si="110"/>
        <v/>
      </c>
      <c r="AE127" s="1160" t="str">
        <f t="shared" si="111"/>
        <v/>
      </c>
      <c r="AF127" s="1148"/>
      <c r="AG127" s="763"/>
      <c r="AH127" s="763"/>
      <c r="AI127" s="1150"/>
      <c r="AJ127" s="1149"/>
      <c r="AK127" s="1144"/>
      <c r="AL127" s="1143"/>
      <c r="AM127" s="1151"/>
      <c r="AN127" s="778">
        <f t="shared" si="114"/>
        <v>0</v>
      </c>
      <c r="AO127" s="759">
        <f t="shared" si="115"/>
        <v>0</v>
      </c>
      <c r="AP127" s="1144"/>
      <c r="AQ127" s="1148">
        <f t="shared" si="94"/>
        <v>42380</v>
      </c>
      <c r="AR127" s="1148">
        <f t="shared" si="102"/>
        <v>42736</v>
      </c>
      <c r="AS127" s="763">
        <f t="shared" si="95"/>
        <v>356</v>
      </c>
      <c r="AT127" s="763">
        <f>IF(AQ127&gt;'[1]calculs enfants présents'!$A$56,0,IF(Q127&lt;'[1]calculs enfants présents'!$A$56,Q127-AQ127,'[1]calculs enfants présents'!$A$56-AQ127))</f>
        <v>0</v>
      </c>
      <c r="AU127" s="763">
        <f t="shared" si="96"/>
        <v>21</v>
      </c>
      <c r="AV127" s="786">
        <f t="shared" si="120"/>
        <v>-21</v>
      </c>
      <c r="AW127" s="1144"/>
      <c r="AX127" s="1143">
        <v>42735</v>
      </c>
      <c r="AY127" s="1151">
        <f t="shared" si="116"/>
        <v>42746</v>
      </c>
      <c r="AZ127" s="1151">
        <f t="shared" si="121"/>
        <v>42736</v>
      </c>
      <c r="BA127" s="1151">
        <f t="shared" si="118"/>
        <v>42717</v>
      </c>
      <c r="BB127" s="1144"/>
      <c r="BC127" s="1144"/>
      <c r="BD127" s="1144"/>
      <c r="BE127" s="1154" t="str">
        <f>IF(K127&lt;&gt;"",(K127+90)-(WEEKDAY(K127+90,2)-2),"DIPC")</f>
        <v>DIPC</v>
      </c>
      <c r="BF127" s="388"/>
      <c r="BG127" s="388"/>
      <c r="BH127" s="1186"/>
      <c r="BI127" s="388"/>
      <c r="BJ127" s="1186"/>
      <c r="BK127" s="388"/>
      <c r="BL127" s="388"/>
      <c r="BM127" s="388"/>
      <c r="BN127" s="388"/>
      <c r="BO127" s="388"/>
      <c r="BP127" s="388"/>
      <c r="BQ127" s="388"/>
      <c r="BR127" s="388"/>
      <c r="BS127" s="388"/>
      <c r="BT127" s="388"/>
    </row>
    <row r="128" spans="1:72" s="396" customFormat="1" x14ac:dyDescent="0.2">
      <c r="A128" s="1138" t="s">
        <v>756</v>
      </c>
      <c r="B128" s="1138" t="s">
        <v>759</v>
      </c>
      <c r="C128" s="1139" t="s">
        <v>758</v>
      </c>
      <c r="D128" s="353" t="s">
        <v>87</v>
      </c>
      <c r="E128" s="353" t="s">
        <v>179</v>
      </c>
      <c r="F128" s="353"/>
      <c r="G128" s="353" t="s">
        <v>67</v>
      </c>
      <c r="H128" s="353"/>
      <c r="I128" s="1140">
        <v>42368</v>
      </c>
      <c r="J128" s="1141">
        <v>42380</v>
      </c>
      <c r="K128" s="1141"/>
      <c r="L128" s="1159">
        <v>48</v>
      </c>
      <c r="M128" s="1141">
        <v>42380</v>
      </c>
      <c r="N128" s="1141">
        <v>42746</v>
      </c>
      <c r="O128" s="1141"/>
      <c r="P128" s="1141"/>
      <c r="Q128" s="708">
        <v>42736</v>
      </c>
      <c r="R128" s="1143" t="s">
        <v>16</v>
      </c>
      <c r="S128" s="353" t="s">
        <v>20</v>
      </c>
      <c r="T128" s="1145"/>
      <c r="U128" s="1146"/>
      <c r="V128" s="1147"/>
      <c r="W128" s="763"/>
      <c r="X128" s="1145">
        <v>41531</v>
      </c>
      <c r="Y128" s="1146">
        <f t="shared" si="98"/>
        <v>3.2986301369863016</v>
      </c>
      <c r="Z128" s="353" t="s">
        <v>21</v>
      </c>
      <c r="AA128" s="763"/>
      <c r="AB128" s="763" t="str">
        <f t="shared" si="109"/>
        <v/>
      </c>
      <c r="AC128" s="763"/>
      <c r="AD128" s="1160" t="str">
        <f t="shared" si="110"/>
        <v/>
      </c>
      <c r="AE128" s="1160" t="str">
        <f t="shared" si="111"/>
        <v/>
      </c>
      <c r="AF128" s="1148"/>
      <c r="AG128" s="763"/>
      <c r="AH128" s="763"/>
      <c r="AI128" s="1150"/>
      <c r="AJ128" s="1149"/>
      <c r="AK128" s="1144"/>
      <c r="AL128" s="1143"/>
      <c r="AM128" s="1151"/>
      <c r="AN128" s="778">
        <f t="shared" si="114"/>
        <v>0</v>
      </c>
      <c r="AO128" s="759">
        <f t="shared" si="115"/>
        <v>0</v>
      </c>
      <c r="AP128" s="1144"/>
      <c r="AQ128" s="1148">
        <f t="shared" si="94"/>
        <v>42380</v>
      </c>
      <c r="AR128" s="1148">
        <f t="shared" si="102"/>
        <v>42736</v>
      </c>
      <c r="AS128" s="763">
        <f t="shared" si="95"/>
        <v>356</v>
      </c>
      <c r="AT128" s="763">
        <f>IF(AQ128&gt;'[1]calculs enfants présents'!$A$56,0,IF(Q128&lt;'[1]calculs enfants présents'!$A$56,Q128-AQ128,'[1]calculs enfants présents'!$A$56-AQ128))</f>
        <v>0</v>
      </c>
      <c r="AU128" s="763">
        <f t="shared" si="96"/>
        <v>21</v>
      </c>
      <c r="AV128" s="786">
        <f t="shared" si="120"/>
        <v>-21</v>
      </c>
      <c r="AW128" s="1144"/>
      <c r="AX128" s="1143">
        <v>42735</v>
      </c>
      <c r="AY128" s="1151">
        <f t="shared" si="116"/>
        <v>42746</v>
      </c>
      <c r="AZ128" s="1151">
        <f t="shared" si="121"/>
        <v>42736</v>
      </c>
      <c r="BA128" s="1151">
        <f t="shared" si="118"/>
        <v>42717</v>
      </c>
      <c r="BB128" s="1144"/>
      <c r="BC128" s="1144"/>
      <c r="BD128" s="1144"/>
      <c r="BE128" s="1154" t="str">
        <f>IF(K128&lt;&gt;"",(K128+90)-(WEEKDAY(K128+90,2)-2),"DIPC")</f>
        <v>DIPC</v>
      </c>
      <c r="BF128" s="388"/>
      <c r="BG128" s="388"/>
      <c r="BH128" s="1186"/>
      <c r="BI128" s="388"/>
      <c r="BJ128" s="1186"/>
      <c r="BK128" s="388"/>
      <c r="BL128" s="388"/>
      <c r="BM128" s="388"/>
      <c r="BN128" s="388"/>
      <c r="BO128" s="388"/>
      <c r="BP128" s="388"/>
      <c r="BQ128" s="388"/>
      <c r="BR128" s="388"/>
      <c r="BS128" s="388"/>
      <c r="BT128" s="388"/>
    </row>
    <row r="129" spans="1:72" ht="13.15" customHeight="1" x14ac:dyDescent="0.2">
      <c r="A129" s="1128" t="s">
        <v>808</v>
      </c>
      <c r="B129" s="1128" t="s">
        <v>809</v>
      </c>
      <c r="C129" s="403" t="s">
        <v>768</v>
      </c>
      <c r="D129" s="355" t="s">
        <v>183</v>
      </c>
      <c r="E129" s="355" t="s">
        <v>714</v>
      </c>
      <c r="F129" s="355"/>
      <c r="G129" s="355" t="s">
        <v>67</v>
      </c>
      <c r="H129" s="355"/>
      <c r="I129" s="921">
        <v>42388</v>
      </c>
      <c r="J129" s="495">
        <v>42401</v>
      </c>
      <c r="K129" s="495"/>
      <c r="L129" s="1108">
        <f t="shared" ref="L129:L138" si="122">IF(I129&lt;&gt;"",J129-I129,"")</f>
        <v>13</v>
      </c>
      <c r="M129" s="405">
        <v>42401</v>
      </c>
      <c r="N129" s="405">
        <v>42767</v>
      </c>
      <c r="O129" s="405"/>
      <c r="P129" s="405"/>
      <c r="Q129" s="405">
        <v>42736</v>
      </c>
      <c r="R129" s="405" t="s">
        <v>156</v>
      </c>
      <c r="S129" s="355" t="s">
        <v>157</v>
      </c>
      <c r="T129" s="355"/>
      <c r="U129" s="408"/>
      <c r="V129" s="355"/>
      <c r="W129" s="355"/>
      <c r="X129" s="410">
        <v>38491</v>
      </c>
      <c r="Y129" s="800">
        <f t="shared" si="98"/>
        <v>10.624657534246575</v>
      </c>
      <c r="Z129" s="355" t="s">
        <v>13</v>
      </c>
      <c r="AA129" s="779"/>
      <c r="AB129" s="779"/>
      <c r="AC129" s="779"/>
      <c r="AD129" s="779"/>
      <c r="AE129" s="779"/>
      <c r="AF129" s="779"/>
      <c r="AG129" s="779"/>
      <c r="AH129" s="779"/>
      <c r="AI129" s="779"/>
      <c r="AJ129" s="779"/>
      <c r="AK129" s="779"/>
      <c r="AL129" s="779">
        <f>Q129-J129</f>
        <v>335</v>
      </c>
      <c r="AM129" s="779">
        <f>AL129/365</f>
        <v>0.9178082191780822</v>
      </c>
      <c r="AN129" s="779"/>
      <c r="AO129" s="800">
        <f t="shared" si="115"/>
        <v>11.013698630136986</v>
      </c>
      <c r="AP129" s="1087"/>
      <c r="AQ129" s="1072">
        <f t="shared" si="94"/>
        <v>42401</v>
      </c>
      <c r="AR129" s="1072">
        <f t="shared" si="102"/>
        <v>42736</v>
      </c>
      <c r="AS129" s="779">
        <f t="shared" ref="AS129" si="123">Q129-AQ129</f>
        <v>335</v>
      </c>
      <c r="AT129" s="1036">
        <f>IF(AQ129&gt;'[1]calculs enfants présents'!$A$56,0,IF(Q129&lt;'[1]calculs enfants présents'!$A$56,Q129-AQ129,'[1]calculs enfants présents'!$A$56-AQ129))</f>
        <v>0</v>
      </c>
      <c r="AU129" s="1037">
        <f t="shared" si="96"/>
        <v>0</v>
      </c>
      <c r="AV129" s="1036">
        <f t="shared" ref="AV129" si="124">AT129-AU129</f>
        <v>0</v>
      </c>
      <c r="AW129" s="1048"/>
      <c r="AX129" s="405">
        <v>42369</v>
      </c>
      <c r="AY129" s="954">
        <f t="shared" si="116"/>
        <v>42767</v>
      </c>
      <c r="AZ129" s="954">
        <f t="shared" si="121"/>
        <v>42736</v>
      </c>
      <c r="BA129" s="954">
        <f t="shared" si="118"/>
        <v>42738</v>
      </c>
      <c r="BB129" s="1109"/>
      <c r="BC129" s="1110"/>
      <c r="BD129" s="921"/>
      <c r="BE129" s="1111" t="str">
        <f>IF(K129&lt;&gt;"",(K129+90)-(WEEKDAY(K129+90,2)-2),"DIPC")</f>
        <v>DIPC</v>
      </c>
      <c r="BF129" s="511"/>
      <c r="BG129" s="356"/>
      <c r="BH129" s="511"/>
      <c r="BI129" s="356"/>
      <c r="BJ129" s="554"/>
      <c r="BK129" s="396"/>
      <c r="BL129" s="396"/>
      <c r="BM129" s="396"/>
      <c r="BN129" s="396"/>
      <c r="BO129" s="396"/>
      <c r="BP129" s="396"/>
      <c r="BQ129" s="396"/>
      <c r="BR129" s="396"/>
      <c r="BS129" s="396"/>
      <c r="BT129" s="396"/>
    </row>
    <row r="130" spans="1:72" s="387" customFormat="1" ht="13.15" customHeight="1" x14ac:dyDescent="0.2">
      <c r="A130" s="484" t="s">
        <v>444</v>
      </c>
      <c r="B130" s="484" t="s">
        <v>444</v>
      </c>
      <c r="C130" s="379" t="s">
        <v>445</v>
      </c>
      <c r="D130" s="347" t="s">
        <v>179</v>
      </c>
      <c r="E130" s="347" t="s">
        <v>87</v>
      </c>
      <c r="F130" s="347"/>
      <c r="G130" s="347"/>
      <c r="H130" s="347"/>
      <c r="I130" s="1076">
        <v>42053</v>
      </c>
      <c r="J130" s="411">
        <v>42079</v>
      </c>
      <c r="K130" s="411"/>
      <c r="L130" s="1077">
        <f t="shared" si="122"/>
        <v>26</v>
      </c>
      <c r="M130" s="381">
        <v>42079</v>
      </c>
      <c r="N130" s="708">
        <v>42445</v>
      </c>
      <c r="O130" s="708"/>
      <c r="P130" s="708"/>
      <c r="Q130" s="708">
        <v>42736</v>
      </c>
      <c r="R130" s="381" t="s">
        <v>16</v>
      </c>
      <c r="S130" s="347" t="s">
        <v>20</v>
      </c>
      <c r="T130" s="347"/>
      <c r="U130" s="383"/>
      <c r="V130" s="347"/>
      <c r="W130" s="347"/>
      <c r="X130" s="385">
        <v>39340</v>
      </c>
      <c r="Y130" s="761">
        <f t="shared" si="98"/>
        <v>8.2986301369863007</v>
      </c>
      <c r="Z130" s="347" t="s">
        <v>13</v>
      </c>
      <c r="AA130" s="770" t="str">
        <f t="shared" ref="AA130:AA157" si="125">IF(Y130&lt;6,IF(Z130="M","M","F"),"")</f>
        <v/>
      </c>
      <c r="AB130" s="770" t="str">
        <f t="shared" ref="AB130:AB157" si="126">IF(AND(Y130&gt;=6,Y130&lt;11),IF(Z130="M","M","F"),"")</f>
        <v>M</v>
      </c>
      <c r="AC130" s="770" t="str">
        <f t="shared" ref="AC130:AC137" si="127">IF(AND(Y130&gt;=11,Y130&lt;15),IF(Z130="M","M","F"),"")</f>
        <v/>
      </c>
      <c r="AD130" s="770" t="str">
        <f t="shared" ref="AD130:AD137" si="128">IF(AND(Y130&gt;=15,Y130&lt;18),IF(Z130="M","M","F"),"")</f>
        <v/>
      </c>
      <c r="AE130" s="770" t="str">
        <f>IF(Y130&gt;18,IF(Z130="M","M","F"),"")</f>
        <v/>
      </c>
      <c r="AF130" s="773" t="str">
        <f>IF(Z130&gt;18,IF(AA130="M","M","F"),"")</f>
        <v>F</v>
      </c>
      <c r="AG130" s="770"/>
      <c r="AH130" s="770"/>
      <c r="AI130" s="770"/>
      <c r="AJ130" s="770"/>
      <c r="AK130" s="770"/>
      <c r="AL130" s="770"/>
      <c r="AM130" s="770"/>
      <c r="AN130" s="770">
        <f t="shared" ref="AN130:AN137" si="129">INT(AM130)</f>
        <v>0</v>
      </c>
      <c r="AO130" s="761">
        <f t="shared" si="115"/>
        <v>0</v>
      </c>
      <c r="AP130" s="1074"/>
      <c r="AQ130" s="782">
        <f t="shared" ref="AQ130:AQ161" si="130">IF(J130&lt;DATE(2016,1,1),DATE(2016,1,1),J130)</f>
        <v>42370</v>
      </c>
      <c r="AR130" s="782">
        <f t="shared" si="102"/>
        <v>42736</v>
      </c>
      <c r="AS130" s="770">
        <f t="shared" ref="AS130:AS161" si="131">Q130-AQ130</f>
        <v>366</v>
      </c>
      <c r="AT130" s="790">
        <f>IF(AQ130&gt;'[1]calculs enfants présents'!$A$56,0,IF(Q130&lt;'[1]calculs enfants présents'!$A$56,Q130-AQ130,'[1]calculs enfants présents'!$A$56-AQ130))</f>
        <v>0</v>
      </c>
      <c r="AU130" s="790">
        <f t="shared" ref="AU130:AU179" si="132">IF($AQ130&gt;$AV$1,0,IF($Q130&lt;$AV$1,$Q130-$AQ130,$AV$1-$AQ130))</f>
        <v>31</v>
      </c>
      <c r="AV130" s="790">
        <f t="shared" ref="AV130:AV180" si="133">AT130-AU130</f>
        <v>-31</v>
      </c>
      <c r="AW130" s="412"/>
      <c r="AX130" s="381">
        <v>42369</v>
      </c>
      <c r="AY130" s="955">
        <f t="shared" si="116"/>
        <v>42445</v>
      </c>
      <c r="AZ130" s="955">
        <f t="shared" si="121"/>
        <v>42736</v>
      </c>
      <c r="BA130" s="955">
        <f t="shared" si="118"/>
        <v>42416</v>
      </c>
      <c r="BB130" s="1105">
        <v>42416</v>
      </c>
      <c r="BC130" s="1103" t="s">
        <v>271</v>
      </c>
      <c r="BD130" s="1076">
        <v>42416</v>
      </c>
      <c r="BE130" s="1104">
        <f t="shared" ref="BE130:BE137" si="134">(J130+90)-(WEEKDAY(J130+90,2)-2)</f>
        <v>42164</v>
      </c>
      <c r="BF130" s="460"/>
      <c r="BG130" s="349"/>
      <c r="BH130" s="460"/>
      <c r="BI130" s="349"/>
      <c r="BJ130" s="572"/>
      <c r="BK130" s="566"/>
      <c r="BL130" s="566"/>
      <c r="BM130" s="566"/>
      <c r="BN130" s="566"/>
      <c r="BO130" s="566"/>
      <c r="BP130" s="566"/>
      <c r="BQ130" s="566"/>
      <c r="BR130" s="566"/>
      <c r="BS130" s="566"/>
      <c r="BT130" s="566"/>
    </row>
    <row r="131" spans="1:72" s="387" customFormat="1" ht="13.15" customHeight="1" x14ac:dyDescent="0.2">
      <c r="A131" s="484" t="s">
        <v>444</v>
      </c>
      <c r="B131" s="484" t="s">
        <v>444</v>
      </c>
      <c r="C131" s="379" t="s">
        <v>446</v>
      </c>
      <c r="D131" s="347" t="s">
        <v>179</v>
      </c>
      <c r="E131" s="347" t="s">
        <v>87</v>
      </c>
      <c r="F131" s="347"/>
      <c r="G131" s="347"/>
      <c r="H131" s="347"/>
      <c r="I131" s="1076">
        <v>42053</v>
      </c>
      <c r="J131" s="411">
        <v>42079</v>
      </c>
      <c r="K131" s="411"/>
      <c r="L131" s="1077">
        <f t="shared" si="122"/>
        <v>26</v>
      </c>
      <c r="M131" s="381">
        <v>42079</v>
      </c>
      <c r="N131" s="708">
        <v>42445</v>
      </c>
      <c r="O131" s="708"/>
      <c r="P131" s="708"/>
      <c r="Q131" s="708">
        <v>42736</v>
      </c>
      <c r="R131" s="381" t="s">
        <v>16</v>
      </c>
      <c r="S131" s="347" t="s">
        <v>20</v>
      </c>
      <c r="T131" s="347"/>
      <c r="U131" s="383"/>
      <c r="V131" s="347"/>
      <c r="W131" s="347"/>
      <c r="X131" s="385">
        <v>36918</v>
      </c>
      <c r="Y131" s="761">
        <f t="shared" ref="Y131:Y162" si="135">(AX131-X131)/365</f>
        <v>14.934246575342465</v>
      </c>
      <c r="Z131" s="347" t="s">
        <v>13</v>
      </c>
      <c r="AA131" s="770" t="str">
        <f t="shared" si="125"/>
        <v/>
      </c>
      <c r="AB131" s="770" t="str">
        <f t="shared" si="126"/>
        <v/>
      </c>
      <c r="AC131" s="770" t="str">
        <f t="shared" si="127"/>
        <v>M</v>
      </c>
      <c r="AD131" s="770" t="str">
        <f t="shared" si="128"/>
        <v/>
      </c>
      <c r="AE131" s="770" t="str">
        <f>IF(Y131&gt;18,IF(Z131="M","M","F"),"")</f>
        <v/>
      </c>
      <c r="AF131" s="773" t="str">
        <f>IF(Z131&gt;18,IF(AA131="M","M","F"),"")</f>
        <v>F</v>
      </c>
      <c r="AG131" s="770"/>
      <c r="AH131" s="770"/>
      <c r="AI131" s="770"/>
      <c r="AJ131" s="770"/>
      <c r="AK131" s="770"/>
      <c r="AL131" s="770"/>
      <c r="AM131" s="770"/>
      <c r="AN131" s="770">
        <f t="shared" si="129"/>
        <v>0</v>
      </c>
      <c r="AO131" s="761">
        <f t="shared" si="115"/>
        <v>0</v>
      </c>
      <c r="AP131" s="1074"/>
      <c r="AQ131" s="782">
        <f t="shared" si="130"/>
        <v>42370</v>
      </c>
      <c r="AR131" s="782">
        <f t="shared" si="102"/>
        <v>42736</v>
      </c>
      <c r="AS131" s="770">
        <f t="shared" si="131"/>
        <v>366</v>
      </c>
      <c r="AT131" s="790">
        <f>IF(AQ131&gt;'[1]calculs enfants présents'!$A$56,0,IF(Q131&lt;'[1]calculs enfants présents'!$A$56,Q131-AQ131,'[1]calculs enfants présents'!$A$56-AQ131))</f>
        <v>0</v>
      </c>
      <c r="AU131" s="790">
        <f t="shared" si="132"/>
        <v>31</v>
      </c>
      <c r="AV131" s="790">
        <f t="shared" si="133"/>
        <v>-31</v>
      </c>
      <c r="AW131" s="412"/>
      <c r="AX131" s="381">
        <v>42369</v>
      </c>
      <c r="AY131" s="955">
        <f t="shared" si="116"/>
        <v>42445</v>
      </c>
      <c r="AZ131" s="955">
        <f t="shared" si="121"/>
        <v>42736</v>
      </c>
      <c r="BA131" s="955">
        <f t="shared" si="118"/>
        <v>42416</v>
      </c>
      <c r="BB131" s="1105">
        <v>42416</v>
      </c>
      <c r="BC131" s="1103" t="s">
        <v>271</v>
      </c>
      <c r="BD131" s="1076"/>
      <c r="BE131" s="1104">
        <f t="shared" si="134"/>
        <v>42164</v>
      </c>
      <c r="BF131" s="460"/>
      <c r="BG131" s="349"/>
      <c r="BH131" s="465"/>
      <c r="BI131" s="349"/>
      <c r="BJ131" s="572"/>
      <c r="BK131" s="396"/>
      <c r="BL131" s="396"/>
      <c r="BM131" s="396"/>
      <c r="BN131" s="396"/>
      <c r="BO131" s="396"/>
      <c r="BP131" s="396"/>
      <c r="BQ131" s="396"/>
      <c r="BR131" s="396"/>
      <c r="BS131" s="396"/>
      <c r="BT131" s="396"/>
    </row>
    <row r="132" spans="1:72" s="674" customFormat="1" ht="13.15" customHeight="1" x14ac:dyDescent="0.2">
      <c r="A132" s="484" t="s">
        <v>444</v>
      </c>
      <c r="B132" s="484" t="s">
        <v>444</v>
      </c>
      <c r="C132" s="379" t="s">
        <v>447</v>
      </c>
      <c r="D132" s="347" t="s">
        <v>179</v>
      </c>
      <c r="E132" s="347" t="s">
        <v>87</v>
      </c>
      <c r="F132" s="347"/>
      <c r="G132" s="347"/>
      <c r="H132" s="347"/>
      <c r="I132" s="1076">
        <v>42053</v>
      </c>
      <c r="J132" s="411">
        <v>42079</v>
      </c>
      <c r="K132" s="411"/>
      <c r="L132" s="1077">
        <f t="shared" si="122"/>
        <v>26</v>
      </c>
      <c r="M132" s="381">
        <v>42079</v>
      </c>
      <c r="N132" s="708">
        <v>42445</v>
      </c>
      <c r="O132" s="708"/>
      <c r="P132" s="708"/>
      <c r="Q132" s="708">
        <v>42736</v>
      </c>
      <c r="R132" s="381" t="s">
        <v>16</v>
      </c>
      <c r="S132" s="347" t="s">
        <v>20</v>
      </c>
      <c r="T132" s="347"/>
      <c r="U132" s="383"/>
      <c r="V132" s="347"/>
      <c r="W132" s="347"/>
      <c r="X132" s="385">
        <v>38267</v>
      </c>
      <c r="Y132" s="761">
        <f t="shared" si="135"/>
        <v>11.238356164383562</v>
      </c>
      <c r="Z132" s="347" t="s">
        <v>13</v>
      </c>
      <c r="AA132" s="770" t="str">
        <f t="shared" si="125"/>
        <v/>
      </c>
      <c r="AB132" s="770" t="str">
        <f t="shared" si="126"/>
        <v/>
      </c>
      <c r="AC132" s="770" t="str">
        <f t="shared" si="127"/>
        <v>M</v>
      </c>
      <c r="AD132" s="770" t="str">
        <f t="shared" si="128"/>
        <v/>
      </c>
      <c r="AE132" s="770" t="str">
        <f t="shared" ref="AE132:AE137" si="136">IF(Y132&gt;18,IF(Z132="M","M","F"),"")</f>
        <v/>
      </c>
      <c r="AF132" s="770"/>
      <c r="AG132" s="770"/>
      <c r="AH132" s="770"/>
      <c r="AI132" s="770"/>
      <c r="AJ132" s="770"/>
      <c r="AK132" s="770"/>
      <c r="AL132" s="770"/>
      <c r="AM132" s="770"/>
      <c r="AN132" s="770">
        <f t="shared" si="129"/>
        <v>0</v>
      </c>
      <c r="AO132" s="761">
        <f t="shared" si="115"/>
        <v>0</v>
      </c>
      <c r="AP132" s="1074"/>
      <c r="AQ132" s="782">
        <f t="shared" si="130"/>
        <v>42370</v>
      </c>
      <c r="AR132" s="782">
        <f t="shared" ref="AR132:AR163" si="137">Q132</f>
        <v>42736</v>
      </c>
      <c r="AS132" s="770">
        <f t="shared" si="131"/>
        <v>366</v>
      </c>
      <c r="AT132" s="790">
        <f>IF(AQ132&gt;'[1]calculs enfants présents'!$A$56,0,IF(Q132&lt;'[1]calculs enfants présents'!$A$56,Q132-AQ132,'[1]calculs enfants présents'!$A$56-AQ132))</f>
        <v>0</v>
      </c>
      <c r="AU132" s="790">
        <f t="shared" si="132"/>
        <v>31</v>
      </c>
      <c r="AV132" s="790">
        <f t="shared" si="133"/>
        <v>-31</v>
      </c>
      <c r="AW132" s="412"/>
      <c r="AX132" s="381">
        <v>42369</v>
      </c>
      <c r="AY132" s="955">
        <f t="shared" si="116"/>
        <v>42445</v>
      </c>
      <c r="AZ132" s="955">
        <f t="shared" si="121"/>
        <v>42736</v>
      </c>
      <c r="BA132" s="955">
        <f t="shared" si="118"/>
        <v>42416</v>
      </c>
      <c r="BB132" s="1105">
        <v>42416</v>
      </c>
      <c r="BC132" s="1103" t="s">
        <v>271</v>
      </c>
      <c r="BD132" s="1076"/>
      <c r="BE132" s="1104">
        <f t="shared" si="134"/>
        <v>42164</v>
      </c>
      <c r="BF132" s="460"/>
      <c r="BG132" s="349"/>
      <c r="BH132" s="465"/>
      <c r="BI132" s="349"/>
      <c r="BJ132" s="572"/>
      <c r="BK132" s="374"/>
      <c r="BL132" s="374"/>
      <c r="BM132" s="374"/>
      <c r="BN132" s="374"/>
      <c r="BO132" s="374"/>
      <c r="BP132" s="374"/>
      <c r="BQ132" s="374"/>
      <c r="BR132" s="374"/>
      <c r="BS132" s="374"/>
      <c r="BT132" s="374"/>
    </row>
    <row r="133" spans="1:72" s="396" customFormat="1" ht="13.15" customHeight="1" x14ac:dyDescent="0.2">
      <c r="A133" s="484" t="s">
        <v>533</v>
      </c>
      <c r="B133" s="484" t="s">
        <v>533</v>
      </c>
      <c r="C133" s="379" t="s">
        <v>193</v>
      </c>
      <c r="D133" s="347" t="s">
        <v>138</v>
      </c>
      <c r="E133" s="347" t="s">
        <v>179</v>
      </c>
      <c r="F133" s="347"/>
      <c r="G133" s="347"/>
      <c r="H133" s="347"/>
      <c r="I133" s="1076">
        <v>42137</v>
      </c>
      <c r="J133" s="411">
        <v>42186</v>
      </c>
      <c r="K133" s="411"/>
      <c r="L133" s="1077">
        <f t="shared" si="122"/>
        <v>49</v>
      </c>
      <c r="M133" s="381">
        <v>42186</v>
      </c>
      <c r="N133" s="708">
        <v>42552</v>
      </c>
      <c r="O133" s="708"/>
      <c r="P133" s="708"/>
      <c r="Q133" s="708">
        <v>42736</v>
      </c>
      <c r="R133" s="381" t="s">
        <v>156</v>
      </c>
      <c r="S133" s="347" t="s">
        <v>162</v>
      </c>
      <c r="T133" s="347"/>
      <c r="U133" s="383"/>
      <c r="V133" s="347"/>
      <c r="W133" s="347"/>
      <c r="X133" s="385">
        <v>39546</v>
      </c>
      <c r="Y133" s="761">
        <f t="shared" si="135"/>
        <v>7.7342465753424658</v>
      </c>
      <c r="Z133" s="347" t="s">
        <v>13</v>
      </c>
      <c r="AA133" s="770" t="str">
        <f t="shared" si="125"/>
        <v/>
      </c>
      <c r="AB133" s="770" t="str">
        <f t="shared" si="126"/>
        <v>M</v>
      </c>
      <c r="AC133" s="770" t="str">
        <f t="shared" si="127"/>
        <v/>
      </c>
      <c r="AD133" s="770" t="str">
        <f t="shared" si="128"/>
        <v/>
      </c>
      <c r="AE133" s="770" t="str">
        <f t="shared" si="136"/>
        <v/>
      </c>
      <c r="AF133" s="770"/>
      <c r="AG133" s="770"/>
      <c r="AH133" s="770"/>
      <c r="AI133" s="770"/>
      <c r="AJ133" s="770"/>
      <c r="AK133" s="770"/>
      <c r="AL133" s="770"/>
      <c r="AM133" s="770"/>
      <c r="AN133" s="770">
        <f t="shared" si="129"/>
        <v>0</v>
      </c>
      <c r="AO133" s="761">
        <f t="shared" si="115"/>
        <v>0</v>
      </c>
      <c r="AP133" s="1074"/>
      <c r="AQ133" s="782">
        <f t="shared" si="130"/>
        <v>42370</v>
      </c>
      <c r="AR133" s="782">
        <f t="shared" si="137"/>
        <v>42736</v>
      </c>
      <c r="AS133" s="770">
        <f t="shared" si="131"/>
        <v>366</v>
      </c>
      <c r="AT133" s="790">
        <f>IF(AQ133&gt;'[1]calculs enfants présents'!$A$56,0,IF(Q133&lt;'[1]calculs enfants présents'!$A$56,Q133-AQ133,'[1]calculs enfants présents'!$A$56-AQ133))</f>
        <v>0</v>
      </c>
      <c r="AU133" s="790">
        <f t="shared" si="132"/>
        <v>31</v>
      </c>
      <c r="AV133" s="790">
        <f t="shared" si="133"/>
        <v>-31</v>
      </c>
      <c r="AW133" s="412"/>
      <c r="AX133" s="381">
        <v>42369</v>
      </c>
      <c r="AY133" s="955">
        <f t="shared" si="116"/>
        <v>42552</v>
      </c>
      <c r="AZ133" s="955">
        <f t="shared" si="121"/>
        <v>42736</v>
      </c>
      <c r="BA133" s="955">
        <f t="shared" si="118"/>
        <v>42521</v>
      </c>
      <c r="BB133" s="1105"/>
      <c r="BC133" s="1103"/>
      <c r="BD133" s="1076"/>
      <c r="BE133" s="1104">
        <f t="shared" si="134"/>
        <v>42276</v>
      </c>
      <c r="BF133" s="460">
        <v>42360</v>
      </c>
      <c r="BG133" s="349" t="s">
        <v>270</v>
      </c>
      <c r="BH133" s="465">
        <v>42360</v>
      </c>
      <c r="BI133" s="349"/>
      <c r="BJ133" s="572"/>
      <c r="BK133" s="387"/>
      <c r="BL133" s="387"/>
      <c r="BM133" s="387"/>
      <c r="BN133" s="387"/>
      <c r="BO133" s="387"/>
      <c r="BP133" s="387"/>
      <c r="BQ133" s="387"/>
      <c r="BR133" s="387"/>
      <c r="BS133" s="387"/>
      <c r="BT133" s="387"/>
    </row>
    <row r="134" spans="1:72" s="566" customFormat="1" ht="13.15" customHeight="1" x14ac:dyDescent="0.2">
      <c r="A134" s="695" t="s">
        <v>223</v>
      </c>
      <c r="B134" s="695" t="s">
        <v>223</v>
      </c>
      <c r="C134" s="698" t="s">
        <v>224</v>
      </c>
      <c r="D134" s="555" t="s">
        <v>70</v>
      </c>
      <c r="E134" s="555"/>
      <c r="F134" s="555"/>
      <c r="G134" s="555"/>
      <c r="H134" s="555"/>
      <c r="I134" s="799">
        <v>41220</v>
      </c>
      <c r="J134" s="709">
        <v>41296</v>
      </c>
      <c r="K134" s="709">
        <v>42381</v>
      </c>
      <c r="L134" s="1125">
        <f t="shared" si="122"/>
        <v>76</v>
      </c>
      <c r="M134" s="609">
        <v>42026</v>
      </c>
      <c r="N134" s="710">
        <v>42391</v>
      </c>
      <c r="O134" s="710" t="s">
        <v>750</v>
      </c>
      <c r="P134" s="710">
        <v>42757</v>
      </c>
      <c r="Q134" s="710">
        <v>42736</v>
      </c>
      <c r="R134" s="609" t="s">
        <v>16</v>
      </c>
      <c r="S134" s="555" t="s">
        <v>13</v>
      </c>
      <c r="T134" s="555"/>
      <c r="U134" s="558"/>
      <c r="V134" s="555"/>
      <c r="W134" s="555"/>
      <c r="X134" s="714">
        <v>38378</v>
      </c>
      <c r="Y134" s="759">
        <f t="shared" si="135"/>
        <v>10.934246575342465</v>
      </c>
      <c r="Z134" s="555" t="s">
        <v>13</v>
      </c>
      <c r="AA134" s="778" t="str">
        <f t="shared" si="125"/>
        <v/>
      </c>
      <c r="AB134" s="778" t="str">
        <f t="shared" si="126"/>
        <v>M</v>
      </c>
      <c r="AC134" s="778" t="str">
        <f t="shared" si="127"/>
        <v/>
      </c>
      <c r="AD134" s="778" t="str">
        <f t="shared" si="128"/>
        <v/>
      </c>
      <c r="AE134" s="778" t="str">
        <f t="shared" si="136"/>
        <v/>
      </c>
      <c r="AF134" s="765"/>
      <c r="AG134" s="765"/>
      <c r="AH134" s="765"/>
      <c r="AI134" s="765"/>
      <c r="AJ134" s="765"/>
      <c r="AK134" s="765"/>
      <c r="AL134" s="765">
        <f>Q134-J134</f>
        <v>1440</v>
      </c>
      <c r="AM134" s="765">
        <f>AL134/365</f>
        <v>3.9452054794520546</v>
      </c>
      <c r="AN134" s="778">
        <f t="shared" si="129"/>
        <v>3</v>
      </c>
      <c r="AO134" s="759">
        <f t="shared" si="115"/>
        <v>11.342465753424655</v>
      </c>
      <c r="AP134" s="1079"/>
      <c r="AQ134" s="1080">
        <f t="shared" si="130"/>
        <v>42370</v>
      </c>
      <c r="AR134" s="1080">
        <f t="shared" si="137"/>
        <v>42736</v>
      </c>
      <c r="AS134" s="765">
        <f t="shared" si="131"/>
        <v>366</v>
      </c>
      <c r="AT134" s="786">
        <f>IF(AQ134&gt;'[1]calculs enfants présents'!$A$56,0,IF(Q134&lt;'[1]calculs enfants présents'!$A$56,Q134-AQ134,'[1]calculs enfants présents'!$A$56-AQ134))</f>
        <v>0</v>
      </c>
      <c r="AU134" s="786">
        <f t="shared" si="132"/>
        <v>31</v>
      </c>
      <c r="AV134" s="786">
        <f t="shared" si="133"/>
        <v>-31</v>
      </c>
      <c r="AW134" s="559"/>
      <c r="AX134" s="609">
        <v>42369</v>
      </c>
      <c r="AY134" s="956">
        <f t="shared" si="116"/>
        <v>42391</v>
      </c>
      <c r="AZ134" s="956">
        <f t="shared" si="121"/>
        <v>42736</v>
      </c>
      <c r="BA134" s="956">
        <f t="shared" si="118"/>
        <v>42360</v>
      </c>
      <c r="BB134" s="577">
        <v>42346</v>
      </c>
      <c r="BC134" s="1106" t="s">
        <v>276</v>
      </c>
      <c r="BD134" s="577"/>
      <c r="BE134" s="1107">
        <f t="shared" si="134"/>
        <v>41387</v>
      </c>
      <c r="BF134" s="561"/>
      <c r="BG134" s="556"/>
      <c r="BH134" s="563"/>
      <c r="BI134" s="556"/>
      <c r="BJ134" s="611"/>
      <c r="BK134" s="401"/>
      <c r="BL134" s="401"/>
      <c r="BM134" s="401"/>
      <c r="BN134" s="401"/>
      <c r="BO134" s="401"/>
      <c r="BP134" s="401"/>
      <c r="BQ134" s="401"/>
      <c r="BR134" s="401"/>
      <c r="BS134" s="401"/>
      <c r="BT134" s="401"/>
    </row>
    <row r="135" spans="1:72" s="401" customFormat="1" ht="12.75" customHeight="1" x14ac:dyDescent="0.2">
      <c r="A135" s="484" t="s">
        <v>312</v>
      </c>
      <c r="B135" s="484" t="s">
        <v>312</v>
      </c>
      <c r="C135" s="379" t="s">
        <v>301</v>
      </c>
      <c r="D135" s="347" t="s">
        <v>179</v>
      </c>
      <c r="E135" s="347"/>
      <c r="F135" s="347"/>
      <c r="G135" s="347"/>
      <c r="H135" s="347"/>
      <c r="I135" s="1076">
        <v>41667</v>
      </c>
      <c r="J135" s="411">
        <v>41711</v>
      </c>
      <c r="K135" s="411"/>
      <c r="L135" s="1077">
        <f t="shared" si="122"/>
        <v>44</v>
      </c>
      <c r="M135" s="381">
        <v>42076</v>
      </c>
      <c r="N135" s="381">
        <v>42442</v>
      </c>
      <c r="O135" s="381"/>
      <c r="P135" s="381"/>
      <c r="Q135" s="381">
        <v>42736</v>
      </c>
      <c r="R135" s="381" t="s">
        <v>16</v>
      </c>
      <c r="S135" s="347" t="s">
        <v>20</v>
      </c>
      <c r="T135" s="347"/>
      <c r="U135" s="383"/>
      <c r="V135" s="347"/>
      <c r="W135" s="347"/>
      <c r="X135" s="385">
        <v>37413</v>
      </c>
      <c r="Y135" s="761">
        <f t="shared" si="135"/>
        <v>13.578082191780823</v>
      </c>
      <c r="Z135" s="347" t="s">
        <v>13</v>
      </c>
      <c r="AA135" s="773" t="str">
        <f t="shared" si="125"/>
        <v/>
      </c>
      <c r="AB135" s="773" t="str">
        <f t="shared" si="126"/>
        <v/>
      </c>
      <c r="AC135" s="773" t="str">
        <f t="shared" si="127"/>
        <v>M</v>
      </c>
      <c r="AD135" s="773" t="str">
        <f t="shared" si="128"/>
        <v/>
      </c>
      <c r="AE135" s="773" t="str">
        <f t="shared" si="136"/>
        <v/>
      </c>
      <c r="AF135" s="770"/>
      <c r="AG135" s="770"/>
      <c r="AH135" s="770"/>
      <c r="AI135" s="770"/>
      <c r="AJ135" s="770"/>
      <c r="AK135" s="770"/>
      <c r="AL135" s="770">
        <f>Q135-J135</f>
        <v>1025</v>
      </c>
      <c r="AM135" s="770">
        <f>AL135/365</f>
        <v>2.8082191780821919</v>
      </c>
      <c r="AN135" s="770">
        <f t="shared" si="129"/>
        <v>2</v>
      </c>
      <c r="AO135" s="761">
        <f t="shared" si="115"/>
        <v>9.6986301369863028</v>
      </c>
      <c r="AP135" s="1074"/>
      <c r="AQ135" s="782">
        <f t="shared" si="130"/>
        <v>42370</v>
      </c>
      <c r="AR135" s="782">
        <f t="shared" si="137"/>
        <v>42736</v>
      </c>
      <c r="AS135" s="770">
        <f t="shared" si="131"/>
        <v>366</v>
      </c>
      <c r="AT135" s="790">
        <f>IF(AQ135&gt;'[1]calculs enfants présents'!$A$56,0,IF(Q135&lt;'[1]calculs enfants présents'!$A$56,Q135-AQ135,'[1]calculs enfants présents'!$A$56-AQ135))</f>
        <v>0</v>
      </c>
      <c r="AU135" s="790">
        <f t="shared" si="132"/>
        <v>31</v>
      </c>
      <c r="AV135" s="790">
        <f t="shared" si="133"/>
        <v>-31</v>
      </c>
      <c r="AW135" s="412"/>
      <c r="AX135" s="381">
        <v>42369</v>
      </c>
      <c r="AY135" s="955">
        <f t="shared" si="116"/>
        <v>42442</v>
      </c>
      <c r="AZ135" s="955">
        <f t="shared" si="121"/>
        <v>42736</v>
      </c>
      <c r="BA135" s="955">
        <f t="shared" si="118"/>
        <v>42409</v>
      </c>
      <c r="BB135" s="1105">
        <v>42409</v>
      </c>
      <c r="BC135" s="1103" t="s">
        <v>271</v>
      </c>
      <c r="BD135" s="1105">
        <v>42409</v>
      </c>
      <c r="BE135" s="1104">
        <f t="shared" si="134"/>
        <v>41800</v>
      </c>
      <c r="BF135" s="460"/>
      <c r="BG135" s="349"/>
      <c r="BH135" s="465"/>
      <c r="BI135" s="349" t="s">
        <v>357</v>
      </c>
      <c r="BJ135" s="572">
        <v>42265</v>
      </c>
      <c r="BK135" s="374"/>
      <c r="BL135" s="374"/>
      <c r="BM135" s="374"/>
      <c r="BN135" s="374"/>
      <c r="BO135" s="374"/>
      <c r="BP135" s="374"/>
      <c r="BQ135" s="374"/>
      <c r="BR135" s="374"/>
      <c r="BS135" s="374"/>
      <c r="BT135" s="374"/>
    </row>
    <row r="136" spans="1:72" s="401" customFormat="1" ht="13.15" customHeight="1" x14ac:dyDescent="0.2">
      <c r="A136" s="484" t="s">
        <v>592</v>
      </c>
      <c r="B136" s="484" t="s">
        <v>550</v>
      </c>
      <c r="C136" s="379" t="s">
        <v>211</v>
      </c>
      <c r="D136" s="347" t="s">
        <v>714</v>
      </c>
      <c r="E136" s="347" t="s">
        <v>565</v>
      </c>
      <c r="F136" s="347"/>
      <c r="G136" s="347"/>
      <c r="H136" s="347"/>
      <c r="I136" s="1076">
        <v>42164</v>
      </c>
      <c r="J136" s="411">
        <v>42184</v>
      </c>
      <c r="K136" s="411"/>
      <c r="L136" s="1078">
        <f t="shared" si="122"/>
        <v>20</v>
      </c>
      <c r="M136" s="381">
        <v>42184</v>
      </c>
      <c r="N136" s="381">
        <v>42550</v>
      </c>
      <c r="O136" s="381"/>
      <c r="P136" s="381"/>
      <c r="Q136" s="381">
        <v>42736</v>
      </c>
      <c r="R136" s="381" t="s">
        <v>16</v>
      </c>
      <c r="S136" s="347" t="s">
        <v>16</v>
      </c>
      <c r="T136" s="347"/>
      <c r="U136" s="383"/>
      <c r="V136" s="347"/>
      <c r="W136" s="347"/>
      <c r="X136" s="385">
        <v>37368</v>
      </c>
      <c r="Y136" s="761">
        <f t="shared" si="135"/>
        <v>13.701369863013699</v>
      </c>
      <c r="Z136" s="347" t="s">
        <v>13</v>
      </c>
      <c r="AA136" s="770" t="str">
        <f t="shared" si="125"/>
        <v/>
      </c>
      <c r="AB136" s="770" t="str">
        <f t="shared" si="126"/>
        <v/>
      </c>
      <c r="AC136" s="770" t="str">
        <f t="shared" si="127"/>
        <v>M</v>
      </c>
      <c r="AD136" s="770" t="str">
        <f t="shared" si="128"/>
        <v/>
      </c>
      <c r="AE136" s="770" t="str">
        <f t="shared" si="136"/>
        <v/>
      </c>
      <c r="AF136" s="770"/>
      <c r="AG136" s="770"/>
      <c r="AH136" s="770"/>
      <c r="AI136" s="770"/>
      <c r="AJ136" s="770"/>
      <c r="AK136" s="770"/>
      <c r="AL136" s="770">
        <f>Q136-J136</f>
        <v>552</v>
      </c>
      <c r="AM136" s="770">
        <f>AL136/365</f>
        <v>1.5123287671232877</v>
      </c>
      <c r="AN136" s="770">
        <f t="shared" si="129"/>
        <v>1</v>
      </c>
      <c r="AO136" s="761">
        <f t="shared" si="115"/>
        <v>6.1479452054794521</v>
      </c>
      <c r="AP136" s="1074"/>
      <c r="AQ136" s="782">
        <f t="shared" si="130"/>
        <v>42370</v>
      </c>
      <c r="AR136" s="782">
        <f t="shared" si="137"/>
        <v>42736</v>
      </c>
      <c r="AS136" s="770">
        <f t="shared" si="131"/>
        <v>366</v>
      </c>
      <c r="AT136" s="790">
        <f>IF(AQ136&gt;'[1]calculs enfants présents'!$A$56,0,IF(Q136&lt;'[1]calculs enfants présents'!$A$56,Q136-AQ136,'[1]calculs enfants présents'!$A$56-AQ136))</f>
        <v>0</v>
      </c>
      <c r="AU136" s="791">
        <f t="shared" si="132"/>
        <v>31</v>
      </c>
      <c r="AV136" s="790">
        <f t="shared" si="133"/>
        <v>-31</v>
      </c>
      <c r="AW136" s="412"/>
      <c r="AX136" s="381">
        <v>42369</v>
      </c>
      <c r="AY136" s="955">
        <f t="shared" si="116"/>
        <v>42550</v>
      </c>
      <c r="AZ136" s="955">
        <f t="shared" si="121"/>
        <v>42736</v>
      </c>
      <c r="BA136" s="955">
        <f t="shared" si="118"/>
        <v>42521</v>
      </c>
      <c r="BB136" s="1105"/>
      <c r="BC136" s="1103"/>
      <c r="BD136" s="1105"/>
      <c r="BE136" s="1104">
        <f t="shared" si="134"/>
        <v>42269</v>
      </c>
      <c r="BF136" s="459">
        <v>42339</v>
      </c>
      <c r="BG136" s="349" t="s">
        <v>271</v>
      </c>
      <c r="BH136" s="465">
        <v>42339</v>
      </c>
      <c r="BI136" s="390"/>
      <c r="BJ136" s="382"/>
      <c r="BK136" s="374"/>
      <c r="BL136" s="374"/>
      <c r="BM136" s="374"/>
      <c r="BN136" s="374"/>
      <c r="BO136" s="374"/>
      <c r="BP136" s="374"/>
      <c r="BQ136" s="374"/>
      <c r="BR136" s="374"/>
      <c r="BS136" s="582"/>
      <c r="BT136" s="582"/>
    </row>
    <row r="137" spans="1:72" s="387" customFormat="1" ht="13.15" customHeight="1" x14ac:dyDescent="0.2">
      <c r="A137" s="484" t="s">
        <v>616</v>
      </c>
      <c r="B137" s="484" t="s">
        <v>358</v>
      </c>
      <c r="C137" s="379" t="s">
        <v>245</v>
      </c>
      <c r="D137" s="347" t="s">
        <v>138</v>
      </c>
      <c r="E137" s="347"/>
      <c r="F137" s="347"/>
      <c r="G137" s="347"/>
      <c r="H137" s="347"/>
      <c r="I137" s="1076">
        <v>41382</v>
      </c>
      <c r="J137" s="411">
        <v>41479</v>
      </c>
      <c r="K137" s="411"/>
      <c r="L137" s="1077">
        <f t="shared" si="122"/>
        <v>97</v>
      </c>
      <c r="M137" s="381">
        <v>42209</v>
      </c>
      <c r="N137" s="708">
        <v>42575</v>
      </c>
      <c r="O137" s="708"/>
      <c r="P137" s="708"/>
      <c r="Q137" s="708">
        <v>42736</v>
      </c>
      <c r="R137" s="381" t="s">
        <v>156</v>
      </c>
      <c r="S137" s="347" t="s">
        <v>62</v>
      </c>
      <c r="T137" s="347"/>
      <c r="U137" s="383"/>
      <c r="V137" s="347"/>
      <c r="W137" s="347"/>
      <c r="X137" s="385">
        <v>36994</v>
      </c>
      <c r="Y137" s="761">
        <f t="shared" si="135"/>
        <v>14.726027397260275</v>
      </c>
      <c r="Z137" s="347" t="s">
        <v>13</v>
      </c>
      <c r="AA137" s="773" t="str">
        <f t="shared" si="125"/>
        <v/>
      </c>
      <c r="AB137" s="773" t="str">
        <f t="shared" si="126"/>
        <v/>
      </c>
      <c r="AC137" s="773" t="str">
        <f t="shared" si="127"/>
        <v>M</v>
      </c>
      <c r="AD137" s="773" t="str">
        <f t="shared" si="128"/>
        <v/>
      </c>
      <c r="AE137" s="773" t="str">
        <f t="shared" si="136"/>
        <v/>
      </c>
      <c r="AF137" s="770"/>
      <c r="AG137" s="770"/>
      <c r="AH137" s="770"/>
      <c r="AI137" s="770"/>
      <c r="AJ137" s="770"/>
      <c r="AK137" s="770"/>
      <c r="AL137" s="770">
        <f>Q137-J137</f>
        <v>1257</v>
      </c>
      <c r="AM137" s="770">
        <f>AL137/365</f>
        <v>3.4438356164383563</v>
      </c>
      <c r="AN137" s="770">
        <f t="shared" si="129"/>
        <v>3</v>
      </c>
      <c r="AO137" s="761">
        <f t="shared" si="115"/>
        <v>5.3260273972602761</v>
      </c>
      <c r="AP137" s="1074"/>
      <c r="AQ137" s="782">
        <f t="shared" si="130"/>
        <v>42370</v>
      </c>
      <c r="AR137" s="782">
        <f t="shared" si="137"/>
        <v>42736</v>
      </c>
      <c r="AS137" s="770">
        <f t="shared" si="131"/>
        <v>366</v>
      </c>
      <c r="AT137" s="790">
        <f>IF(AQ137&gt;'[1]calculs enfants présents'!$A$56,0,IF(Q137&lt;'[1]calculs enfants présents'!$A$56,Q137-AQ137,'[1]calculs enfants présents'!$A$56-AQ137))</f>
        <v>0</v>
      </c>
      <c r="AU137" s="790">
        <f t="shared" si="132"/>
        <v>31</v>
      </c>
      <c r="AV137" s="790">
        <f t="shared" si="133"/>
        <v>-31</v>
      </c>
      <c r="AW137" s="412"/>
      <c r="AX137" s="381">
        <v>42369</v>
      </c>
      <c r="AY137" s="955">
        <f t="shared" si="116"/>
        <v>42575</v>
      </c>
      <c r="AZ137" s="955">
        <f t="shared" si="121"/>
        <v>42736</v>
      </c>
      <c r="BA137" s="955">
        <f t="shared" si="118"/>
        <v>42542</v>
      </c>
      <c r="BB137" s="1105"/>
      <c r="BC137" s="1103"/>
      <c r="BD137" s="1105"/>
      <c r="BE137" s="1104">
        <f t="shared" si="134"/>
        <v>41569</v>
      </c>
      <c r="BF137" s="460"/>
      <c r="BG137" s="349"/>
      <c r="BH137" s="465"/>
      <c r="BI137" s="390"/>
      <c r="BJ137" s="382"/>
    </row>
    <row r="138" spans="1:72" s="387" customFormat="1" ht="12.75" customHeight="1" x14ac:dyDescent="0.2">
      <c r="A138" s="484" t="s">
        <v>722</v>
      </c>
      <c r="B138" s="484" t="s">
        <v>722</v>
      </c>
      <c r="C138" s="379" t="s">
        <v>724</v>
      </c>
      <c r="D138" s="347" t="s">
        <v>138</v>
      </c>
      <c r="E138" s="347" t="s">
        <v>183</v>
      </c>
      <c r="F138" s="347"/>
      <c r="G138" s="347" t="s">
        <v>67</v>
      </c>
      <c r="H138" s="347"/>
      <c r="I138" s="1076">
        <v>42339</v>
      </c>
      <c r="J138" s="411">
        <v>42380</v>
      </c>
      <c r="K138" s="411"/>
      <c r="L138" s="1078">
        <f t="shared" si="122"/>
        <v>41</v>
      </c>
      <c r="M138" s="411">
        <v>42380</v>
      </c>
      <c r="N138" s="411">
        <v>42746</v>
      </c>
      <c r="O138" s="411"/>
      <c r="P138" s="411"/>
      <c r="Q138" s="411">
        <v>42736</v>
      </c>
      <c r="R138" s="381" t="s">
        <v>16</v>
      </c>
      <c r="S138" s="347" t="s">
        <v>13</v>
      </c>
      <c r="T138" s="385"/>
      <c r="U138" s="761"/>
      <c r="V138" s="347"/>
      <c r="W138" s="770"/>
      <c r="X138" s="385">
        <v>37797</v>
      </c>
      <c r="Y138" s="761">
        <f t="shared" si="135"/>
        <v>13.528767123287672</v>
      </c>
      <c r="Z138" s="347" t="s">
        <v>13</v>
      </c>
      <c r="AA138" s="770" t="str">
        <f t="shared" si="125"/>
        <v/>
      </c>
      <c r="AB138" s="770" t="str">
        <f t="shared" si="126"/>
        <v/>
      </c>
      <c r="AC138" s="773" t="s">
        <v>674</v>
      </c>
      <c r="AD138" s="770"/>
      <c r="AE138" s="770"/>
      <c r="AF138" s="782"/>
      <c r="AG138" s="770"/>
      <c r="AH138" s="791"/>
      <c r="AI138" s="791"/>
      <c r="AJ138" s="790"/>
      <c r="AK138" s="412"/>
      <c r="AL138" s="381"/>
      <c r="AM138" s="955"/>
      <c r="AN138" s="770"/>
      <c r="AO138" s="770"/>
      <c r="AP138" s="1105"/>
      <c r="AQ138" s="782">
        <f t="shared" si="130"/>
        <v>42380</v>
      </c>
      <c r="AR138" s="782">
        <f t="shared" si="137"/>
        <v>42736</v>
      </c>
      <c r="AS138" s="770">
        <f t="shared" si="131"/>
        <v>356</v>
      </c>
      <c r="AT138" s="790">
        <f>IF(AQ138&gt;'[1]calculs enfants présents'!$A$56,0,IF(Q138&lt;'[1]calculs enfants présents'!$A$56,Q138-AQ138,'[1]calculs enfants présents'!$A$56-AQ138))</f>
        <v>0</v>
      </c>
      <c r="AU138" s="791">
        <f t="shared" si="132"/>
        <v>21</v>
      </c>
      <c r="AV138" s="790">
        <f t="shared" si="133"/>
        <v>-21</v>
      </c>
      <c r="AW138" s="383"/>
      <c r="AX138" s="381">
        <v>42735</v>
      </c>
      <c r="AY138" s="955">
        <f t="shared" si="116"/>
        <v>42746</v>
      </c>
      <c r="AZ138" s="955">
        <f t="shared" si="121"/>
        <v>42736</v>
      </c>
      <c r="BA138" s="955">
        <f t="shared" si="118"/>
        <v>42717</v>
      </c>
      <c r="BB138" s="383"/>
      <c r="BC138" s="383"/>
      <c r="BD138" s="383"/>
      <c r="BE138" s="1104" t="str">
        <f>IF(K138&lt;&gt;"",(K138+90)-(WEEKDAY(K138+90,2)-2),"DIPC")</f>
        <v>DIPC</v>
      </c>
      <c r="BH138" s="464"/>
      <c r="BJ138" s="464"/>
    </row>
    <row r="139" spans="1:72" s="566" customFormat="1" ht="13.15" customHeight="1" x14ac:dyDescent="0.2">
      <c r="A139" s="484" t="s">
        <v>722</v>
      </c>
      <c r="B139" s="484" t="s">
        <v>722</v>
      </c>
      <c r="C139" s="379" t="s">
        <v>723</v>
      </c>
      <c r="D139" s="347" t="s">
        <v>138</v>
      </c>
      <c r="E139" s="347" t="s">
        <v>183</v>
      </c>
      <c r="F139" s="347"/>
      <c r="G139" s="347" t="s">
        <v>67</v>
      </c>
      <c r="H139" s="347"/>
      <c r="I139" s="1076">
        <v>42339</v>
      </c>
      <c r="J139" s="411">
        <v>42380</v>
      </c>
      <c r="K139" s="411"/>
      <c r="L139" s="1078">
        <v>48</v>
      </c>
      <c r="M139" s="411">
        <v>42380</v>
      </c>
      <c r="N139" s="411">
        <v>42746</v>
      </c>
      <c r="O139" s="411"/>
      <c r="P139" s="411"/>
      <c r="Q139" s="411">
        <v>42736</v>
      </c>
      <c r="R139" s="381" t="s">
        <v>16</v>
      </c>
      <c r="S139" s="347" t="s">
        <v>13</v>
      </c>
      <c r="T139" s="770"/>
      <c r="U139" s="770"/>
      <c r="V139" s="770"/>
      <c r="W139" s="770"/>
      <c r="X139" s="385">
        <v>37401</v>
      </c>
      <c r="Y139" s="761">
        <f t="shared" si="135"/>
        <v>14.613698630136986</v>
      </c>
      <c r="Z139" s="347" t="s">
        <v>21</v>
      </c>
      <c r="AA139" s="770" t="str">
        <f t="shared" si="125"/>
        <v/>
      </c>
      <c r="AB139" s="770" t="str">
        <f t="shared" si="126"/>
        <v/>
      </c>
      <c r="AC139" s="773" t="s">
        <v>674</v>
      </c>
      <c r="AD139" s="770"/>
      <c r="AE139" s="770"/>
      <c r="AF139" s="1076"/>
      <c r="AG139" s="1119"/>
      <c r="AH139" s="1076"/>
      <c r="AI139" s="347"/>
      <c r="AJ139" s="1076"/>
      <c r="AK139" s="383"/>
      <c r="AL139" s="347"/>
      <c r="AM139" s="383"/>
      <c r="AN139" s="770"/>
      <c r="AO139" s="770"/>
      <c r="AP139" s="383"/>
      <c r="AQ139" s="782">
        <f t="shared" si="130"/>
        <v>42380</v>
      </c>
      <c r="AR139" s="782">
        <f t="shared" si="137"/>
        <v>42736</v>
      </c>
      <c r="AS139" s="770">
        <f t="shared" si="131"/>
        <v>356</v>
      </c>
      <c r="AT139" s="790">
        <f>IF(AQ139&gt;'[1]calculs enfants présents'!$A$56,0,IF(Q139&lt;'[1]calculs enfants présents'!$A$56,Q139-AQ139,'[1]calculs enfants présents'!$A$56-AQ139))</f>
        <v>0</v>
      </c>
      <c r="AU139" s="791">
        <f t="shared" si="132"/>
        <v>21</v>
      </c>
      <c r="AV139" s="790">
        <f t="shared" si="133"/>
        <v>-21</v>
      </c>
      <c r="AW139" s="383"/>
      <c r="AX139" s="381">
        <v>42735</v>
      </c>
      <c r="AY139" s="955">
        <f t="shared" si="116"/>
        <v>42746</v>
      </c>
      <c r="AZ139" s="955">
        <f t="shared" si="121"/>
        <v>42736</v>
      </c>
      <c r="BA139" s="955">
        <f t="shared" si="118"/>
        <v>42717</v>
      </c>
      <c r="BB139" s="383"/>
      <c r="BC139" s="383"/>
      <c r="BD139" s="383"/>
      <c r="BE139" s="1104" t="str">
        <f>IF(K139&lt;&gt;"",(K139+90)-(WEEKDAY(K139+90,2)-2),"DIPC")</f>
        <v>DIPC</v>
      </c>
      <c r="BF139" s="387"/>
      <c r="BG139" s="387"/>
      <c r="BH139" s="390"/>
      <c r="BI139" s="387"/>
      <c r="BJ139" s="464"/>
      <c r="BK139" s="387"/>
      <c r="BL139" s="387"/>
      <c r="BM139" s="387"/>
      <c r="BN139" s="387"/>
      <c r="BO139" s="387"/>
      <c r="BP139" s="387"/>
      <c r="BQ139" s="387"/>
      <c r="BR139" s="387"/>
      <c r="BS139" s="387"/>
      <c r="BT139" s="387"/>
    </row>
    <row r="140" spans="1:72" s="387" customFormat="1" ht="12.75" customHeight="1" x14ac:dyDescent="0.2">
      <c r="A140" s="484" t="s">
        <v>773</v>
      </c>
      <c r="B140" s="484" t="s">
        <v>773</v>
      </c>
      <c r="C140" s="379" t="s">
        <v>774</v>
      </c>
      <c r="D140" s="347" t="s">
        <v>70</v>
      </c>
      <c r="E140" s="347" t="s">
        <v>87</v>
      </c>
      <c r="F140" s="347"/>
      <c r="G140" s="347" t="s">
        <v>67</v>
      </c>
      <c r="H140" s="347"/>
      <c r="I140" s="1076">
        <v>42383</v>
      </c>
      <c r="J140" s="411">
        <v>42394</v>
      </c>
      <c r="K140" s="411"/>
      <c r="L140" s="1078">
        <f t="shared" ref="L140:L168" si="138">IF(I140&lt;&gt;"",J140-I140,"")</f>
        <v>11</v>
      </c>
      <c r="M140" s="381">
        <v>42394</v>
      </c>
      <c r="N140" s="381">
        <v>42760</v>
      </c>
      <c r="O140" s="381"/>
      <c r="P140" s="381"/>
      <c r="Q140" s="381">
        <v>42736</v>
      </c>
      <c r="R140" s="381" t="s">
        <v>16</v>
      </c>
      <c r="S140" s="347" t="s">
        <v>162</v>
      </c>
      <c r="T140" s="347"/>
      <c r="U140" s="383"/>
      <c r="V140" s="347"/>
      <c r="W140" s="347"/>
      <c r="X140" s="385">
        <v>38253</v>
      </c>
      <c r="Y140" s="761">
        <f t="shared" si="135"/>
        <v>11.276712328767124</v>
      </c>
      <c r="Z140" s="347" t="s">
        <v>13</v>
      </c>
      <c r="AA140" s="770" t="str">
        <f t="shared" si="125"/>
        <v/>
      </c>
      <c r="AB140" s="770" t="str">
        <f t="shared" si="126"/>
        <v/>
      </c>
      <c r="AC140" s="770" t="str">
        <f t="shared" ref="AC140:AC157" si="139">IF(AND(Y140&gt;=11,Y140&lt;15),IF(Z140="M","M","F"),"")</f>
        <v>M</v>
      </c>
      <c r="AD140" s="770" t="str">
        <f t="shared" ref="AD140:AD146" si="140">IF(AND(Y140&gt;=15,Y140&lt;18),IF(Z140="M","M","F"),"")</f>
        <v/>
      </c>
      <c r="AE140" s="770" t="str">
        <f t="shared" ref="AE140:AE157" si="141">IF(Y140&gt;18,IF(Z140="M","M","F"),"")</f>
        <v/>
      </c>
      <c r="AF140" s="770"/>
      <c r="AG140" s="770"/>
      <c r="AH140" s="770"/>
      <c r="AI140" s="770"/>
      <c r="AJ140" s="770"/>
      <c r="AK140" s="770"/>
      <c r="AL140" s="770">
        <f>Q140-J140</f>
        <v>342</v>
      </c>
      <c r="AM140" s="770">
        <f>AL140/365</f>
        <v>0.93698630136986305</v>
      </c>
      <c r="AN140" s="770">
        <f t="shared" ref="AN140:AN171" si="142">INT(AM140)</f>
        <v>0</v>
      </c>
      <c r="AO140" s="761">
        <f t="shared" ref="AO140:AO180" si="143">(AM140-AN140)*12</f>
        <v>11.243835616438357</v>
      </c>
      <c r="AP140" s="1074"/>
      <c r="AQ140" s="782">
        <f t="shared" si="130"/>
        <v>42394</v>
      </c>
      <c r="AR140" s="782">
        <f t="shared" si="137"/>
        <v>42736</v>
      </c>
      <c r="AS140" s="770">
        <f t="shared" si="131"/>
        <v>342</v>
      </c>
      <c r="AT140" s="790">
        <f>IF(AQ140&gt;'[1]calculs enfants présents'!$A$56,0,IF(Q140&lt;'[1]calculs enfants présents'!$A$56,Q140-AQ140,'[1]calculs enfants présents'!$A$56-AQ140))</f>
        <v>0</v>
      </c>
      <c r="AU140" s="791">
        <f t="shared" si="132"/>
        <v>7</v>
      </c>
      <c r="AV140" s="790">
        <f t="shared" si="133"/>
        <v>-7</v>
      </c>
      <c r="AW140" s="412"/>
      <c r="AX140" s="381">
        <v>42369</v>
      </c>
      <c r="AY140" s="955">
        <f t="shared" si="116"/>
        <v>42760</v>
      </c>
      <c r="AZ140" s="955">
        <f t="shared" si="121"/>
        <v>42736</v>
      </c>
      <c r="BA140" s="955">
        <f t="shared" si="118"/>
        <v>42731</v>
      </c>
      <c r="BB140" s="1105"/>
      <c r="BC140" s="1103"/>
      <c r="BD140" s="1076"/>
      <c r="BE140" s="1104" t="str">
        <f>IF(K140&lt;&gt;"",(K140+90)-(WEEKDAY(K140+90,2)-2),"DIPC")</f>
        <v>DIPC</v>
      </c>
      <c r="BF140" s="460"/>
      <c r="BG140" s="349"/>
      <c r="BH140" s="465"/>
      <c r="BI140" s="349"/>
      <c r="BJ140" s="572"/>
    </row>
    <row r="141" spans="1:72" ht="13.15" customHeight="1" x14ac:dyDescent="0.2">
      <c r="A141" s="375" t="s">
        <v>557</v>
      </c>
      <c r="B141" s="375" t="s">
        <v>557</v>
      </c>
      <c r="C141" s="391" t="s">
        <v>228</v>
      </c>
      <c r="D141" s="366" t="s">
        <v>714</v>
      </c>
      <c r="E141" s="366" t="s">
        <v>138</v>
      </c>
      <c r="F141" s="366" t="s">
        <v>66</v>
      </c>
      <c r="G141" s="366"/>
      <c r="H141" s="366"/>
      <c r="I141" s="1129">
        <v>42177</v>
      </c>
      <c r="J141" s="512">
        <v>42286</v>
      </c>
      <c r="K141" s="512" t="s">
        <v>674</v>
      </c>
      <c r="L141" s="1314">
        <f t="shared" si="138"/>
        <v>109</v>
      </c>
      <c r="M141" s="369">
        <v>42286</v>
      </c>
      <c r="N141" s="369">
        <v>42382</v>
      </c>
      <c r="O141" s="369" t="s">
        <v>674</v>
      </c>
      <c r="P141" s="369" t="s">
        <v>674</v>
      </c>
      <c r="Q141" s="369">
        <v>42382</v>
      </c>
      <c r="R141" s="369" t="s">
        <v>156</v>
      </c>
      <c r="S141" s="366" t="s">
        <v>160</v>
      </c>
      <c r="T141" s="366"/>
      <c r="U141" s="393"/>
      <c r="V141" s="366"/>
      <c r="W141" s="366"/>
      <c r="X141" s="370">
        <v>36594</v>
      </c>
      <c r="Y141" s="760">
        <f t="shared" si="135"/>
        <v>15.821917808219178</v>
      </c>
      <c r="Z141" s="366" t="s">
        <v>21</v>
      </c>
      <c r="AA141" s="767" t="str">
        <f t="shared" si="125"/>
        <v/>
      </c>
      <c r="AB141" s="767" t="str">
        <f t="shared" si="126"/>
        <v/>
      </c>
      <c r="AC141" s="767" t="str">
        <f t="shared" si="139"/>
        <v/>
      </c>
      <c r="AD141" s="767" t="str">
        <f t="shared" si="140"/>
        <v>F</v>
      </c>
      <c r="AE141" s="767" t="str">
        <f t="shared" si="141"/>
        <v/>
      </c>
      <c r="AF141" s="767"/>
      <c r="AG141" s="767"/>
      <c r="AH141" s="767"/>
      <c r="AI141" s="767"/>
      <c r="AJ141" s="767"/>
      <c r="AK141" s="767"/>
      <c r="AL141" s="767">
        <f>Q141-J141</f>
        <v>96</v>
      </c>
      <c r="AM141" s="767">
        <f>AL141/365</f>
        <v>0.26301369863013696</v>
      </c>
      <c r="AN141" s="767">
        <f t="shared" si="142"/>
        <v>0</v>
      </c>
      <c r="AO141" s="760">
        <f t="shared" si="143"/>
        <v>3.1561643835616433</v>
      </c>
      <c r="AP141" s="1131"/>
      <c r="AQ141" s="1132">
        <f t="shared" si="130"/>
        <v>42370</v>
      </c>
      <c r="AR141" s="1132">
        <f t="shared" si="137"/>
        <v>42382</v>
      </c>
      <c r="AS141" s="767">
        <f t="shared" si="131"/>
        <v>12</v>
      </c>
      <c r="AT141" s="788">
        <f>IF(AQ141&gt;'[1]calculs enfants présents'!$A$56,0,IF(Q141&lt;'[1]calculs enfants présents'!$A$56,Q141-AQ141,'[1]calculs enfants présents'!$A$56-AQ141))</f>
        <v>0</v>
      </c>
      <c r="AU141" s="789">
        <f t="shared" si="132"/>
        <v>12</v>
      </c>
      <c r="AV141" s="788">
        <f t="shared" si="133"/>
        <v>-12</v>
      </c>
      <c r="AW141" s="367"/>
      <c r="AX141" s="369">
        <v>42369</v>
      </c>
      <c r="AY141" s="1133">
        <f t="shared" si="116"/>
        <v>42382</v>
      </c>
      <c r="AZ141" s="1133">
        <f t="shared" si="121"/>
        <v>42382</v>
      </c>
      <c r="BA141" s="1133">
        <f t="shared" si="118"/>
        <v>42353</v>
      </c>
      <c r="BB141" s="670"/>
      <c r="BC141" s="1134"/>
      <c r="BD141" s="1129"/>
      <c r="BE141" s="1135" t="e">
        <f>IF(K141&lt;&gt;"",(K141+90)-(WEEKDAY(K141+90,2)-2),"DIPC")</f>
        <v>#VALUE!</v>
      </c>
      <c r="BF141" s="483">
        <v>42467</v>
      </c>
      <c r="BG141" s="357" t="s">
        <v>276</v>
      </c>
      <c r="BH141" s="482">
        <v>42467</v>
      </c>
      <c r="BI141" s="357"/>
      <c r="BJ141" s="625"/>
      <c r="BK141" s="374"/>
      <c r="BL141" s="374"/>
      <c r="BM141" s="374"/>
      <c r="BN141" s="374"/>
      <c r="BO141" s="374"/>
      <c r="BP141" s="374"/>
      <c r="BQ141" s="374"/>
      <c r="BR141" s="374"/>
    </row>
    <row r="142" spans="1:72" s="387" customFormat="1" ht="13.15" customHeight="1" x14ac:dyDescent="0.2">
      <c r="A142" s="484" t="s">
        <v>411</v>
      </c>
      <c r="B142" s="484" t="s">
        <v>327</v>
      </c>
      <c r="C142" s="379" t="s">
        <v>328</v>
      </c>
      <c r="D142" s="347" t="s">
        <v>70</v>
      </c>
      <c r="E142" s="347"/>
      <c r="F142" s="347"/>
      <c r="G142" s="347"/>
      <c r="H142" s="347"/>
      <c r="I142" s="1076">
        <v>41759</v>
      </c>
      <c r="J142" s="411">
        <v>41780</v>
      </c>
      <c r="K142" s="411"/>
      <c r="L142" s="1078">
        <f t="shared" si="138"/>
        <v>21</v>
      </c>
      <c r="M142" s="381">
        <v>42145</v>
      </c>
      <c r="N142" s="381">
        <v>42511</v>
      </c>
      <c r="O142" s="381"/>
      <c r="P142" s="381"/>
      <c r="Q142" s="381">
        <v>42736</v>
      </c>
      <c r="R142" s="381" t="s">
        <v>16</v>
      </c>
      <c r="S142" s="347" t="s">
        <v>16</v>
      </c>
      <c r="T142" s="347"/>
      <c r="U142" s="383"/>
      <c r="V142" s="347"/>
      <c r="W142" s="347"/>
      <c r="X142" s="385">
        <v>39508</v>
      </c>
      <c r="Y142" s="761">
        <f t="shared" si="135"/>
        <v>7.838356164383562</v>
      </c>
      <c r="Z142" s="347" t="s">
        <v>13</v>
      </c>
      <c r="AA142" s="770" t="str">
        <f t="shared" si="125"/>
        <v/>
      </c>
      <c r="AB142" s="770" t="str">
        <f t="shared" si="126"/>
        <v>M</v>
      </c>
      <c r="AC142" s="770" t="str">
        <f t="shared" si="139"/>
        <v/>
      </c>
      <c r="AD142" s="770" t="str">
        <f t="shared" si="140"/>
        <v/>
      </c>
      <c r="AE142" s="770" t="str">
        <f t="shared" si="141"/>
        <v/>
      </c>
      <c r="AF142" s="770"/>
      <c r="AG142" s="770"/>
      <c r="AH142" s="770"/>
      <c r="AI142" s="770"/>
      <c r="AJ142" s="770"/>
      <c r="AK142" s="770"/>
      <c r="AL142" s="770">
        <f>Q142-J142</f>
        <v>956</v>
      </c>
      <c r="AM142" s="770">
        <f>AL142/365</f>
        <v>2.6191780821917807</v>
      </c>
      <c r="AN142" s="770">
        <f t="shared" si="142"/>
        <v>2</v>
      </c>
      <c r="AO142" s="761">
        <f t="shared" si="143"/>
        <v>7.4301369863013687</v>
      </c>
      <c r="AP142" s="1074"/>
      <c r="AQ142" s="782">
        <f t="shared" si="130"/>
        <v>42370</v>
      </c>
      <c r="AR142" s="782">
        <f t="shared" si="137"/>
        <v>42736</v>
      </c>
      <c r="AS142" s="770">
        <f t="shared" si="131"/>
        <v>366</v>
      </c>
      <c r="AT142" s="790">
        <f>IF(AQ142&gt;'[1]calculs enfants présents'!$A$56,0,IF(Q142&lt;'[1]calculs enfants présents'!$A$56,Q142-AQ142,'[1]calculs enfants présents'!$A$56-AQ142))</f>
        <v>0</v>
      </c>
      <c r="AU142" s="791">
        <f t="shared" si="132"/>
        <v>31</v>
      </c>
      <c r="AV142" s="790">
        <f t="shared" si="133"/>
        <v>-31</v>
      </c>
      <c r="AW142" s="412"/>
      <c r="AX142" s="381">
        <v>42369</v>
      </c>
      <c r="AY142" s="955">
        <f t="shared" si="116"/>
        <v>42511</v>
      </c>
      <c r="AZ142" s="955">
        <f t="shared" si="121"/>
        <v>42736</v>
      </c>
      <c r="BA142" s="955">
        <f t="shared" si="118"/>
        <v>42479</v>
      </c>
      <c r="BB142" s="1105"/>
      <c r="BC142" s="1103"/>
      <c r="BD142" s="347"/>
      <c r="BE142" s="1104">
        <f>(J142+90)-(WEEKDAY(J142+90,2)-2)</f>
        <v>41870</v>
      </c>
      <c r="BF142" s="459"/>
      <c r="BG142" s="349"/>
      <c r="BH142" s="382"/>
      <c r="BI142" s="390"/>
      <c r="BJ142" s="382"/>
    </row>
    <row r="143" spans="1:72" ht="13.15" customHeight="1" x14ac:dyDescent="0.2">
      <c r="A143" s="484" t="s">
        <v>330</v>
      </c>
      <c r="B143" s="484" t="s">
        <v>330</v>
      </c>
      <c r="C143" s="379" t="s">
        <v>194</v>
      </c>
      <c r="D143" s="347" t="s">
        <v>310</v>
      </c>
      <c r="E143" s="347" t="s">
        <v>179</v>
      </c>
      <c r="F143" s="347"/>
      <c r="I143" s="1076">
        <v>41802</v>
      </c>
      <c r="J143" s="411">
        <v>41815</v>
      </c>
      <c r="K143" s="411"/>
      <c r="L143" s="1078">
        <f t="shared" si="138"/>
        <v>13</v>
      </c>
      <c r="M143" s="381">
        <v>42180</v>
      </c>
      <c r="N143" s="411">
        <v>42546</v>
      </c>
      <c r="O143" s="411"/>
      <c r="P143" s="411"/>
      <c r="Q143" s="411">
        <v>42736</v>
      </c>
      <c r="R143" s="381" t="s">
        <v>16</v>
      </c>
      <c r="S143" s="347" t="s">
        <v>20</v>
      </c>
      <c r="V143" s="347"/>
      <c r="W143" s="347"/>
      <c r="X143" s="385">
        <v>37529</v>
      </c>
      <c r="Y143" s="761">
        <f t="shared" si="135"/>
        <v>13.260273972602739</v>
      </c>
      <c r="Z143" s="347" t="s">
        <v>13</v>
      </c>
      <c r="AA143" s="773" t="str">
        <f t="shared" si="125"/>
        <v/>
      </c>
      <c r="AB143" s="773" t="str">
        <f t="shared" si="126"/>
        <v/>
      </c>
      <c r="AC143" s="773" t="str">
        <f t="shared" si="139"/>
        <v>M</v>
      </c>
      <c r="AD143" s="773" t="str">
        <f t="shared" si="140"/>
        <v/>
      </c>
      <c r="AE143" s="773" t="str">
        <f t="shared" si="141"/>
        <v/>
      </c>
      <c r="AG143" s="770"/>
      <c r="AH143" s="770"/>
      <c r="AI143" s="770"/>
      <c r="AJ143" s="770"/>
      <c r="AK143" s="770"/>
      <c r="AL143" s="770"/>
      <c r="AN143" s="770">
        <f t="shared" si="142"/>
        <v>0</v>
      </c>
      <c r="AO143" s="761">
        <f t="shared" si="143"/>
        <v>0</v>
      </c>
      <c r="AP143" s="1074"/>
      <c r="AQ143" s="782">
        <f t="shared" si="130"/>
        <v>42370</v>
      </c>
      <c r="AR143" s="782">
        <f t="shared" si="137"/>
        <v>42736</v>
      </c>
      <c r="AS143" s="770">
        <f t="shared" si="131"/>
        <v>366</v>
      </c>
      <c r="AT143" s="790">
        <f>IF(AQ143&gt;'[1]calculs enfants présents'!$A$56,0,IF(Q143&lt;'[1]calculs enfants présents'!$A$56,Q143-AQ143,'[1]calculs enfants présents'!$A$56-AQ143))</f>
        <v>0</v>
      </c>
      <c r="AU143" s="790">
        <f t="shared" si="132"/>
        <v>31</v>
      </c>
      <c r="AV143" s="790">
        <f t="shared" si="133"/>
        <v>-31</v>
      </c>
      <c r="AW143" s="716"/>
      <c r="AX143" s="381">
        <v>42369</v>
      </c>
      <c r="AY143" s="955">
        <f t="shared" si="116"/>
        <v>42546</v>
      </c>
      <c r="AZ143" s="955">
        <f t="shared" si="121"/>
        <v>42736</v>
      </c>
      <c r="BA143" s="955">
        <f t="shared" si="118"/>
        <v>42514</v>
      </c>
      <c r="BB143" s="1105"/>
      <c r="BC143" s="1103"/>
      <c r="BD143" s="1076"/>
      <c r="BE143" s="1104">
        <f>(J143+90)-(WEEKDAY(J143+90,2)-2)</f>
        <v>41905</v>
      </c>
      <c r="BF143" s="460"/>
      <c r="BG143" s="349"/>
      <c r="BH143" s="465"/>
      <c r="BI143" s="322" t="s">
        <v>405</v>
      </c>
      <c r="BJ143" s="572">
        <v>42058</v>
      </c>
      <c r="BS143" s="387"/>
      <c r="BT143" s="387"/>
    </row>
    <row r="144" spans="1:72" ht="13.15" customHeight="1" x14ac:dyDescent="0.2">
      <c r="A144" s="484" t="s">
        <v>621</v>
      </c>
      <c r="B144" s="484" t="s">
        <v>237</v>
      </c>
      <c r="C144" s="379" t="s">
        <v>238</v>
      </c>
      <c r="D144" s="347" t="s">
        <v>183</v>
      </c>
      <c r="E144" s="347"/>
      <c r="F144" s="347"/>
      <c r="I144" s="1076">
        <v>41432</v>
      </c>
      <c r="J144" s="411">
        <v>41558</v>
      </c>
      <c r="K144" s="411"/>
      <c r="L144" s="1077">
        <f t="shared" si="138"/>
        <v>126</v>
      </c>
      <c r="M144" s="381">
        <v>42104</v>
      </c>
      <c r="N144" s="381">
        <v>42470</v>
      </c>
      <c r="O144" s="381"/>
      <c r="P144" s="381"/>
      <c r="Q144" s="381">
        <v>42736</v>
      </c>
      <c r="R144" s="381" t="s">
        <v>156</v>
      </c>
      <c r="S144" s="347" t="s">
        <v>156</v>
      </c>
      <c r="V144" s="347"/>
      <c r="W144" s="347"/>
      <c r="X144" s="385">
        <v>36546</v>
      </c>
      <c r="Y144" s="761">
        <f t="shared" si="135"/>
        <v>15.953424657534246</v>
      </c>
      <c r="Z144" s="347" t="s">
        <v>13</v>
      </c>
      <c r="AA144" s="773" t="str">
        <f t="shared" si="125"/>
        <v/>
      </c>
      <c r="AB144" s="773" t="str">
        <f t="shared" si="126"/>
        <v/>
      </c>
      <c r="AC144" s="773" t="str">
        <f t="shared" si="139"/>
        <v/>
      </c>
      <c r="AD144" s="773" t="str">
        <f t="shared" si="140"/>
        <v>M</v>
      </c>
      <c r="AE144" s="773" t="str">
        <f t="shared" si="141"/>
        <v/>
      </c>
      <c r="AG144" s="770"/>
      <c r="AH144" s="770"/>
      <c r="AI144" s="770"/>
      <c r="AJ144" s="770"/>
      <c r="AK144" s="770"/>
      <c r="AL144" s="770">
        <f t="shared" ref="AL144:AL153" si="144">Q144-J144</f>
        <v>1178</v>
      </c>
      <c r="AM144" s="770">
        <f t="shared" ref="AM144:AM153" si="145">AL144/365</f>
        <v>3.2273972602739724</v>
      </c>
      <c r="AN144" s="770">
        <f t="shared" si="142"/>
        <v>3</v>
      </c>
      <c r="AO144" s="761">
        <f t="shared" si="143"/>
        <v>2.7287671232876693</v>
      </c>
      <c r="AP144" s="1074"/>
      <c r="AQ144" s="782">
        <f t="shared" si="130"/>
        <v>42370</v>
      </c>
      <c r="AR144" s="782">
        <f t="shared" si="137"/>
        <v>42736</v>
      </c>
      <c r="AS144" s="770">
        <f t="shared" si="131"/>
        <v>366</v>
      </c>
      <c r="AT144" s="790">
        <f>IF(AQ144&gt;'[1]calculs enfants présents'!$A$56,0,IF(Q144&lt;'[1]calculs enfants présents'!$A$56,Q144-AQ144,'[1]calculs enfants présents'!$A$56-AQ144))</f>
        <v>0</v>
      </c>
      <c r="AU144" s="790">
        <f t="shared" si="132"/>
        <v>31</v>
      </c>
      <c r="AV144" s="790">
        <f t="shared" si="133"/>
        <v>-31</v>
      </c>
      <c r="AW144" s="412"/>
      <c r="AX144" s="381">
        <v>42369</v>
      </c>
      <c r="AY144" s="955">
        <f t="shared" si="116"/>
        <v>42470</v>
      </c>
      <c r="AZ144" s="955">
        <f t="shared" si="121"/>
        <v>42736</v>
      </c>
      <c r="BA144" s="955">
        <f t="shared" si="118"/>
        <v>42437</v>
      </c>
      <c r="BB144" s="1105"/>
      <c r="BC144" s="1103"/>
      <c r="BD144" s="1076"/>
      <c r="BE144" s="1104">
        <f>(J144+90)-(WEEKDAY(J144+90,2)-2)</f>
        <v>41646</v>
      </c>
      <c r="BF144" s="460"/>
      <c r="BG144" s="349"/>
      <c r="BH144" s="382"/>
      <c r="BI144" s="390"/>
      <c r="BJ144" s="382"/>
      <c r="BS144" s="387"/>
      <c r="BT144" s="387"/>
    </row>
    <row r="145" spans="1:72" s="387" customFormat="1" ht="13.15" customHeight="1" x14ac:dyDescent="0.2">
      <c r="A145" s="733" t="s">
        <v>212</v>
      </c>
      <c r="B145" s="733" t="s">
        <v>212</v>
      </c>
      <c r="C145" s="734" t="s">
        <v>213</v>
      </c>
      <c r="D145" s="712" t="s">
        <v>138</v>
      </c>
      <c r="E145" s="712"/>
      <c r="F145" s="712" t="s">
        <v>66</v>
      </c>
      <c r="G145" s="712"/>
      <c r="H145" s="712"/>
      <c r="I145" s="712"/>
      <c r="J145" s="735">
        <v>41064</v>
      </c>
      <c r="K145" s="735"/>
      <c r="L145" s="1112" t="str">
        <f t="shared" si="138"/>
        <v/>
      </c>
      <c r="M145" s="722">
        <v>42342</v>
      </c>
      <c r="N145" s="723">
        <v>42404</v>
      </c>
      <c r="O145" s="723" t="s">
        <v>739</v>
      </c>
      <c r="P145" s="723">
        <v>42404</v>
      </c>
      <c r="Q145" s="723">
        <v>42404</v>
      </c>
      <c r="R145" s="722" t="s">
        <v>16</v>
      </c>
      <c r="S145" s="712" t="s">
        <v>20</v>
      </c>
      <c r="T145" s="712"/>
      <c r="U145" s="713"/>
      <c r="V145" s="712"/>
      <c r="W145" s="712"/>
      <c r="X145" s="724">
        <v>36559</v>
      </c>
      <c r="Y145" s="762">
        <f t="shared" si="135"/>
        <v>15.917808219178083</v>
      </c>
      <c r="Z145" s="712" t="s">
        <v>13</v>
      </c>
      <c r="AA145" s="777" t="str">
        <f t="shared" si="125"/>
        <v/>
      </c>
      <c r="AB145" s="777" t="str">
        <f t="shared" si="126"/>
        <v/>
      </c>
      <c r="AC145" s="777" t="str">
        <f t="shared" si="139"/>
        <v/>
      </c>
      <c r="AD145" s="777" t="str">
        <f t="shared" si="140"/>
        <v>M</v>
      </c>
      <c r="AE145" s="777" t="str">
        <f t="shared" si="141"/>
        <v/>
      </c>
      <c r="AF145" s="772"/>
      <c r="AG145" s="772"/>
      <c r="AH145" s="772"/>
      <c r="AI145" s="772"/>
      <c r="AJ145" s="772"/>
      <c r="AK145" s="772"/>
      <c r="AL145" s="772">
        <f t="shared" si="144"/>
        <v>1340</v>
      </c>
      <c r="AM145" s="772">
        <f t="shared" si="145"/>
        <v>3.6712328767123288</v>
      </c>
      <c r="AN145" s="777">
        <f t="shared" si="142"/>
        <v>3</v>
      </c>
      <c r="AO145" s="762">
        <f t="shared" si="143"/>
        <v>8.0547945205479454</v>
      </c>
      <c r="AP145" s="1073"/>
      <c r="AQ145" s="1113">
        <f t="shared" si="130"/>
        <v>42370</v>
      </c>
      <c r="AR145" s="1113">
        <f t="shared" si="137"/>
        <v>42404</v>
      </c>
      <c r="AS145" s="772">
        <f t="shared" si="131"/>
        <v>34</v>
      </c>
      <c r="AT145" s="792">
        <f>IF(AQ145&gt;'[1]calculs enfants présents'!$A$56,0,IF(Q145&lt;'[1]calculs enfants présents'!$A$56,Q145-AQ145,'[1]calculs enfants présents'!$A$56-AQ145))</f>
        <v>0</v>
      </c>
      <c r="AU145" s="792">
        <f t="shared" si="132"/>
        <v>31</v>
      </c>
      <c r="AV145" s="792">
        <f t="shared" si="133"/>
        <v>-31</v>
      </c>
      <c r="AW145" s="725"/>
      <c r="AX145" s="722">
        <v>42369</v>
      </c>
      <c r="AY145" s="1114">
        <f t="shared" si="116"/>
        <v>42404</v>
      </c>
      <c r="AZ145" s="1114">
        <f t="shared" si="121"/>
        <v>42404</v>
      </c>
      <c r="BA145" s="1114">
        <f t="shared" si="118"/>
        <v>42374</v>
      </c>
      <c r="BB145" s="1115"/>
      <c r="BC145" s="1116"/>
      <c r="BD145" s="1115"/>
      <c r="BE145" s="1117">
        <f>(J145+90)-(WEEKDAY(J145+90,2)-2)</f>
        <v>41149</v>
      </c>
      <c r="BF145" s="726"/>
      <c r="BG145" s="721"/>
      <c r="BH145" s="727"/>
      <c r="BI145" s="721" t="s">
        <v>274</v>
      </c>
      <c r="BJ145" s="744">
        <v>41943</v>
      </c>
      <c r="BK145" s="401"/>
      <c r="BL145" s="401"/>
      <c r="BM145" s="401"/>
      <c r="BN145" s="401"/>
      <c r="BO145" s="401"/>
      <c r="BP145" s="401"/>
      <c r="BQ145" s="401"/>
      <c r="BR145" s="401"/>
      <c r="BS145" s="401"/>
      <c r="BT145" s="401"/>
    </row>
    <row r="146" spans="1:72" s="387" customFormat="1" ht="13.15" customHeight="1" x14ac:dyDescent="0.2">
      <c r="A146" s="402" t="s">
        <v>792</v>
      </c>
      <c r="B146" s="402" t="s">
        <v>766</v>
      </c>
      <c r="C146" s="403" t="s">
        <v>767</v>
      </c>
      <c r="D146" s="355" t="s">
        <v>183</v>
      </c>
      <c r="E146" s="355" t="s">
        <v>138</v>
      </c>
      <c r="F146" s="355"/>
      <c r="G146" s="355" t="s">
        <v>67</v>
      </c>
      <c r="H146" s="355"/>
      <c r="I146" s="921">
        <v>42387</v>
      </c>
      <c r="J146" s="495">
        <v>42395</v>
      </c>
      <c r="K146" s="495"/>
      <c r="L146" s="1108">
        <f t="shared" si="138"/>
        <v>8</v>
      </c>
      <c r="M146" s="405">
        <v>42395</v>
      </c>
      <c r="N146" s="405">
        <v>42761</v>
      </c>
      <c r="O146" s="405"/>
      <c r="P146" s="405"/>
      <c r="Q146" s="405">
        <v>42736</v>
      </c>
      <c r="R146" s="405" t="s">
        <v>16</v>
      </c>
      <c r="S146" s="355" t="s">
        <v>13</v>
      </c>
      <c r="T146" s="355"/>
      <c r="U146" s="408"/>
      <c r="V146" s="355"/>
      <c r="W146" s="355"/>
      <c r="X146" s="410">
        <v>39571</v>
      </c>
      <c r="Y146" s="800">
        <f t="shared" si="135"/>
        <v>7.6657534246575345</v>
      </c>
      <c r="Z146" s="355" t="s">
        <v>21</v>
      </c>
      <c r="AA146" s="779" t="str">
        <f t="shared" si="125"/>
        <v/>
      </c>
      <c r="AB146" s="779" t="str">
        <f t="shared" si="126"/>
        <v>F</v>
      </c>
      <c r="AC146" s="779" t="str">
        <f t="shared" si="139"/>
        <v/>
      </c>
      <c r="AD146" s="779" t="str">
        <f t="shared" si="140"/>
        <v/>
      </c>
      <c r="AE146" s="779" t="str">
        <f t="shared" si="141"/>
        <v/>
      </c>
      <c r="AF146" s="779"/>
      <c r="AG146" s="779"/>
      <c r="AH146" s="779"/>
      <c r="AI146" s="779"/>
      <c r="AJ146" s="779"/>
      <c r="AK146" s="779"/>
      <c r="AL146" s="779">
        <f t="shared" si="144"/>
        <v>341</v>
      </c>
      <c r="AM146" s="779">
        <f t="shared" si="145"/>
        <v>0.9342465753424658</v>
      </c>
      <c r="AN146" s="779">
        <f t="shared" si="142"/>
        <v>0</v>
      </c>
      <c r="AO146" s="800">
        <f t="shared" si="143"/>
        <v>11.210958904109589</v>
      </c>
      <c r="AP146" s="1087"/>
      <c r="AQ146" s="1072">
        <f t="shared" si="130"/>
        <v>42395</v>
      </c>
      <c r="AR146" s="1072">
        <f t="shared" si="137"/>
        <v>42736</v>
      </c>
      <c r="AS146" s="779">
        <f t="shared" si="131"/>
        <v>341</v>
      </c>
      <c r="AT146" s="1036">
        <f>IF(AQ146&gt;'[1]calculs enfants présents'!$A$56,0,IF(Q146&lt;'[1]calculs enfants présents'!$A$56,Q146-AQ146,'[1]calculs enfants présents'!$A$56-AQ146))</f>
        <v>0</v>
      </c>
      <c r="AU146" s="1037">
        <f t="shared" si="132"/>
        <v>6</v>
      </c>
      <c r="AV146" s="1036">
        <f t="shared" si="133"/>
        <v>-6</v>
      </c>
      <c r="AW146" s="1048"/>
      <c r="AX146" s="405">
        <v>42369</v>
      </c>
      <c r="AY146" s="954">
        <f t="shared" si="116"/>
        <v>42761</v>
      </c>
      <c r="AZ146" s="954">
        <f t="shared" si="121"/>
        <v>42736</v>
      </c>
      <c r="BA146" s="954">
        <f t="shared" si="118"/>
        <v>42731</v>
      </c>
      <c r="BB146" s="1109"/>
      <c r="BC146" s="1110"/>
      <c r="BD146" s="921"/>
      <c r="BE146" s="1111" t="str">
        <f>IF(K146&lt;&gt;"",(K146+90)-(WEEKDAY(K146+90,2)-2),"DIPC")</f>
        <v>DIPC</v>
      </c>
      <c r="BF146" s="511"/>
      <c r="BG146" s="356"/>
      <c r="BH146" s="509"/>
      <c r="BI146" s="356"/>
      <c r="BJ146" s="554"/>
      <c r="BK146" s="396"/>
      <c r="BL146" s="396"/>
      <c r="BM146" s="396"/>
      <c r="BN146" s="396"/>
      <c r="BO146" s="396"/>
      <c r="BP146" s="396"/>
      <c r="BQ146" s="396"/>
      <c r="BR146" s="396"/>
      <c r="BS146" s="396"/>
      <c r="BT146" s="396"/>
    </row>
    <row r="147" spans="1:72" s="387" customFormat="1" ht="13.15" customHeight="1" x14ac:dyDescent="0.2">
      <c r="A147" s="484" t="s">
        <v>637</v>
      </c>
      <c r="B147" s="484" t="s">
        <v>649</v>
      </c>
      <c r="C147" s="379" t="s">
        <v>587</v>
      </c>
      <c r="D147" s="347" t="s">
        <v>179</v>
      </c>
      <c r="E147" s="347" t="s">
        <v>70</v>
      </c>
      <c r="F147" s="347"/>
      <c r="G147" s="347"/>
      <c r="H147" s="347"/>
      <c r="I147" s="1076">
        <v>42191</v>
      </c>
      <c r="J147" s="411">
        <v>42257</v>
      </c>
      <c r="K147" s="411"/>
      <c r="L147" s="1078">
        <f t="shared" si="138"/>
        <v>66</v>
      </c>
      <c r="M147" s="381">
        <v>42257</v>
      </c>
      <c r="N147" s="381">
        <v>42623</v>
      </c>
      <c r="O147" s="381"/>
      <c r="P147" s="381"/>
      <c r="Q147" s="381">
        <v>42736</v>
      </c>
      <c r="R147" s="381" t="s">
        <v>156</v>
      </c>
      <c r="S147" s="347" t="s">
        <v>225</v>
      </c>
      <c r="T147" s="347"/>
      <c r="U147" s="383"/>
      <c r="V147" s="347"/>
      <c r="W147" s="347"/>
      <c r="X147" s="385">
        <v>36514</v>
      </c>
      <c r="Y147" s="761">
        <f t="shared" si="135"/>
        <v>16.041095890410958</v>
      </c>
      <c r="Z147" s="347" t="s">
        <v>13</v>
      </c>
      <c r="AA147" s="770" t="str">
        <f t="shared" si="125"/>
        <v/>
      </c>
      <c r="AB147" s="770" t="str">
        <f t="shared" si="126"/>
        <v/>
      </c>
      <c r="AC147" s="770" t="str">
        <f t="shared" si="139"/>
        <v/>
      </c>
      <c r="AD147" s="770" t="s">
        <v>13</v>
      </c>
      <c r="AE147" s="770" t="str">
        <f t="shared" si="141"/>
        <v/>
      </c>
      <c r="AF147" s="770"/>
      <c r="AG147" s="770"/>
      <c r="AH147" s="770"/>
      <c r="AI147" s="770"/>
      <c r="AJ147" s="770"/>
      <c r="AK147" s="770"/>
      <c r="AL147" s="770">
        <f t="shared" si="144"/>
        <v>479</v>
      </c>
      <c r="AM147" s="770">
        <f t="shared" si="145"/>
        <v>1.3123287671232877</v>
      </c>
      <c r="AN147" s="770">
        <f t="shared" si="142"/>
        <v>1</v>
      </c>
      <c r="AO147" s="761">
        <f t="shared" si="143"/>
        <v>3.7479452054794526</v>
      </c>
      <c r="AP147" s="1074"/>
      <c r="AQ147" s="782">
        <f t="shared" si="130"/>
        <v>42370</v>
      </c>
      <c r="AR147" s="782">
        <f t="shared" si="137"/>
        <v>42736</v>
      </c>
      <c r="AS147" s="770">
        <f t="shared" si="131"/>
        <v>366</v>
      </c>
      <c r="AT147" s="790">
        <f>IF(AQ147&gt;'[1]calculs enfants présents'!$A$56,0,IF(Q147&lt;'[1]calculs enfants présents'!$A$56,Q147-AQ147,'[1]calculs enfants présents'!$A$56-AQ147))</f>
        <v>0</v>
      </c>
      <c r="AU147" s="791">
        <f t="shared" si="132"/>
        <v>31</v>
      </c>
      <c r="AV147" s="790">
        <f t="shared" si="133"/>
        <v>-31</v>
      </c>
      <c r="AW147" s="412"/>
      <c r="AX147" s="381">
        <v>42369</v>
      </c>
      <c r="AY147" s="955">
        <f t="shared" si="116"/>
        <v>42623</v>
      </c>
      <c r="AZ147" s="955">
        <f t="shared" si="121"/>
        <v>42736</v>
      </c>
      <c r="BA147" s="955">
        <f t="shared" si="118"/>
        <v>42591</v>
      </c>
      <c r="BB147" s="1105"/>
      <c r="BC147" s="1103"/>
      <c r="BD147" s="1076"/>
      <c r="BE147" s="1104">
        <f t="shared" ref="BE147:BE162" si="146">(J147+90)-(WEEKDAY(J147+90,2)-2)</f>
        <v>42346</v>
      </c>
      <c r="BF147" s="460">
        <v>42395</v>
      </c>
      <c r="BG147" s="349" t="s">
        <v>270</v>
      </c>
      <c r="BH147" s="465">
        <v>42395</v>
      </c>
      <c r="BI147" s="349"/>
      <c r="BJ147" s="572"/>
      <c r="BK147" s="566"/>
      <c r="BL147" s="566"/>
      <c r="BM147" s="566"/>
      <c r="BN147" s="566"/>
      <c r="BO147" s="566"/>
      <c r="BP147" s="566"/>
      <c r="BQ147" s="566"/>
      <c r="BR147" s="566"/>
      <c r="BS147" s="566"/>
      <c r="BT147" s="566"/>
    </row>
    <row r="148" spans="1:72" s="387" customFormat="1" ht="13.15" customHeight="1" x14ac:dyDescent="0.2">
      <c r="A148" s="484" t="s">
        <v>559</v>
      </c>
      <c r="B148" s="484" t="s">
        <v>316</v>
      </c>
      <c r="C148" s="379" t="s">
        <v>317</v>
      </c>
      <c r="D148" s="347" t="s">
        <v>714</v>
      </c>
      <c r="E148" s="347" t="s">
        <v>87</v>
      </c>
      <c r="F148" s="347"/>
      <c r="G148" s="347"/>
      <c r="H148" s="347"/>
      <c r="I148" s="1076">
        <v>41751</v>
      </c>
      <c r="J148" s="411">
        <v>41773</v>
      </c>
      <c r="K148" s="411"/>
      <c r="L148" s="1077">
        <f t="shared" si="138"/>
        <v>22</v>
      </c>
      <c r="M148" s="381">
        <v>42138</v>
      </c>
      <c r="N148" s="381">
        <v>42504</v>
      </c>
      <c r="O148" s="381"/>
      <c r="P148" s="381"/>
      <c r="Q148" s="381">
        <v>42736</v>
      </c>
      <c r="R148" s="381" t="s">
        <v>16</v>
      </c>
      <c r="S148" s="347" t="s">
        <v>16</v>
      </c>
      <c r="T148" s="347"/>
      <c r="U148" s="383"/>
      <c r="V148" s="347"/>
      <c r="W148" s="347"/>
      <c r="X148" s="385">
        <v>36456</v>
      </c>
      <c r="Y148" s="761">
        <f t="shared" si="135"/>
        <v>16.2</v>
      </c>
      <c r="Z148" s="347" t="s">
        <v>21</v>
      </c>
      <c r="AA148" s="770" t="str">
        <f t="shared" si="125"/>
        <v/>
      </c>
      <c r="AB148" s="770" t="str">
        <f t="shared" si="126"/>
        <v/>
      </c>
      <c r="AC148" s="770" t="str">
        <f t="shared" si="139"/>
        <v/>
      </c>
      <c r="AD148" s="770" t="str">
        <f t="shared" ref="AD148:AD157" si="147">IF(AND(Y148&gt;=15,Y148&lt;18),IF(Z148="M","M","F"),"")</f>
        <v>F</v>
      </c>
      <c r="AE148" s="770" t="str">
        <f t="shared" si="141"/>
        <v/>
      </c>
      <c r="AF148" s="770"/>
      <c r="AG148" s="770"/>
      <c r="AH148" s="770"/>
      <c r="AI148" s="770"/>
      <c r="AJ148" s="770"/>
      <c r="AK148" s="770"/>
      <c r="AL148" s="770">
        <f t="shared" si="144"/>
        <v>963</v>
      </c>
      <c r="AM148" s="770">
        <f t="shared" si="145"/>
        <v>2.6383561643835618</v>
      </c>
      <c r="AN148" s="770">
        <f t="shared" si="142"/>
        <v>2</v>
      </c>
      <c r="AO148" s="761">
        <f t="shared" si="143"/>
        <v>7.6602739726027416</v>
      </c>
      <c r="AP148" s="1074"/>
      <c r="AQ148" s="782">
        <f t="shared" si="130"/>
        <v>42370</v>
      </c>
      <c r="AR148" s="782">
        <f t="shared" si="137"/>
        <v>42736</v>
      </c>
      <c r="AS148" s="770">
        <f t="shared" si="131"/>
        <v>366</v>
      </c>
      <c r="AT148" s="790">
        <f>IF(AQ148&gt;'[1]calculs enfants présents'!$A$56,0,IF(Q148&lt;'[1]calculs enfants présents'!$A$56,Q148-AQ148,'[1]calculs enfants présents'!$A$56-AQ148))</f>
        <v>0</v>
      </c>
      <c r="AU148" s="791">
        <f t="shared" si="132"/>
        <v>31</v>
      </c>
      <c r="AV148" s="790">
        <f t="shared" si="133"/>
        <v>-31</v>
      </c>
      <c r="AW148" s="412"/>
      <c r="AX148" s="381">
        <v>42369</v>
      </c>
      <c r="AY148" s="955">
        <f t="shared" si="116"/>
        <v>42504</v>
      </c>
      <c r="AZ148" s="955">
        <f t="shared" si="121"/>
        <v>42736</v>
      </c>
      <c r="BA148" s="955">
        <f t="shared" si="118"/>
        <v>42472</v>
      </c>
      <c r="BB148" s="1105"/>
      <c r="BC148" s="1103"/>
      <c r="BD148" s="1105"/>
      <c r="BE148" s="1104">
        <f t="shared" si="146"/>
        <v>41863</v>
      </c>
      <c r="BF148" s="459"/>
      <c r="BG148" s="349"/>
      <c r="BH148" s="465"/>
      <c r="BI148" s="460">
        <v>42046</v>
      </c>
      <c r="BJ148" s="382" t="s">
        <v>272</v>
      </c>
    </row>
    <row r="149" spans="1:72" s="396" customFormat="1" ht="13.15" customHeight="1" x14ac:dyDescent="0.2">
      <c r="A149" s="375" t="s">
        <v>214</v>
      </c>
      <c r="B149" s="375" t="s">
        <v>214</v>
      </c>
      <c r="C149" s="391" t="s">
        <v>215</v>
      </c>
      <c r="D149" s="366" t="s">
        <v>179</v>
      </c>
      <c r="E149" s="366"/>
      <c r="F149" s="366" t="s">
        <v>66</v>
      </c>
      <c r="G149" s="366"/>
      <c r="H149" s="366"/>
      <c r="I149" s="366"/>
      <c r="J149" s="512">
        <v>41100</v>
      </c>
      <c r="K149" s="512"/>
      <c r="L149" s="1130" t="str">
        <f t="shared" si="138"/>
        <v/>
      </c>
      <c r="M149" s="369">
        <v>42195</v>
      </c>
      <c r="N149" s="621">
        <v>42379</v>
      </c>
      <c r="O149" s="621" t="s">
        <v>674</v>
      </c>
      <c r="P149" s="621" t="s">
        <v>674</v>
      </c>
      <c r="Q149" s="621">
        <v>42379</v>
      </c>
      <c r="R149" s="369" t="s">
        <v>156</v>
      </c>
      <c r="S149" s="366" t="s">
        <v>62</v>
      </c>
      <c r="T149" s="366"/>
      <c r="U149" s="393"/>
      <c r="V149" s="366"/>
      <c r="W149" s="366"/>
      <c r="X149" s="370">
        <v>39686</v>
      </c>
      <c r="Y149" s="760">
        <f t="shared" si="135"/>
        <v>7.3506849315068497</v>
      </c>
      <c r="Z149" s="366" t="s">
        <v>13</v>
      </c>
      <c r="AA149" s="775" t="str">
        <f t="shared" si="125"/>
        <v/>
      </c>
      <c r="AB149" s="775" t="str">
        <f t="shared" si="126"/>
        <v>M</v>
      </c>
      <c r="AC149" s="775" t="str">
        <f t="shared" si="139"/>
        <v/>
      </c>
      <c r="AD149" s="775" t="str">
        <f t="shared" si="147"/>
        <v/>
      </c>
      <c r="AE149" s="775" t="str">
        <f t="shared" si="141"/>
        <v/>
      </c>
      <c r="AF149" s="767"/>
      <c r="AG149" s="767"/>
      <c r="AH149" s="767"/>
      <c r="AI149" s="767"/>
      <c r="AJ149" s="767"/>
      <c r="AK149" s="767"/>
      <c r="AL149" s="767">
        <f t="shared" si="144"/>
        <v>1279</v>
      </c>
      <c r="AM149" s="767">
        <f t="shared" si="145"/>
        <v>3.504109589041096</v>
      </c>
      <c r="AN149" s="775">
        <f t="shared" si="142"/>
        <v>3</v>
      </c>
      <c r="AO149" s="760">
        <f t="shared" si="143"/>
        <v>6.0493150684931525</v>
      </c>
      <c r="AP149" s="1131"/>
      <c r="AQ149" s="1132">
        <f t="shared" si="130"/>
        <v>42370</v>
      </c>
      <c r="AR149" s="1132">
        <f t="shared" si="137"/>
        <v>42379</v>
      </c>
      <c r="AS149" s="767">
        <f t="shared" si="131"/>
        <v>9</v>
      </c>
      <c r="AT149" s="788">
        <f>IF(AQ149&gt;'[1]calculs enfants présents'!$A$56,0,IF(Q149&lt;'[1]calculs enfants présents'!$A$56,Q149-AQ149,'[1]calculs enfants présents'!$A$56-AQ149))</f>
        <v>0</v>
      </c>
      <c r="AU149" s="788">
        <f t="shared" si="132"/>
        <v>9</v>
      </c>
      <c r="AV149" s="788">
        <f t="shared" si="133"/>
        <v>-9</v>
      </c>
      <c r="AW149" s="367"/>
      <c r="AX149" s="369">
        <v>42369</v>
      </c>
      <c r="AY149" s="1133">
        <f t="shared" ref="AY149:AY177" si="148">N149</f>
        <v>42379</v>
      </c>
      <c r="AZ149" s="1133">
        <f t="shared" si="121"/>
        <v>42379</v>
      </c>
      <c r="BA149" s="1133">
        <f t="shared" ref="BA149:BA177" si="149">(N149-30)-(WEEKDAY(N149-30,2)-2)</f>
        <v>42346</v>
      </c>
      <c r="BB149" s="670">
        <v>42353</v>
      </c>
      <c r="BC149" s="1134" t="s">
        <v>276</v>
      </c>
      <c r="BD149" s="1129">
        <v>42353</v>
      </c>
      <c r="BE149" s="1135">
        <f t="shared" si="146"/>
        <v>41191</v>
      </c>
      <c r="BF149" s="483"/>
      <c r="BG149" s="357"/>
      <c r="BH149" s="482"/>
      <c r="BI149" s="400"/>
      <c r="BJ149" s="392"/>
      <c r="BK149" s="1236"/>
      <c r="BL149" s="1236"/>
      <c r="BM149" s="1236"/>
      <c r="BN149" s="1236"/>
      <c r="BO149" s="1236"/>
      <c r="BP149" s="1236"/>
      <c r="BQ149" s="1236"/>
      <c r="BR149" s="1236"/>
      <c r="BS149" s="742"/>
      <c r="BT149" s="742"/>
    </row>
    <row r="150" spans="1:72" s="566" customFormat="1" ht="13.15" customHeight="1" x14ac:dyDescent="0.2">
      <c r="A150" s="375" t="s">
        <v>214</v>
      </c>
      <c r="B150" s="375" t="s">
        <v>214</v>
      </c>
      <c r="C150" s="391" t="s">
        <v>188</v>
      </c>
      <c r="D150" s="366" t="s">
        <v>179</v>
      </c>
      <c r="E150" s="366"/>
      <c r="F150" s="366" t="s">
        <v>66</v>
      </c>
      <c r="G150" s="366"/>
      <c r="H150" s="366"/>
      <c r="I150" s="366"/>
      <c r="J150" s="512">
        <v>41100</v>
      </c>
      <c r="K150" s="512"/>
      <c r="L150" s="1130" t="str">
        <f t="shared" si="138"/>
        <v/>
      </c>
      <c r="M150" s="369">
        <v>42195</v>
      </c>
      <c r="N150" s="621">
        <v>42379</v>
      </c>
      <c r="O150" s="621" t="s">
        <v>674</v>
      </c>
      <c r="P150" s="621" t="s">
        <v>674</v>
      </c>
      <c r="Q150" s="621">
        <v>42379</v>
      </c>
      <c r="R150" s="369" t="s">
        <v>156</v>
      </c>
      <c r="S150" s="366" t="s">
        <v>62</v>
      </c>
      <c r="T150" s="366"/>
      <c r="U150" s="393"/>
      <c r="V150" s="366"/>
      <c r="W150" s="366"/>
      <c r="X150" s="370">
        <v>38415</v>
      </c>
      <c r="Y150" s="760">
        <f t="shared" si="135"/>
        <v>10.832876712328767</v>
      </c>
      <c r="Z150" s="366" t="s">
        <v>13</v>
      </c>
      <c r="AA150" s="775" t="str">
        <f t="shared" si="125"/>
        <v/>
      </c>
      <c r="AB150" s="775" t="str">
        <f t="shared" si="126"/>
        <v>M</v>
      </c>
      <c r="AC150" s="775" t="str">
        <f t="shared" si="139"/>
        <v/>
      </c>
      <c r="AD150" s="775" t="str">
        <f t="shared" si="147"/>
        <v/>
      </c>
      <c r="AE150" s="775" t="str">
        <f t="shared" si="141"/>
        <v/>
      </c>
      <c r="AF150" s="767"/>
      <c r="AG150" s="767"/>
      <c r="AH150" s="767"/>
      <c r="AI150" s="767"/>
      <c r="AJ150" s="767"/>
      <c r="AK150" s="767"/>
      <c r="AL150" s="767">
        <f t="shared" si="144"/>
        <v>1279</v>
      </c>
      <c r="AM150" s="767">
        <f t="shared" si="145"/>
        <v>3.504109589041096</v>
      </c>
      <c r="AN150" s="775">
        <f t="shared" si="142"/>
        <v>3</v>
      </c>
      <c r="AO150" s="760">
        <f t="shared" si="143"/>
        <v>6.0493150684931525</v>
      </c>
      <c r="AP150" s="1131"/>
      <c r="AQ150" s="1132">
        <f t="shared" si="130"/>
        <v>42370</v>
      </c>
      <c r="AR150" s="1132">
        <f t="shared" si="137"/>
        <v>42379</v>
      </c>
      <c r="AS150" s="767">
        <f t="shared" si="131"/>
        <v>9</v>
      </c>
      <c r="AT150" s="788">
        <f>IF(AQ150&gt;'[1]calculs enfants présents'!$A$56,0,IF(Q150&lt;'[1]calculs enfants présents'!$A$56,Q150-AQ150,'[1]calculs enfants présents'!$A$56-AQ150))</f>
        <v>0</v>
      </c>
      <c r="AU150" s="788">
        <f t="shared" si="132"/>
        <v>9</v>
      </c>
      <c r="AV150" s="788">
        <f t="shared" si="133"/>
        <v>-9</v>
      </c>
      <c r="AW150" s="367"/>
      <c r="AX150" s="369">
        <v>42369</v>
      </c>
      <c r="AY150" s="1133">
        <f t="shared" si="148"/>
        <v>42379</v>
      </c>
      <c r="AZ150" s="1133">
        <f t="shared" si="121"/>
        <v>42379</v>
      </c>
      <c r="BA150" s="1133">
        <f t="shared" si="149"/>
        <v>42346</v>
      </c>
      <c r="BB150" s="1129">
        <v>42353</v>
      </c>
      <c r="BC150" s="1134" t="s">
        <v>276</v>
      </c>
      <c r="BD150" s="1129"/>
      <c r="BE150" s="1135">
        <f t="shared" si="146"/>
        <v>41191</v>
      </c>
      <c r="BF150" s="483"/>
      <c r="BG150" s="357"/>
      <c r="BH150" s="482"/>
      <c r="BI150" s="400"/>
      <c r="BJ150" s="392"/>
      <c r="BK150" s="582"/>
      <c r="BL150" s="582"/>
      <c r="BM150" s="582"/>
      <c r="BN150" s="582"/>
      <c r="BO150" s="582"/>
      <c r="BP150" s="582"/>
      <c r="BQ150" s="582"/>
      <c r="BR150" s="582"/>
      <c r="BS150" s="374"/>
      <c r="BT150" s="374"/>
    </row>
    <row r="151" spans="1:72" s="387" customFormat="1" ht="13.15" customHeight="1" x14ac:dyDescent="0.2">
      <c r="A151" s="484" t="s">
        <v>422</v>
      </c>
      <c r="B151" s="484" t="s">
        <v>422</v>
      </c>
      <c r="C151" s="379" t="s">
        <v>220</v>
      </c>
      <c r="D151" s="347" t="s">
        <v>70</v>
      </c>
      <c r="E151" s="347" t="s">
        <v>183</v>
      </c>
      <c r="F151" s="347"/>
      <c r="G151" s="347"/>
      <c r="H151" s="347"/>
      <c r="I151" s="1076">
        <v>42030</v>
      </c>
      <c r="J151" s="411">
        <v>42072</v>
      </c>
      <c r="K151" s="411"/>
      <c r="L151" s="1077">
        <f t="shared" si="138"/>
        <v>42</v>
      </c>
      <c r="M151" s="381">
        <v>42072</v>
      </c>
      <c r="N151" s="708">
        <v>42438</v>
      </c>
      <c r="O151" s="708"/>
      <c r="P151" s="708"/>
      <c r="Q151" s="708">
        <v>42736</v>
      </c>
      <c r="R151" s="381" t="s">
        <v>156</v>
      </c>
      <c r="S151" s="347" t="s">
        <v>62</v>
      </c>
      <c r="T151" s="347"/>
      <c r="U151" s="383"/>
      <c r="V151" s="347"/>
      <c r="W151" s="347"/>
      <c r="X151" s="385">
        <v>37386</v>
      </c>
      <c r="Y151" s="761">
        <f t="shared" si="135"/>
        <v>13.652054794520549</v>
      </c>
      <c r="Z151" s="347" t="s">
        <v>13</v>
      </c>
      <c r="AA151" s="773" t="str">
        <f t="shared" si="125"/>
        <v/>
      </c>
      <c r="AB151" s="773" t="str">
        <f t="shared" si="126"/>
        <v/>
      </c>
      <c r="AC151" s="773" t="str">
        <f t="shared" si="139"/>
        <v>M</v>
      </c>
      <c r="AD151" s="773" t="str">
        <f t="shared" si="147"/>
        <v/>
      </c>
      <c r="AE151" s="773" t="str">
        <f t="shared" si="141"/>
        <v/>
      </c>
      <c r="AF151" s="770"/>
      <c r="AG151" s="770"/>
      <c r="AH151" s="770"/>
      <c r="AI151" s="770"/>
      <c r="AJ151" s="770"/>
      <c r="AK151" s="770"/>
      <c r="AL151" s="770">
        <f t="shared" si="144"/>
        <v>664</v>
      </c>
      <c r="AM151" s="770">
        <f t="shared" si="145"/>
        <v>1.8191780821917809</v>
      </c>
      <c r="AN151" s="773">
        <f t="shared" si="142"/>
        <v>1</v>
      </c>
      <c r="AO151" s="761">
        <f t="shared" si="143"/>
        <v>9.8301369863013708</v>
      </c>
      <c r="AP151" s="1074"/>
      <c r="AQ151" s="782">
        <f t="shared" si="130"/>
        <v>42370</v>
      </c>
      <c r="AR151" s="782">
        <f t="shared" si="137"/>
        <v>42736</v>
      </c>
      <c r="AS151" s="770">
        <f t="shared" si="131"/>
        <v>366</v>
      </c>
      <c r="AT151" s="790">
        <f>IF(AQ151&gt;'[1]calculs enfants présents'!$A$56,0,IF(Q151&lt;'[1]calculs enfants présents'!$A$56,Q151-AQ151,'[1]calculs enfants présents'!$A$56-AQ151))</f>
        <v>0</v>
      </c>
      <c r="AU151" s="790">
        <f t="shared" si="132"/>
        <v>31</v>
      </c>
      <c r="AV151" s="790">
        <f t="shared" si="133"/>
        <v>-31</v>
      </c>
      <c r="AW151" s="412"/>
      <c r="AX151" s="381">
        <v>42369</v>
      </c>
      <c r="AY151" s="955">
        <f t="shared" si="148"/>
        <v>42438</v>
      </c>
      <c r="AZ151" s="955">
        <f t="shared" si="121"/>
        <v>42736</v>
      </c>
      <c r="BA151" s="955">
        <f t="shared" si="149"/>
        <v>42409</v>
      </c>
      <c r="BB151" s="1105">
        <v>42409</v>
      </c>
      <c r="BC151" s="1103" t="s">
        <v>276</v>
      </c>
      <c r="BD151" s="1105">
        <v>42409</v>
      </c>
      <c r="BE151" s="1104">
        <f t="shared" si="146"/>
        <v>42157</v>
      </c>
      <c r="BF151" s="460"/>
      <c r="BG151" s="349"/>
      <c r="BH151" s="465"/>
      <c r="BI151" s="349"/>
      <c r="BJ151" s="572"/>
    </row>
    <row r="152" spans="1:72" s="387" customFormat="1" ht="13.15" customHeight="1" x14ac:dyDescent="0.2">
      <c r="A152" s="484" t="s">
        <v>401</v>
      </c>
      <c r="B152" s="484" t="s">
        <v>401</v>
      </c>
      <c r="C152" s="379" t="s">
        <v>402</v>
      </c>
      <c r="D152" s="347" t="s">
        <v>183</v>
      </c>
      <c r="E152" s="347" t="s">
        <v>183</v>
      </c>
      <c r="F152" s="347"/>
      <c r="G152" s="347"/>
      <c r="H152" s="347"/>
      <c r="I152" s="1076">
        <v>42009</v>
      </c>
      <c r="J152" s="411">
        <v>42009</v>
      </c>
      <c r="K152" s="411"/>
      <c r="L152" s="1078">
        <f t="shared" si="138"/>
        <v>0</v>
      </c>
      <c r="M152" s="381">
        <v>42374</v>
      </c>
      <c r="N152" s="708">
        <v>42556</v>
      </c>
      <c r="O152" s="708"/>
      <c r="P152" s="708"/>
      <c r="Q152" s="708">
        <v>42736</v>
      </c>
      <c r="R152" s="381" t="s">
        <v>156</v>
      </c>
      <c r="S152" s="347" t="s">
        <v>160</v>
      </c>
      <c r="T152" s="347"/>
      <c r="U152" s="383"/>
      <c r="V152" s="347"/>
      <c r="W152" s="347"/>
      <c r="X152" s="385">
        <v>36435</v>
      </c>
      <c r="Y152" s="761">
        <f t="shared" si="135"/>
        <v>16.257534246575343</v>
      </c>
      <c r="Z152" s="347" t="s">
        <v>13</v>
      </c>
      <c r="AA152" s="773" t="str">
        <f t="shared" si="125"/>
        <v/>
      </c>
      <c r="AB152" s="773" t="str">
        <f t="shared" si="126"/>
        <v/>
      </c>
      <c r="AC152" s="773" t="str">
        <f t="shared" si="139"/>
        <v/>
      </c>
      <c r="AD152" s="773" t="str">
        <f t="shared" si="147"/>
        <v>M</v>
      </c>
      <c r="AE152" s="773" t="str">
        <f t="shared" si="141"/>
        <v/>
      </c>
      <c r="AF152" s="770"/>
      <c r="AG152" s="770"/>
      <c r="AH152" s="770"/>
      <c r="AI152" s="770"/>
      <c r="AJ152" s="770"/>
      <c r="AK152" s="770"/>
      <c r="AL152" s="770">
        <f t="shared" si="144"/>
        <v>727</v>
      </c>
      <c r="AM152" s="770">
        <f t="shared" si="145"/>
        <v>1.9917808219178081</v>
      </c>
      <c r="AN152" s="773">
        <f t="shared" si="142"/>
        <v>1</v>
      </c>
      <c r="AO152" s="761">
        <f t="shared" si="143"/>
        <v>11.901369863013699</v>
      </c>
      <c r="AP152" s="1074"/>
      <c r="AQ152" s="782">
        <f t="shared" si="130"/>
        <v>42370</v>
      </c>
      <c r="AR152" s="782">
        <f t="shared" si="137"/>
        <v>42736</v>
      </c>
      <c r="AS152" s="770">
        <f t="shared" si="131"/>
        <v>366</v>
      </c>
      <c r="AT152" s="790">
        <f>IF(AQ152&gt;'[1]calculs enfants présents'!$A$56,0,IF(Q152&lt;'[1]calculs enfants présents'!$A$56,Q152-AQ152,'[1]calculs enfants présents'!$A$56-AQ152))</f>
        <v>0</v>
      </c>
      <c r="AU152" s="790">
        <f t="shared" si="132"/>
        <v>31</v>
      </c>
      <c r="AV152" s="790">
        <f t="shared" si="133"/>
        <v>-31</v>
      </c>
      <c r="AW152" s="412"/>
      <c r="AX152" s="381">
        <v>42369</v>
      </c>
      <c r="AY152" s="955">
        <f t="shared" si="148"/>
        <v>42556</v>
      </c>
      <c r="AZ152" s="955">
        <f t="shared" si="121"/>
        <v>42736</v>
      </c>
      <c r="BA152" s="955">
        <f t="shared" si="149"/>
        <v>42521</v>
      </c>
      <c r="BB152" s="1105">
        <v>42332</v>
      </c>
      <c r="BC152" s="1103" t="s">
        <v>270</v>
      </c>
      <c r="BD152" s="1105">
        <v>42332</v>
      </c>
      <c r="BE152" s="1104">
        <f t="shared" si="146"/>
        <v>42094</v>
      </c>
      <c r="BF152" s="460"/>
      <c r="BG152" s="349"/>
      <c r="BH152" s="465"/>
      <c r="BI152" s="349"/>
      <c r="BJ152" s="572"/>
      <c r="BK152" s="400"/>
      <c r="BL152" s="400"/>
      <c r="BM152" s="400"/>
      <c r="BN152" s="400"/>
      <c r="BO152" s="400"/>
      <c r="BP152" s="400"/>
      <c r="BQ152" s="400"/>
      <c r="BR152" s="400"/>
      <c r="BS152" s="374"/>
      <c r="BT152" s="374"/>
    </row>
    <row r="153" spans="1:72" s="387" customFormat="1" ht="13.15" customHeight="1" x14ac:dyDescent="0.2">
      <c r="A153" s="484" t="s">
        <v>326</v>
      </c>
      <c r="B153" s="484" t="s">
        <v>326</v>
      </c>
      <c r="C153" s="379" t="s">
        <v>250</v>
      </c>
      <c r="D153" s="347" t="s">
        <v>179</v>
      </c>
      <c r="E153" s="347" t="s">
        <v>138</v>
      </c>
      <c r="F153" s="347"/>
      <c r="G153" s="347"/>
      <c r="H153" s="347"/>
      <c r="I153" s="1076">
        <v>42195</v>
      </c>
      <c r="J153" s="411">
        <v>42261</v>
      </c>
      <c r="K153" s="411"/>
      <c r="L153" s="1078">
        <f t="shared" si="138"/>
        <v>66</v>
      </c>
      <c r="M153" s="381">
        <v>42261</v>
      </c>
      <c r="N153" s="381">
        <v>42627</v>
      </c>
      <c r="O153" s="381"/>
      <c r="P153" s="381"/>
      <c r="Q153" s="708">
        <v>42736</v>
      </c>
      <c r="R153" s="381" t="s">
        <v>156</v>
      </c>
      <c r="S153" s="347" t="s">
        <v>156</v>
      </c>
      <c r="T153" s="347"/>
      <c r="U153" s="383"/>
      <c r="V153" s="347"/>
      <c r="W153" s="347"/>
      <c r="X153" s="385">
        <v>36888</v>
      </c>
      <c r="Y153" s="761">
        <f t="shared" si="135"/>
        <v>15.016438356164384</v>
      </c>
      <c r="Z153" s="347" t="s">
        <v>21</v>
      </c>
      <c r="AA153" s="770" t="str">
        <f t="shared" si="125"/>
        <v/>
      </c>
      <c r="AB153" s="770" t="str">
        <f t="shared" si="126"/>
        <v/>
      </c>
      <c r="AC153" s="770" t="str">
        <f t="shared" si="139"/>
        <v/>
      </c>
      <c r="AD153" s="770" t="str">
        <f t="shared" si="147"/>
        <v>F</v>
      </c>
      <c r="AE153" s="770" t="str">
        <f t="shared" si="141"/>
        <v/>
      </c>
      <c r="AF153" s="770"/>
      <c r="AG153" s="770"/>
      <c r="AH153" s="770"/>
      <c r="AI153" s="770"/>
      <c r="AJ153" s="770"/>
      <c r="AK153" s="770"/>
      <c r="AL153" s="770">
        <f t="shared" si="144"/>
        <v>475</v>
      </c>
      <c r="AM153" s="770">
        <f t="shared" si="145"/>
        <v>1.3013698630136987</v>
      </c>
      <c r="AN153" s="770">
        <f t="shared" si="142"/>
        <v>1</v>
      </c>
      <c r="AO153" s="761">
        <f t="shared" si="143"/>
        <v>3.6164383561643847</v>
      </c>
      <c r="AP153" s="1074"/>
      <c r="AQ153" s="782">
        <f t="shared" si="130"/>
        <v>42370</v>
      </c>
      <c r="AR153" s="782">
        <f t="shared" si="137"/>
        <v>42736</v>
      </c>
      <c r="AS153" s="770">
        <f t="shared" si="131"/>
        <v>366</v>
      </c>
      <c r="AT153" s="790">
        <f>IF(AQ153&gt;'[1]calculs enfants présents'!$A$56,0,IF(Q153&lt;'[1]calculs enfants présents'!$A$56,Q153-AQ153,'[1]calculs enfants présents'!$A$56-AQ153))</f>
        <v>0</v>
      </c>
      <c r="AU153" s="791">
        <f t="shared" si="132"/>
        <v>31</v>
      </c>
      <c r="AV153" s="790">
        <f t="shared" si="133"/>
        <v>-31</v>
      </c>
      <c r="AW153" s="412"/>
      <c r="AX153" s="381">
        <v>42369</v>
      </c>
      <c r="AY153" s="955">
        <f t="shared" si="148"/>
        <v>42627</v>
      </c>
      <c r="AZ153" s="955">
        <f t="shared" si="121"/>
        <v>42736</v>
      </c>
      <c r="BA153" s="955">
        <f t="shared" si="149"/>
        <v>42598</v>
      </c>
      <c r="BB153" s="1105"/>
      <c r="BC153" s="1103"/>
      <c r="BD153" s="1076"/>
      <c r="BE153" s="1104">
        <f t="shared" si="146"/>
        <v>42346</v>
      </c>
      <c r="BF153" s="460">
        <v>42395</v>
      </c>
      <c r="BG153" s="349" t="s">
        <v>271</v>
      </c>
      <c r="BH153" s="465">
        <v>42395</v>
      </c>
      <c r="BI153" s="349"/>
      <c r="BJ153" s="572"/>
      <c r="BK153" s="566"/>
      <c r="BL153" s="566"/>
      <c r="BM153" s="566"/>
      <c r="BN153" s="566"/>
      <c r="BO153" s="566"/>
      <c r="BP153" s="566"/>
      <c r="BQ153" s="566"/>
      <c r="BR153" s="566"/>
      <c r="BS153" s="566"/>
      <c r="BT153" s="566"/>
    </row>
    <row r="154" spans="1:72" s="387" customFormat="1" ht="13.15" customHeight="1" x14ac:dyDescent="0.2">
      <c r="A154" s="695" t="s">
        <v>368</v>
      </c>
      <c r="B154" s="695" t="s">
        <v>368</v>
      </c>
      <c r="C154" s="698" t="s">
        <v>369</v>
      </c>
      <c r="D154" s="555" t="s">
        <v>87</v>
      </c>
      <c r="E154" s="555" t="s">
        <v>179</v>
      </c>
      <c r="F154" s="555"/>
      <c r="G154" s="555"/>
      <c r="H154" s="555"/>
      <c r="I154" s="799">
        <v>41957</v>
      </c>
      <c r="J154" s="709">
        <v>41963</v>
      </c>
      <c r="K154" s="709"/>
      <c r="L154" s="1077">
        <f t="shared" si="138"/>
        <v>6</v>
      </c>
      <c r="M154" s="609">
        <v>41963</v>
      </c>
      <c r="N154" s="710">
        <v>42328</v>
      </c>
      <c r="O154" s="710" t="s">
        <v>628</v>
      </c>
      <c r="P154" s="710">
        <v>42694</v>
      </c>
      <c r="Q154" s="710">
        <v>42736</v>
      </c>
      <c r="R154" s="609" t="s">
        <v>16</v>
      </c>
      <c r="S154" s="555" t="s">
        <v>16</v>
      </c>
      <c r="T154" s="555"/>
      <c r="U154" s="558"/>
      <c r="V154" s="555"/>
      <c r="W154" s="555"/>
      <c r="X154" s="714">
        <v>36578</v>
      </c>
      <c r="Y154" s="759">
        <f t="shared" si="135"/>
        <v>15.865753424657534</v>
      </c>
      <c r="Z154" s="555" t="s">
        <v>13</v>
      </c>
      <c r="AA154" s="778" t="str">
        <f t="shared" si="125"/>
        <v/>
      </c>
      <c r="AB154" s="778" t="str">
        <f t="shared" si="126"/>
        <v/>
      </c>
      <c r="AC154" s="778" t="str">
        <f t="shared" si="139"/>
        <v/>
      </c>
      <c r="AD154" s="778" t="str">
        <f t="shared" si="147"/>
        <v>M</v>
      </c>
      <c r="AE154" s="778" t="str">
        <f t="shared" si="141"/>
        <v/>
      </c>
      <c r="AF154" s="765"/>
      <c r="AG154" s="765"/>
      <c r="AH154" s="765"/>
      <c r="AI154" s="765"/>
      <c r="AJ154" s="765"/>
      <c r="AK154" s="765"/>
      <c r="AL154" s="765"/>
      <c r="AM154" s="765"/>
      <c r="AN154" s="778">
        <f t="shared" si="142"/>
        <v>0</v>
      </c>
      <c r="AO154" s="759">
        <f t="shared" si="143"/>
        <v>0</v>
      </c>
      <c r="AP154" s="1079"/>
      <c r="AQ154" s="1080">
        <f t="shared" si="130"/>
        <v>42370</v>
      </c>
      <c r="AR154" s="1080">
        <f t="shared" si="137"/>
        <v>42736</v>
      </c>
      <c r="AS154" s="765">
        <f t="shared" si="131"/>
        <v>366</v>
      </c>
      <c r="AT154" s="786">
        <f>IF(AQ154&gt;'[1]calculs enfants présents'!$A$56,0,IF(Q154&lt;'[1]calculs enfants présents'!$A$56,Q154-AQ154,'[1]calculs enfants présents'!$A$56-AQ154))</f>
        <v>0</v>
      </c>
      <c r="AU154" s="786">
        <f t="shared" si="132"/>
        <v>31</v>
      </c>
      <c r="AV154" s="786">
        <f t="shared" si="133"/>
        <v>-31</v>
      </c>
      <c r="AW154" s="559"/>
      <c r="AX154" s="609">
        <v>42369</v>
      </c>
      <c r="AY154" s="956">
        <f t="shared" si="148"/>
        <v>42328</v>
      </c>
      <c r="AZ154" s="956">
        <f t="shared" si="121"/>
        <v>42736</v>
      </c>
      <c r="BA154" s="956">
        <f t="shared" si="149"/>
        <v>42297</v>
      </c>
      <c r="BB154" s="799"/>
      <c r="BC154" s="1106"/>
      <c r="BD154" s="799"/>
      <c r="BE154" s="1107">
        <f t="shared" si="146"/>
        <v>42052</v>
      </c>
      <c r="BF154" s="561"/>
      <c r="BG154" s="556"/>
      <c r="BH154" s="563"/>
      <c r="BI154" s="556" t="s">
        <v>356</v>
      </c>
      <c r="BJ154" s="611">
        <v>42088</v>
      </c>
      <c r="BK154" s="396"/>
      <c r="BL154" s="396"/>
      <c r="BM154" s="396"/>
      <c r="BN154" s="396"/>
      <c r="BO154" s="396"/>
      <c r="BP154" s="396"/>
      <c r="BQ154" s="396"/>
      <c r="BR154" s="396"/>
      <c r="BS154" s="396"/>
      <c r="BT154" s="396"/>
    </row>
    <row r="155" spans="1:72" s="387" customFormat="1" ht="13.15" customHeight="1" x14ac:dyDescent="0.2">
      <c r="A155" s="484" t="s">
        <v>463</v>
      </c>
      <c r="B155" s="484" t="s">
        <v>429</v>
      </c>
      <c r="C155" s="379" t="s">
        <v>454</v>
      </c>
      <c r="D155" s="347" t="s">
        <v>87</v>
      </c>
      <c r="E155" s="347" t="s">
        <v>310</v>
      </c>
      <c r="F155" s="347"/>
      <c r="G155" s="347"/>
      <c r="H155" s="347"/>
      <c r="I155" s="1076">
        <v>42058</v>
      </c>
      <c r="J155" s="411">
        <v>42072</v>
      </c>
      <c r="K155" s="411"/>
      <c r="L155" s="1077">
        <f t="shared" si="138"/>
        <v>14</v>
      </c>
      <c r="M155" s="381">
        <v>42072</v>
      </c>
      <c r="N155" s="708">
        <v>42438</v>
      </c>
      <c r="O155" s="708"/>
      <c r="P155" s="708"/>
      <c r="Q155" s="708">
        <v>42736</v>
      </c>
      <c r="R155" s="381" t="s">
        <v>16</v>
      </c>
      <c r="S155" s="347" t="s">
        <v>16</v>
      </c>
      <c r="T155" s="347"/>
      <c r="U155" s="383"/>
      <c r="V155" s="347"/>
      <c r="W155" s="347"/>
      <c r="X155" s="385">
        <v>40593</v>
      </c>
      <c r="Y155" s="761">
        <f t="shared" si="135"/>
        <v>4.8657534246575347</v>
      </c>
      <c r="Z155" s="347" t="s">
        <v>21</v>
      </c>
      <c r="AA155" s="773" t="str">
        <f t="shared" si="125"/>
        <v>F</v>
      </c>
      <c r="AB155" s="773" t="str">
        <f t="shared" si="126"/>
        <v/>
      </c>
      <c r="AC155" s="773" t="str">
        <f t="shared" si="139"/>
        <v/>
      </c>
      <c r="AD155" s="773" t="str">
        <f t="shared" si="147"/>
        <v/>
      </c>
      <c r="AE155" s="773" t="str">
        <f t="shared" si="141"/>
        <v/>
      </c>
      <c r="AF155" s="770"/>
      <c r="AG155" s="770"/>
      <c r="AH155" s="770"/>
      <c r="AI155" s="770"/>
      <c r="AJ155" s="770"/>
      <c r="AK155" s="770"/>
      <c r="AL155" s="770"/>
      <c r="AM155" s="770"/>
      <c r="AN155" s="773">
        <f t="shared" si="142"/>
        <v>0</v>
      </c>
      <c r="AO155" s="761">
        <f t="shared" si="143"/>
        <v>0</v>
      </c>
      <c r="AP155" s="1074"/>
      <c r="AQ155" s="782">
        <f t="shared" si="130"/>
        <v>42370</v>
      </c>
      <c r="AR155" s="782">
        <f t="shared" si="137"/>
        <v>42736</v>
      </c>
      <c r="AS155" s="770">
        <f t="shared" si="131"/>
        <v>366</v>
      </c>
      <c r="AT155" s="790">
        <f>IF(AQ155&gt;'[1]calculs enfants présents'!$A$56,0,IF(Q155&lt;'[1]calculs enfants présents'!$A$56,Q155-AQ155,'[1]calculs enfants présents'!$A$56-AQ155))</f>
        <v>0</v>
      </c>
      <c r="AU155" s="790">
        <f t="shared" si="132"/>
        <v>31</v>
      </c>
      <c r="AV155" s="790">
        <f t="shared" si="133"/>
        <v>-31</v>
      </c>
      <c r="AW155" s="412"/>
      <c r="AX155" s="381">
        <v>42369</v>
      </c>
      <c r="AY155" s="955">
        <f t="shared" si="148"/>
        <v>42438</v>
      </c>
      <c r="AZ155" s="955">
        <f t="shared" si="121"/>
        <v>42736</v>
      </c>
      <c r="BA155" s="955">
        <f t="shared" si="149"/>
        <v>42409</v>
      </c>
      <c r="BB155" s="1105">
        <v>42409</v>
      </c>
      <c r="BC155" s="1103" t="s">
        <v>270</v>
      </c>
      <c r="BD155" s="1105"/>
      <c r="BE155" s="1104">
        <f t="shared" si="146"/>
        <v>42157</v>
      </c>
      <c r="BF155" s="460"/>
      <c r="BG155" s="349"/>
      <c r="BH155" s="465"/>
      <c r="BI155" s="390"/>
      <c r="BJ155" s="382"/>
      <c r="BK155" s="396"/>
      <c r="BL155" s="396"/>
      <c r="BM155" s="396"/>
      <c r="BN155" s="396"/>
      <c r="BO155" s="396"/>
      <c r="BP155" s="396"/>
      <c r="BQ155" s="396"/>
      <c r="BR155" s="396"/>
      <c r="BS155" s="396"/>
      <c r="BT155" s="396"/>
    </row>
    <row r="156" spans="1:72" s="387" customFormat="1" ht="13.15" customHeight="1" x14ac:dyDescent="0.2">
      <c r="A156" s="484" t="s">
        <v>547</v>
      </c>
      <c r="B156" s="484" t="s">
        <v>306</v>
      </c>
      <c r="C156" s="379" t="s">
        <v>307</v>
      </c>
      <c r="D156" s="347" t="s">
        <v>310</v>
      </c>
      <c r="E156" s="347"/>
      <c r="F156" s="347"/>
      <c r="G156" s="347"/>
      <c r="H156" s="347"/>
      <c r="I156" s="1076">
        <v>41684</v>
      </c>
      <c r="J156" s="411">
        <v>41710</v>
      </c>
      <c r="K156" s="411"/>
      <c r="L156" s="1077">
        <f t="shared" si="138"/>
        <v>26</v>
      </c>
      <c r="M156" s="381">
        <v>42075</v>
      </c>
      <c r="N156" s="381">
        <v>42441</v>
      </c>
      <c r="O156" s="381"/>
      <c r="P156" s="381"/>
      <c r="Q156" s="708">
        <v>42736</v>
      </c>
      <c r="R156" s="381" t="s">
        <v>156</v>
      </c>
      <c r="S156" s="347" t="s">
        <v>156</v>
      </c>
      <c r="T156" s="347"/>
      <c r="U156" s="383"/>
      <c r="V156" s="347"/>
      <c r="W156" s="347"/>
      <c r="X156" s="385">
        <v>36326</v>
      </c>
      <c r="Y156" s="761">
        <f t="shared" si="135"/>
        <v>16.556164383561644</v>
      </c>
      <c r="Z156" s="347" t="s">
        <v>13</v>
      </c>
      <c r="AA156" s="773" t="str">
        <f t="shared" si="125"/>
        <v/>
      </c>
      <c r="AB156" s="773" t="str">
        <f t="shared" si="126"/>
        <v/>
      </c>
      <c r="AC156" s="773" t="str">
        <f t="shared" si="139"/>
        <v/>
      </c>
      <c r="AD156" s="773" t="str">
        <f t="shared" si="147"/>
        <v>M</v>
      </c>
      <c r="AE156" s="773" t="str">
        <f t="shared" si="141"/>
        <v/>
      </c>
      <c r="AF156" s="770"/>
      <c r="AG156" s="770"/>
      <c r="AH156" s="770"/>
      <c r="AI156" s="770"/>
      <c r="AJ156" s="770"/>
      <c r="AK156" s="770"/>
      <c r="AL156" s="770">
        <f>Q156-J156</f>
        <v>1026</v>
      </c>
      <c r="AM156" s="770">
        <f>AL156/365</f>
        <v>2.8109589041095893</v>
      </c>
      <c r="AN156" s="770">
        <f t="shared" si="142"/>
        <v>2</v>
      </c>
      <c r="AO156" s="761">
        <f t="shared" si="143"/>
        <v>9.7315068493150712</v>
      </c>
      <c r="AP156" s="1074"/>
      <c r="AQ156" s="782">
        <f t="shared" si="130"/>
        <v>42370</v>
      </c>
      <c r="AR156" s="782">
        <f t="shared" si="137"/>
        <v>42736</v>
      </c>
      <c r="AS156" s="770">
        <f t="shared" si="131"/>
        <v>366</v>
      </c>
      <c r="AT156" s="790">
        <f>IF(AQ156&gt;'[1]calculs enfants présents'!$A$56,0,IF(Q156&lt;'[1]calculs enfants présents'!$A$56,Q156-AQ156,'[1]calculs enfants présents'!$A$56-AQ156))</f>
        <v>0</v>
      </c>
      <c r="AU156" s="790">
        <f t="shared" si="132"/>
        <v>31</v>
      </c>
      <c r="AV156" s="790">
        <f t="shared" si="133"/>
        <v>-31</v>
      </c>
      <c r="AW156" s="412"/>
      <c r="AX156" s="381">
        <v>42369</v>
      </c>
      <c r="AY156" s="955">
        <f t="shared" si="148"/>
        <v>42441</v>
      </c>
      <c r="AZ156" s="955">
        <f t="shared" ref="AZ156:AZ177" si="150">AR156</f>
        <v>42736</v>
      </c>
      <c r="BA156" s="955">
        <f t="shared" si="149"/>
        <v>42409</v>
      </c>
      <c r="BB156" s="1105">
        <v>42416</v>
      </c>
      <c r="BC156" s="1103" t="s">
        <v>275</v>
      </c>
      <c r="BD156" s="1105">
        <v>42416</v>
      </c>
      <c r="BE156" s="1104">
        <f t="shared" si="146"/>
        <v>41800</v>
      </c>
      <c r="BF156" s="460"/>
      <c r="BG156" s="349"/>
      <c r="BH156" s="465"/>
      <c r="BI156" s="390"/>
      <c r="BJ156" s="382"/>
      <c r="BK156" s="374"/>
      <c r="BL156" s="374"/>
      <c r="BM156" s="374"/>
      <c r="BN156" s="374"/>
      <c r="BO156" s="374"/>
      <c r="BP156" s="374"/>
      <c r="BQ156" s="374"/>
      <c r="BR156" s="374"/>
      <c r="BS156" s="374"/>
      <c r="BT156" s="374"/>
    </row>
    <row r="157" spans="1:72" s="388" customFormat="1" ht="13.15" customHeight="1" x14ac:dyDescent="0.2">
      <c r="A157" s="695" t="s">
        <v>406</v>
      </c>
      <c r="B157" s="695" t="s">
        <v>406</v>
      </c>
      <c r="C157" s="698" t="s">
        <v>238</v>
      </c>
      <c r="D157" s="555" t="s">
        <v>714</v>
      </c>
      <c r="E157" s="555" t="s">
        <v>179</v>
      </c>
      <c r="F157" s="555"/>
      <c r="G157" s="555"/>
      <c r="H157" s="555"/>
      <c r="I157" s="799">
        <v>42016</v>
      </c>
      <c r="J157" s="709">
        <v>42032</v>
      </c>
      <c r="K157" s="709"/>
      <c r="L157" s="1075">
        <f t="shared" si="138"/>
        <v>16</v>
      </c>
      <c r="M157" s="609">
        <v>42032</v>
      </c>
      <c r="N157" s="609">
        <v>42397</v>
      </c>
      <c r="O157" s="609" t="s">
        <v>628</v>
      </c>
      <c r="P157" s="609">
        <v>42763</v>
      </c>
      <c r="Q157" s="609">
        <v>42736</v>
      </c>
      <c r="R157" s="609" t="s">
        <v>156</v>
      </c>
      <c r="S157" s="555" t="s">
        <v>156</v>
      </c>
      <c r="T157" s="355"/>
      <c r="U157" s="408"/>
      <c r="V157" s="355"/>
      <c r="W157" s="355"/>
      <c r="X157" s="714">
        <v>37337</v>
      </c>
      <c r="Y157" s="759">
        <f t="shared" si="135"/>
        <v>13.786301369863013</v>
      </c>
      <c r="Z157" s="555" t="s">
        <v>13</v>
      </c>
      <c r="AA157" s="778" t="str">
        <f t="shared" si="125"/>
        <v/>
      </c>
      <c r="AB157" s="778" t="str">
        <f t="shared" si="126"/>
        <v/>
      </c>
      <c r="AC157" s="778" t="str">
        <f t="shared" si="139"/>
        <v>M</v>
      </c>
      <c r="AD157" s="778" t="str">
        <f t="shared" si="147"/>
        <v/>
      </c>
      <c r="AE157" s="778" t="str">
        <f t="shared" si="141"/>
        <v/>
      </c>
      <c r="AF157" s="779"/>
      <c r="AG157" s="779"/>
      <c r="AH157" s="779"/>
      <c r="AI157" s="779"/>
      <c r="AJ157" s="779"/>
      <c r="AK157" s="779"/>
      <c r="AL157" s="779">
        <f>Q157-J157</f>
        <v>704</v>
      </c>
      <c r="AM157" s="779">
        <f>AL157/365</f>
        <v>1.9287671232876713</v>
      </c>
      <c r="AN157" s="765">
        <f t="shared" si="142"/>
        <v>1</v>
      </c>
      <c r="AO157" s="759">
        <f t="shared" si="143"/>
        <v>11.145205479452056</v>
      </c>
      <c r="AP157" s="1079"/>
      <c r="AQ157" s="1080">
        <f t="shared" si="130"/>
        <v>42370</v>
      </c>
      <c r="AR157" s="1080">
        <f t="shared" si="137"/>
        <v>42736</v>
      </c>
      <c r="AS157" s="765">
        <f t="shared" si="131"/>
        <v>366</v>
      </c>
      <c r="AT157" s="786">
        <f>IF(AQ157&gt;'[1]calculs enfants présents'!$A$56,0,IF(Q157&lt;'[1]calculs enfants présents'!$A$56,Q157-AQ157,'[1]calculs enfants présents'!$A$56-AQ157))</f>
        <v>0</v>
      </c>
      <c r="AU157" s="786">
        <f t="shared" si="132"/>
        <v>31</v>
      </c>
      <c r="AV157" s="786">
        <f t="shared" si="133"/>
        <v>-31</v>
      </c>
      <c r="AW157" s="559"/>
      <c r="AX157" s="609">
        <v>42369</v>
      </c>
      <c r="AY157" s="956">
        <f t="shared" si="148"/>
        <v>42397</v>
      </c>
      <c r="AZ157" s="956">
        <f t="shared" si="150"/>
        <v>42736</v>
      </c>
      <c r="BA157" s="956">
        <f t="shared" si="149"/>
        <v>42367</v>
      </c>
      <c r="BB157" s="577">
        <v>42374</v>
      </c>
      <c r="BC157" s="1106" t="s">
        <v>270</v>
      </c>
      <c r="BD157" s="577">
        <v>42374</v>
      </c>
      <c r="BE157" s="1107">
        <f t="shared" si="146"/>
        <v>42122</v>
      </c>
      <c r="BF157" s="561"/>
      <c r="BG157" s="556"/>
      <c r="BH157" s="563"/>
      <c r="BI157" s="556" t="s">
        <v>356</v>
      </c>
      <c r="BJ157" s="611">
        <v>42235</v>
      </c>
      <c r="BK157" s="566"/>
      <c r="BL157" s="566"/>
      <c r="BM157" s="566"/>
      <c r="BN157" s="566"/>
      <c r="BO157" s="566"/>
      <c r="BP157" s="566"/>
      <c r="BQ157" s="566"/>
      <c r="BR157" s="566"/>
      <c r="BS157" s="566"/>
      <c r="BT157" s="566"/>
    </row>
    <row r="158" spans="1:72" s="388" customFormat="1" ht="13.15" customHeight="1" x14ac:dyDescent="0.2">
      <c r="A158" s="484" t="s">
        <v>353</v>
      </c>
      <c r="B158" s="484" t="s">
        <v>353</v>
      </c>
      <c r="C158" s="379" t="s">
        <v>354</v>
      </c>
      <c r="D158" s="347" t="s">
        <v>138</v>
      </c>
      <c r="E158" s="347" t="s">
        <v>310</v>
      </c>
      <c r="F158" s="347"/>
      <c r="G158" s="347"/>
      <c r="H158" s="347"/>
      <c r="I158" s="1076">
        <v>41849</v>
      </c>
      <c r="J158" s="411">
        <v>41873</v>
      </c>
      <c r="K158" s="411"/>
      <c r="L158" s="1077">
        <f t="shared" si="138"/>
        <v>24</v>
      </c>
      <c r="M158" s="381">
        <v>42238</v>
      </c>
      <c r="N158" s="381">
        <v>42604</v>
      </c>
      <c r="O158" s="381"/>
      <c r="P158" s="381"/>
      <c r="Q158" s="708">
        <v>42736</v>
      </c>
      <c r="R158" s="381" t="s">
        <v>156</v>
      </c>
      <c r="S158" s="347" t="s">
        <v>225</v>
      </c>
      <c r="T158" s="385"/>
      <c r="U158" s="397"/>
      <c r="V158" s="347"/>
      <c r="W158" s="347"/>
      <c r="X158" s="385">
        <v>41133</v>
      </c>
      <c r="Y158" s="761">
        <f t="shared" si="135"/>
        <v>3.3863013698630136</v>
      </c>
      <c r="Z158" s="347" t="s">
        <v>13</v>
      </c>
      <c r="AA158" s="770" t="s">
        <v>13</v>
      </c>
      <c r="AB158" s="770"/>
      <c r="AC158" s="761"/>
      <c r="AD158" s="781"/>
      <c r="AE158" s="782"/>
      <c r="AF158" s="782"/>
      <c r="AG158" s="770"/>
      <c r="AH158" s="790"/>
      <c r="AI158" s="791"/>
      <c r="AJ158" s="790"/>
      <c r="AK158" s="791"/>
      <c r="AL158" s="1136"/>
      <c r="AM158" s="770"/>
      <c r="AN158" s="770">
        <f t="shared" si="142"/>
        <v>0</v>
      </c>
      <c r="AO158" s="761">
        <f t="shared" si="143"/>
        <v>0</v>
      </c>
      <c r="AP158" s="347"/>
      <c r="AQ158" s="782">
        <f t="shared" si="130"/>
        <v>42370</v>
      </c>
      <c r="AR158" s="782">
        <f t="shared" si="137"/>
        <v>42736</v>
      </c>
      <c r="AS158" s="770">
        <f t="shared" si="131"/>
        <v>366</v>
      </c>
      <c r="AT158" s="790">
        <f>IF(AQ158&gt;'[1]calculs enfants présents'!$A$56,0,IF(Q158&lt;'[1]calculs enfants présents'!$A$56,Q158-AQ158,'[1]calculs enfants présents'!$A$56-AQ158))</f>
        <v>0</v>
      </c>
      <c r="AU158" s="794">
        <f t="shared" si="132"/>
        <v>31</v>
      </c>
      <c r="AV158" s="790">
        <f t="shared" si="133"/>
        <v>-31</v>
      </c>
      <c r="AW158" s="347"/>
      <c r="AX158" s="381">
        <v>42369</v>
      </c>
      <c r="AY158" s="955">
        <f t="shared" si="148"/>
        <v>42604</v>
      </c>
      <c r="AZ158" s="955">
        <f t="shared" si="150"/>
        <v>42736</v>
      </c>
      <c r="BA158" s="955">
        <f t="shared" si="149"/>
        <v>42570</v>
      </c>
      <c r="BB158" s="1105"/>
      <c r="BC158" s="1103"/>
      <c r="BD158" s="1105"/>
      <c r="BE158" s="1104">
        <f t="shared" si="146"/>
        <v>41961</v>
      </c>
      <c r="BF158" s="462"/>
      <c r="BG158" s="390"/>
      <c r="BH158" s="468"/>
      <c r="BI158" s="387"/>
      <c r="BJ158" s="382"/>
      <c r="BK158" s="374"/>
      <c r="BL158" s="374"/>
      <c r="BM158" s="374"/>
      <c r="BN158" s="374"/>
      <c r="BO158" s="374"/>
      <c r="BP158" s="374"/>
      <c r="BQ158" s="374"/>
      <c r="BR158" s="374"/>
      <c r="BS158" s="652"/>
      <c r="BT158" s="652"/>
    </row>
    <row r="159" spans="1:72" s="401" customFormat="1" ht="13.15" customHeight="1" x14ac:dyDescent="0.2">
      <c r="A159" s="1201" t="s">
        <v>789</v>
      </c>
      <c r="B159" s="1201" t="s">
        <v>432</v>
      </c>
      <c r="C159" s="1202" t="s">
        <v>433</v>
      </c>
      <c r="D159" s="702" t="s">
        <v>70</v>
      </c>
      <c r="E159" s="702" t="s">
        <v>179</v>
      </c>
      <c r="F159" s="702" t="s">
        <v>674</v>
      </c>
      <c r="G159" s="702" t="s">
        <v>674</v>
      </c>
      <c r="H159" s="702"/>
      <c r="I159" s="1203">
        <v>42039</v>
      </c>
      <c r="J159" s="1204">
        <v>42048</v>
      </c>
      <c r="K159" s="1204"/>
      <c r="L159" s="1075">
        <f t="shared" si="138"/>
        <v>9</v>
      </c>
      <c r="M159" s="609">
        <v>42048</v>
      </c>
      <c r="N159" s="710">
        <v>42413</v>
      </c>
      <c r="O159" s="710" t="s">
        <v>628</v>
      </c>
      <c r="P159" s="710">
        <v>42779</v>
      </c>
      <c r="Q159" s="710">
        <v>42736</v>
      </c>
      <c r="R159" s="702" t="s">
        <v>156</v>
      </c>
      <c r="S159" s="702" t="s">
        <v>157</v>
      </c>
      <c r="T159" s="702"/>
      <c r="U159" s="702"/>
      <c r="V159" s="702"/>
      <c r="W159" s="702"/>
      <c r="X159" s="1205">
        <v>36641</v>
      </c>
      <c r="Y159" s="759">
        <f t="shared" si="135"/>
        <v>15.693150684931506</v>
      </c>
      <c r="Z159" s="555" t="s">
        <v>21</v>
      </c>
      <c r="AA159" s="778" t="str">
        <f>IF(Y159&lt;6,IF(Z159="M","M","F"),"")</f>
        <v/>
      </c>
      <c r="AB159" s="778" t="str">
        <f t="shared" ref="AB159:AB168" si="151">IF(AND(Y159&gt;=6,Y159&lt;11),IF(Z159="M","M","F"),"")</f>
        <v/>
      </c>
      <c r="AC159" s="778" t="str">
        <f t="shared" ref="AC159:AC177" si="152">IF(AND(Y159&gt;=11,Y159&lt;15),IF(Z159="M","M","F"),"")</f>
        <v/>
      </c>
      <c r="AD159" s="778" t="str">
        <f t="shared" ref="AD159:AD168" si="153">IF(AND(Y159&gt;=15,Y159&lt;18),IF(Z159="M","M","F"),"")</f>
        <v>F</v>
      </c>
      <c r="AE159" s="778" t="str">
        <f t="shared" ref="AE159:AE168" si="154">IF(Y159&gt;18,IF(Z159="M","M","F"),"")</f>
        <v/>
      </c>
      <c r="AF159" s="765"/>
      <c r="AG159" s="765"/>
      <c r="AH159" s="765"/>
      <c r="AI159" s="765"/>
      <c r="AJ159" s="765"/>
      <c r="AK159" s="765"/>
      <c r="AL159" s="765"/>
      <c r="AM159" s="765"/>
      <c r="AN159" s="778">
        <f t="shared" si="142"/>
        <v>0</v>
      </c>
      <c r="AO159" s="759">
        <f t="shared" si="143"/>
        <v>0</v>
      </c>
      <c r="AP159" s="555"/>
      <c r="AQ159" s="1080">
        <f t="shared" si="130"/>
        <v>42370</v>
      </c>
      <c r="AR159" s="1080">
        <f t="shared" si="137"/>
        <v>42736</v>
      </c>
      <c r="AS159" s="765">
        <f t="shared" si="131"/>
        <v>366</v>
      </c>
      <c r="AT159" s="765">
        <f>IF(AQ159&gt;'[1]calculs enfants présents'!$A$56,0,IF(Q159&lt;'[1]calculs enfants présents'!$A$56,Q159-AQ159,'[1]calculs enfants présents'!$A$56-AQ159))</f>
        <v>0</v>
      </c>
      <c r="AU159" s="765">
        <f t="shared" si="132"/>
        <v>31</v>
      </c>
      <c r="AV159" s="786">
        <f t="shared" si="133"/>
        <v>-31</v>
      </c>
      <c r="AW159" s="555"/>
      <c r="AX159" s="609">
        <v>42369</v>
      </c>
      <c r="AY159" s="956">
        <f t="shared" si="148"/>
        <v>42413</v>
      </c>
      <c r="AZ159" s="956">
        <f t="shared" si="150"/>
        <v>42736</v>
      </c>
      <c r="BA159" s="956">
        <f t="shared" si="149"/>
        <v>42381</v>
      </c>
      <c r="BB159" s="799">
        <v>42388</v>
      </c>
      <c r="BC159" s="1106" t="s">
        <v>276</v>
      </c>
      <c r="BD159" s="799">
        <v>42388</v>
      </c>
      <c r="BE159" s="1107">
        <f t="shared" si="146"/>
        <v>42136</v>
      </c>
      <c r="BF159" s="567"/>
      <c r="BG159" s="556"/>
      <c r="BH159" s="1206"/>
      <c r="BI159" s="1207"/>
      <c r="BJ159" s="557"/>
      <c r="BK159" s="824"/>
      <c r="BL159" s="824"/>
      <c r="BM159" s="824"/>
      <c r="BN159" s="824"/>
      <c r="BO159" s="824"/>
      <c r="BP159" s="824"/>
      <c r="BQ159" s="824"/>
      <c r="BR159" s="824"/>
      <c r="BS159" s="825"/>
      <c r="BT159" s="825"/>
    </row>
    <row r="160" spans="1:72" s="401" customFormat="1" ht="13.15" customHeight="1" x14ac:dyDescent="0.2">
      <c r="A160" s="694" t="s">
        <v>350</v>
      </c>
      <c r="B160" s="694" t="s">
        <v>350</v>
      </c>
      <c r="C160" s="697" t="s">
        <v>351</v>
      </c>
      <c r="D160" s="701" t="s">
        <v>70</v>
      </c>
      <c r="E160" s="347" t="s">
        <v>179</v>
      </c>
      <c r="F160" s="347"/>
      <c r="G160" s="347"/>
      <c r="H160" s="347"/>
      <c r="I160" s="1076">
        <v>41871</v>
      </c>
      <c r="J160" s="411">
        <v>41904</v>
      </c>
      <c r="K160" s="411"/>
      <c r="L160" s="1077">
        <f t="shared" si="138"/>
        <v>33</v>
      </c>
      <c r="M160" s="381">
        <v>42269</v>
      </c>
      <c r="N160" s="381">
        <v>42451</v>
      </c>
      <c r="O160" s="381" t="s">
        <v>674</v>
      </c>
      <c r="P160" s="381" t="s">
        <v>674</v>
      </c>
      <c r="Q160" s="708">
        <v>42736</v>
      </c>
      <c r="R160" s="381" t="s">
        <v>156</v>
      </c>
      <c r="S160" s="347" t="s">
        <v>62</v>
      </c>
      <c r="T160" s="347"/>
      <c r="U160" s="383"/>
      <c r="V160" s="347"/>
      <c r="W160" s="347"/>
      <c r="X160" s="385">
        <v>39658</v>
      </c>
      <c r="Y160" s="761">
        <f t="shared" si="135"/>
        <v>7.4273972602739722</v>
      </c>
      <c r="Z160" s="347" t="s">
        <v>21</v>
      </c>
      <c r="AA160" s="770" t="str">
        <f>IF(Y160&lt;6,IF(Z160="M","M","F"),"")</f>
        <v/>
      </c>
      <c r="AB160" s="770" t="str">
        <f t="shared" si="151"/>
        <v>F</v>
      </c>
      <c r="AC160" s="770" t="str">
        <f t="shared" si="152"/>
        <v/>
      </c>
      <c r="AD160" s="770" t="str">
        <f t="shared" si="153"/>
        <v/>
      </c>
      <c r="AE160" s="770" t="str">
        <f t="shared" si="154"/>
        <v/>
      </c>
      <c r="AF160" s="770"/>
      <c r="AG160" s="770"/>
      <c r="AH160" s="770"/>
      <c r="AI160" s="770"/>
      <c r="AJ160" s="770"/>
      <c r="AK160" s="770"/>
      <c r="AL160" s="770">
        <f>Q160-J160</f>
        <v>832</v>
      </c>
      <c r="AM160" s="770">
        <f>AL160/365</f>
        <v>2.2794520547945205</v>
      </c>
      <c r="AN160" s="770">
        <f t="shared" si="142"/>
        <v>2</v>
      </c>
      <c r="AO160" s="761">
        <f t="shared" si="143"/>
        <v>3.3534246575342461</v>
      </c>
      <c r="AP160" s="1074"/>
      <c r="AQ160" s="782">
        <f t="shared" si="130"/>
        <v>42370</v>
      </c>
      <c r="AR160" s="782">
        <f t="shared" si="137"/>
        <v>42736</v>
      </c>
      <c r="AS160" s="770">
        <f t="shared" si="131"/>
        <v>366</v>
      </c>
      <c r="AT160" s="790">
        <f>IF(AQ160&gt;'[1]calculs enfants présents'!$A$56,0,IF(Q160&lt;'[1]calculs enfants présents'!$A$56,Q160-AQ160,'[1]calculs enfants présents'!$A$56-AQ160))</f>
        <v>0</v>
      </c>
      <c r="AU160" s="791">
        <f t="shared" si="132"/>
        <v>31</v>
      </c>
      <c r="AV160" s="790">
        <f t="shared" si="133"/>
        <v>-31</v>
      </c>
      <c r="AW160" s="412"/>
      <c r="AX160" s="381">
        <v>42369</v>
      </c>
      <c r="AY160" s="955">
        <f t="shared" si="148"/>
        <v>42451</v>
      </c>
      <c r="AZ160" s="955">
        <f t="shared" si="150"/>
        <v>42736</v>
      </c>
      <c r="BA160" s="955">
        <f t="shared" si="149"/>
        <v>42416</v>
      </c>
      <c r="BB160" s="1076"/>
      <c r="BC160" s="1103"/>
      <c r="BD160" s="1076"/>
      <c r="BE160" s="1104">
        <f t="shared" si="146"/>
        <v>41989</v>
      </c>
      <c r="BF160" s="460"/>
      <c r="BG160" s="349"/>
      <c r="BH160" s="465"/>
      <c r="BI160" s="390"/>
      <c r="BJ160" s="382"/>
      <c r="BK160" s="387"/>
      <c r="BL160" s="387"/>
      <c r="BM160" s="387"/>
      <c r="BN160" s="387"/>
      <c r="BO160" s="387"/>
      <c r="BP160" s="387"/>
      <c r="BQ160" s="387"/>
      <c r="BR160" s="387"/>
      <c r="BS160" s="506"/>
      <c r="BT160" s="506"/>
    </row>
    <row r="161" spans="1:72" s="387" customFormat="1" ht="13.15" customHeight="1" x14ac:dyDescent="0.2">
      <c r="A161" s="1307" t="s">
        <v>350</v>
      </c>
      <c r="B161" s="1307" t="s">
        <v>350</v>
      </c>
      <c r="C161" s="697" t="s">
        <v>352</v>
      </c>
      <c r="D161" s="701" t="s">
        <v>70</v>
      </c>
      <c r="E161" s="347" t="s">
        <v>179</v>
      </c>
      <c r="F161" s="347"/>
      <c r="G161" s="347"/>
      <c r="H161" s="347"/>
      <c r="I161" s="1076">
        <v>41871</v>
      </c>
      <c r="J161" s="411">
        <v>41904</v>
      </c>
      <c r="K161" s="411"/>
      <c r="L161" s="1077">
        <f t="shared" si="138"/>
        <v>33</v>
      </c>
      <c r="M161" s="381">
        <v>42269</v>
      </c>
      <c r="N161" s="381">
        <v>42451</v>
      </c>
      <c r="O161" s="381" t="s">
        <v>674</v>
      </c>
      <c r="P161" s="381" t="s">
        <v>674</v>
      </c>
      <c r="Q161" s="708">
        <v>42736</v>
      </c>
      <c r="R161" s="381" t="s">
        <v>156</v>
      </c>
      <c r="S161" s="347" t="s">
        <v>62</v>
      </c>
      <c r="T161" s="347"/>
      <c r="U161" s="383"/>
      <c r="V161" s="347"/>
      <c r="W161" s="347"/>
      <c r="X161" s="385">
        <v>40080</v>
      </c>
      <c r="Y161" s="761">
        <f t="shared" si="135"/>
        <v>6.2712328767123289</v>
      </c>
      <c r="Z161" s="347" t="s">
        <v>21</v>
      </c>
      <c r="AA161" s="770" t="s">
        <v>21</v>
      </c>
      <c r="AB161" s="770" t="str">
        <f t="shared" si="151"/>
        <v>F</v>
      </c>
      <c r="AC161" s="770" t="str">
        <f t="shared" si="152"/>
        <v/>
      </c>
      <c r="AD161" s="770" t="str">
        <f t="shared" si="153"/>
        <v/>
      </c>
      <c r="AE161" s="770" t="str">
        <f t="shared" si="154"/>
        <v/>
      </c>
      <c r="AF161" s="770"/>
      <c r="AG161" s="770"/>
      <c r="AH161" s="770"/>
      <c r="AI161" s="770"/>
      <c r="AJ161" s="770"/>
      <c r="AK161" s="770"/>
      <c r="AL161" s="770">
        <f>Q161-J161</f>
        <v>832</v>
      </c>
      <c r="AM161" s="770">
        <f>AL161/365</f>
        <v>2.2794520547945205</v>
      </c>
      <c r="AN161" s="770">
        <f t="shared" si="142"/>
        <v>2</v>
      </c>
      <c r="AO161" s="761">
        <f t="shared" si="143"/>
        <v>3.3534246575342461</v>
      </c>
      <c r="AP161" s="1074"/>
      <c r="AQ161" s="782">
        <f t="shared" si="130"/>
        <v>42370</v>
      </c>
      <c r="AR161" s="782">
        <f t="shared" si="137"/>
        <v>42736</v>
      </c>
      <c r="AS161" s="770">
        <f t="shared" si="131"/>
        <v>366</v>
      </c>
      <c r="AT161" s="790">
        <f>IF(AQ161&gt;'[1]calculs enfants présents'!$A$56,0,IF(Q161&lt;'[1]calculs enfants présents'!$A$56,Q161-AQ161,'[1]calculs enfants présents'!$A$56-AQ161))</f>
        <v>0</v>
      </c>
      <c r="AU161" s="791">
        <f t="shared" si="132"/>
        <v>31</v>
      </c>
      <c r="AV161" s="790">
        <f t="shared" si="133"/>
        <v>-31</v>
      </c>
      <c r="AW161" s="412"/>
      <c r="AX161" s="381">
        <v>42369</v>
      </c>
      <c r="AY161" s="955">
        <f t="shared" si="148"/>
        <v>42451</v>
      </c>
      <c r="AZ161" s="955">
        <f t="shared" si="150"/>
        <v>42736</v>
      </c>
      <c r="BA161" s="955">
        <f t="shared" si="149"/>
        <v>42416</v>
      </c>
      <c r="BB161" s="1076"/>
      <c r="BC161" s="1103"/>
      <c r="BD161" s="347"/>
      <c r="BE161" s="1104">
        <f t="shared" si="146"/>
        <v>41989</v>
      </c>
      <c r="BF161" s="460"/>
      <c r="BG161" s="349"/>
      <c r="BH161" s="382"/>
      <c r="BI161" s="390"/>
      <c r="BJ161" s="382"/>
      <c r="BK161" s="645"/>
      <c r="BL161" s="645"/>
      <c r="BM161" s="645"/>
      <c r="BN161" s="645"/>
      <c r="BO161" s="645"/>
      <c r="BP161" s="645"/>
      <c r="BQ161" s="645"/>
      <c r="BR161" s="645"/>
      <c r="BS161" s="732"/>
      <c r="BT161" s="732"/>
    </row>
    <row r="162" spans="1:72" x14ac:dyDescent="0.2">
      <c r="A162" s="695" t="s">
        <v>574</v>
      </c>
      <c r="B162" s="695" t="s">
        <v>216</v>
      </c>
      <c r="C162" s="698" t="s">
        <v>217</v>
      </c>
      <c r="D162" s="568" t="s">
        <v>183</v>
      </c>
      <c r="E162" s="568"/>
      <c r="F162" s="555"/>
      <c r="G162" s="555"/>
      <c r="H162" s="555"/>
      <c r="I162" s="555"/>
      <c r="J162" s="709">
        <v>40980</v>
      </c>
      <c r="K162" s="709"/>
      <c r="L162" s="1077" t="str">
        <f t="shared" si="138"/>
        <v/>
      </c>
      <c r="M162" s="609">
        <v>42075</v>
      </c>
      <c r="N162" s="710">
        <v>42075</v>
      </c>
      <c r="O162" s="710" t="s">
        <v>628</v>
      </c>
      <c r="P162" s="710">
        <v>42441</v>
      </c>
      <c r="Q162" s="710">
        <v>42736</v>
      </c>
      <c r="R162" s="949" t="s">
        <v>16</v>
      </c>
      <c r="S162" s="555" t="s">
        <v>13</v>
      </c>
      <c r="T162" s="555"/>
      <c r="U162" s="558"/>
      <c r="V162" s="698"/>
      <c r="W162" s="698"/>
      <c r="X162" s="714">
        <v>37238</v>
      </c>
      <c r="Y162" s="759">
        <f t="shared" si="135"/>
        <v>14.057534246575342</v>
      </c>
      <c r="Z162" s="555" t="s">
        <v>13</v>
      </c>
      <c r="AA162" s="778" t="str">
        <f t="shared" ref="AA162:AA168" si="155">IF(Y162&lt;6,IF(Z162="M","M","F"),"")</f>
        <v/>
      </c>
      <c r="AB162" s="778" t="str">
        <f t="shared" si="151"/>
        <v/>
      </c>
      <c r="AC162" s="778" t="str">
        <f t="shared" si="152"/>
        <v>M</v>
      </c>
      <c r="AD162" s="778" t="str">
        <f t="shared" si="153"/>
        <v/>
      </c>
      <c r="AE162" s="778" t="str">
        <f t="shared" si="154"/>
        <v/>
      </c>
      <c r="AF162" s="765"/>
      <c r="AG162" s="765"/>
      <c r="AH162" s="765"/>
      <c r="AI162" s="765"/>
      <c r="AJ162" s="765"/>
      <c r="AK162" s="765"/>
      <c r="AL162" s="765">
        <f>Q162-J162</f>
        <v>1756</v>
      </c>
      <c r="AM162" s="765">
        <f>AL162/365</f>
        <v>4.8109589041095893</v>
      </c>
      <c r="AN162" s="778">
        <f t="shared" si="142"/>
        <v>4</v>
      </c>
      <c r="AO162" s="759">
        <f t="shared" si="143"/>
        <v>9.7315068493150712</v>
      </c>
      <c r="AP162" s="1079"/>
      <c r="AQ162" s="1080">
        <f t="shared" ref="AQ162:AQ180" si="156">IF(J162&lt;DATE(2016,1,1),DATE(2016,1,1),J162)</f>
        <v>42370</v>
      </c>
      <c r="AR162" s="1080">
        <f t="shared" si="137"/>
        <v>42736</v>
      </c>
      <c r="AS162" s="765">
        <f t="shared" ref="AS162:AS167" si="157">Q162-AQ162</f>
        <v>366</v>
      </c>
      <c r="AT162" s="786">
        <f>IF(AQ162&gt;'[1]calculs enfants présents'!$A$56,0,IF(Q162&lt;'[1]calculs enfants présents'!$A$56,Q162-AQ162,'[1]calculs enfants présents'!$A$56-AQ162))</f>
        <v>0</v>
      </c>
      <c r="AU162" s="786">
        <f t="shared" si="132"/>
        <v>31</v>
      </c>
      <c r="AV162" s="786">
        <f t="shared" si="133"/>
        <v>-31</v>
      </c>
      <c r="AW162" s="779"/>
      <c r="AX162" s="609">
        <v>42369</v>
      </c>
      <c r="AY162" s="956">
        <f t="shared" si="148"/>
        <v>42075</v>
      </c>
      <c r="AZ162" s="956">
        <f t="shared" si="150"/>
        <v>42736</v>
      </c>
      <c r="BA162" s="956">
        <f t="shared" si="149"/>
        <v>42045</v>
      </c>
      <c r="BB162" s="799"/>
      <c r="BC162" s="1106"/>
      <c r="BD162" s="799"/>
      <c r="BE162" s="1107">
        <f t="shared" si="146"/>
        <v>41065</v>
      </c>
      <c r="BF162" s="556"/>
      <c r="BG162" s="556"/>
      <c r="BH162" s="563"/>
      <c r="BI162" s="1312"/>
      <c r="BJ162" s="557"/>
      <c r="BK162" s="401"/>
      <c r="BL162" s="401"/>
      <c r="BM162" s="401"/>
      <c r="BN162" s="401"/>
      <c r="BO162" s="401"/>
      <c r="BP162" s="401"/>
      <c r="BQ162" s="401"/>
      <c r="BR162" s="401"/>
      <c r="BS162" s="745"/>
      <c r="BT162" s="745"/>
    </row>
    <row r="163" spans="1:72" x14ac:dyDescent="0.2">
      <c r="A163" s="733" t="s">
        <v>618</v>
      </c>
      <c r="B163" s="733" t="s">
        <v>618</v>
      </c>
      <c r="C163" s="734" t="s">
        <v>619</v>
      </c>
      <c r="D163" s="712" t="s">
        <v>87</v>
      </c>
      <c r="E163" s="712" t="s">
        <v>714</v>
      </c>
      <c r="F163" s="712" t="s">
        <v>66</v>
      </c>
      <c r="G163" s="712"/>
      <c r="H163" s="712"/>
      <c r="I163" s="1081">
        <v>42222</v>
      </c>
      <c r="J163" s="735">
        <v>42335</v>
      </c>
      <c r="K163" s="735">
        <v>42346</v>
      </c>
      <c r="L163" s="1082">
        <f t="shared" si="138"/>
        <v>113</v>
      </c>
      <c r="M163" s="722">
        <v>42335</v>
      </c>
      <c r="N163" s="722">
        <v>42701</v>
      </c>
      <c r="O163" s="722" t="s">
        <v>751</v>
      </c>
      <c r="P163" s="722">
        <v>42384</v>
      </c>
      <c r="Q163" s="722">
        <v>42384</v>
      </c>
      <c r="R163" s="722" t="s">
        <v>156</v>
      </c>
      <c r="S163" s="712" t="s">
        <v>13</v>
      </c>
      <c r="T163" s="712"/>
      <c r="U163" s="713"/>
      <c r="V163" s="712"/>
      <c r="W163" s="712"/>
      <c r="X163" s="724">
        <v>39927</v>
      </c>
      <c r="Y163" s="762">
        <f t="shared" ref="Y163:Y180" si="158">(AX163-X163)/365</f>
        <v>6.6904109589041099</v>
      </c>
      <c r="Z163" s="712" t="s">
        <v>13</v>
      </c>
      <c r="AA163" s="772" t="str">
        <f t="shared" si="155"/>
        <v/>
      </c>
      <c r="AB163" s="772" t="str">
        <f t="shared" si="151"/>
        <v>M</v>
      </c>
      <c r="AC163" s="772" t="str">
        <f t="shared" si="152"/>
        <v/>
      </c>
      <c r="AD163" s="772" t="str">
        <f t="shared" si="153"/>
        <v/>
      </c>
      <c r="AE163" s="772" t="str">
        <f t="shared" si="154"/>
        <v/>
      </c>
      <c r="AF163" s="772"/>
      <c r="AG163" s="772"/>
      <c r="AH163" s="772"/>
      <c r="AI163" s="772"/>
      <c r="AJ163" s="772"/>
      <c r="AK163" s="772"/>
      <c r="AL163" s="772">
        <f>Q163-J163</f>
        <v>49</v>
      </c>
      <c r="AM163" s="772">
        <f>AL163/365</f>
        <v>0.13424657534246576</v>
      </c>
      <c r="AN163" s="772">
        <f t="shared" si="142"/>
        <v>0</v>
      </c>
      <c r="AO163" s="762">
        <f t="shared" si="143"/>
        <v>1.6109589041095891</v>
      </c>
      <c r="AP163" s="1073"/>
      <c r="AQ163" s="1113">
        <f t="shared" si="156"/>
        <v>42370</v>
      </c>
      <c r="AR163" s="1113">
        <f t="shared" si="137"/>
        <v>42384</v>
      </c>
      <c r="AS163" s="772">
        <f t="shared" si="157"/>
        <v>14</v>
      </c>
      <c r="AT163" s="792">
        <f>IF(AQ163&gt;'[1]calculs enfants présents'!$A$56,0,IF(Q163&lt;'[1]calculs enfants présents'!$A$56,Q163-AQ163,'[1]calculs enfants présents'!$A$56-AQ163))</f>
        <v>0</v>
      </c>
      <c r="AU163" s="793">
        <f t="shared" si="132"/>
        <v>14</v>
      </c>
      <c r="AV163" s="792">
        <f t="shared" si="133"/>
        <v>-14</v>
      </c>
      <c r="AW163" s="725"/>
      <c r="AX163" s="722">
        <v>42369</v>
      </c>
      <c r="AY163" s="1114">
        <f t="shared" si="148"/>
        <v>42701</v>
      </c>
      <c r="AZ163" s="1114">
        <f t="shared" si="150"/>
        <v>42384</v>
      </c>
      <c r="BA163" s="1114">
        <f t="shared" si="149"/>
        <v>42668</v>
      </c>
      <c r="BB163" s="1115"/>
      <c r="BC163" s="1116"/>
      <c r="BD163" s="1081"/>
      <c r="BE163" s="1117">
        <f>IF(K163&lt;&gt;"",(K163+90)-(WEEKDAY(K163+90,2)-2),"DIPC")</f>
        <v>42437</v>
      </c>
      <c r="BF163" s="726">
        <v>42425</v>
      </c>
      <c r="BG163" s="721" t="s">
        <v>270</v>
      </c>
      <c r="BH163" s="727">
        <v>42425</v>
      </c>
      <c r="BI163" s="1242"/>
      <c r="BJ163" s="744"/>
      <c r="BK163" s="401"/>
      <c r="BL163" s="401"/>
      <c r="BM163" s="401"/>
      <c r="BN163" s="401"/>
      <c r="BO163" s="401"/>
      <c r="BP163" s="401"/>
      <c r="BQ163" s="401"/>
      <c r="BR163" s="401"/>
      <c r="BS163" s="401"/>
      <c r="BT163" s="401"/>
    </row>
    <row r="164" spans="1:72" s="388" customFormat="1" ht="13.15" customHeight="1" x14ac:dyDescent="0.2">
      <c r="A164" s="733" t="s">
        <v>618</v>
      </c>
      <c r="B164" s="733" t="s">
        <v>618</v>
      </c>
      <c r="C164" s="734" t="s">
        <v>161</v>
      </c>
      <c r="D164" s="712" t="s">
        <v>87</v>
      </c>
      <c r="E164" s="721" t="s">
        <v>714</v>
      </c>
      <c r="F164" s="1242" t="s">
        <v>66</v>
      </c>
      <c r="G164" s="712"/>
      <c r="H164" s="712"/>
      <c r="I164" s="1243">
        <v>42222</v>
      </c>
      <c r="J164" s="1244">
        <v>42335</v>
      </c>
      <c r="K164" s="1244">
        <v>42346</v>
      </c>
      <c r="L164" s="1245">
        <f t="shared" si="138"/>
        <v>113</v>
      </c>
      <c r="M164" s="722">
        <v>42335</v>
      </c>
      <c r="N164" s="1246">
        <v>42701</v>
      </c>
      <c r="O164" s="1246" t="s">
        <v>751</v>
      </c>
      <c r="P164" s="1246">
        <v>42384</v>
      </c>
      <c r="Q164" s="722">
        <v>42384</v>
      </c>
      <c r="R164" s="1247" t="s">
        <v>156</v>
      </c>
      <c r="S164" s="426" t="s">
        <v>13</v>
      </c>
      <c r="T164" s="712"/>
      <c r="U164" s="713"/>
      <c r="V164" s="1242"/>
      <c r="W164" s="1242"/>
      <c r="X164" s="724">
        <v>38556</v>
      </c>
      <c r="Y164" s="762">
        <f t="shared" si="158"/>
        <v>10.446575342465753</v>
      </c>
      <c r="Z164" s="712" t="s">
        <v>13</v>
      </c>
      <c r="AA164" s="1248" t="str">
        <f t="shared" si="155"/>
        <v/>
      </c>
      <c r="AB164" s="772" t="str">
        <f t="shared" si="151"/>
        <v>M</v>
      </c>
      <c r="AC164" s="772" t="str">
        <f t="shared" si="152"/>
        <v/>
      </c>
      <c r="AD164" s="772" t="str">
        <f t="shared" si="153"/>
        <v/>
      </c>
      <c r="AE164" s="772" t="str">
        <f t="shared" si="154"/>
        <v/>
      </c>
      <c r="AF164" s="772"/>
      <c r="AG164" s="1248"/>
      <c r="AH164" s="1248"/>
      <c r="AI164" s="1248"/>
      <c r="AJ164" s="1248"/>
      <c r="AK164" s="1248"/>
      <c r="AL164" s="1248">
        <f>Q164-J164</f>
        <v>49</v>
      </c>
      <c r="AM164" s="772">
        <f>AL164/365</f>
        <v>0.13424657534246576</v>
      </c>
      <c r="AN164" s="1249">
        <f t="shared" si="142"/>
        <v>0</v>
      </c>
      <c r="AO164" s="762">
        <f t="shared" si="143"/>
        <v>1.6109589041095891</v>
      </c>
      <c r="AP164" s="1250"/>
      <c r="AQ164" s="1113">
        <f t="shared" si="156"/>
        <v>42370</v>
      </c>
      <c r="AR164" s="1251">
        <f t="shared" ref="AR164:AR177" si="159">Q164</f>
        <v>42384</v>
      </c>
      <c r="AS164" s="772">
        <f t="shared" si="157"/>
        <v>14</v>
      </c>
      <c r="AT164" s="792">
        <f>IF(AQ164&gt;'[1]calculs enfants présents'!$A$56,0,IF(Q164&lt;'[1]calculs enfants présents'!$A$56,Q164-AQ164,'[1]calculs enfants présents'!$A$56-AQ164))</f>
        <v>0</v>
      </c>
      <c r="AU164" s="793">
        <f t="shared" si="132"/>
        <v>14</v>
      </c>
      <c r="AV164" s="792">
        <f t="shared" si="133"/>
        <v>-14</v>
      </c>
      <c r="AW164" s="1252"/>
      <c r="AX164" s="1253">
        <v>42369</v>
      </c>
      <c r="AY164" s="1254">
        <f t="shared" si="148"/>
        <v>42701</v>
      </c>
      <c r="AZ164" s="1254">
        <f t="shared" si="150"/>
        <v>42384</v>
      </c>
      <c r="BA164" s="1255">
        <f t="shared" si="149"/>
        <v>42668</v>
      </c>
      <c r="BB164" s="1256"/>
      <c r="BC164" s="1257"/>
      <c r="BD164" s="727"/>
      <c r="BE164" s="1258">
        <f>IF(K164&lt;&gt;"",(K164+90)-(WEEKDAY(K164+90,2)-2),"DIPC")</f>
        <v>42437</v>
      </c>
      <c r="BF164" s="726">
        <v>42425</v>
      </c>
      <c r="BG164" s="721" t="s">
        <v>270</v>
      </c>
      <c r="BH164" s="727"/>
      <c r="BI164" s="721"/>
      <c r="BJ164" s="744"/>
      <c r="BK164" s="401"/>
      <c r="BL164" s="401"/>
      <c r="BM164" s="401"/>
      <c r="BN164" s="401"/>
      <c r="BO164" s="401"/>
      <c r="BP164" s="401"/>
      <c r="BQ164" s="401"/>
      <c r="BR164" s="401"/>
      <c r="BS164" s="401"/>
      <c r="BT164" s="401"/>
    </row>
    <row r="165" spans="1:72" s="388" customFormat="1" ht="13.15" customHeight="1" x14ac:dyDescent="0.2">
      <c r="A165" s="484" t="s">
        <v>313</v>
      </c>
      <c r="B165" s="484" t="s">
        <v>313</v>
      </c>
      <c r="C165" s="379" t="s">
        <v>314</v>
      </c>
      <c r="D165" s="347" t="s">
        <v>714</v>
      </c>
      <c r="E165" s="349"/>
      <c r="F165" s="384"/>
      <c r="G165" s="347"/>
      <c r="H165" s="347"/>
      <c r="I165" s="485">
        <v>41715</v>
      </c>
      <c r="J165" s="380">
        <v>41737</v>
      </c>
      <c r="K165" s="380"/>
      <c r="L165" s="705">
        <f t="shared" si="138"/>
        <v>22</v>
      </c>
      <c r="M165" s="381">
        <v>42102</v>
      </c>
      <c r="N165" s="380">
        <v>42468</v>
      </c>
      <c r="O165" s="380"/>
      <c r="P165" s="380"/>
      <c r="Q165" s="708">
        <v>42736</v>
      </c>
      <c r="R165" s="399" t="s">
        <v>16</v>
      </c>
      <c r="S165" s="382" t="s">
        <v>16</v>
      </c>
      <c r="T165" s="347"/>
      <c r="U165" s="383"/>
      <c r="V165" s="384"/>
      <c r="W165" s="384"/>
      <c r="X165" s="385">
        <v>36373</v>
      </c>
      <c r="Y165" s="761">
        <f t="shared" si="158"/>
        <v>16.427397260273974</v>
      </c>
      <c r="Z165" s="347" t="s">
        <v>13</v>
      </c>
      <c r="AA165" s="769" t="str">
        <f t="shared" si="155"/>
        <v/>
      </c>
      <c r="AB165" s="770" t="str">
        <f t="shared" si="151"/>
        <v/>
      </c>
      <c r="AC165" s="770" t="str">
        <f t="shared" si="152"/>
        <v/>
      </c>
      <c r="AD165" s="770" t="str">
        <f t="shared" si="153"/>
        <v>M</v>
      </c>
      <c r="AE165" s="770" t="str">
        <f t="shared" si="154"/>
        <v/>
      </c>
      <c r="AF165" s="770"/>
      <c r="AG165" s="769"/>
      <c r="AH165" s="769"/>
      <c r="AI165" s="769"/>
      <c r="AJ165" s="769"/>
      <c r="AK165" s="769"/>
      <c r="AL165" s="769"/>
      <c r="AM165" s="770"/>
      <c r="AN165" s="771">
        <f t="shared" si="142"/>
        <v>0</v>
      </c>
      <c r="AO165" s="761">
        <f t="shared" si="143"/>
        <v>0</v>
      </c>
      <c r="AP165" s="345"/>
      <c r="AQ165" s="782">
        <f t="shared" si="156"/>
        <v>42370</v>
      </c>
      <c r="AR165" s="1189">
        <f t="shared" si="159"/>
        <v>42736</v>
      </c>
      <c r="AS165" s="770">
        <f t="shared" si="157"/>
        <v>366</v>
      </c>
      <c r="AT165" s="790">
        <f>IF(AQ165&gt;'[1]calculs enfants présents'!$A$56,0,IF(Q165&lt;'[1]calculs enfants présents'!$A$56,Q165-AQ165,'[1]calculs enfants présents'!$A$56-AQ165))</f>
        <v>0</v>
      </c>
      <c r="AU165" s="790">
        <f t="shared" si="132"/>
        <v>31</v>
      </c>
      <c r="AV165" s="790">
        <f t="shared" si="133"/>
        <v>-31</v>
      </c>
      <c r="AW165" s="520"/>
      <c r="AX165" s="1190">
        <v>42369</v>
      </c>
      <c r="AY165" s="1241">
        <f t="shared" si="148"/>
        <v>42468</v>
      </c>
      <c r="AZ165" s="1241">
        <f t="shared" si="150"/>
        <v>42736</v>
      </c>
      <c r="BA165" s="472">
        <f t="shared" si="149"/>
        <v>42437</v>
      </c>
      <c r="BB165" s="462"/>
      <c r="BC165" s="469"/>
      <c r="BD165" s="468"/>
      <c r="BE165" s="491">
        <f t="shared" ref="BE165:BE171" si="160">(J165+90)-(WEEKDAY(J165+90,2)-2)</f>
        <v>41828</v>
      </c>
      <c r="BF165" s="459"/>
      <c r="BG165" s="322"/>
      <c r="BH165" s="465"/>
      <c r="BI165" s="460">
        <v>42011</v>
      </c>
      <c r="BJ165" s="382" t="s">
        <v>273</v>
      </c>
      <c r="BK165" s="374"/>
      <c r="BL165" s="374"/>
      <c r="BM165" s="374"/>
      <c r="BN165" s="374"/>
      <c r="BO165" s="374"/>
      <c r="BP165" s="374"/>
      <c r="BQ165" s="374"/>
      <c r="BR165" s="374"/>
      <c r="BS165" s="374"/>
      <c r="BT165" s="374"/>
    </row>
    <row r="166" spans="1:72" x14ac:dyDescent="0.2">
      <c r="A166" s="1118" t="s">
        <v>313</v>
      </c>
      <c r="B166" s="1118" t="s">
        <v>313</v>
      </c>
      <c r="C166" s="379" t="s">
        <v>329</v>
      </c>
      <c r="D166" s="347" t="s">
        <v>714</v>
      </c>
      <c r="E166" s="347"/>
      <c r="F166" s="347"/>
      <c r="I166" s="1076">
        <v>41781</v>
      </c>
      <c r="J166" s="411">
        <v>41782</v>
      </c>
      <c r="K166" s="411"/>
      <c r="L166" s="1078">
        <f t="shared" si="138"/>
        <v>1</v>
      </c>
      <c r="M166" s="381">
        <v>42102</v>
      </c>
      <c r="N166" s="381">
        <v>42468</v>
      </c>
      <c r="O166" s="381"/>
      <c r="P166" s="381"/>
      <c r="Q166" s="708">
        <v>42736</v>
      </c>
      <c r="R166" s="381" t="s">
        <v>16</v>
      </c>
      <c r="S166" s="347" t="s">
        <v>16</v>
      </c>
      <c r="V166" s="347"/>
      <c r="W166" s="347"/>
      <c r="X166" s="385">
        <v>36373</v>
      </c>
      <c r="Y166" s="761">
        <f t="shared" si="158"/>
        <v>16.427397260273974</v>
      </c>
      <c r="Z166" s="347" t="s">
        <v>21</v>
      </c>
      <c r="AA166" s="770" t="str">
        <f t="shared" si="155"/>
        <v/>
      </c>
      <c r="AB166" s="770" t="str">
        <f t="shared" si="151"/>
        <v/>
      </c>
      <c r="AC166" s="770" t="str">
        <f t="shared" si="152"/>
        <v/>
      </c>
      <c r="AD166" s="770" t="str">
        <f t="shared" si="153"/>
        <v>F</v>
      </c>
      <c r="AE166" s="770" t="str">
        <f t="shared" si="154"/>
        <v/>
      </c>
      <c r="AG166" s="770"/>
      <c r="AH166" s="770"/>
      <c r="AI166" s="770"/>
      <c r="AJ166" s="770"/>
      <c r="AK166" s="770"/>
      <c r="AL166" s="770">
        <f>Q166-J166</f>
        <v>954</v>
      </c>
      <c r="AM166" s="770">
        <f>AL166/365</f>
        <v>2.6136986301369864</v>
      </c>
      <c r="AN166" s="770">
        <f t="shared" si="142"/>
        <v>2</v>
      </c>
      <c r="AO166" s="761">
        <f t="shared" si="143"/>
        <v>7.3643835616438373</v>
      </c>
      <c r="AP166" s="1074"/>
      <c r="AQ166" s="782">
        <f t="shared" si="156"/>
        <v>42370</v>
      </c>
      <c r="AR166" s="782">
        <f t="shared" si="159"/>
        <v>42736</v>
      </c>
      <c r="AS166" s="770">
        <f t="shared" si="157"/>
        <v>366</v>
      </c>
      <c r="AT166" s="790">
        <f>IF(AQ166&gt;'[1]calculs enfants présents'!$A$56,0,IF(Q166&lt;'[1]calculs enfants présents'!$A$56,Q166-AQ166,'[1]calculs enfants présents'!$A$56-AQ166))</f>
        <v>0</v>
      </c>
      <c r="AU166" s="791">
        <f t="shared" si="132"/>
        <v>31</v>
      </c>
      <c r="AV166" s="790">
        <f t="shared" si="133"/>
        <v>-31</v>
      </c>
      <c r="AW166" s="412"/>
      <c r="AX166" s="381">
        <v>42369</v>
      </c>
      <c r="AY166" s="955">
        <f t="shared" si="148"/>
        <v>42468</v>
      </c>
      <c r="AZ166" s="955">
        <f t="shared" si="150"/>
        <v>42736</v>
      </c>
      <c r="BA166" s="955">
        <f t="shared" si="149"/>
        <v>42437</v>
      </c>
      <c r="BB166" s="1105"/>
      <c r="BC166" s="1103"/>
      <c r="BD166" s="1105"/>
      <c r="BE166" s="1104">
        <f t="shared" si="160"/>
        <v>41870</v>
      </c>
      <c r="BH166" s="382"/>
      <c r="BI166" s="460">
        <v>42011</v>
      </c>
      <c r="BJ166" s="382" t="s">
        <v>273</v>
      </c>
      <c r="BS166" s="387"/>
      <c r="BT166" s="387"/>
    </row>
    <row r="167" spans="1:72" x14ac:dyDescent="0.2">
      <c r="A167" s="733" t="s">
        <v>776</v>
      </c>
      <c r="B167" s="733" t="s">
        <v>379</v>
      </c>
      <c r="C167" s="734" t="s">
        <v>380</v>
      </c>
      <c r="D167" s="712" t="s">
        <v>138</v>
      </c>
      <c r="E167" s="712" t="s">
        <v>70</v>
      </c>
      <c r="F167" s="712" t="s">
        <v>66</v>
      </c>
      <c r="G167" s="712"/>
      <c r="H167" s="712"/>
      <c r="I167" s="1081">
        <v>41974</v>
      </c>
      <c r="J167" s="735">
        <v>42019</v>
      </c>
      <c r="K167" s="735"/>
      <c r="L167" s="1112">
        <f t="shared" si="138"/>
        <v>45</v>
      </c>
      <c r="M167" s="722">
        <v>42019</v>
      </c>
      <c r="N167" s="723">
        <v>42384</v>
      </c>
      <c r="O167" s="723" t="s">
        <v>775</v>
      </c>
      <c r="P167" s="723">
        <v>42384</v>
      </c>
      <c r="Q167" s="723">
        <v>42384</v>
      </c>
      <c r="R167" s="722" t="s">
        <v>156</v>
      </c>
      <c r="S167" s="712" t="s">
        <v>157</v>
      </c>
      <c r="T167" s="712"/>
      <c r="U167" s="713"/>
      <c r="V167" s="712"/>
      <c r="W167" s="712"/>
      <c r="X167" s="724">
        <v>38590</v>
      </c>
      <c r="Y167" s="762">
        <f t="shared" si="158"/>
        <v>10.353424657534246</v>
      </c>
      <c r="Z167" s="712" t="s">
        <v>13</v>
      </c>
      <c r="AA167" s="777" t="str">
        <f t="shared" si="155"/>
        <v/>
      </c>
      <c r="AB167" s="777" t="str">
        <f t="shared" si="151"/>
        <v>M</v>
      </c>
      <c r="AC167" s="777" t="str">
        <f t="shared" si="152"/>
        <v/>
      </c>
      <c r="AD167" s="777" t="str">
        <f t="shared" si="153"/>
        <v/>
      </c>
      <c r="AE167" s="777" t="str">
        <f t="shared" si="154"/>
        <v/>
      </c>
      <c r="AF167" s="772"/>
      <c r="AG167" s="772"/>
      <c r="AH167" s="772"/>
      <c r="AI167" s="772"/>
      <c r="AJ167" s="772"/>
      <c r="AK167" s="772"/>
      <c r="AL167" s="772">
        <f>Q167-J167</f>
        <v>365</v>
      </c>
      <c r="AM167" s="772">
        <f>AL167/365</f>
        <v>1</v>
      </c>
      <c r="AN167" s="772">
        <f t="shared" si="142"/>
        <v>1</v>
      </c>
      <c r="AO167" s="762">
        <f t="shared" si="143"/>
        <v>0</v>
      </c>
      <c r="AP167" s="1073"/>
      <c r="AQ167" s="1113">
        <f t="shared" si="156"/>
        <v>42370</v>
      </c>
      <c r="AR167" s="1113">
        <f t="shared" si="159"/>
        <v>42384</v>
      </c>
      <c r="AS167" s="772">
        <f t="shared" si="157"/>
        <v>14</v>
      </c>
      <c r="AT167" s="792">
        <f>IF(AQ167&gt;'[1]calculs enfants présents'!$A$56,0,IF(Q167&lt;'[1]calculs enfants présents'!$A$56,Q167-AQ167,'[1]calculs enfants présents'!$A$56-AQ167))</f>
        <v>0</v>
      </c>
      <c r="AU167" s="792">
        <f t="shared" si="132"/>
        <v>14</v>
      </c>
      <c r="AV167" s="792">
        <f t="shared" si="133"/>
        <v>-14</v>
      </c>
      <c r="AW167" s="725"/>
      <c r="AX167" s="722">
        <v>42369</v>
      </c>
      <c r="AY167" s="1114">
        <f t="shared" si="148"/>
        <v>42384</v>
      </c>
      <c r="AZ167" s="1114">
        <f t="shared" si="150"/>
        <v>42384</v>
      </c>
      <c r="BA167" s="1114">
        <f t="shared" si="149"/>
        <v>42353</v>
      </c>
      <c r="BB167" s="1081">
        <v>42353</v>
      </c>
      <c r="BC167" s="1116" t="s">
        <v>271</v>
      </c>
      <c r="BD167" s="1081">
        <v>42353</v>
      </c>
      <c r="BE167" s="1117">
        <f t="shared" si="160"/>
        <v>42108</v>
      </c>
      <c r="BF167" s="726"/>
      <c r="BG167" s="721"/>
      <c r="BH167" s="727"/>
      <c r="BI167" s="1259"/>
      <c r="BJ167" s="426"/>
      <c r="BK167" s="401"/>
      <c r="BL167" s="401"/>
      <c r="BM167" s="401"/>
      <c r="BN167" s="401"/>
      <c r="BO167" s="401"/>
      <c r="BP167" s="401"/>
      <c r="BQ167" s="401"/>
      <c r="BR167" s="401"/>
      <c r="BS167" s="401"/>
      <c r="BT167" s="401"/>
    </row>
    <row r="168" spans="1:72" x14ac:dyDescent="0.2">
      <c r="A168" s="733" t="s">
        <v>776</v>
      </c>
      <c r="B168" s="733" t="s">
        <v>379</v>
      </c>
      <c r="C168" s="734" t="s">
        <v>305</v>
      </c>
      <c r="D168" s="712" t="s">
        <v>70</v>
      </c>
      <c r="E168" s="712" t="s">
        <v>138</v>
      </c>
      <c r="F168" s="712" t="s">
        <v>66</v>
      </c>
      <c r="G168" s="712"/>
      <c r="H168" s="712"/>
      <c r="I168" s="1081">
        <v>41974</v>
      </c>
      <c r="J168" s="735">
        <v>42019</v>
      </c>
      <c r="K168" s="735"/>
      <c r="L168" s="1112">
        <f t="shared" si="138"/>
        <v>45</v>
      </c>
      <c r="M168" s="722">
        <v>42019</v>
      </c>
      <c r="N168" s="723">
        <v>42384</v>
      </c>
      <c r="O168" s="723" t="s">
        <v>775</v>
      </c>
      <c r="P168" s="723">
        <v>42384</v>
      </c>
      <c r="Q168" s="723">
        <v>42384</v>
      </c>
      <c r="R168" s="722" t="s">
        <v>156</v>
      </c>
      <c r="S168" s="712" t="s">
        <v>157</v>
      </c>
      <c r="T168" s="712"/>
      <c r="U168" s="713"/>
      <c r="V168" s="712"/>
      <c r="W168" s="712"/>
      <c r="X168" s="724">
        <v>39695</v>
      </c>
      <c r="Y168" s="762">
        <f t="shared" si="158"/>
        <v>7.3260273972602743</v>
      </c>
      <c r="Z168" s="712" t="s">
        <v>13</v>
      </c>
      <c r="AA168" s="777" t="str">
        <f t="shared" si="155"/>
        <v/>
      </c>
      <c r="AB168" s="777" t="str">
        <f t="shared" si="151"/>
        <v>M</v>
      </c>
      <c r="AC168" s="777" t="str">
        <f t="shared" si="152"/>
        <v/>
      </c>
      <c r="AD168" s="777" t="str">
        <f t="shared" si="153"/>
        <v/>
      </c>
      <c r="AE168" s="777" t="str">
        <f t="shared" si="154"/>
        <v/>
      </c>
      <c r="AF168" s="772"/>
      <c r="AG168" s="772"/>
      <c r="AH168" s="772"/>
      <c r="AI168" s="772"/>
      <c r="AJ168" s="772"/>
      <c r="AK168" s="772"/>
      <c r="AL168" s="772">
        <f>Q168-J168</f>
        <v>365</v>
      </c>
      <c r="AM168" s="772">
        <f>AL168/365</f>
        <v>1</v>
      </c>
      <c r="AN168" s="772">
        <f t="shared" si="142"/>
        <v>1</v>
      </c>
      <c r="AO168" s="762">
        <f t="shared" si="143"/>
        <v>0</v>
      </c>
      <c r="AP168" s="1073"/>
      <c r="AQ168" s="1113">
        <f t="shared" si="156"/>
        <v>42370</v>
      </c>
      <c r="AR168" s="1113">
        <f t="shared" si="159"/>
        <v>42384</v>
      </c>
      <c r="AS168" s="772">
        <v>351</v>
      </c>
      <c r="AT168" s="792">
        <f>IF(AQ168&gt;'[1]calculs enfants présents'!$A$56,0,IF(Q168&lt;'[1]calculs enfants présents'!$A$56,Q168-AQ168,'[1]calculs enfants présents'!$A$56-AQ168))</f>
        <v>0</v>
      </c>
      <c r="AU168" s="792">
        <f t="shared" si="132"/>
        <v>14</v>
      </c>
      <c r="AV168" s="792">
        <f t="shared" si="133"/>
        <v>-14</v>
      </c>
      <c r="AW168" s="725"/>
      <c r="AX168" s="722">
        <v>42369</v>
      </c>
      <c r="AY168" s="1114">
        <f t="shared" si="148"/>
        <v>42384</v>
      </c>
      <c r="AZ168" s="1114">
        <f t="shared" si="150"/>
        <v>42384</v>
      </c>
      <c r="BA168" s="1114">
        <f t="shared" si="149"/>
        <v>42353</v>
      </c>
      <c r="BB168" s="1081">
        <v>42339</v>
      </c>
      <c r="BC168" s="1116" t="s">
        <v>271</v>
      </c>
      <c r="BD168" s="1081"/>
      <c r="BE168" s="1117">
        <f t="shared" si="160"/>
        <v>42108</v>
      </c>
      <c r="BF168" s="726"/>
      <c r="BG168" s="721"/>
      <c r="BH168" s="727"/>
      <c r="BI168" s="1259"/>
      <c r="BJ168" s="426"/>
      <c r="BK168" s="630"/>
      <c r="BL168" s="630"/>
      <c r="BM168" s="630"/>
      <c r="BN168" s="630"/>
      <c r="BO168" s="630"/>
      <c r="BP168" s="630"/>
      <c r="BQ168" s="630"/>
      <c r="BR168" s="630"/>
      <c r="BS168" s="630"/>
      <c r="BT168" s="630"/>
    </row>
    <row r="169" spans="1:72" s="387" customFormat="1" x14ac:dyDescent="0.2">
      <c r="A169" s="1118" t="s">
        <v>313</v>
      </c>
      <c r="B169" s="1118" t="s">
        <v>313</v>
      </c>
      <c r="C169" s="379" t="s">
        <v>641</v>
      </c>
      <c r="D169" s="347" t="s">
        <v>714</v>
      </c>
      <c r="E169" s="347"/>
      <c r="F169" s="347"/>
      <c r="G169" s="347"/>
      <c r="H169" s="347"/>
      <c r="I169" s="1076">
        <v>42265</v>
      </c>
      <c r="J169" s="411">
        <v>42265</v>
      </c>
      <c r="K169" s="411"/>
      <c r="L169" s="1078">
        <v>0</v>
      </c>
      <c r="M169" s="381">
        <v>42265</v>
      </c>
      <c r="N169" s="381">
        <v>42468</v>
      </c>
      <c r="O169" s="381"/>
      <c r="P169" s="381"/>
      <c r="Q169" s="708">
        <v>42736</v>
      </c>
      <c r="R169" s="381" t="s">
        <v>16</v>
      </c>
      <c r="S169" s="347" t="s">
        <v>16</v>
      </c>
      <c r="T169" s="347"/>
      <c r="U169" s="383"/>
      <c r="V169" s="347"/>
      <c r="W169" s="347"/>
      <c r="X169" s="385">
        <v>37864</v>
      </c>
      <c r="Y169" s="761">
        <f t="shared" si="158"/>
        <v>12.342465753424657</v>
      </c>
      <c r="Z169" s="347" t="s">
        <v>21</v>
      </c>
      <c r="AA169" s="770"/>
      <c r="AB169" s="770"/>
      <c r="AC169" s="770" t="str">
        <f t="shared" si="152"/>
        <v>F</v>
      </c>
      <c r="AD169" s="770"/>
      <c r="AE169" s="770"/>
      <c r="AF169" s="770"/>
      <c r="AG169" s="770"/>
      <c r="AH169" s="770"/>
      <c r="AI169" s="770"/>
      <c r="AJ169" s="770"/>
      <c r="AK169" s="770"/>
      <c r="AL169" s="770"/>
      <c r="AM169" s="770"/>
      <c r="AN169" s="770">
        <f t="shared" si="142"/>
        <v>0</v>
      </c>
      <c r="AO169" s="761">
        <f t="shared" si="143"/>
        <v>0</v>
      </c>
      <c r="AP169" s="1074"/>
      <c r="AQ169" s="782">
        <f t="shared" si="156"/>
        <v>42370</v>
      </c>
      <c r="AR169" s="782">
        <f t="shared" si="159"/>
        <v>42736</v>
      </c>
      <c r="AS169" s="770">
        <f t="shared" ref="AS169:AS180" si="161">Q169-AQ169</f>
        <v>366</v>
      </c>
      <c r="AT169" s="790">
        <f>IF(AQ169&gt;'[1]calculs enfants présents'!$A$56,0,IF(Q169&lt;'[1]calculs enfants présents'!$A$56,Q169-AQ169,'[1]calculs enfants présents'!$A$56-AQ169))</f>
        <v>0</v>
      </c>
      <c r="AU169" s="790">
        <f t="shared" si="132"/>
        <v>31</v>
      </c>
      <c r="AV169" s="790">
        <f t="shared" si="133"/>
        <v>-31</v>
      </c>
      <c r="AW169" s="412"/>
      <c r="AX169" s="381">
        <v>42369</v>
      </c>
      <c r="AY169" s="955">
        <f t="shared" si="148"/>
        <v>42468</v>
      </c>
      <c r="AZ169" s="955">
        <f t="shared" si="150"/>
        <v>42736</v>
      </c>
      <c r="BA169" s="955">
        <f t="shared" si="149"/>
        <v>42437</v>
      </c>
      <c r="BB169" s="1105"/>
      <c r="BC169" s="1103"/>
      <c r="BD169" s="1105"/>
      <c r="BE169" s="1104">
        <f t="shared" si="160"/>
        <v>42353</v>
      </c>
      <c r="BF169" s="459"/>
      <c r="BG169" s="322"/>
      <c r="BH169" s="382"/>
      <c r="BI169" s="460"/>
      <c r="BJ169" s="382"/>
    </row>
    <row r="170" spans="1:72" s="387" customFormat="1" x14ac:dyDescent="0.2">
      <c r="A170" s="1138" t="s">
        <v>786</v>
      </c>
      <c r="B170" s="1138" t="s">
        <v>243</v>
      </c>
      <c r="C170" s="1139" t="s">
        <v>218</v>
      </c>
      <c r="D170" s="353" t="s">
        <v>310</v>
      </c>
      <c r="E170" s="353"/>
      <c r="F170" s="353"/>
      <c r="G170" s="353"/>
      <c r="H170" s="353"/>
      <c r="I170" s="1140">
        <v>41474</v>
      </c>
      <c r="J170" s="1141">
        <v>41596</v>
      </c>
      <c r="K170" s="1141"/>
      <c r="L170" s="1142">
        <f t="shared" ref="L170:L177" si="162">IF(I170&lt;&gt;"",J170-I170,"")</f>
        <v>122</v>
      </c>
      <c r="M170" s="1143">
        <v>42326</v>
      </c>
      <c r="N170" s="1143">
        <v>42692</v>
      </c>
      <c r="O170" s="1143" t="s">
        <v>674</v>
      </c>
      <c r="P170" s="1143" t="s">
        <v>674</v>
      </c>
      <c r="Q170" s="708">
        <v>42736</v>
      </c>
      <c r="R170" s="1143" t="s">
        <v>16</v>
      </c>
      <c r="S170" s="353" t="s">
        <v>16</v>
      </c>
      <c r="T170" s="353"/>
      <c r="U170" s="1144"/>
      <c r="V170" s="353"/>
      <c r="W170" s="353"/>
      <c r="X170" s="1145">
        <v>37118</v>
      </c>
      <c r="Y170" s="1146">
        <f t="shared" si="158"/>
        <v>14.386301369863014</v>
      </c>
      <c r="Z170" s="353" t="s">
        <v>13</v>
      </c>
      <c r="AA170" s="763" t="str">
        <f t="shared" ref="AA170:AA177" si="163">IF(Y170&lt;6,IF(Z170="M","M","F"),"")</f>
        <v/>
      </c>
      <c r="AB170" s="763" t="str">
        <f t="shared" ref="AB170:AB177" si="164">IF(AND(Y170&gt;=6,Y170&lt;11),IF(Z170="M","M","F"),"")</f>
        <v/>
      </c>
      <c r="AC170" s="763" t="str">
        <f t="shared" si="152"/>
        <v>M</v>
      </c>
      <c r="AD170" s="763" t="str">
        <f t="shared" ref="AD170:AD177" si="165">IF(AND(Y170&gt;=15,Y170&lt;18),IF(Z170="M","M","F"),"")</f>
        <v/>
      </c>
      <c r="AE170" s="763" t="str">
        <f t="shared" ref="AE170:AE177" si="166">IF(Y170&gt;18,IF(Z170="M","M","F"),"")</f>
        <v/>
      </c>
      <c r="AF170" s="763"/>
      <c r="AG170" s="763"/>
      <c r="AH170" s="763"/>
      <c r="AI170" s="763"/>
      <c r="AJ170" s="763"/>
      <c r="AK170" s="763"/>
      <c r="AL170" s="763">
        <f t="shared" ref="AL170:AL180" si="167">Q170-J170</f>
        <v>1140</v>
      </c>
      <c r="AM170" s="763">
        <f t="shared" ref="AM170:AM180" si="168">AL170/365</f>
        <v>3.1232876712328768</v>
      </c>
      <c r="AN170" s="763">
        <f t="shared" si="142"/>
        <v>3</v>
      </c>
      <c r="AO170" s="1146">
        <f t="shared" si="143"/>
        <v>1.4794520547945211</v>
      </c>
      <c r="AP170" s="1147"/>
      <c r="AQ170" s="1148">
        <f t="shared" si="156"/>
        <v>42370</v>
      </c>
      <c r="AR170" s="1148">
        <f t="shared" si="159"/>
        <v>42736</v>
      </c>
      <c r="AS170" s="763">
        <f t="shared" si="161"/>
        <v>366</v>
      </c>
      <c r="AT170" s="1150">
        <f>IF(AQ170&gt;'[1]calculs enfants présents'!$A$56,0,IF(Q170&lt;'[1]calculs enfants présents'!$A$56,Q170-AQ170,'[1]calculs enfants présents'!$A$56-AQ170))</f>
        <v>0</v>
      </c>
      <c r="AU170" s="1150">
        <f t="shared" si="132"/>
        <v>31</v>
      </c>
      <c r="AV170" s="1149">
        <f t="shared" si="133"/>
        <v>-31</v>
      </c>
      <c r="AW170" s="326"/>
      <c r="AX170" s="1143">
        <v>42369</v>
      </c>
      <c r="AY170" s="1151">
        <f t="shared" si="148"/>
        <v>42692</v>
      </c>
      <c r="AZ170" s="1151">
        <f t="shared" si="150"/>
        <v>42736</v>
      </c>
      <c r="BA170" s="1151">
        <f t="shared" si="149"/>
        <v>42661</v>
      </c>
      <c r="BB170" s="1152">
        <v>42318</v>
      </c>
      <c r="BC170" s="1153" t="s">
        <v>270</v>
      </c>
      <c r="BD170" s="1152">
        <v>42318</v>
      </c>
      <c r="BE170" s="1154">
        <f t="shared" si="160"/>
        <v>41681</v>
      </c>
      <c r="BF170" s="1155"/>
      <c r="BG170" s="1156"/>
      <c r="BH170" s="1155"/>
      <c r="BI170" s="1183">
        <v>42060</v>
      </c>
      <c r="BJ170" s="1156" t="s">
        <v>357</v>
      </c>
      <c r="BK170" s="388"/>
      <c r="BL170" s="388"/>
      <c r="BM170" s="388"/>
      <c r="BN170" s="388"/>
      <c r="BO170" s="388"/>
      <c r="BP170" s="388"/>
      <c r="BQ170" s="388"/>
      <c r="BR170" s="388"/>
      <c r="BS170" s="388"/>
      <c r="BT170" s="388"/>
    </row>
    <row r="171" spans="1:72" s="396" customFormat="1" x14ac:dyDescent="0.2">
      <c r="A171" s="1138" t="s">
        <v>786</v>
      </c>
      <c r="B171" s="1138" t="s">
        <v>293</v>
      </c>
      <c r="C171" s="1139" t="s">
        <v>244</v>
      </c>
      <c r="D171" s="353" t="s">
        <v>310</v>
      </c>
      <c r="E171" s="353"/>
      <c r="F171" s="353"/>
      <c r="G171" s="353"/>
      <c r="H171" s="353"/>
      <c r="I171" s="1140">
        <v>41474</v>
      </c>
      <c r="J171" s="1141">
        <v>41596</v>
      </c>
      <c r="K171" s="1141"/>
      <c r="L171" s="1142">
        <f t="shared" si="162"/>
        <v>122</v>
      </c>
      <c r="M171" s="1143">
        <v>42326</v>
      </c>
      <c r="N171" s="1143">
        <v>42692</v>
      </c>
      <c r="O171" s="1143" t="s">
        <v>674</v>
      </c>
      <c r="P171" s="1143" t="s">
        <v>674</v>
      </c>
      <c r="Q171" s="708">
        <v>42736</v>
      </c>
      <c r="R171" s="1143" t="s">
        <v>16</v>
      </c>
      <c r="S171" s="353" t="s">
        <v>16</v>
      </c>
      <c r="T171" s="353"/>
      <c r="U171" s="1144"/>
      <c r="V171" s="353"/>
      <c r="W171" s="353"/>
      <c r="X171" s="1145">
        <v>38132</v>
      </c>
      <c r="Y171" s="1146">
        <f t="shared" si="158"/>
        <v>11.608219178082193</v>
      </c>
      <c r="Z171" s="353" t="s">
        <v>21</v>
      </c>
      <c r="AA171" s="763" t="str">
        <f t="shared" si="163"/>
        <v/>
      </c>
      <c r="AB171" s="763" t="str">
        <f t="shared" si="164"/>
        <v/>
      </c>
      <c r="AC171" s="763" t="str">
        <f t="shared" si="152"/>
        <v>F</v>
      </c>
      <c r="AD171" s="763" t="str">
        <f t="shared" si="165"/>
        <v/>
      </c>
      <c r="AE171" s="763" t="str">
        <f t="shared" si="166"/>
        <v/>
      </c>
      <c r="AF171" s="763"/>
      <c r="AG171" s="763"/>
      <c r="AH171" s="763"/>
      <c r="AI171" s="763"/>
      <c r="AJ171" s="763"/>
      <c r="AK171" s="763"/>
      <c r="AL171" s="763">
        <f t="shared" si="167"/>
        <v>1140</v>
      </c>
      <c r="AM171" s="763">
        <f t="shared" si="168"/>
        <v>3.1232876712328768</v>
      </c>
      <c r="AN171" s="763">
        <f t="shared" si="142"/>
        <v>3</v>
      </c>
      <c r="AO171" s="1146">
        <f t="shared" si="143"/>
        <v>1.4794520547945211</v>
      </c>
      <c r="AP171" s="1147"/>
      <c r="AQ171" s="1148">
        <f t="shared" si="156"/>
        <v>42370</v>
      </c>
      <c r="AR171" s="1148">
        <f t="shared" si="159"/>
        <v>42736</v>
      </c>
      <c r="AS171" s="763">
        <f t="shared" si="161"/>
        <v>366</v>
      </c>
      <c r="AT171" s="1150">
        <f>IF(AQ171&gt;'[1]calculs enfants présents'!$A$56,0,IF(Q171&lt;'[1]calculs enfants présents'!$A$56,Q171-AQ171,'[1]calculs enfants présents'!$A$56-AQ171))</f>
        <v>0</v>
      </c>
      <c r="AU171" s="1150">
        <f t="shared" si="132"/>
        <v>31</v>
      </c>
      <c r="AV171" s="1149">
        <f t="shared" si="133"/>
        <v>-31</v>
      </c>
      <c r="AW171" s="326"/>
      <c r="AX171" s="1143">
        <v>42369</v>
      </c>
      <c r="AY171" s="1151">
        <f t="shared" si="148"/>
        <v>42692</v>
      </c>
      <c r="AZ171" s="1151">
        <f t="shared" si="150"/>
        <v>42736</v>
      </c>
      <c r="BA171" s="1151">
        <f t="shared" si="149"/>
        <v>42661</v>
      </c>
      <c r="BB171" s="1152">
        <v>42318</v>
      </c>
      <c r="BC171" s="1153" t="s">
        <v>270</v>
      </c>
      <c r="BD171" s="353"/>
      <c r="BE171" s="1154">
        <f t="shared" si="160"/>
        <v>41681</v>
      </c>
      <c r="BF171" s="1155"/>
      <c r="BG171" s="1156"/>
      <c r="BH171" s="1163"/>
      <c r="BI171" s="1183">
        <v>42060</v>
      </c>
      <c r="BJ171" s="1163" t="s">
        <v>357</v>
      </c>
      <c r="BK171" s="388"/>
      <c r="BL171" s="388"/>
      <c r="BM171" s="388"/>
      <c r="BN171" s="388"/>
      <c r="BO171" s="388"/>
      <c r="BP171" s="388"/>
      <c r="BQ171" s="388"/>
      <c r="BR171" s="388"/>
      <c r="BS171" s="388"/>
      <c r="BT171" s="388"/>
    </row>
    <row r="172" spans="1:72" s="396" customFormat="1" x14ac:dyDescent="0.2">
      <c r="A172" s="836" t="s">
        <v>685</v>
      </c>
      <c r="B172" s="836" t="s">
        <v>686</v>
      </c>
      <c r="C172" s="379" t="s">
        <v>622</v>
      </c>
      <c r="D172" s="347" t="s">
        <v>714</v>
      </c>
      <c r="E172" s="347" t="s">
        <v>310</v>
      </c>
      <c r="F172" s="347"/>
      <c r="G172" s="347"/>
      <c r="H172" s="347"/>
      <c r="I172" s="1076">
        <v>42205</v>
      </c>
      <c r="J172" s="411">
        <v>42286</v>
      </c>
      <c r="K172" s="411">
        <v>42299</v>
      </c>
      <c r="L172" s="1077">
        <f t="shared" si="162"/>
        <v>81</v>
      </c>
      <c r="M172" s="381">
        <v>42286</v>
      </c>
      <c r="N172" s="708">
        <v>42652</v>
      </c>
      <c r="O172" s="708" t="s">
        <v>628</v>
      </c>
      <c r="P172" s="708">
        <v>42652</v>
      </c>
      <c r="Q172" s="708">
        <v>42736</v>
      </c>
      <c r="R172" s="381" t="s">
        <v>16</v>
      </c>
      <c r="S172" s="347" t="s">
        <v>16</v>
      </c>
      <c r="T172" s="347"/>
      <c r="U172" s="383"/>
      <c r="V172" s="347"/>
      <c r="W172" s="347"/>
      <c r="X172" s="385">
        <v>38551</v>
      </c>
      <c r="Y172" s="761">
        <f t="shared" si="158"/>
        <v>10.46027397260274</v>
      </c>
      <c r="Z172" s="347" t="s">
        <v>13</v>
      </c>
      <c r="AA172" s="773" t="str">
        <f t="shared" si="163"/>
        <v/>
      </c>
      <c r="AB172" s="773" t="str">
        <f t="shared" si="164"/>
        <v>M</v>
      </c>
      <c r="AC172" s="773" t="str">
        <f t="shared" si="152"/>
        <v/>
      </c>
      <c r="AD172" s="773" t="str">
        <f t="shared" si="165"/>
        <v/>
      </c>
      <c r="AE172" s="773" t="str">
        <f t="shared" si="166"/>
        <v/>
      </c>
      <c r="AF172" s="770"/>
      <c r="AG172" s="770"/>
      <c r="AH172" s="770"/>
      <c r="AI172" s="770"/>
      <c r="AJ172" s="770"/>
      <c r="AK172" s="770"/>
      <c r="AL172" s="770">
        <f t="shared" si="167"/>
        <v>450</v>
      </c>
      <c r="AM172" s="770">
        <f t="shared" si="168"/>
        <v>1.2328767123287672</v>
      </c>
      <c r="AN172" s="770"/>
      <c r="AO172" s="761">
        <f t="shared" si="143"/>
        <v>14.794520547945206</v>
      </c>
      <c r="AP172" s="1074"/>
      <c r="AQ172" s="782">
        <f t="shared" si="156"/>
        <v>42370</v>
      </c>
      <c r="AR172" s="782">
        <f t="shared" si="159"/>
        <v>42736</v>
      </c>
      <c r="AS172" s="770">
        <f t="shared" si="161"/>
        <v>366</v>
      </c>
      <c r="AT172" s="790">
        <f>IF(AQ172&gt;'[1]calculs enfants présents'!$A$56,0,IF(Q172&lt;'[1]calculs enfants présents'!$A$56,Q172-AQ172,'[1]calculs enfants présents'!$A$56-AQ172))</f>
        <v>0</v>
      </c>
      <c r="AU172" s="790">
        <f t="shared" si="132"/>
        <v>31</v>
      </c>
      <c r="AV172" s="790">
        <f t="shared" si="133"/>
        <v>-31</v>
      </c>
      <c r="AW172" s="412"/>
      <c r="AX172" s="381">
        <v>42369</v>
      </c>
      <c r="AY172" s="955">
        <f t="shared" si="148"/>
        <v>42652</v>
      </c>
      <c r="AZ172" s="955">
        <f t="shared" si="150"/>
        <v>42736</v>
      </c>
      <c r="BA172" s="955">
        <f t="shared" si="149"/>
        <v>42619</v>
      </c>
      <c r="BB172" s="1076"/>
      <c r="BC172" s="1103"/>
      <c r="BD172" s="1076"/>
      <c r="BE172" s="1104">
        <f>IF(K172&lt;&gt;"",(K172+90)-(WEEKDAY(K172+90,2)-2),"DIPC")</f>
        <v>42388</v>
      </c>
      <c r="BF172" s="460">
        <v>42411</v>
      </c>
      <c r="BG172" s="349" t="s">
        <v>271</v>
      </c>
      <c r="BH172" s="465">
        <v>42411</v>
      </c>
      <c r="BI172" s="390"/>
      <c r="BJ172" s="382"/>
      <c r="BK172" s="387"/>
      <c r="BL172" s="387"/>
      <c r="BM172" s="387"/>
      <c r="BN172" s="387"/>
      <c r="BO172" s="387"/>
      <c r="BP172" s="387"/>
      <c r="BQ172" s="387"/>
      <c r="BR172" s="387"/>
      <c r="BS172" s="612"/>
      <c r="BT172" s="612"/>
    </row>
    <row r="173" spans="1:72" s="396" customFormat="1" x14ac:dyDescent="0.2">
      <c r="A173" s="836" t="s">
        <v>361</v>
      </c>
      <c r="B173" s="836" t="s">
        <v>361</v>
      </c>
      <c r="C173" s="379" t="s">
        <v>362</v>
      </c>
      <c r="D173" s="347" t="s">
        <v>70</v>
      </c>
      <c r="E173" s="347" t="s">
        <v>87</v>
      </c>
      <c r="F173" s="347"/>
      <c r="G173" s="347"/>
      <c r="H173" s="347"/>
      <c r="I173" s="1076">
        <v>41925</v>
      </c>
      <c r="J173" s="411">
        <v>41950</v>
      </c>
      <c r="K173" s="411"/>
      <c r="L173" s="1077">
        <f t="shared" si="162"/>
        <v>25</v>
      </c>
      <c r="M173" s="381">
        <v>42315</v>
      </c>
      <c r="N173" s="381">
        <v>42681</v>
      </c>
      <c r="O173" s="381" t="s">
        <v>674</v>
      </c>
      <c r="P173" s="381" t="s">
        <v>674</v>
      </c>
      <c r="Q173" s="381">
        <v>42736</v>
      </c>
      <c r="R173" s="381" t="s">
        <v>16</v>
      </c>
      <c r="S173" s="347" t="s">
        <v>20</v>
      </c>
      <c r="T173" s="347"/>
      <c r="U173" s="383"/>
      <c r="V173" s="347"/>
      <c r="W173" s="347"/>
      <c r="X173" s="385">
        <v>38846</v>
      </c>
      <c r="Y173" s="761">
        <f t="shared" si="158"/>
        <v>9.6520547945205486</v>
      </c>
      <c r="Z173" s="347" t="s">
        <v>13</v>
      </c>
      <c r="AA173" s="773" t="str">
        <f t="shared" si="163"/>
        <v/>
      </c>
      <c r="AB173" s="773" t="str">
        <f t="shared" si="164"/>
        <v>M</v>
      </c>
      <c r="AC173" s="773" t="str">
        <f t="shared" si="152"/>
        <v/>
      </c>
      <c r="AD173" s="773" t="str">
        <f t="shared" si="165"/>
        <v/>
      </c>
      <c r="AE173" s="773" t="str">
        <f t="shared" si="166"/>
        <v/>
      </c>
      <c r="AF173" s="770"/>
      <c r="AG173" s="770"/>
      <c r="AH173" s="770"/>
      <c r="AI173" s="770"/>
      <c r="AJ173" s="770"/>
      <c r="AK173" s="770"/>
      <c r="AL173" s="770">
        <f t="shared" si="167"/>
        <v>786</v>
      </c>
      <c r="AM173" s="770">
        <f t="shared" si="168"/>
        <v>2.1534246575342464</v>
      </c>
      <c r="AN173" s="770">
        <f>INT(AM173)</f>
        <v>2</v>
      </c>
      <c r="AO173" s="761">
        <f t="shared" si="143"/>
        <v>1.8410958904109567</v>
      </c>
      <c r="AP173" s="1074"/>
      <c r="AQ173" s="782">
        <f t="shared" si="156"/>
        <v>42370</v>
      </c>
      <c r="AR173" s="782">
        <f t="shared" si="159"/>
        <v>42736</v>
      </c>
      <c r="AS173" s="770">
        <f t="shared" si="161"/>
        <v>366</v>
      </c>
      <c r="AT173" s="790">
        <f>IF(AQ173&gt;'[1]calculs enfants présents'!$A$56,0,IF(Q173&lt;'[1]calculs enfants présents'!$A$56,Q173-AQ173,'[1]calculs enfants présents'!$A$56-AQ173))</f>
        <v>0</v>
      </c>
      <c r="AU173" s="790">
        <f t="shared" si="132"/>
        <v>31</v>
      </c>
      <c r="AV173" s="790">
        <f t="shared" si="133"/>
        <v>-31</v>
      </c>
      <c r="AW173" s="412"/>
      <c r="AX173" s="381">
        <v>42369</v>
      </c>
      <c r="AY173" s="955">
        <f t="shared" si="148"/>
        <v>42681</v>
      </c>
      <c r="AZ173" s="955">
        <f t="shared" si="150"/>
        <v>42736</v>
      </c>
      <c r="BA173" s="955">
        <f t="shared" si="149"/>
        <v>42647</v>
      </c>
      <c r="BB173" s="950"/>
      <c r="BC173" s="1103"/>
      <c r="BD173" s="1076"/>
      <c r="BE173" s="1104">
        <f>(J173+90)-(WEEKDAY(J173+90,2)-2)</f>
        <v>42038</v>
      </c>
      <c r="BF173" s="460"/>
      <c r="BG173" s="349"/>
      <c r="BH173" s="465"/>
      <c r="BI173" s="390"/>
      <c r="BJ173" s="382"/>
      <c r="BK173" s="387"/>
      <c r="BL173" s="387"/>
      <c r="BM173" s="387"/>
      <c r="BN173" s="387"/>
      <c r="BO173" s="387"/>
      <c r="BP173" s="387"/>
      <c r="BQ173" s="387"/>
      <c r="BR173" s="387"/>
      <c r="BS173" s="387"/>
      <c r="BT173" s="387"/>
    </row>
    <row r="174" spans="1:72" s="396" customFormat="1" x14ac:dyDescent="0.2">
      <c r="A174" s="484" t="s">
        <v>613</v>
      </c>
      <c r="B174" s="484" t="s">
        <v>321</v>
      </c>
      <c r="C174" s="379" t="s">
        <v>222</v>
      </c>
      <c r="D174" s="347" t="s">
        <v>87</v>
      </c>
      <c r="E174" s="347"/>
      <c r="F174" s="347"/>
      <c r="G174" s="347"/>
      <c r="H174" s="347"/>
      <c r="I174" s="1076">
        <v>41766</v>
      </c>
      <c r="J174" s="411">
        <v>41774</v>
      </c>
      <c r="K174" s="411"/>
      <c r="L174" s="1078">
        <f t="shared" si="162"/>
        <v>8</v>
      </c>
      <c r="M174" s="381">
        <v>42139</v>
      </c>
      <c r="N174" s="381">
        <v>42505</v>
      </c>
      <c r="O174" s="381"/>
      <c r="P174" s="381"/>
      <c r="Q174" s="381">
        <v>42736</v>
      </c>
      <c r="R174" s="381" t="s">
        <v>16</v>
      </c>
      <c r="S174" s="347" t="s">
        <v>13</v>
      </c>
      <c r="T174" s="347"/>
      <c r="U174" s="383"/>
      <c r="V174" s="347"/>
      <c r="W174" s="347"/>
      <c r="X174" s="385">
        <v>36617</v>
      </c>
      <c r="Y174" s="761">
        <f t="shared" si="158"/>
        <v>15.758904109589041</v>
      </c>
      <c r="Z174" s="347" t="s">
        <v>13</v>
      </c>
      <c r="AA174" s="770" t="str">
        <f t="shared" si="163"/>
        <v/>
      </c>
      <c r="AB174" s="770" t="str">
        <f t="shared" si="164"/>
        <v/>
      </c>
      <c r="AC174" s="770" t="str">
        <f t="shared" si="152"/>
        <v/>
      </c>
      <c r="AD174" s="770" t="str">
        <f t="shared" si="165"/>
        <v>M</v>
      </c>
      <c r="AE174" s="770" t="str">
        <f t="shared" si="166"/>
        <v/>
      </c>
      <c r="AF174" s="770"/>
      <c r="AG174" s="770"/>
      <c r="AH174" s="770"/>
      <c r="AI174" s="770"/>
      <c r="AJ174" s="770"/>
      <c r="AK174" s="770"/>
      <c r="AL174" s="770">
        <f t="shared" si="167"/>
        <v>962</v>
      </c>
      <c r="AM174" s="770">
        <f t="shared" si="168"/>
        <v>2.6356164383561644</v>
      </c>
      <c r="AN174" s="770">
        <f>INT(AM174)</f>
        <v>2</v>
      </c>
      <c r="AO174" s="761">
        <f t="shared" si="143"/>
        <v>7.6273972602739732</v>
      </c>
      <c r="AP174" s="1074"/>
      <c r="AQ174" s="782">
        <f t="shared" si="156"/>
        <v>42370</v>
      </c>
      <c r="AR174" s="782">
        <f t="shared" si="159"/>
        <v>42736</v>
      </c>
      <c r="AS174" s="770">
        <f t="shared" si="161"/>
        <v>366</v>
      </c>
      <c r="AT174" s="790">
        <f>IF(AQ174&gt;'[1]calculs enfants présents'!$A$56,0,IF(Q174&lt;'[1]calculs enfants présents'!$A$56,Q174-AQ174,'[1]calculs enfants présents'!$A$56-AQ174))</f>
        <v>0</v>
      </c>
      <c r="AU174" s="791">
        <f t="shared" si="132"/>
        <v>31</v>
      </c>
      <c r="AV174" s="790">
        <f t="shared" si="133"/>
        <v>-31</v>
      </c>
      <c r="AW174" s="412"/>
      <c r="AX174" s="381">
        <v>42369</v>
      </c>
      <c r="AY174" s="955">
        <f t="shared" si="148"/>
        <v>42505</v>
      </c>
      <c r="AZ174" s="955">
        <f t="shared" si="150"/>
        <v>42736</v>
      </c>
      <c r="BA174" s="955">
        <f t="shared" si="149"/>
        <v>42472</v>
      </c>
      <c r="BB174" s="1105"/>
      <c r="BC174" s="1103"/>
      <c r="BD174" s="1105"/>
      <c r="BE174" s="1104">
        <f>(J174+90)-(WEEKDAY(J174+90,2)-2)</f>
        <v>41863</v>
      </c>
      <c r="BF174" s="460"/>
      <c r="BG174" s="349"/>
      <c r="BH174" s="465"/>
      <c r="BI174" s="390"/>
      <c r="BJ174" s="382"/>
    </row>
    <row r="175" spans="1:72" s="396" customFormat="1" x14ac:dyDescent="0.2">
      <c r="A175" s="484" t="s">
        <v>528</v>
      </c>
      <c r="B175" s="484" t="s">
        <v>240</v>
      </c>
      <c r="C175" s="379" t="s">
        <v>241</v>
      </c>
      <c r="D175" s="347" t="s">
        <v>87</v>
      </c>
      <c r="E175" s="347" t="s">
        <v>183</v>
      </c>
      <c r="F175" s="347"/>
      <c r="G175" s="347"/>
      <c r="H175" s="347"/>
      <c r="I175" s="1076">
        <v>41444</v>
      </c>
      <c r="J175" s="411">
        <v>41597</v>
      </c>
      <c r="K175" s="411"/>
      <c r="L175" s="1077">
        <f t="shared" si="162"/>
        <v>153</v>
      </c>
      <c r="M175" s="381">
        <v>42266</v>
      </c>
      <c r="N175" s="381">
        <v>42448</v>
      </c>
      <c r="O175" s="381" t="s">
        <v>674</v>
      </c>
      <c r="P175" s="381" t="s">
        <v>674</v>
      </c>
      <c r="Q175" s="381">
        <v>42736</v>
      </c>
      <c r="R175" s="381" t="s">
        <v>156</v>
      </c>
      <c r="S175" s="347" t="s">
        <v>225</v>
      </c>
      <c r="T175" s="347"/>
      <c r="U175" s="383"/>
      <c r="V175" s="347"/>
      <c r="W175" s="347"/>
      <c r="X175" s="385">
        <v>36679</v>
      </c>
      <c r="Y175" s="761">
        <f t="shared" si="158"/>
        <v>15.58904109589041</v>
      </c>
      <c r="Z175" s="347" t="s">
        <v>21</v>
      </c>
      <c r="AA175" s="770" t="str">
        <f t="shared" si="163"/>
        <v/>
      </c>
      <c r="AB175" s="770" t="str">
        <f t="shared" si="164"/>
        <v/>
      </c>
      <c r="AC175" s="770" t="str">
        <f t="shared" si="152"/>
        <v/>
      </c>
      <c r="AD175" s="770" t="str">
        <f t="shared" si="165"/>
        <v>F</v>
      </c>
      <c r="AE175" s="770" t="str">
        <f t="shared" si="166"/>
        <v/>
      </c>
      <c r="AF175" s="770"/>
      <c r="AG175" s="770"/>
      <c r="AH175" s="770"/>
      <c r="AI175" s="770"/>
      <c r="AJ175" s="770"/>
      <c r="AK175" s="770"/>
      <c r="AL175" s="770">
        <f t="shared" si="167"/>
        <v>1139</v>
      </c>
      <c r="AM175" s="770">
        <f t="shared" si="168"/>
        <v>3.1205479452054794</v>
      </c>
      <c r="AN175" s="770">
        <f>INT(AM175)</f>
        <v>3</v>
      </c>
      <c r="AO175" s="761">
        <f t="shared" si="143"/>
        <v>1.4465753424657528</v>
      </c>
      <c r="AP175" s="1074"/>
      <c r="AQ175" s="782">
        <f t="shared" si="156"/>
        <v>42370</v>
      </c>
      <c r="AR175" s="782">
        <f t="shared" si="159"/>
        <v>42736</v>
      </c>
      <c r="AS175" s="770">
        <f t="shared" si="161"/>
        <v>366</v>
      </c>
      <c r="AT175" s="791">
        <f>IF(AQ175&gt;'[1]calculs enfants présents'!$A$56,0,IF(Q175&lt;'[1]calculs enfants présents'!$A$56,Q175-AQ175,'[1]calculs enfants présents'!$A$56-AQ175))</f>
        <v>0</v>
      </c>
      <c r="AU175" s="791">
        <f t="shared" si="132"/>
        <v>31</v>
      </c>
      <c r="AV175" s="790">
        <f t="shared" si="133"/>
        <v>-31</v>
      </c>
      <c r="AW175" s="412"/>
      <c r="AX175" s="381">
        <v>42369</v>
      </c>
      <c r="AY175" s="955">
        <f t="shared" si="148"/>
        <v>42448</v>
      </c>
      <c r="AZ175" s="955">
        <f t="shared" si="150"/>
        <v>42736</v>
      </c>
      <c r="BA175" s="955">
        <f t="shared" si="149"/>
        <v>42416</v>
      </c>
      <c r="BB175" s="1105"/>
      <c r="BC175" s="1103"/>
      <c r="BD175" s="1105"/>
      <c r="BE175" s="1104">
        <f>(J175+90)-(WEEKDAY(J175+90,2)-2)</f>
        <v>41688</v>
      </c>
      <c r="BF175" s="460"/>
      <c r="BG175" s="349"/>
      <c r="BH175" s="465"/>
      <c r="BI175" s="349" t="s">
        <v>272</v>
      </c>
      <c r="BJ175" s="572">
        <v>42081</v>
      </c>
    </row>
    <row r="176" spans="1:72" s="396" customFormat="1" x14ac:dyDescent="0.2">
      <c r="A176" s="484" t="s">
        <v>563</v>
      </c>
      <c r="B176" s="484" t="s">
        <v>563</v>
      </c>
      <c r="C176" s="379" t="s">
        <v>564</v>
      </c>
      <c r="D176" s="347" t="s">
        <v>183</v>
      </c>
      <c r="E176" s="347" t="s">
        <v>87</v>
      </c>
      <c r="F176" s="347"/>
      <c r="G176" s="347"/>
      <c r="H176" s="347"/>
      <c r="I176" s="1076">
        <v>42174</v>
      </c>
      <c r="J176" s="411">
        <v>42250</v>
      </c>
      <c r="K176" s="411"/>
      <c r="L176" s="1078">
        <f t="shared" si="162"/>
        <v>76</v>
      </c>
      <c r="M176" s="381">
        <v>42250</v>
      </c>
      <c r="N176" s="381">
        <v>42616</v>
      </c>
      <c r="O176" s="381"/>
      <c r="P176" s="381"/>
      <c r="Q176" s="381">
        <v>42736</v>
      </c>
      <c r="R176" s="381" t="s">
        <v>156</v>
      </c>
      <c r="S176" s="347" t="s">
        <v>157</v>
      </c>
      <c r="T176" s="347"/>
      <c r="U176" s="383"/>
      <c r="V176" s="347"/>
      <c r="W176" s="347"/>
      <c r="X176" s="385">
        <v>38307</v>
      </c>
      <c r="Y176" s="761">
        <f t="shared" si="158"/>
        <v>11.128767123287671</v>
      </c>
      <c r="Z176" s="347" t="s">
        <v>21</v>
      </c>
      <c r="AA176" s="770" t="str">
        <f t="shared" si="163"/>
        <v/>
      </c>
      <c r="AB176" s="770" t="str">
        <f t="shared" si="164"/>
        <v/>
      </c>
      <c r="AC176" s="770" t="str">
        <f t="shared" si="152"/>
        <v>F</v>
      </c>
      <c r="AD176" s="770" t="str">
        <f t="shared" si="165"/>
        <v/>
      </c>
      <c r="AE176" s="770" t="str">
        <f t="shared" si="166"/>
        <v/>
      </c>
      <c r="AF176" s="770"/>
      <c r="AG176" s="770"/>
      <c r="AH176" s="770"/>
      <c r="AI176" s="770"/>
      <c r="AJ176" s="770"/>
      <c r="AK176" s="770"/>
      <c r="AL176" s="770">
        <f t="shared" si="167"/>
        <v>486</v>
      </c>
      <c r="AM176" s="770">
        <f t="shared" si="168"/>
        <v>1.3315068493150686</v>
      </c>
      <c r="AN176" s="770">
        <f>INT(AM176)</f>
        <v>1</v>
      </c>
      <c r="AO176" s="761">
        <f t="shared" si="143"/>
        <v>3.9780821917808229</v>
      </c>
      <c r="AP176" s="1074"/>
      <c r="AQ176" s="782">
        <f t="shared" si="156"/>
        <v>42370</v>
      </c>
      <c r="AR176" s="782">
        <f t="shared" si="159"/>
        <v>42736</v>
      </c>
      <c r="AS176" s="770">
        <f t="shared" si="161"/>
        <v>366</v>
      </c>
      <c r="AT176" s="790">
        <f>IF(AQ176&gt;'[1]calculs enfants présents'!$A$56,0,IF(Q176&lt;'[1]calculs enfants présents'!$A$56,Q176-AQ176,'[1]calculs enfants présents'!$A$56-AQ176))</f>
        <v>0</v>
      </c>
      <c r="AU176" s="791">
        <f t="shared" si="132"/>
        <v>31</v>
      </c>
      <c r="AV176" s="790">
        <f t="shared" si="133"/>
        <v>-31</v>
      </c>
      <c r="AW176" s="412"/>
      <c r="AX176" s="381">
        <v>42369</v>
      </c>
      <c r="AY176" s="955">
        <f t="shared" si="148"/>
        <v>42616</v>
      </c>
      <c r="AZ176" s="955">
        <f t="shared" si="150"/>
        <v>42736</v>
      </c>
      <c r="BA176" s="955">
        <f t="shared" si="149"/>
        <v>42584</v>
      </c>
      <c r="BB176" s="1105"/>
      <c r="BC176" s="1103"/>
      <c r="BD176" s="1076"/>
      <c r="BE176" s="1104">
        <f>(J176+90)-(WEEKDAY(J176+90,2)-2)</f>
        <v>42339</v>
      </c>
      <c r="BF176" s="460">
        <v>42381</v>
      </c>
      <c r="BG176" s="349" t="s">
        <v>275</v>
      </c>
      <c r="BH176" s="465">
        <v>42381</v>
      </c>
      <c r="BI176" s="349"/>
      <c r="BJ176" s="572"/>
      <c r="BK176" s="582"/>
      <c r="BL176" s="582"/>
      <c r="BM176" s="582"/>
      <c r="BN176" s="582"/>
      <c r="BO176" s="582"/>
      <c r="BP176" s="582"/>
      <c r="BQ176" s="582"/>
      <c r="BR176" s="582"/>
      <c r="BS176" s="582"/>
      <c r="BT176" s="582"/>
    </row>
    <row r="177" spans="1:72" s="396" customFormat="1" x14ac:dyDescent="0.2">
      <c r="A177" s="484" t="s">
        <v>685</v>
      </c>
      <c r="B177" s="484" t="s">
        <v>687</v>
      </c>
      <c r="C177" s="379" t="s">
        <v>623</v>
      </c>
      <c r="D177" s="347" t="s">
        <v>714</v>
      </c>
      <c r="E177" s="347" t="s">
        <v>310</v>
      </c>
      <c r="F177" s="347"/>
      <c r="G177" s="347"/>
      <c r="H177" s="347"/>
      <c r="I177" s="1076">
        <v>42205</v>
      </c>
      <c r="J177" s="411">
        <v>42286</v>
      </c>
      <c r="K177" s="411">
        <v>42299</v>
      </c>
      <c r="L177" s="1077">
        <f t="shared" si="162"/>
        <v>81</v>
      </c>
      <c r="M177" s="381">
        <v>42286</v>
      </c>
      <c r="N177" s="708">
        <v>42652</v>
      </c>
      <c r="O177" s="708" t="s">
        <v>628</v>
      </c>
      <c r="P177" s="708">
        <v>42652</v>
      </c>
      <c r="Q177" s="708">
        <v>42736</v>
      </c>
      <c r="R177" s="381" t="s">
        <v>16</v>
      </c>
      <c r="S177" s="347" t="s">
        <v>16</v>
      </c>
      <c r="T177" s="347"/>
      <c r="U177" s="383"/>
      <c r="V177" s="347"/>
      <c r="W177" s="347"/>
      <c r="X177" s="385">
        <v>39627</v>
      </c>
      <c r="Y177" s="761">
        <f t="shared" si="158"/>
        <v>7.5123287671232877</v>
      </c>
      <c r="Z177" s="347" t="s">
        <v>21</v>
      </c>
      <c r="AA177" s="773" t="str">
        <f t="shared" si="163"/>
        <v/>
      </c>
      <c r="AB177" s="773" t="str">
        <f t="shared" si="164"/>
        <v>F</v>
      </c>
      <c r="AC177" s="773" t="str">
        <f t="shared" si="152"/>
        <v/>
      </c>
      <c r="AD177" s="773" t="str">
        <f t="shared" si="165"/>
        <v/>
      </c>
      <c r="AE177" s="773" t="str">
        <f t="shared" si="166"/>
        <v/>
      </c>
      <c r="AF177" s="770"/>
      <c r="AG177" s="770"/>
      <c r="AH177" s="770"/>
      <c r="AI177" s="770"/>
      <c r="AJ177" s="770"/>
      <c r="AK177" s="770"/>
      <c r="AL177" s="770">
        <f t="shared" si="167"/>
        <v>450</v>
      </c>
      <c r="AM177" s="770">
        <f t="shared" si="168"/>
        <v>1.2328767123287672</v>
      </c>
      <c r="AN177" s="770"/>
      <c r="AO177" s="761">
        <f t="shared" si="143"/>
        <v>14.794520547945206</v>
      </c>
      <c r="AP177" s="1074"/>
      <c r="AQ177" s="782">
        <f t="shared" si="156"/>
        <v>42370</v>
      </c>
      <c r="AR177" s="782">
        <f t="shared" si="159"/>
        <v>42736</v>
      </c>
      <c r="AS177" s="770">
        <f t="shared" si="161"/>
        <v>366</v>
      </c>
      <c r="AT177" s="790">
        <f>IF(AQ177&gt;'[1]calculs enfants présents'!$A$56,0,IF(Q177&lt;'[1]calculs enfants présents'!$A$56,Q177-AQ177,'[1]calculs enfants présents'!$A$56-AQ177))</f>
        <v>0</v>
      </c>
      <c r="AU177" s="790">
        <f t="shared" si="132"/>
        <v>31</v>
      </c>
      <c r="AV177" s="790">
        <f t="shared" si="133"/>
        <v>-31</v>
      </c>
      <c r="AW177" s="412"/>
      <c r="AX177" s="381">
        <v>42369</v>
      </c>
      <c r="AY177" s="955">
        <f t="shared" si="148"/>
        <v>42652</v>
      </c>
      <c r="AZ177" s="955">
        <f t="shared" si="150"/>
        <v>42736</v>
      </c>
      <c r="BA177" s="955">
        <f t="shared" si="149"/>
        <v>42619</v>
      </c>
      <c r="BB177" s="1076"/>
      <c r="BC177" s="1103"/>
      <c r="BD177" s="1076"/>
      <c r="BE177" s="1104">
        <f>IF(K177&lt;&gt;"",(K177+90)-(WEEKDAY(K177+90,2)-2),"DIPC")</f>
        <v>42388</v>
      </c>
      <c r="BF177" s="460">
        <v>42411</v>
      </c>
      <c r="BG177" s="349" t="s">
        <v>271</v>
      </c>
      <c r="BH177" s="465"/>
      <c r="BI177" s="390"/>
      <c r="BJ177" s="382"/>
      <c r="BK177" s="387"/>
      <c r="BL177" s="387"/>
      <c r="BM177" s="387"/>
      <c r="BN177" s="387"/>
      <c r="BO177" s="387"/>
      <c r="BP177" s="387"/>
      <c r="BQ177" s="387"/>
      <c r="BR177" s="387"/>
      <c r="BS177" s="387"/>
      <c r="BT177" s="387"/>
    </row>
    <row r="178" spans="1:72" s="396" customFormat="1" x14ac:dyDescent="0.2">
      <c r="A178" s="402" t="s">
        <v>769</v>
      </c>
      <c r="B178" s="402" t="s">
        <v>769</v>
      </c>
      <c r="C178" s="403" t="s">
        <v>770</v>
      </c>
      <c r="D178" s="355" t="s">
        <v>70</v>
      </c>
      <c r="E178" s="355" t="s">
        <v>138</v>
      </c>
      <c r="F178" s="355"/>
      <c r="G178" s="355" t="s">
        <v>67</v>
      </c>
      <c r="H178" s="355"/>
      <c r="I178" s="921">
        <v>42389</v>
      </c>
      <c r="J178" s="495">
        <v>42405</v>
      </c>
      <c r="K178" s="495"/>
      <c r="L178" s="1108">
        <f t="shared" ref="L178:L194" si="169">IF(I178&lt;&gt;"",J178-I178,"")</f>
        <v>16</v>
      </c>
      <c r="M178" s="405">
        <v>42405</v>
      </c>
      <c r="N178" s="405">
        <v>42771</v>
      </c>
      <c r="O178" s="405"/>
      <c r="P178" s="405"/>
      <c r="Q178" s="405">
        <v>42736</v>
      </c>
      <c r="R178" s="405" t="s">
        <v>16</v>
      </c>
      <c r="S178" s="355" t="s">
        <v>16</v>
      </c>
      <c r="T178" s="355"/>
      <c r="U178" s="408"/>
      <c r="V178" s="355"/>
      <c r="W178" s="355"/>
      <c r="X178" s="410">
        <v>37159</v>
      </c>
      <c r="Y178" s="800">
        <f t="shared" si="158"/>
        <v>14.273972602739725</v>
      </c>
      <c r="Z178" s="355" t="s">
        <v>13</v>
      </c>
      <c r="AA178" s="779"/>
      <c r="AB178" s="779"/>
      <c r="AC178" s="779"/>
      <c r="AD178" s="779"/>
      <c r="AE178" s="779"/>
      <c r="AF178" s="779"/>
      <c r="AG178" s="779"/>
      <c r="AH178" s="779"/>
      <c r="AI178" s="779"/>
      <c r="AJ178" s="779"/>
      <c r="AK178" s="779"/>
      <c r="AL178" s="779">
        <f t="shared" si="167"/>
        <v>331</v>
      </c>
      <c r="AM178" s="779">
        <f t="shared" si="168"/>
        <v>0.9068493150684932</v>
      </c>
      <c r="AN178" s="779"/>
      <c r="AO178" s="800">
        <f t="shared" si="143"/>
        <v>10.882191780821918</v>
      </c>
      <c r="AP178" s="1087"/>
      <c r="AQ178" s="1072">
        <f t="shared" si="156"/>
        <v>42405</v>
      </c>
      <c r="AR178" s="1072">
        <f t="shared" ref="AR178:AR180" si="170">Q178</f>
        <v>42736</v>
      </c>
      <c r="AS178" s="779">
        <f t="shared" si="161"/>
        <v>331</v>
      </c>
      <c r="AT178" s="1036"/>
      <c r="AU178" s="1037">
        <f t="shared" si="132"/>
        <v>0</v>
      </c>
      <c r="AV178" s="790">
        <f t="shared" si="133"/>
        <v>0</v>
      </c>
      <c r="AW178" s="1048"/>
      <c r="AX178" s="405">
        <v>42369</v>
      </c>
      <c r="AY178" s="954">
        <f t="shared" ref="AY178" si="171">N178</f>
        <v>42771</v>
      </c>
      <c r="AZ178" s="954">
        <f t="shared" ref="AZ178:AZ187" si="172">AR178</f>
        <v>42736</v>
      </c>
      <c r="BA178" s="954">
        <f t="shared" ref="BA178" si="173">(N178-30)-(WEEKDAY(N178-30,2)-2)</f>
        <v>42738</v>
      </c>
      <c r="BB178" s="1109"/>
      <c r="BC178" s="1110"/>
      <c r="BD178" s="921"/>
      <c r="BE178" s="1111" t="str">
        <f t="shared" ref="BE178:BE194" si="174">IF(K178&lt;&gt;"",(K178+90)-(WEEKDAY(K178+90,2)-2),"DIPC")</f>
        <v>DIPC</v>
      </c>
      <c r="BF178" s="511"/>
      <c r="BG178" s="356"/>
      <c r="BH178" s="509"/>
      <c r="BI178" s="356"/>
      <c r="BJ178" s="554"/>
    </row>
    <row r="179" spans="1:72" s="396" customFormat="1" x14ac:dyDescent="0.2">
      <c r="A179" s="402" t="s">
        <v>777</v>
      </c>
      <c r="B179" s="402" t="s">
        <v>777</v>
      </c>
      <c r="C179" s="403" t="s">
        <v>583</v>
      </c>
      <c r="D179" s="355" t="s">
        <v>179</v>
      </c>
      <c r="E179" s="355" t="s">
        <v>310</v>
      </c>
      <c r="F179" s="355" t="s">
        <v>674</v>
      </c>
      <c r="G179" s="355" t="s">
        <v>67</v>
      </c>
      <c r="H179" s="355"/>
      <c r="I179" s="921">
        <v>42383</v>
      </c>
      <c r="J179" s="495">
        <v>42405</v>
      </c>
      <c r="K179" s="495">
        <v>42409</v>
      </c>
      <c r="L179" s="1108">
        <f t="shared" si="169"/>
        <v>22</v>
      </c>
      <c r="M179" s="405">
        <v>42405</v>
      </c>
      <c r="N179" s="405">
        <v>42771</v>
      </c>
      <c r="O179" s="405"/>
      <c r="P179" s="405"/>
      <c r="Q179" s="405">
        <v>42736</v>
      </c>
      <c r="R179" s="405" t="s">
        <v>157</v>
      </c>
      <c r="S179" s="355" t="s">
        <v>156</v>
      </c>
      <c r="T179" s="355"/>
      <c r="U179" s="408"/>
      <c r="V179" s="355"/>
      <c r="W179" s="355"/>
      <c r="X179" s="410">
        <v>36595</v>
      </c>
      <c r="Y179" s="800">
        <f t="shared" si="158"/>
        <v>15.819178082191781</v>
      </c>
      <c r="Z179" s="355" t="s">
        <v>13</v>
      </c>
      <c r="AA179" s="779"/>
      <c r="AB179" s="779"/>
      <c r="AC179" s="779"/>
      <c r="AD179" s="779"/>
      <c r="AE179" s="779"/>
      <c r="AF179" s="779"/>
      <c r="AG179" s="779"/>
      <c r="AH179" s="779"/>
      <c r="AI179" s="779"/>
      <c r="AJ179" s="779"/>
      <c r="AK179" s="779"/>
      <c r="AL179" s="779">
        <f t="shared" si="167"/>
        <v>331</v>
      </c>
      <c r="AM179" s="779">
        <f t="shared" si="168"/>
        <v>0.9068493150684932</v>
      </c>
      <c r="AN179" s="779"/>
      <c r="AO179" s="800">
        <f t="shared" si="143"/>
        <v>10.882191780821918</v>
      </c>
      <c r="AP179" s="1087"/>
      <c r="AQ179" s="1072">
        <f t="shared" si="156"/>
        <v>42405</v>
      </c>
      <c r="AR179" s="1072">
        <f t="shared" si="170"/>
        <v>42736</v>
      </c>
      <c r="AS179" s="779">
        <f t="shared" si="161"/>
        <v>331</v>
      </c>
      <c r="AT179" s="1036"/>
      <c r="AU179" s="1037">
        <f t="shared" si="132"/>
        <v>0</v>
      </c>
      <c r="AV179" s="1036">
        <f t="shared" si="133"/>
        <v>0</v>
      </c>
      <c r="AW179" s="1048"/>
      <c r="AX179" s="405">
        <v>42369</v>
      </c>
      <c r="AY179" s="954">
        <f t="shared" ref="AY179:AY194" si="175">N179</f>
        <v>42771</v>
      </c>
      <c r="AZ179" s="954">
        <f t="shared" si="172"/>
        <v>42736</v>
      </c>
      <c r="BA179" s="954">
        <f t="shared" ref="BA179:BA194" si="176">(N179-30)-(WEEKDAY(N179-30,2)-2)</f>
        <v>42738</v>
      </c>
      <c r="BB179" s="1109"/>
      <c r="BC179" s="1110"/>
      <c r="BD179" s="921"/>
      <c r="BE179" s="1111">
        <f t="shared" si="174"/>
        <v>42500</v>
      </c>
      <c r="BF179" s="511"/>
      <c r="BG179" s="356"/>
      <c r="BH179" s="509"/>
      <c r="BI179" s="356"/>
      <c r="BJ179" s="554"/>
    </row>
    <row r="180" spans="1:72" s="396" customFormat="1" x14ac:dyDescent="0.2">
      <c r="A180" s="402" t="s">
        <v>838</v>
      </c>
      <c r="B180" s="402" t="s">
        <v>779</v>
      </c>
      <c r="C180" s="403" t="s">
        <v>778</v>
      </c>
      <c r="D180" s="355" t="s">
        <v>87</v>
      </c>
      <c r="E180" s="355" t="s">
        <v>138</v>
      </c>
      <c r="F180" s="355"/>
      <c r="G180" s="355" t="s">
        <v>67</v>
      </c>
      <c r="H180" s="355"/>
      <c r="I180" s="921">
        <v>42383</v>
      </c>
      <c r="J180" s="495">
        <v>42402</v>
      </c>
      <c r="K180" s="495"/>
      <c r="L180" s="1108">
        <f t="shared" si="169"/>
        <v>19</v>
      </c>
      <c r="M180" s="405">
        <v>42402</v>
      </c>
      <c r="N180" s="405">
        <v>42732</v>
      </c>
      <c r="O180" s="405" t="s">
        <v>159</v>
      </c>
      <c r="P180" s="405">
        <v>42732</v>
      </c>
      <c r="Q180" s="405">
        <v>42736</v>
      </c>
      <c r="R180" s="405" t="s">
        <v>62</v>
      </c>
      <c r="S180" s="355" t="s">
        <v>156</v>
      </c>
      <c r="T180" s="355"/>
      <c r="U180" s="408"/>
      <c r="V180" s="355"/>
      <c r="W180" s="355"/>
      <c r="X180" s="410">
        <v>36131</v>
      </c>
      <c r="Y180" s="800">
        <f t="shared" si="158"/>
        <v>17.090410958904108</v>
      </c>
      <c r="Z180" s="355" t="s">
        <v>21</v>
      </c>
      <c r="AA180" s="779"/>
      <c r="AB180" s="779"/>
      <c r="AC180" s="779"/>
      <c r="AD180" s="779"/>
      <c r="AE180" s="779"/>
      <c r="AF180" s="779"/>
      <c r="AG180" s="779"/>
      <c r="AH180" s="779"/>
      <c r="AI180" s="779"/>
      <c r="AJ180" s="779"/>
      <c r="AK180" s="779"/>
      <c r="AL180" s="779">
        <f t="shared" si="167"/>
        <v>334</v>
      </c>
      <c r="AM180" s="779">
        <f t="shared" si="168"/>
        <v>0.91506849315068495</v>
      </c>
      <c r="AN180" s="779"/>
      <c r="AO180" s="800">
        <f t="shared" si="143"/>
        <v>10.980821917808219</v>
      </c>
      <c r="AP180" s="1087"/>
      <c r="AQ180" s="1072">
        <f t="shared" si="156"/>
        <v>42402</v>
      </c>
      <c r="AR180" s="1072">
        <f t="shared" si="170"/>
        <v>42736</v>
      </c>
      <c r="AS180" s="779">
        <f t="shared" si="161"/>
        <v>334</v>
      </c>
      <c r="AT180" s="1036"/>
      <c r="AU180" s="1037"/>
      <c r="AV180" s="1036">
        <f t="shared" si="133"/>
        <v>0</v>
      </c>
      <c r="AW180" s="1048"/>
      <c r="AX180" s="405">
        <v>42369</v>
      </c>
      <c r="AY180" s="954">
        <f t="shared" si="175"/>
        <v>42732</v>
      </c>
      <c r="AZ180" s="954">
        <f t="shared" si="172"/>
        <v>42736</v>
      </c>
      <c r="BA180" s="954">
        <f t="shared" si="176"/>
        <v>42703</v>
      </c>
      <c r="BB180" s="1109"/>
      <c r="BC180" s="1110"/>
      <c r="BD180" s="921"/>
      <c r="BE180" s="1111" t="str">
        <f t="shared" si="174"/>
        <v>DIPC</v>
      </c>
      <c r="BF180" s="511"/>
      <c r="BG180" s="356"/>
      <c r="BH180" s="509"/>
      <c r="BI180" s="356"/>
      <c r="BJ180" s="554"/>
    </row>
    <row r="181" spans="1:72" x14ac:dyDescent="0.2">
      <c r="A181" s="484"/>
      <c r="B181" s="484"/>
      <c r="E181" s="347"/>
      <c r="F181" s="347"/>
      <c r="I181" s="1076"/>
      <c r="J181" s="411"/>
      <c r="K181" s="411"/>
      <c r="L181" s="1078" t="str">
        <f t="shared" si="169"/>
        <v/>
      </c>
      <c r="M181" s="381"/>
      <c r="N181" s="381"/>
      <c r="O181" s="381"/>
      <c r="P181" s="381"/>
      <c r="Q181" s="381">
        <v>42736</v>
      </c>
      <c r="R181" s="381"/>
      <c r="S181" s="347"/>
      <c r="V181" s="347"/>
      <c r="W181" s="347"/>
      <c r="Y181" s="761"/>
      <c r="AA181" s="770"/>
      <c r="AG181" s="770"/>
      <c r="AH181" s="770"/>
      <c r="AI181" s="770"/>
      <c r="AJ181" s="770"/>
      <c r="AK181" s="770"/>
      <c r="AL181" s="770"/>
      <c r="AN181" s="770"/>
      <c r="AP181" s="1074"/>
      <c r="AQ181" s="782"/>
      <c r="AT181" s="790"/>
      <c r="AV181" s="790"/>
      <c r="AW181" s="412"/>
      <c r="AX181" s="381">
        <v>42369</v>
      </c>
      <c r="AY181" s="955">
        <f t="shared" si="175"/>
        <v>0</v>
      </c>
      <c r="AZ181" s="955">
        <f t="shared" si="172"/>
        <v>0</v>
      </c>
      <c r="BA181" s="955" t="e">
        <f t="shared" si="176"/>
        <v>#NUM!</v>
      </c>
      <c r="BB181" s="1105"/>
      <c r="BC181" s="1103"/>
      <c r="BD181" s="1076"/>
      <c r="BE181" s="1104" t="str">
        <f t="shared" si="174"/>
        <v>DIPC</v>
      </c>
      <c r="BF181" s="460"/>
      <c r="BG181" s="349"/>
      <c r="BH181" s="465"/>
      <c r="BI181" s="349"/>
      <c r="BJ181" s="572"/>
      <c r="BS181" s="387"/>
      <c r="BT181" s="387"/>
    </row>
    <row r="182" spans="1:72" x14ac:dyDescent="0.2">
      <c r="A182" s="484"/>
      <c r="B182" s="484"/>
      <c r="E182" s="347"/>
      <c r="F182" s="347"/>
      <c r="I182" s="1076"/>
      <c r="J182" s="411"/>
      <c r="K182" s="411"/>
      <c r="L182" s="1078" t="str">
        <f t="shared" si="169"/>
        <v/>
      </c>
      <c r="M182" s="381"/>
      <c r="N182" s="381"/>
      <c r="O182" s="381"/>
      <c r="P182" s="381"/>
      <c r="Q182" s="381">
        <v>42736</v>
      </c>
      <c r="R182" s="381"/>
      <c r="S182" s="347"/>
      <c r="V182" s="347"/>
      <c r="W182" s="347"/>
      <c r="Y182" s="761"/>
      <c r="AA182" s="770"/>
      <c r="AG182" s="770"/>
      <c r="AH182" s="770"/>
      <c r="AI182" s="770"/>
      <c r="AJ182" s="770"/>
      <c r="AK182" s="770"/>
      <c r="AL182" s="770"/>
      <c r="AN182" s="770"/>
      <c r="AP182" s="1074"/>
      <c r="AQ182" s="782"/>
      <c r="AT182" s="790"/>
      <c r="AV182" s="790"/>
      <c r="AW182" s="412"/>
      <c r="AX182" s="381">
        <v>42369</v>
      </c>
      <c r="AY182" s="955">
        <f t="shared" si="175"/>
        <v>0</v>
      </c>
      <c r="AZ182" s="955">
        <f t="shared" si="172"/>
        <v>0</v>
      </c>
      <c r="BA182" s="955" t="e">
        <f t="shared" si="176"/>
        <v>#NUM!</v>
      </c>
      <c r="BB182" s="1105"/>
      <c r="BC182" s="1103"/>
      <c r="BD182" s="1076"/>
      <c r="BE182" s="1104" t="str">
        <f t="shared" si="174"/>
        <v>DIPC</v>
      </c>
      <c r="BF182" s="460"/>
      <c r="BG182" s="349"/>
      <c r="BH182" s="465"/>
      <c r="BI182" s="349"/>
      <c r="BJ182" s="572"/>
      <c r="BS182" s="387"/>
      <c r="BT182" s="387"/>
    </row>
    <row r="183" spans="1:72" x14ac:dyDescent="0.2">
      <c r="A183" s="484"/>
      <c r="B183" s="484"/>
      <c r="E183" s="347"/>
      <c r="F183" s="347"/>
      <c r="I183" s="1076"/>
      <c r="J183" s="411"/>
      <c r="K183" s="411"/>
      <c r="L183" s="1078" t="str">
        <f t="shared" si="169"/>
        <v/>
      </c>
      <c r="M183" s="381"/>
      <c r="N183" s="381"/>
      <c r="O183" s="381"/>
      <c r="P183" s="381"/>
      <c r="Q183" s="381">
        <v>42736</v>
      </c>
      <c r="R183" s="381"/>
      <c r="S183" s="347"/>
      <c r="V183" s="347"/>
      <c r="W183" s="347"/>
      <c r="Y183" s="761"/>
      <c r="AA183" s="770"/>
      <c r="AG183" s="770"/>
      <c r="AH183" s="770"/>
      <c r="AI183" s="770"/>
      <c r="AJ183" s="770"/>
      <c r="AK183" s="770"/>
      <c r="AL183" s="770"/>
      <c r="AN183" s="770"/>
      <c r="AP183" s="1074"/>
      <c r="AQ183" s="782"/>
      <c r="AT183" s="790"/>
      <c r="AV183" s="790"/>
      <c r="AW183" s="412"/>
      <c r="AX183" s="381">
        <v>42369</v>
      </c>
      <c r="AY183" s="955">
        <f t="shared" si="175"/>
        <v>0</v>
      </c>
      <c r="AZ183" s="955">
        <f t="shared" si="172"/>
        <v>0</v>
      </c>
      <c r="BA183" s="955" t="e">
        <f t="shared" si="176"/>
        <v>#NUM!</v>
      </c>
      <c r="BB183" s="1105"/>
      <c r="BC183" s="1103"/>
      <c r="BD183" s="1076"/>
      <c r="BE183" s="1104" t="str">
        <f t="shared" si="174"/>
        <v>DIPC</v>
      </c>
      <c r="BF183" s="460"/>
      <c r="BG183" s="349"/>
      <c r="BH183" s="465"/>
      <c r="BI183" s="349"/>
      <c r="BJ183" s="572"/>
      <c r="BS183" s="387"/>
      <c r="BT183" s="387"/>
    </row>
    <row r="184" spans="1:72" x14ac:dyDescent="0.2">
      <c r="A184" s="484"/>
      <c r="B184" s="484"/>
      <c r="E184" s="347"/>
      <c r="F184" s="347"/>
      <c r="I184" s="1076"/>
      <c r="J184" s="411"/>
      <c r="K184" s="411"/>
      <c r="L184" s="1078" t="str">
        <f t="shared" si="169"/>
        <v/>
      </c>
      <c r="M184" s="381"/>
      <c r="N184" s="381"/>
      <c r="O184" s="381"/>
      <c r="P184" s="381"/>
      <c r="Q184" s="381">
        <v>42736</v>
      </c>
      <c r="R184" s="381"/>
      <c r="S184" s="347"/>
      <c r="V184" s="347"/>
      <c r="W184" s="347"/>
      <c r="Y184" s="761"/>
      <c r="AA184" s="770"/>
      <c r="AG184" s="770"/>
      <c r="AH184" s="770"/>
      <c r="AI184" s="770"/>
      <c r="AJ184" s="770"/>
      <c r="AK184" s="770"/>
      <c r="AL184" s="770"/>
      <c r="AN184" s="770"/>
      <c r="AP184" s="1074"/>
      <c r="AQ184" s="782"/>
      <c r="AT184" s="790"/>
      <c r="AV184" s="790"/>
      <c r="AW184" s="412"/>
      <c r="AX184" s="381">
        <v>42369</v>
      </c>
      <c r="AY184" s="955">
        <f t="shared" si="175"/>
        <v>0</v>
      </c>
      <c r="AZ184" s="955">
        <f t="shared" si="172"/>
        <v>0</v>
      </c>
      <c r="BA184" s="955" t="e">
        <f t="shared" si="176"/>
        <v>#NUM!</v>
      </c>
      <c r="BB184" s="1105"/>
      <c r="BC184" s="1103"/>
      <c r="BD184" s="1076"/>
      <c r="BE184" s="1104" t="str">
        <f t="shared" si="174"/>
        <v>DIPC</v>
      </c>
      <c r="BF184" s="460"/>
      <c r="BG184" s="349"/>
      <c r="BH184" s="465"/>
      <c r="BI184" s="349"/>
      <c r="BJ184" s="572"/>
      <c r="BK184" s="388"/>
      <c r="BL184" s="388"/>
      <c r="BM184" s="388"/>
      <c r="BN184" s="388"/>
      <c r="BO184" s="388"/>
      <c r="BP184" s="388"/>
      <c r="BQ184" s="388"/>
      <c r="BR184" s="388"/>
    </row>
    <row r="185" spans="1:72" x14ac:dyDescent="0.2">
      <c r="A185" s="484"/>
      <c r="B185" s="484"/>
      <c r="E185" s="347"/>
      <c r="F185" s="347"/>
      <c r="I185" s="1076"/>
      <c r="J185" s="411"/>
      <c r="K185" s="411"/>
      <c r="L185" s="1078" t="str">
        <f t="shared" si="169"/>
        <v/>
      </c>
      <c r="M185" s="381"/>
      <c r="N185" s="381"/>
      <c r="O185" s="381"/>
      <c r="P185" s="381"/>
      <c r="Q185" s="381">
        <v>42736</v>
      </c>
      <c r="R185" s="381"/>
      <c r="S185" s="347"/>
      <c r="V185" s="347"/>
      <c r="W185" s="347"/>
      <c r="Y185" s="761"/>
      <c r="AA185" s="770"/>
      <c r="AG185" s="770"/>
      <c r="AH185" s="770"/>
      <c r="AI185" s="770"/>
      <c r="AJ185" s="770"/>
      <c r="AK185" s="770"/>
      <c r="AL185" s="770"/>
      <c r="AN185" s="770"/>
      <c r="AP185" s="1074"/>
      <c r="AQ185" s="782"/>
      <c r="AT185" s="790"/>
      <c r="AV185" s="790"/>
      <c r="AW185" s="412"/>
      <c r="AX185" s="381">
        <v>42369</v>
      </c>
      <c r="AY185" s="955">
        <f t="shared" si="175"/>
        <v>0</v>
      </c>
      <c r="AZ185" s="955">
        <f t="shared" si="172"/>
        <v>0</v>
      </c>
      <c r="BA185" s="955" t="e">
        <f t="shared" si="176"/>
        <v>#NUM!</v>
      </c>
      <c r="BB185" s="1105"/>
      <c r="BC185" s="1103"/>
      <c r="BD185" s="1076"/>
      <c r="BE185" s="1104" t="str">
        <f t="shared" si="174"/>
        <v>DIPC</v>
      </c>
      <c r="BF185" s="460"/>
      <c r="BG185" s="349"/>
      <c r="BH185" s="465"/>
      <c r="BI185" s="349"/>
      <c r="BJ185" s="572"/>
    </row>
    <row r="186" spans="1:72" s="401" customFormat="1" ht="12.75" customHeight="1" x14ac:dyDescent="0.2">
      <c r="A186" s="484"/>
      <c r="B186" s="484"/>
      <c r="C186" s="379"/>
      <c r="D186" s="347"/>
      <c r="E186" s="347"/>
      <c r="F186" s="347"/>
      <c r="G186" s="347"/>
      <c r="H186" s="347"/>
      <c r="I186" s="347"/>
      <c r="J186" s="411"/>
      <c r="K186" s="411"/>
      <c r="L186" s="411" t="str">
        <f t="shared" si="169"/>
        <v/>
      </c>
      <c r="M186" s="411"/>
      <c r="N186" s="411"/>
      <c r="O186" s="411"/>
      <c r="P186" s="411"/>
      <c r="Q186" s="381">
        <v>42736</v>
      </c>
      <c r="R186" s="381"/>
      <c r="S186" s="347"/>
      <c r="T186" s="347"/>
      <c r="U186" s="383"/>
      <c r="V186" s="347"/>
      <c r="W186" s="347"/>
      <c r="X186" s="385"/>
      <c r="Y186" s="763"/>
      <c r="Z186" s="347"/>
      <c r="AA186" s="770"/>
      <c r="AB186" s="770"/>
      <c r="AC186" s="770"/>
      <c r="AD186" s="770"/>
      <c r="AE186" s="770"/>
      <c r="AF186" s="770"/>
      <c r="AG186" s="770"/>
      <c r="AH186" s="770"/>
      <c r="AI186" s="770"/>
      <c r="AJ186" s="770"/>
      <c r="AK186" s="770"/>
      <c r="AL186" s="770"/>
      <c r="AM186" s="770"/>
      <c r="AN186" s="770"/>
      <c r="AO186" s="761"/>
      <c r="AP186" s="1074"/>
      <c r="AQ186" s="782"/>
      <c r="AR186" s="782"/>
      <c r="AS186" s="770"/>
      <c r="AT186" s="791"/>
      <c r="AU186" s="791"/>
      <c r="AV186" s="790"/>
      <c r="AW186" s="412"/>
      <c r="AX186" s="717"/>
      <c r="AY186" s="955">
        <f t="shared" si="175"/>
        <v>0</v>
      </c>
      <c r="AZ186" s="955">
        <f t="shared" si="172"/>
        <v>0</v>
      </c>
      <c r="BA186" s="955" t="e">
        <f t="shared" si="176"/>
        <v>#NUM!</v>
      </c>
      <c r="BB186" s="383"/>
      <c r="BC186" s="347"/>
      <c r="BD186" s="347"/>
      <c r="BE186" s="1111" t="str">
        <f t="shared" si="174"/>
        <v>DIPC</v>
      </c>
      <c r="BF186" s="349"/>
      <c r="BG186" s="349"/>
      <c r="BH186" s="382"/>
      <c r="BI186" s="390"/>
      <c r="BJ186" s="407"/>
      <c r="BK186" s="396"/>
      <c r="BL186" s="396"/>
      <c r="BM186" s="396"/>
      <c r="BN186" s="396"/>
      <c r="BO186" s="396"/>
      <c r="BP186" s="396"/>
      <c r="BQ186" s="396"/>
      <c r="BR186" s="396"/>
      <c r="BS186" s="374"/>
      <c r="BT186" s="374"/>
    </row>
    <row r="187" spans="1:72" s="387" customFormat="1" ht="13.15" customHeight="1" x14ac:dyDescent="0.2">
      <c r="A187" s="836"/>
      <c r="B187" s="836"/>
      <c r="C187" s="379"/>
      <c r="D187" s="347"/>
      <c r="E187" s="347"/>
      <c r="F187" s="347"/>
      <c r="G187" s="347"/>
      <c r="H187" s="347"/>
      <c r="I187" s="347"/>
      <c r="J187" s="411"/>
      <c r="K187" s="411"/>
      <c r="L187" s="411" t="str">
        <f t="shared" si="169"/>
        <v/>
      </c>
      <c r="M187" s="411"/>
      <c r="N187" s="411"/>
      <c r="O187" s="411"/>
      <c r="P187" s="411"/>
      <c r="Q187" s="381">
        <v>42736</v>
      </c>
      <c r="R187" s="381"/>
      <c r="S187" s="347"/>
      <c r="T187" s="347"/>
      <c r="U187" s="383"/>
      <c r="V187" s="347"/>
      <c r="W187" s="347"/>
      <c r="X187" s="385"/>
      <c r="Y187" s="763"/>
      <c r="Z187" s="347"/>
      <c r="AA187" s="770"/>
      <c r="AB187" s="770"/>
      <c r="AC187" s="770"/>
      <c r="AD187" s="770"/>
      <c r="AE187" s="770"/>
      <c r="AF187" s="770"/>
      <c r="AG187" s="770"/>
      <c r="AH187" s="770"/>
      <c r="AI187" s="770"/>
      <c r="AJ187" s="770"/>
      <c r="AK187" s="770"/>
      <c r="AL187" s="770"/>
      <c r="AM187" s="770"/>
      <c r="AN187" s="770"/>
      <c r="AO187" s="761"/>
      <c r="AP187" s="1074"/>
      <c r="AQ187" s="782"/>
      <c r="AR187" s="782"/>
      <c r="AS187" s="770"/>
      <c r="AT187" s="791"/>
      <c r="AU187" s="791"/>
      <c r="AV187" s="790"/>
      <c r="AW187" s="412"/>
      <c r="AX187" s="717"/>
      <c r="AY187" s="955">
        <f t="shared" si="175"/>
        <v>0</v>
      </c>
      <c r="AZ187" s="955">
        <f t="shared" si="172"/>
        <v>0</v>
      </c>
      <c r="BA187" s="955" t="e">
        <f t="shared" si="176"/>
        <v>#NUM!</v>
      </c>
      <c r="BB187" s="383"/>
      <c r="BC187" s="347"/>
      <c r="BD187" s="347"/>
      <c r="BE187" s="1111" t="str">
        <f t="shared" si="174"/>
        <v>DIPC</v>
      </c>
      <c r="BF187" s="349"/>
      <c r="BG187" s="349"/>
      <c r="BH187" s="382"/>
      <c r="BI187" s="390"/>
      <c r="BJ187" s="407"/>
      <c r="BK187" s="396"/>
      <c r="BL187" s="396"/>
      <c r="BM187" s="396"/>
      <c r="BN187" s="396"/>
      <c r="BO187" s="396"/>
      <c r="BP187" s="396"/>
      <c r="BQ187" s="396"/>
      <c r="BR187" s="396"/>
      <c r="BS187" s="374"/>
      <c r="BT187" s="374"/>
    </row>
    <row r="188" spans="1:72" s="387" customFormat="1" ht="12.75" customHeight="1" x14ac:dyDescent="0.2">
      <c r="A188" s="484"/>
      <c r="B188" s="836"/>
      <c r="C188" s="379"/>
      <c r="D188" s="347"/>
      <c r="E188" s="347"/>
      <c r="F188" s="347"/>
      <c r="G188" s="347"/>
      <c r="H188" s="347"/>
      <c r="I188" s="347"/>
      <c r="J188" s="411"/>
      <c r="K188" s="411"/>
      <c r="L188" s="411" t="str">
        <f t="shared" si="169"/>
        <v/>
      </c>
      <c r="M188" s="411"/>
      <c r="N188" s="411"/>
      <c r="O188" s="411"/>
      <c r="P188" s="411"/>
      <c r="Q188" s="381">
        <v>42736</v>
      </c>
      <c r="R188" s="381"/>
      <c r="S188" s="347"/>
      <c r="T188" s="347"/>
      <c r="U188" s="383"/>
      <c r="V188" s="347"/>
      <c r="W188" s="347"/>
      <c r="X188" s="385"/>
      <c r="Y188" s="763"/>
      <c r="Z188" s="347"/>
      <c r="AA188" s="770"/>
      <c r="AB188" s="770"/>
      <c r="AC188" s="770"/>
      <c r="AD188" s="770"/>
      <c r="AE188" s="770"/>
      <c r="AF188" s="770"/>
      <c r="AG188" s="770"/>
      <c r="AH188" s="770"/>
      <c r="AI188" s="770"/>
      <c r="AJ188" s="770"/>
      <c r="AK188" s="770"/>
      <c r="AL188" s="770"/>
      <c r="AM188" s="770"/>
      <c r="AN188" s="770"/>
      <c r="AO188" s="761"/>
      <c r="AP188" s="1074"/>
      <c r="AQ188" s="782"/>
      <c r="AR188" s="782"/>
      <c r="AS188" s="770"/>
      <c r="AT188" s="791"/>
      <c r="AU188" s="791"/>
      <c r="AV188" s="790"/>
      <c r="AW188" s="412"/>
      <c r="AX188" s="717"/>
      <c r="AY188" s="955">
        <f t="shared" si="175"/>
        <v>0</v>
      </c>
      <c r="AZ188" s="955">
        <f t="shared" ref="AZ188:AZ194" si="177">AR188</f>
        <v>0</v>
      </c>
      <c r="BA188" s="955" t="e">
        <f t="shared" si="176"/>
        <v>#NUM!</v>
      </c>
      <c r="BB188" s="383"/>
      <c r="BC188" s="347"/>
      <c r="BD188" s="347"/>
      <c r="BE188" s="1111" t="str">
        <f t="shared" si="174"/>
        <v>DIPC</v>
      </c>
      <c r="BF188" s="349"/>
      <c r="BG188" s="349"/>
      <c r="BH188" s="382"/>
      <c r="BI188" s="390"/>
      <c r="BJ188" s="407"/>
      <c r="BK188" s="396"/>
      <c r="BL188" s="396"/>
      <c r="BM188" s="396"/>
      <c r="BN188" s="396"/>
      <c r="BO188" s="396"/>
      <c r="BP188" s="396"/>
      <c r="BQ188" s="396"/>
      <c r="BR188" s="396"/>
      <c r="BS188" s="374"/>
      <c r="BT188" s="374"/>
    </row>
    <row r="189" spans="1:72" s="387" customFormat="1" ht="12.75" customHeight="1" x14ac:dyDescent="0.2">
      <c r="A189" s="484"/>
      <c r="B189" s="484"/>
      <c r="C189" s="379"/>
      <c r="D189" s="347"/>
      <c r="E189" s="347"/>
      <c r="F189" s="347"/>
      <c r="G189" s="347"/>
      <c r="H189" s="347"/>
      <c r="I189" s="347"/>
      <c r="J189" s="411"/>
      <c r="K189" s="411"/>
      <c r="L189" s="411" t="str">
        <f t="shared" si="169"/>
        <v/>
      </c>
      <c r="M189" s="411"/>
      <c r="N189" s="411"/>
      <c r="O189" s="411"/>
      <c r="P189" s="411"/>
      <c r="Q189" s="381">
        <v>42736</v>
      </c>
      <c r="R189" s="381"/>
      <c r="S189" s="347"/>
      <c r="T189" s="347"/>
      <c r="U189" s="383"/>
      <c r="V189" s="347"/>
      <c r="W189" s="347"/>
      <c r="X189" s="385"/>
      <c r="Y189" s="763"/>
      <c r="Z189" s="347"/>
      <c r="AA189" s="770"/>
      <c r="AB189" s="770"/>
      <c r="AC189" s="770"/>
      <c r="AD189" s="770"/>
      <c r="AE189" s="770"/>
      <c r="AF189" s="770"/>
      <c r="AG189" s="770"/>
      <c r="AH189" s="770"/>
      <c r="AI189" s="770"/>
      <c r="AJ189" s="770"/>
      <c r="AK189" s="770"/>
      <c r="AL189" s="770"/>
      <c r="AM189" s="770"/>
      <c r="AN189" s="770"/>
      <c r="AO189" s="761"/>
      <c r="AP189" s="1074"/>
      <c r="AQ189" s="782"/>
      <c r="AR189" s="782"/>
      <c r="AS189" s="770"/>
      <c r="AT189" s="791"/>
      <c r="AU189" s="791"/>
      <c r="AV189" s="790"/>
      <c r="AW189" s="412"/>
      <c r="AX189" s="717"/>
      <c r="AY189" s="955">
        <f t="shared" si="175"/>
        <v>0</v>
      </c>
      <c r="AZ189" s="955">
        <f t="shared" si="177"/>
        <v>0</v>
      </c>
      <c r="BA189" s="955" t="e">
        <f t="shared" si="176"/>
        <v>#NUM!</v>
      </c>
      <c r="BB189" s="383"/>
      <c r="BC189" s="347"/>
      <c r="BD189" s="347"/>
      <c r="BE189" s="1111" t="str">
        <f t="shared" si="174"/>
        <v>DIPC</v>
      </c>
      <c r="BF189" s="349"/>
      <c r="BG189" s="349"/>
      <c r="BH189" s="382"/>
      <c r="BI189" s="390"/>
      <c r="BJ189" s="407"/>
      <c r="BK189" s="396"/>
      <c r="BL189" s="396"/>
      <c r="BM189" s="396"/>
      <c r="BN189" s="396"/>
      <c r="BO189" s="396"/>
      <c r="BP189" s="396"/>
      <c r="BQ189" s="396"/>
      <c r="BR189" s="396"/>
      <c r="BS189" s="374"/>
      <c r="BT189" s="374"/>
    </row>
    <row r="190" spans="1:72" s="387" customFormat="1" ht="12.75" customHeight="1" x14ac:dyDescent="0.2">
      <c r="A190" s="484"/>
      <c r="B190" s="484"/>
      <c r="C190" s="379"/>
      <c r="D190" s="347"/>
      <c r="E190" s="347"/>
      <c r="F190" s="347"/>
      <c r="G190" s="347"/>
      <c r="H190" s="347"/>
      <c r="I190" s="347"/>
      <c r="J190" s="411"/>
      <c r="K190" s="411"/>
      <c r="L190" s="411" t="str">
        <f t="shared" si="169"/>
        <v/>
      </c>
      <c r="M190" s="411"/>
      <c r="N190" s="411"/>
      <c r="O190" s="411"/>
      <c r="P190" s="411"/>
      <c r="Q190" s="381">
        <v>42736</v>
      </c>
      <c r="R190" s="381"/>
      <c r="S190" s="347"/>
      <c r="T190" s="347"/>
      <c r="U190" s="383"/>
      <c r="V190" s="347"/>
      <c r="W190" s="347"/>
      <c r="X190" s="385"/>
      <c r="Y190" s="763"/>
      <c r="Z190" s="347"/>
      <c r="AA190" s="770"/>
      <c r="AB190" s="770"/>
      <c r="AC190" s="770"/>
      <c r="AD190" s="770"/>
      <c r="AE190" s="770"/>
      <c r="AF190" s="770"/>
      <c r="AG190" s="770"/>
      <c r="AH190" s="770"/>
      <c r="AI190" s="770"/>
      <c r="AJ190" s="770"/>
      <c r="AK190" s="770"/>
      <c r="AL190" s="770"/>
      <c r="AM190" s="770"/>
      <c r="AN190" s="770"/>
      <c r="AO190" s="761"/>
      <c r="AP190" s="1074"/>
      <c r="AQ190" s="782"/>
      <c r="AR190" s="782"/>
      <c r="AS190" s="770"/>
      <c r="AT190" s="791"/>
      <c r="AU190" s="791"/>
      <c r="AV190" s="790"/>
      <c r="AW190" s="412"/>
      <c r="AX190" s="717"/>
      <c r="AY190" s="955">
        <f t="shared" si="175"/>
        <v>0</v>
      </c>
      <c r="AZ190" s="955">
        <f t="shared" si="177"/>
        <v>0</v>
      </c>
      <c r="BA190" s="955" t="e">
        <f t="shared" si="176"/>
        <v>#NUM!</v>
      </c>
      <c r="BB190" s="383"/>
      <c r="BC190" s="347"/>
      <c r="BD190" s="347"/>
      <c r="BE190" s="1111" t="str">
        <f t="shared" si="174"/>
        <v>DIPC</v>
      </c>
      <c r="BF190" s="349"/>
      <c r="BG190" s="349"/>
      <c r="BH190" s="349"/>
      <c r="BI190" s="390"/>
      <c r="BJ190" s="407"/>
      <c r="BK190" s="396"/>
      <c r="BL190" s="396"/>
      <c r="BM190" s="396"/>
      <c r="BN190" s="396"/>
      <c r="BO190" s="396"/>
      <c r="BP190" s="396"/>
      <c r="BQ190" s="396"/>
      <c r="BR190" s="396"/>
      <c r="BS190" s="374"/>
      <c r="BT190" s="374"/>
    </row>
    <row r="191" spans="1:72" x14ac:dyDescent="0.2">
      <c r="A191" s="484"/>
      <c r="B191" s="484"/>
      <c r="E191" s="347"/>
      <c r="F191" s="347"/>
      <c r="I191" s="347"/>
      <c r="J191" s="411"/>
      <c r="K191" s="411"/>
      <c r="L191" s="411" t="str">
        <f t="shared" si="169"/>
        <v/>
      </c>
      <c r="M191" s="411"/>
      <c r="N191" s="411"/>
      <c r="O191" s="411"/>
      <c r="P191" s="411"/>
      <c r="Q191" s="381">
        <v>42736</v>
      </c>
      <c r="R191" s="381"/>
      <c r="S191" s="347"/>
      <c r="V191" s="347"/>
      <c r="W191" s="347"/>
      <c r="AA191" s="770"/>
      <c r="AG191" s="770"/>
      <c r="AH191" s="770"/>
      <c r="AI191" s="770"/>
      <c r="AJ191" s="770"/>
      <c r="AK191" s="770"/>
      <c r="AL191" s="770"/>
      <c r="AN191" s="770"/>
      <c r="AP191" s="1074"/>
      <c r="AQ191" s="782"/>
      <c r="AV191" s="790"/>
      <c r="AW191" s="412"/>
      <c r="AX191" s="717"/>
      <c r="AY191" s="955">
        <f t="shared" si="175"/>
        <v>0</v>
      </c>
      <c r="AZ191" s="955">
        <f t="shared" si="177"/>
        <v>0</v>
      </c>
      <c r="BA191" s="955" t="e">
        <f t="shared" si="176"/>
        <v>#NUM!</v>
      </c>
      <c r="BB191" s="383"/>
      <c r="BC191" s="347"/>
      <c r="BD191" s="347"/>
      <c r="BE191" s="1111" t="str">
        <f t="shared" si="174"/>
        <v>DIPC</v>
      </c>
      <c r="BF191" s="349"/>
      <c r="BG191" s="349"/>
      <c r="BH191" s="349"/>
      <c r="BI191" s="390"/>
      <c r="BJ191" s="356"/>
      <c r="BK191" s="396"/>
      <c r="BL191" s="396"/>
      <c r="BM191" s="396"/>
      <c r="BN191" s="396"/>
      <c r="BO191" s="396"/>
      <c r="BP191" s="396"/>
      <c r="BQ191" s="396"/>
      <c r="BR191" s="396"/>
    </row>
    <row r="192" spans="1:72" x14ac:dyDescent="0.2">
      <c r="A192" s="484"/>
      <c r="B192" s="484"/>
      <c r="E192" s="347"/>
      <c r="F192" s="347"/>
      <c r="I192" s="347"/>
      <c r="J192" s="411"/>
      <c r="K192" s="411"/>
      <c r="L192" s="411" t="str">
        <f t="shared" si="169"/>
        <v/>
      </c>
      <c r="M192" s="411"/>
      <c r="N192" s="411"/>
      <c r="O192" s="411"/>
      <c r="P192" s="411"/>
      <c r="Q192" s="381">
        <v>42736</v>
      </c>
      <c r="R192" s="381"/>
      <c r="S192" s="347"/>
      <c r="V192" s="347"/>
      <c r="W192" s="347"/>
      <c r="AA192" s="770"/>
      <c r="AG192" s="770"/>
      <c r="AH192" s="770"/>
      <c r="AI192" s="770"/>
      <c r="AJ192" s="770"/>
      <c r="AK192" s="770"/>
      <c r="AL192" s="770"/>
      <c r="AN192" s="770"/>
      <c r="AP192" s="1074"/>
      <c r="AQ192" s="782"/>
      <c r="AV192" s="790"/>
      <c r="AW192" s="412"/>
      <c r="AX192" s="717"/>
      <c r="AY192" s="955">
        <f t="shared" si="175"/>
        <v>0</v>
      </c>
      <c r="AZ192" s="955">
        <f t="shared" si="177"/>
        <v>0</v>
      </c>
      <c r="BA192" s="955" t="e">
        <f t="shared" si="176"/>
        <v>#NUM!</v>
      </c>
      <c r="BB192" s="383"/>
      <c r="BC192" s="347"/>
      <c r="BD192" s="347"/>
      <c r="BE192" s="1111" t="str">
        <f t="shared" si="174"/>
        <v>DIPC</v>
      </c>
      <c r="BF192" s="349"/>
      <c r="BG192" s="349"/>
      <c r="BH192" s="349"/>
      <c r="BI192" s="390"/>
      <c r="BJ192" s="356"/>
    </row>
    <row r="193" spans="1:72" x14ac:dyDescent="0.2">
      <c r="A193" s="484"/>
      <c r="B193" s="484"/>
      <c r="E193" s="347"/>
      <c r="F193" s="347"/>
      <c r="I193" s="347"/>
      <c r="J193" s="411"/>
      <c r="K193" s="411"/>
      <c r="L193" s="411" t="str">
        <f t="shared" si="169"/>
        <v/>
      </c>
      <c r="M193" s="411"/>
      <c r="N193" s="411"/>
      <c r="O193" s="411"/>
      <c r="P193" s="411"/>
      <c r="Q193" s="381">
        <v>42736</v>
      </c>
      <c r="R193" s="381"/>
      <c r="S193" s="347"/>
      <c r="V193" s="347"/>
      <c r="W193" s="347"/>
      <c r="AA193" s="770"/>
      <c r="AG193" s="770"/>
      <c r="AH193" s="770"/>
      <c r="AI193" s="770"/>
      <c r="AJ193" s="770"/>
      <c r="AK193" s="770"/>
      <c r="AL193" s="770"/>
      <c r="AN193" s="770"/>
      <c r="AP193" s="1074"/>
      <c r="AQ193" s="782"/>
      <c r="AV193" s="790"/>
      <c r="AW193" s="412"/>
      <c r="AX193" s="717"/>
      <c r="AY193" s="955">
        <f t="shared" si="175"/>
        <v>0</v>
      </c>
      <c r="AZ193" s="955">
        <f t="shared" si="177"/>
        <v>0</v>
      </c>
      <c r="BA193" s="955" t="e">
        <f t="shared" si="176"/>
        <v>#NUM!</v>
      </c>
      <c r="BB193" s="383"/>
      <c r="BC193" s="347"/>
      <c r="BD193" s="347"/>
      <c r="BE193" s="1111" t="str">
        <f t="shared" si="174"/>
        <v>DIPC</v>
      </c>
      <c r="BF193" s="349"/>
      <c r="BG193" s="349"/>
      <c r="BH193" s="349"/>
      <c r="BI193" s="390"/>
      <c r="BJ193" s="356"/>
      <c r="BS193" s="387"/>
      <c r="BT193" s="387"/>
    </row>
    <row r="194" spans="1:72" x14ac:dyDescent="0.2">
      <c r="A194" s="484"/>
      <c r="B194" s="484"/>
      <c r="E194" s="347"/>
      <c r="F194" s="347"/>
      <c r="I194" s="347"/>
      <c r="J194" s="411"/>
      <c r="K194" s="411"/>
      <c r="L194" s="411" t="str">
        <f t="shared" si="169"/>
        <v/>
      </c>
      <c r="M194" s="411"/>
      <c r="N194" s="411"/>
      <c r="O194" s="411"/>
      <c r="P194" s="411"/>
      <c r="Q194" s="381">
        <v>42736</v>
      </c>
      <c r="R194" s="381"/>
      <c r="S194" s="347"/>
      <c r="V194" s="347"/>
      <c r="W194" s="347"/>
      <c r="AA194" s="770"/>
      <c r="AG194" s="770"/>
      <c r="AH194" s="770"/>
      <c r="AI194" s="770"/>
      <c r="AJ194" s="770"/>
      <c r="AK194" s="770"/>
      <c r="AL194" s="770"/>
      <c r="AN194" s="770"/>
      <c r="AP194" s="1074"/>
      <c r="AQ194" s="782"/>
      <c r="AV194" s="790"/>
      <c r="AW194" s="412"/>
      <c r="AX194" s="717"/>
      <c r="AY194" s="955">
        <f t="shared" si="175"/>
        <v>0</v>
      </c>
      <c r="AZ194" s="955">
        <f t="shared" si="177"/>
        <v>0</v>
      </c>
      <c r="BA194" s="955" t="e">
        <f t="shared" si="176"/>
        <v>#NUM!</v>
      </c>
      <c r="BB194" s="383"/>
      <c r="BC194" s="347"/>
      <c r="BD194" s="347"/>
      <c r="BE194" s="1111" t="str">
        <f t="shared" si="174"/>
        <v>DIPC</v>
      </c>
      <c r="BF194" s="349"/>
      <c r="BG194" s="349"/>
      <c r="BH194" s="349"/>
      <c r="BI194" s="390"/>
      <c r="BJ194" s="349"/>
      <c r="BK194" s="396"/>
      <c r="BL194" s="396"/>
      <c r="BM194" s="396"/>
      <c r="BN194" s="396"/>
      <c r="BO194" s="396"/>
      <c r="BP194" s="396"/>
      <c r="BQ194" s="396"/>
      <c r="BR194" s="396"/>
      <c r="BS194" s="396"/>
      <c r="BT194" s="396"/>
    </row>
    <row r="195" spans="1:72" x14ac:dyDescent="0.2">
      <c r="AQ195" s="782"/>
    </row>
    <row r="196" spans="1:72" x14ac:dyDescent="0.2">
      <c r="A196" s="484"/>
      <c r="B196" s="484"/>
      <c r="AQ196" s="782"/>
      <c r="BA196" s="914"/>
    </row>
    <row r="197" spans="1:72" x14ac:dyDescent="0.2">
      <c r="A197" s="484"/>
      <c r="B197" s="484"/>
      <c r="AQ197" s="782"/>
      <c r="BA197" s="914"/>
    </row>
    <row r="198" spans="1:72" x14ac:dyDescent="0.2">
      <c r="A198" s="484"/>
      <c r="B198" s="484"/>
      <c r="AQ198" s="782"/>
      <c r="BA198" s="914"/>
    </row>
    <row r="199" spans="1:72" x14ac:dyDescent="0.2">
      <c r="A199" s="484"/>
      <c r="B199" s="484"/>
      <c r="AQ199" s="782"/>
      <c r="BA199" s="914"/>
    </row>
    <row r="200" spans="1:72" x14ac:dyDescent="0.2">
      <c r="A200" s="484"/>
      <c r="B200" s="484"/>
      <c r="AQ200" s="782"/>
      <c r="BA200" s="914"/>
    </row>
    <row r="201" spans="1:72" x14ac:dyDescent="0.2">
      <c r="AQ201" s="782"/>
      <c r="BA201" s="914"/>
    </row>
    <row r="202" spans="1:72" x14ac:dyDescent="0.2">
      <c r="AQ202" s="782"/>
      <c r="BA202" s="914"/>
    </row>
    <row r="203" spans="1:72" x14ac:dyDescent="0.2">
      <c r="AQ203" s="782"/>
      <c r="BA203" s="914"/>
    </row>
    <row r="204" spans="1:72" x14ac:dyDescent="0.2">
      <c r="AQ204" s="782"/>
      <c r="BA204" s="914"/>
    </row>
    <row r="205" spans="1:72" x14ac:dyDescent="0.2">
      <c r="AQ205" s="782"/>
      <c r="BA205" s="914"/>
    </row>
    <row r="206" spans="1:72" x14ac:dyDescent="0.2">
      <c r="AQ206" s="782"/>
      <c r="BA206" s="914"/>
    </row>
    <row r="207" spans="1:72" x14ac:dyDescent="0.2">
      <c r="AQ207" s="782"/>
      <c r="BA207" s="914"/>
    </row>
    <row r="208" spans="1:72" x14ac:dyDescent="0.2">
      <c r="AQ208" s="782"/>
      <c r="BA208" s="914"/>
    </row>
    <row r="209" spans="43:53" x14ac:dyDescent="0.2">
      <c r="AQ209" s="782"/>
      <c r="BA209" s="914"/>
    </row>
    <row r="210" spans="43:53" x14ac:dyDescent="0.2">
      <c r="AQ210" s="782"/>
      <c r="BA210" s="914"/>
    </row>
    <row r="211" spans="43:53" x14ac:dyDescent="0.2">
      <c r="AQ211" s="782"/>
      <c r="BA211" s="914"/>
    </row>
    <row r="212" spans="43:53" x14ac:dyDescent="0.2">
      <c r="AQ212" s="782"/>
    </row>
    <row r="213" spans="43:53" x14ac:dyDescent="0.2">
      <c r="AQ213" s="782"/>
    </row>
    <row r="214" spans="43:53" x14ac:dyDescent="0.2">
      <c r="AQ214" s="782"/>
    </row>
    <row r="215" spans="43:53" x14ac:dyDescent="0.2">
      <c r="AQ215" s="782"/>
    </row>
    <row r="216" spans="43:53" x14ac:dyDescent="0.2">
      <c r="AQ216" s="782"/>
    </row>
    <row r="217" spans="43:53" x14ac:dyDescent="0.2">
      <c r="AQ217" s="782"/>
    </row>
    <row r="218" spans="43:53" x14ac:dyDescent="0.2">
      <c r="AQ218" s="782"/>
    </row>
    <row r="219" spans="43:53" x14ac:dyDescent="0.2">
      <c r="AQ219" s="782"/>
    </row>
    <row r="220" spans="43:53" x14ac:dyDescent="0.2">
      <c r="AQ220" s="782"/>
    </row>
    <row r="221" spans="43:53" x14ac:dyDescent="0.2">
      <c r="AQ221" s="782"/>
    </row>
    <row r="222" spans="43:53" x14ac:dyDescent="0.2">
      <c r="AQ222" s="782"/>
    </row>
    <row r="223" spans="43:53" x14ac:dyDescent="0.2">
      <c r="AQ223" s="782"/>
    </row>
    <row r="224" spans="43:53" x14ac:dyDescent="0.2">
      <c r="AQ224" s="782"/>
    </row>
    <row r="225" spans="43:43" x14ac:dyDescent="0.2">
      <c r="AQ225" s="782"/>
    </row>
    <row r="226" spans="43:43" x14ac:dyDescent="0.2">
      <c r="AQ226" s="782"/>
    </row>
    <row r="227" spans="43:43" x14ac:dyDescent="0.2">
      <c r="AQ227" s="782"/>
    </row>
    <row r="228" spans="43:43" x14ac:dyDescent="0.2">
      <c r="AQ228" s="782"/>
    </row>
    <row r="229" spans="43:43" x14ac:dyDescent="0.2">
      <c r="AQ229" s="782"/>
    </row>
    <row r="230" spans="43:43" x14ac:dyDescent="0.2">
      <c r="AQ230" s="782"/>
    </row>
    <row r="231" spans="43:43" x14ac:dyDescent="0.2">
      <c r="AQ231" s="782"/>
    </row>
    <row r="232" spans="43:43" x14ac:dyDescent="0.2">
      <c r="AQ232" s="782"/>
    </row>
    <row r="233" spans="43:43" x14ac:dyDescent="0.2">
      <c r="AQ233" s="782"/>
    </row>
    <row r="234" spans="43:43" x14ac:dyDescent="0.2">
      <c r="AQ234" s="782"/>
    </row>
    <row r="235" spans="43:43" x14ac:dyDescent="0.2">
      <c r="AQ235" s="782"/>
    </row>
    <row r="236" spans="43:43" x14ac:dyDescent="0.2">
      <c r="AQ236" s="782"/>
    </row>
    <row r="237" spans="43:43" x14ac:dyDescent="0.2">
      <c r="AQ237" s="782"/>
    </row>
    <row r="238" spans="43:43" x14ac:dyDescent="0.2">
      <c r="AQ238" s="782"/>
    </row>
    <row r="239" spans="43:43" x14ac:dyDescent="0.2">
      <c r="AQ239" s="782"/>
    </row>
    <row r="240" spans="43:43" x14ac:dyDescent="0.2">
      <c r="AQ240" s="782"/>
    </row>
    <row r="241" spans="43:43" x14ac:dyDescent="0.2">
      <c r="AQ241" s="782"/>
    </row>
    <row r="242" spans="43:43" x14ac:dyDescent="0.2">
      <c r="AQ242" s="782"/>
    </row>
    <row r="243" spans="43:43" x14ac:dyDescent="0.2">
      <c r="AQ243" s="782"/>
    </row>
    <row r="244" spans="43:43" x14ac:dyDescent="0.2">
      <c r="AQ244" s="782"/>
    </row>
    <row r="245" spans="43:43" x14ac:dyDescent="0.2">
      <c r="AQ245" s="782"/>
    </row>
    <row r="246" spans="43:43" x14ac:dyDescent="0.2">
      <c r="AQ246" s="782"/>
    </row>
    <row r="247" spans="43:43" x14ac:dyDescent="0.2">
      <c r="AQ247" s="782"/>
    </row>
    <row r="248" spans="43:43" x14ac:dyDescent="0.2">
      <c r="AQ248" s="782"/>
    </row>
    <row r="249" spans="43:43" x14ac:dyDescent="0.2">
      <c r="AQ249" s="782"/>
    </row>
    <row r="250" spans="43:43" x14ac:dyDescent="0.2">
      <c r="AQ250" s="782"/>
    </row>
    <row r="251" spans="43:43" x14ac:dyDescent="0.2">
      <c r="AQ251" s="782"/>
    </row>
    <row r="252" spans="43:43" x14ac:dyDescent="0.2">
      <c r="AQ252" s="782"/>
    </row>
    <row r="253" spans="43:43" x14ac:dyDescent="0.2">
      <c r="AQ253" s="782"/>
    </row>
    <row r="254" spans="43:43" x14ac:dyDescent="0.2">
      <c r="AQ254" s="782"/>
    </row>
    <row r="255" spans="43:43" x14ac:dyDescent="0.2">
      <c r="AQ255" s="782"/>
    </row>
    <row r="256" spans="43:43" x14ac:dyDescent="0.2">
      <c r="AQ256" s="782"/>
    </row>
    <row r="257" spans="43:43" x14ac:dyDescent="0.2">
      <c r="AQ257" s="782"/>
    </row>
    <row r="258" spans="43:43" x14ac:dyDescent="0.2">
      <c r="AQ258" s="782"/>
    </row>
    <row r="259" spans="43:43" x14ac:dyDescent="0.2">
      <c r="AQ259" s="782"/>
    </row>
    <row r="260" spans="43:43" x14ac:dyDescent="0.2">
      <c r="AQ260" s="782"/>
    </row>
    <row r="261" spans="43:43" x14ac:dyDescent="0.2">
      <c r="AQ261" s="782"/>
    </row>
    <row r="262" spans="43:43" x14ac:dyDescent="0.2">
      <c r="AQ262" s="782"/>
    </row>
    <row r="263" spans="43:43" x14ac:dyDescent="0.2">
      <c r="AQ263" s="782"/>
    </row>
    <row r="264" spans="43:43" x14ac:dyDescent="0.2">
      <c r="AQ264" s="782"/>
    </row>
    <row r="265" spans="43:43" x14ac:dyDescent="0.2">
      <c r="AQ265" s="782"/>
    </row>
    <row r="266" spans="43:43" x14ac:dyDescent="0.2">
      <c r="AQ266" s="782"/>
    </row>
    <row r="267" spans="43:43" x14ac:dyDescent="0.2">
      <c r="AQ267" s="782"/>
    </row>
    <row r="268" spans="43:43" x14ac:dyDescent="0.2">
      <c r="AQ268" s="782"/>
    </row>
    <row r="269" spans="43:43" x14ac:dyDescent="0.2">
      <c r="AQ269" s="782"/>
    </row>
    <row r="270" spans="43:43" x14ac:dyDescent="0.2">
      <c r="AQ270" s="782"/>
    </row>
    <row r="271" spans="43:43" x14ac:dyDescent="0.2">
      <c r="AQ271" s="782"/>
    </row>
    <row r="272" spans="43:43" x14ac:dyDescent="0.2">
      <c r="AQ272" s="782"/>
    </row>
    <row r="273" spans="43:43" x14ac:dyDescent="0.2">
      <c r="AQ273" s="782"/>
    </row>
    <row r="274" spans="43:43" x14ac:dyDescent="0.2">
      <c r="AQ274" s="782"/>
    </row>
    <row r="275" spans="43:43" x14ac:dyDescent="0.2">
      <c r="AQ275" s="782"/>
    </row>
    <row r="276" spans="43:43" x14ac:dyDescent="0.2">
      <c r="AQ276" s="782"/>
    </row>
    <row r="277" spans="43:43" x14ac:dyDescent="0.2">
      <c r="AQ277" s="782"/>
    </row>
    <row r="278" spans="43:43" x14ac:dyDescent="0.2">
      <c r="AQ278" s="782"/>
    </row>
    <row r="279" spans="43:43" x14ac:dyDescent="0.2">
      <c r="AQ279" s="782"/>
    </row>
    <row r="280" spans="43:43" x14ac:dyDescent="0.2">
      <c r="AQ280" s="782"/>
    </row>
    <row r="281" spans="43:43" x14ac:dyDescent="0.2">
      <c r="AQ281" s="782"/>
    </row>
    <row r="282" spans="43:43" x14ac:dyDescent="0.2">
      <c r="AQ282" s="782"/>
    </row>
    <row r="283" spans="43:43" x14ac:dyDescent="0.2">
      <c r="AQ283" s="782"/>
    </row>
    <row r="284" spans="43:43" x14ac:dyDescent="0.2">
      <c r="AQ284" s="782"/>
    </row>
    <row r="285" spans="43:43" x14ac:dyDescent="0.2">
      <c r="AQ285" s="782"/>
    </row>
    <row r="286" spans="43:43" x14ac:dyDescent="0.2">
      <c r="AQ286" s="782"/>
    </row>
    <row r="287" spans="43:43" x14ac:dyDescent="0.2">
      <c r="AQ287" s="782"/>
    </row>
    <row r="288" spans="43:43" x14ac:dyDescent="0.2">
      <c r="AQ288" s="782"/>
    </row>
    <row r="289" spans="43:43" x14ac:dyDescent="0.2">
      <c r="AQ289" s="782"/>
    </row>
    <row r="290" spans="43:43" x14ac:dyDescent="0.2">
      <c r="AQ290" s="782"/>
    </row>
    <row r="291" spans="43:43" x14ac:dyDescent="0.2">
      <c r="AQ291" s="782"/>
    </row>
    <row r="292" spans="43:43" x14ac:dyDescent="0.2">
      <c r="AQ292" s="782"/>
    </row>
    <row r="293" spans="43:43" x14ac:dyDescent="0.2">
      <c r="AQ293" s="782"/>
    </row>
    <row r="294" spans="43:43" x14ac:dyDescent="0.2">
      <c r="AQ294" s="782"/>
    </row>
    <row r="295" spans="43:43" x14ac:dyDescent="0.2">
      <c r="AQ295" s="782"/>
    </row>
    <row r="296" spans="43:43" x14ac:dyDescent="0.2">
      <c r="AQ296" s="782"/>
    </row>
    <row r="297" spans="43:43" x14ac:dyDescent="0.2">
      <c r="AQ297" s="782"/>
    </row>
    <row r="298" spans="43:43" x14ac:dyDescent="0.2">
      <c r="AQ298" s="782"/>
    </row>
    <row r="299" spans="43:43" x14ac:dyDescent="0.2">
      <c r="AQ299" s="782"/>
    </row>
    <row r="300" spans="43:43" x14ac:dyDescent="0.2">
      <c r="AQ300" s="782"/>
    </row>
    <row r="301" spans="43:43" x14ac:dyDescent="0.2">
      <c r="AQ301" s="782"/>
    </row>
    <row r="302" spans="43:43" x14ac:dyDescent="0.2">
      <c r="AQ302" s="782"/>
    </row>
    <row r="303" spans="43:43" x14ac:dyDescent="0.2">
      <c r="AQ303" s="782"/>
    </row>
    <row r="304" spans="43:43" x14ac:dyDescent="0.2">
      <c r="AQ304" s="782"/>
    </row>
    <row r="305" spans="43:43" x14ac:dyDescent="0.2">
      <c r="AQ305" s="782"/>
    </row>
    <row r="306" spans="43:43" x14ac:dyDescent="0.2">
      <c r="AQ306" s="782"/>
    </row>
    <row r="307" spans="43:43" x14ac:dyDescent="0.2">
      <c r="AQ307" s="782"/>
    </row>
    <row r="308" spans="43:43" x14ac:dyDescent="0.2">
      <c r="AQ308" s="782"/>
    </row>
    <row r="309" spans="43:43" x14ac:dyDescent="0.2">
      <c r="AQ309" s="782"/>
    </row>
    <row r="310" spans="43:43" x14ac:dyDescent="0.2">
      <c r="AQ310" s="782"/>
    </row>
    <row r="311" spans="43:43" x14ac:dyDescent="0.2">
      <c r="AQ311" s="782"/>
    </row>
    <row r="312" spans="43:43" x14ac:dyDescent="0.2">
      <c r="AQ312" s="782"/>
    </row>
    <row r="313" spans="43:43" x14ac:dyDescent="0.2">
      <c r="AQ313" s="782"/>
    </row>
    <row r="314" spans="43:43" x14ac:dyDescent="0.2">
      <c r="AQ314" s="782"/>
    </row>
    <row r="315" spans="43:43" x14ac:dyDescent="0.2">
      <c r="AQ315" s="782"/>
    </row>
    <row r="316" spans="43:43" x14ac:dyDescent="0.2">
      <c r="AQ316" s="782"/>
    </row>
    <row r="317" spans="43:43" x14ac:dyDescent="0.2">
      <c r="AQ317" s="782"/>
    </row>
    <row r="318" spans="43:43" x14ac:dyDescent="0.2">
      <c r="AQ318" s="782"/>
    </row>
    <row r="319" spans="43:43" x14ac:dyDescent="0.2">
      <c r="AQ319" s="782"/>
    </row>
    <row r="320" spans="43:43" x14ac:dyDescent="0.2">
      <c r="AQ320" s="782"/>
    </row>
    <row r="321" spans="43:43" x14ac:dyDescent="0.2">
      <c r="AQ321" s="782"/>
    </row>
    <row r="322" spans="43:43" x14ac:dyDescent="0.2">
      <c r="AQ322" s="782"/>
    </row>
    <row r="323" spans="43:43" x14ac:dyDescent="0.2">
      <c r="AQ323" s="782"/>
    </row>
    <row r="324" spans="43:43" x14ac:dyDescent="0.2">
      <c r="AQ324" s="782"/>
    </row>
    <row r="325" spans="43:43" x14ac:dyDescent="0.2">
      <c r="AQ325" s="782"/>
    </row>
    <row r="326" spans="43:43" x14ac:dyDescent="0.2">
      <c r="AQ326" s="782"/>
    </row>
    <row r="327" spans="43:43" x14ac:dyDescent="0.2">
      <c r="AQ327" s="782"/>
    </row>
    <row r="328" spans="43:43" x14ac:dyDescent="0.2">
      <c r="AQ328" s="782"/>
    </row>
    <row r="329" spans="43:43" x14ac:dyDescent="0.2">
      <c r="AQ329" s="782"/>
    </row>
    <row r="330" spans="43:43" x14ac:dyDescent="0.2">
      <c r="AQ330" s="782"/>
    </row>
    <row r="331" spans="43:43" x14ac:dyDescent="0.2">
      <c r="AQ331" s="782"/>
    </row>
    <row r="332" spans="43:43" x14ac:dyDescent="0.2">
      <c r="AQ332" s="782"/>
    </row>
    <row r="333" spans="43:43" x14ac:dyDescent="0.2">
      <c r="AQ333" s="782"/>
    </row>
    <row r="334" spans="43:43" x14ac:dyDescent="0.2">
      <c r="AQ334" s="782"/>
    </row>
    <row r="335" spans="43:43" x14ac:dyDescent="0.2">
      <c r="AQ335" s="782"/>
    </row>
    <row r="336" spans="43:43" x14ac:dyDescent="0.2">
      <c r="AQ336" s="782"/>
    </row>
    <row r="337" spans="43:43" x14ac:dyDescent="0.2">
      <c r="AQ337" s="782"/>
    </row>
    <row r="338" spans="43:43" x14ac:dyDescent="0.2">
      <c r="AQ338" s="782"/>
    </row>
    <row r="339" spans="43:43" x14ac:dyDescent="0.2">
      <c r="AQ339" s="782"/>
    </row>
    <row r="340" spans="43:43" x14ac:dyDescent="0.2">
      <c r="AQ340" s="782"/>
    </row>
    <row r="341" spans="43:43" x14ac:dyDescent="0.2">
      <c r="AQ341" s="782"/>
    </row>
    <row r="342" spans="43:43" x14ac:dyDescent="0.2">
      <c r="AQ342" s="782"/>
    </row>
    <row r="343" spans="43:43" x14ac:dyDescent="0.2">
      <c r="AQ343" s="782"/>
    </row>
    <row r="344" spans="43:43" x14ac:dyDescent="0.2">
      <c r="AQ344" s="782"/>
    </row>
    <row r="345" spans="43:43" x14ac:dyDescent="0.2">
      <c r="AQ345" s="782"/>
    </row>
    <row r="346" spans="43:43" x14ac:dyDescent="0.2">
      <c r="AQ346" s="782"/>
    </row>
    <row r="347" spans="43:43" x14ac:dyDescent="0.2">
      <c r="AQ347" s="782"/>
    </row>
    <row r="348" spans="43:43" x14ac:dyDescent="0.2">
      <c r="AQ348" s="782"/>
    </row>
    <row r="349" spans="43:43" x14ac:dyDescent="0.2">
      <c r="AQ349" s="782"/>
    </row>
    <row r="350" spans="43:43" x14ac:dyDescent="0.2">
      <c r="AQ350" s="782"/>
    </row>
    <row r="351" spans="43:43" x14ac:dyDescent="0.2">
      <c r="AQ351" s="782"/>
    </row>
    <row r="352" spans="43:43" x14ac:dyDescent="0.2">
      <c r="AQ352" s="782"/>
    </row>
    <row r="353" spans="43:43" x14ac:dyDescent="0.2">
      <c r="AQ353" s="782"/>
    </row>
    <row r="354" spans="43:43" x14ac:dyDescent="0.2">
      <c r="AQ354" s="782"/>
    </row>
    <row r="355" spans="43:43" x14ac:dyDescent="0.2">
      <c r="AQ355" s="782"/>
    </row>
    <row r="356" spans="43:43" x14ac:dyDescent="0.2">
      <c r="AQ356" s="782"/>
    </row>
    <row r="357" spans="43:43" x14ac:dyDescent="0.2">
      <c r="AQ357" s="782"/>
    </row>
    <row r="358" spans="43:43" x14ac:dyDescent="0.2">
      <c r="AQ358" s="782"/>
    </row>
    <row r="359" spans="43:43" x14ac:dyDescent="0.2">
      <c r="AQ359" s="782"/>
    </row>
    <row r="360" spans="43:43" x14ac:dyDescent="0.2">
      <c r="AQ360" s="782"/>
    </row>
    <row r="361" spans="43:43" x14ac:dyDescent="0.2">
      <c r="AQ361" s="782"/>
    </row>
    <row r="362" spans="43:43" x14ac:dyDescent="0.2">
      <c r="AQ362" s="782"/>
    </row>
    <row r="363" spans="43:43" x14ac:dyDescent="0.2">
      <c r="AQ363" s="782"/>
    </row>
    <row r="364" spans="43:43" x14ac:dyDescent="0.2">
      <c r="AQ364" s="782"/>
    </row>
    <row r="365" spans="43:43" x14ac:dyDescent="0.2">
      <c r="AQ365" s="782"/>
    </row>
    <row r="366" spans="43:43" x14ac:dyDescent="0.2">
      <c r="AQ366" s="782"/>
    </row>
    <row r="367" spans="43:43" x14ac:dyDescent="0.2">
      <c r="AQ367" s="782"/>
    </row>
    <row r="368" spans="43:43" x14ac:dyDescent="0.2">
      <c r="AQ368" s="782"/>
    </row>
    <row r="369" spans="43:43" x14ac:dyDescent="0.2">
      <c r="AQ369" s="782"/>
    </row>
    <row r="370" spans="43:43" x14ac:dyDescent="0.2">
      <c r="AQ370" s="782"/>
    </row>
    <row r="371" spans="43:43" x14ac:dyDescent="0.2">
      <c r="AQ371" s="782"/>
    </row>
    <row r="372" spans="43:43" x14ac:dyDescent="0.2">
      <c r="AQ372" s="782"/>
    </row>
    <row r="373" spans="43:43" x14ac:dyDescent="0.2">
      <c r="AQ373" s="782"/>
    </row>
    <row r="374" spans="43:43" x14ac:dyDescent="0.2">
      <c r="AQ374" s="782"/>
    </row>
    <row r="375" spans="43:43" x14ac:dyDescent="0.2">
      <c r="AQ375" s="782"/>
    </row>
    <row r="376" spans="43:43" x14ac:dyDescent="0.2">
      <c r="AQ376" s="782"/>
    </row>
    <row r="377" spans="43:43" x14ac:dyDescent="0.2">
      <c r="AQ377" s="782"/>
    </row>
    <row r="378" spans="43:43" x14ac:dyDescent="0.2">
      <c r="AQ378" s="782"/>
    </row>
    <row r="379" spans="43:43" x14ac:dyDescent="0.2">
      <c r="AQ379" s="782"/>
    </row>
    <row r="380" spans="43:43" x14ac:dyDescent="0.2">
      <c r="AQ380" s="782"/>
    </row>
    <row r="381" spans="43:43" x14ac:dyDescent="0.2">
      <c r="AQ381" s="782"/>
    </row>
    <row r="382" spans="43:43" x14ac:dyDescent="0.2">
      <c r="AQ382" s="782"/>
    </row>
    <row r="383" spans="43:43" x14ac:dyDescent="0.2">
      <c r="AQ383" s="782"/>
    </row>
    <row r="384" spans="43:43" x14ac:dyDescent="0.2">
      <c r="AQ384" s="782"/>
    </row>
    <row r="385" spans="43:43" x14ac:dyDescent="0.2">
      <c r="AQ385" s="782"/>
    </row>
    <row r="386" spans="43:43" x14ac:dyDescent="0.2">
      <c r="AQ386" s="782"/>
    </row>
    <row r="387" spans="43:43" x14ac:dyDescent="0.2">
      <c r="AQ387" s="782"/>
    </row>
    <row r="388" spans="43:43" x14ac:dyDescent="0.2">
      <c r="AQ388" s="782"/>
    </row>
    <row r="389" spans="43:43" x14ac:dyDescent="0.2">
      <c r="AQ389" s="782"/>
    </row>
    <row r="390" spans="43:43" x14ac:dyDescent="0.2">
      <c r="AQ390" s="782"/>
    </row>
    <row r="391" spans="43:43" x14ac:dyDescent="0.2">
      <c r="AQ391" s="782"/>
    </row>
    <row r="392" spans="43:43" x14ac:dyDescent="0.2">
      <c r="AQ392" s="782"/>
    </row>
    <row r="393" spans="43:43" x14ac:dyDescent="0.2">
      <c r="AQ393" s="782"/>
    </row>
    <row r="394" spans="43:43" x14ac:dyDescent="0.2">
      <c r="AQ394" s="782"/>
    </row>
    <row r="395" spans="43:43" x14ac:dyDescent="0.2">
      <c r="AQ395" s="782"/>
    </row>
    <row r="396" spans="43:43" x14ac:dyDescent="0.2">
      <c r="AQ396" s="782"/>
    </row>
    <row r="397" spans="43:43" x14ac:dyDescent="0.2">
      <c r="AQ397" s="782"/>
    </row>
    <row r="398" spans="43:43" x14ac:dyDescent="0.2">
      <c r="AQ398" s="782"/>
    </row>
    <row r="399" spans="43:43" x14ac:dyDescent="0.2">
      <c r="AQ399" s="782"/>
    </row>
    <row r="400" spans="43:43" x14ac:dyDescent="0.2">
      <c r="AQ400" s="782"/>
    </row>
    <row r="401" spans="43:43" x14ac:dyDescent="0.2">
      <c r="AQ401" s="782"/>
    </row>
    <row r="402" spans="43:43" x14ac:dyDescent="0.2">
      <c r="AQ402" s="782"/>
    </row>
    <row r="403" spans="43:43" x14ac:dyDescent="0.2">
      <c r="AQ403" s="782"/>
    </row>
    <row r="404" spans="43:43" x14ac:dyDescent="0.2">
      <c r="AQ404" s="782"/>
    </row>
    <row r="405" spans="43:43" x14ac:dyDescent="0.2">
      <c r="AQ405" s="782"/>
    </row>
    <row r="406" spans="43:43" x14ac:dyDescent="0.2">
      <c r="AQ406" s="782"/>
    </row>
    <row r="407" spans="43:43" x14ac:dyDescent="0.2">
      <c r="AQ407" s="782"/>
    </row>
    <row r="408" spans="43:43" x14ac:dyDescent="0.2">
      <c r="AQ408" s="782"/>
    </row>
    <row r="409" spans="43:43" x14ac:dyDescent="0.2">
      <c r="AQ409" s="782"/>
    </row>
    <row r="410" spans="43:43" x14ac:dyDescent="0.2">
      <c r="AQ410" s="782"/>
    </row>
    <row r="411" spans="43:43" x14ac:dyDescent="0.2">
      <c r="AQ411" s="782"/>
    </row>
    <row r="412" spans="43:43" x14ac:dyDescent="0.2">
      <c r="AQ412" s="782"/>
    </row>
    <row r="413" spans="43:43" x14ac:dyDescent="0.2">
      <c r="AQ413" s="782"/>
    </row>
    <row r="414" spans="43:43" x14ac:dyDescent="0.2">
      <c r="AQ414" s="782"/>
    </row>
    <row r="415" spans="43:43" x14ac:dyDescent="0.2">
      <c r="AQ415" s="782"/>
    </row>
  </sheetData>
  <autoFilter ref="A1:BT1"/>
  <sortState ref="A2:BX254">
    <sortCondition ref="BB2:BB461"/>
    <sortCondition ref="BC2:BC461"/>
  </sortState>
  <phoneticPr fontId="0" type="noConversion"/>
  <dataValidations count="1">
    <dataValidation type="list" allowBlank="1" showInputMessage="1" showErrorMessage="1" sqref="BC171:BC185 BC163 BC166:BC169">
      <formula1>$B$6:$B$18</formula1>
    </dataValidation>
  </dataValidations>
  <printOptions horizontalCentered="1" verticalCentered="1" headings="1" gridLines="1" gridLinesSet="0"/>
  <pageMargins left="0" right="0" top="0" bottom="0" header="0.51181102362204722" footer="0.51181102362204722"/>
  <pageSetup paperSize="9" fitToHeight="0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'Z:\SECRETARIAT\ACTIVITE\2015\Activité 2015\Activité 2015\[ENFANTS 2015.xlsx]Variables'!#REF!</xm:f>
          </x14:formula1>
          <xm:sqref>BG196:BG1048576 BC186:BC190 BC164:BC165 BG1:BG194 BC2:BC162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C110"/>
  <sheetViews>
    <sheetView zoomScale="85" zoomScaleNormal="85" workbookViewId="0">
      <selection activeCell="A56" sqref="A56"/>
    </sheetView>
  </sheetViews>
  <sheetFormatPr baseColWidth="10" defaultRowHeight="12.75" x14ac:dyDescent="0.2"/>
  <cols>
    <col min="1" max="1" width="19.42578125" customWidth="1"/>
    <col min="2" max="2" width="10.42578125" style="5" customWidth="1"/>
    <col min="3" max="3" width="10" style="5" customWidth="1"/>
    <col min="4" max="4" width="15.28515625" customWidth="1"/>
    <col min="5" max="5" width="9.85546875" customWidth="1"/>
    <col min="6" max="6" width="15.85546875" customWidth="1"/>
    <col min="7" max="7" width="13.5703125" style="5" customWidth="1"/>
    <col min="8" max="8" width="10.85546875" style="5" customWidth="1"/>
    <col min="9" max="9" width="9.140625" style="5" customWidth="1"/>
    <col min="10" max="10" width="9.140625" style="5" bestFit="1" customWidth="1"/>
    <col min="11" max="11" width="16.28515625" bestFit="1" customWidth="1"/>
    <col min="12" max="12" width="9.28515625" customWidth="1"/>
    <col min="13" max="13" width="6.42578125" customWidth="1"/>
    <col min="14" max="14" width="8.85546875" customWidth="1"/>
    <col min="15" max="15" width="7.28515625" customWidth="1"/>
    <col min="16" max="16" width="6.85546875" customWidth="1"/>
    <col min="17" max="17" width="14.85546875" bestFit="1" customWidth="1"/>
  </cols>
  <sheetData>
    <row r="1" spans="1:13" ht="14.25" thickTop="1" thickBot="1" x14ac:dyDescent="0.25">
      <c r="A1" s="37" t="s">
        <v>234</v>
      </c>
      <c r="C1" s="269">
        <v>42735</v>
      </c>
      <c r="E1" s="40" t="s">
        <v>5</v>
      </c>
      <c r="F1" s="41" t="s">
        <v>26</v>
      </c>
      <c r="G1" s="41" t="s">
        <v>27</v>
      </c>
      <c r="H1" s="41" t="s">
        <v>28</v>
      </c>
      <c r="I1" s="42"/>
    </row>
    <row r="2" spans="1:13" x14ac:dyDescent="0.2">
      <c r="A2" s="420" t="s">
        <v>235</v>
      </c>
      <c r="B2" s="4">
        <f>COUNTA(Présents!$B$6:$B$110)</f>
        <v>105</v>
      </c>
      <c r="C2"/>
      <c r="D2" s="3"/>
      <c r="E2" s="43" t="s">
        <v>101</v>
      </c>
      <c r="F2" s="26">
        <f>COUNTIF(Présents!$AC$6:$AC$110,"M")</f>
        <v>31</v>
      </c>
      <c r="G2" s="26">
        <f>COUNTIF(Présents!$AC$6:$AC$110,"F")</f>
        <v>9</v>
      </c>
      <c r="H2" s="39">
        <f>SUM(F2:G2)</f>
        <v>40</v>
      </c>
      <c r="I2" s="294">
        <f>H2/H7</f>
        <v>0.56338028169014087</v>
      </c>
      <c r="J2" s="295" t="s">
        <v>170</v>
      </c>
      <c r="K2" s="296">
        <f>I2+I3</f>
        <v>1</v>
      </c>
    </row>
    <row r="3" spans="1:13" ht="13.5" thickBot="1" x14ac:dyDescent="0.25">
      <c r="A3" s="89" t="s">
        <v>29</v>
      </c>
      <c r="B3" s="4">
        <f>B2-'Calculs enfants sortis'!B1</f>
        <v>104</v>
      </c>
      <c r="C3"/>
      <c r="D3" s="3"/>
      <c r="E3" s="43" t="s">
        <v>102</v>
      </c>
      <c r="F3" s="26">
        <f>COUNTIF(Présents!$AD$6:$AD$110,"M")</f>
        <v>18</v>
      </c>
      <c r="G3" s="26">
        <f>COUNTIF(Présents!$AD$6:$AD$110,"F")</f>
        <v>13</v>
      </c>
      <c r="H3" s="39">
        <f>SUM(F3:G3)</f>
        <v>31</v>
      </c>
      <c r="I3" s="294">
        <f>H3/H7</f>
        <v>0.43661971830985913</v>
      </c>
      <c r="J3" s="297" t="s">
        <v>182</v>
      </c>
      <c r="K3" s="298">
        <f>I4+I5+I6</f>
        <v>0</v>
      </c>
    </row>
    <row r="4" spans="1:13" ht="13.5" thickBot="1" x14ac:dyDescent="0.25">
      <c r="A4" s="158" t="s">
        <v>118</v>
      </c>
      <c r="B4" s="102">
        <f>SUM(Présents!AU6:AU110)</f>
        <v>3027</v>
      </c>
      <c r="C4" s="111"/>
      <c r="D4" s="110"/>
      <c r="E4" s="43" t="s">
        <v>103</v>
      </c>
      <c r="F4" s="26">
        <f>COUNTIF(Présents!$AE$6:$AE$110,"M")</f>
        <v>0</v>
      </c>
      <c r="G4" s="26">
        <f>COUNTIF(Présents!$AE$6:$AE$110,"F")</f>
        <v>0</v>
      </c>
      <c r="H4" s="39">
        <f>SUM(F4:G4)</f>
        <v>0</v>
      </c>
      <c r="I4" s="59">
        <f>H4/H7</f>
        <v>0</v>
      </c>
      <c r="J4" s="104" t="s">
        <v>63</v>
      </c>
      <c r="K4" s="107" t="s">
        <v>21</v>
      </c>
      <c r="L4" s="106" t="s">
        <v>28</v>
      </c>
    </row>
    <row r="5" spans="1:13" x14ac:dyDescent="0.2">
      <c r="A5" s="89" t="s">
        <v>30</v>
      </c>
      <c r="B5" s="3"/>
      <c r="C5" s="263">
        <v>1.2112676056338001</v>
      </c>
      <c r="D5" s="92"/>
      <c r="E5" s="43" t="s">
        <v>32</v>
      </c>
      <c r="F5" s="26">
        <f>COUNTIF(Présents!$AF$6:$AF$2134,"M")</f>
        <v>0</v>
      </c>
      <c r="G5" s="26">
        <f>COUNTIF(Présents!$AF$6:$AF$110,"F")</f>
        <v>0</v>
      </c>
      <c r="H5" s="39">
        <f>SUM(F5:G5)</f>
        <v>0</v>
      </c>
      <c r="I5" s="59">
        <f>H5/H7</f>
        <v>0</v>
      </c>
      <c r="J5" s="74">
        <f>COUNTIF(Présents!AB6:AB110,"M")</f>
        <v>12</v>
      </c>
      <c r="K5" s="105">
        <f>COUNTIF(Présents!AB6:AB110,"F")</f>
        <v>9</v>
      </c>
      <c r="L5" s="106">
        <f>SUM(J5:K5)</f>
        <v>21</v>
      </c>
    </row>
    <row r="6" spans="1:13" ht="13.5" thickBot="1" x14ac:dyDescent="0.25">
      <c r="B6"/>
      <c r="C6" s="3"/>
      <c r="D6" s="94"/>
      <c r="E6" s="138" t="s">
        <v>104</v>
      </c>
      <c r="F6" s="26">
        <f>COUNTIF(Présents!$AG$6:$AG$110,"M")</f>
        <v>0</v>
      </c>
      <c r="G6" s="26">
        <f>COUNTIF(Présents!$AG$6:$AG$110,"F")</f>
        <v>0</v>
      </c>
      <c r="H6" s="39">
        <f>SUM(F6:G6)</f>
        <v>0</v>
      </c>
      <c r="I6" s="59">
        <f>H6/H7</f>
        <v>0</v>
      </c>
      <c r="J6" s="422">
        <f>J5/B2</f>
        <v>0.11428571428571428</v>
      </c>
      <c r="K6" s="182">
        <f>K5/B2</f>
        <v>8.5714285714285715E-2</v>
      </c>
      <c r="L6" s="377">
        <f>SUM(J6:K6)</f>
        <v>0.2</v>
      </c>
    </row>
    <row r="7" spans="1:13" ht="14.25" thickTop="1" thickBot="1" x14ac:dyDescent="0.25">
      <c r="A7" s="82" t="s">
        <v>31</v>
      </c>
      <c r="B7" s="83">
        <f>COUNTIF(Présents!AB6:AB110,"M")</f>
        <v>12</v>
      </c>
      <c r="C7" s="84">
        <f>B7/B2</f>
        <v>0.11428571428571428</v>
      </c>
      <c r="D7" s="124"/>
      <c r="E7" s="44" t="s">
        <v>38</v>
      </c>
      <c r="F7" s="45">
        <f>SUM(F2:F6)</f>
        <v>49</v>
      </c>
      <c r="G7" s="45">
        <f>SUM(G2:G6)</f>
        <v>22</v>
      </c>
      <c r="H7" s="45">
        <f>SUM(H2:H6)</f>
        <v>71</v>
      </c>
      <c r="I7" s="56">
        <f>SUM(I2:I6)</f>
        <v>1</v>
      </c>
    </row>
    <row r="8" spans="1:13" ht="14.25" thickTop="1" thickBot="1" x14ac:dyDescent="0.25">
      <c r="A8" s="85" t="s">
        <v>33</v>
      </c>
      <c r="B8" s="291">
        <f>COUNTIF(Présents!AB6:AB110,"F")</f>
        <v>9</v>
      </c>
      <c r="C8" s="86">
        <f>B8/B2</f>
        <v>8.5714285714285715E-2</v>
      </c>
      <c r="D8" s="94"/>
      <c r="E8" s="125"/>
      <c r="F8" s="26"/>
      <c r="G8" s="26"/>
      <c r="H8" s="39"/>
      <c r="I8" s="126"/>
    </row>
    <row r="9" spans="1:13" ht="14.25" thickTop="1" thickBot="1" x14ac:dyDescent="0.25">
      <c r="A9" s="47" t="s">
        <v>34</v>
      </c>
      <c r="B9" s="80">
        <f>SUM(B7:B8)</f>
        <v>21</v>
      </c>
      <c r="C9" s="81">
        <f>SUM(C7:C8)</f>
        <v>0.2</v>
      </c>
      <c r="D9" s="185" t="s">
        <v>18</v>
      </c>
      <c r="E9" s="134">
        <f>COUNTIF(Présents!AH6:AH110,"Maternelle")</f>
        <v>0</v>
      </c>
      <c r="F9" s="135">
        <f t="shared" ref="F9:F16" si="0">E9/$B$2</f>
        <v>0</v>
      </c>
      <c r="G9" s="127"/>
      <c r="H9" s="128" t="s">
        <v>35</v>
      </c>
      <c r="I9" s="128"/>
      <c r="J9" s="62" t="s">
        <v>28</v>
      </c>
      <c r="K9" s="63" t="s">
        <v>36</v>
      </c>
    </row>
    <row r="10" spans="1:13" ht="14.25" thickTop="1" thickBot="1" x14ac:dyDescent="0.25">
      <c r="A10" s="87"/>
      <c r="B10" s="79"/>
      <c r="C10" s="88"/>
      <c r="D10" s="22" t="s">
        <v>14</v>
      </c>
      <c r="E10" s="97">
        <f>COUNTIF(Présents!$AH6:$AH$110,"Primaire")</f>
        <v>0</v>
      </c>
      <c r="F10" s="46">
        <f t="shared" si="0"/>
        <v>0</v>
      </c>
      <c r="G10" s="129" t="s">
        <v>105</v>
      </c>
      <c r="H10" s="93">
        <f>COUNTIF(Présents!$AP$6:$AP$110,"&lt;2")</f>
        <v>0</v>
      </c>
      <c r="I10" s="60">
        <f>H10/$B$2</f>
        <v>0</v>
      </c>
      <c r="J10" s="13">
        <f>SUM(H10)</f>
        <v>0</v>
      </c>
      <c r="K10" s="65">
        <f>SUM(I10)</f>
        <v>0</v>
      </c>
    </row>
    <row r="11" spans="1:13" ht="13.5" thickTop="1" x14ac:dyDescent="0.2">
      <c r="A11" s="67" t="s">
        <v>19</v>
      </c>
      <c r="B11" s="68">
        <f>COUNTIF(Présents!$U$6:$U$110,"V")</f>
        <v>0</v>
      </c>
      <c r="C11" s="283">
        <f t="shared" ref="C11:C21" si="1">B11/$B$2</f>
        <v>0</v>
      </c>
      <c r="D11" s="87" t="s">
        <v>17</v>
      </c>
      <c r="E11" s="97">
        <f>COUNTIF(Présents!$AH6:$AH$110,"Collège")</f>
        <v>0</v>
      </c>
      <c r="F11" s="46">
        <f t="shared" si="0"/>
        <v>0</v>
      </c>
      <c r="G11" s="129" t="s">
        <v>106</v>
      </c>
      <c r="H11" s="93">
        <f>(COUNTIF(Présents!$AP$6:$AP$110,"&lt;4"))-H10</f>
        <v>0</v>
      </c>
      <c r="I11" s="60">
        <f>H11/$B$2</f>
        <v>0</v>
      </c>
      <c r="J11" s="13">
        <f>SUM(H10:H11)</f>
        <v>0</v>
      </c>
      <c r="K11" s="65">
        <f>SUM(I10:I11)</f>
        <v>0</v>
      </c>
    </row>
    <row r="12" spans="1:13" x14ac:dyDescent="0.2">
      <c r="A12" s="70" t="s">
        <v>12</v>
      </c>
      <c r="B12" s="71">
        <f>COUNTIF(Présents!$U$6:$U$110,"M")</f>
        <v>0</v>
      </c>
      <c r="C12" s="284">
        <f t="shared" si="1"/>
        <v>0</v>
      </c>
      <c r="D12" s="87" t="s">
        <v>113</v>
      </c>
      <c r="E12" s="97">
        <f>COUNTIF(Présents!$AH6:$AH$110,"LEP")</f>
        <v>0</v>
      </c>
      <c r="F12" s="46">
        <f t="shared" si="0"/>
        <v>0</v>
      </c>
      <c r="G12" s="129" t="s">
        <v>108</v>
      </c>
      <c r="H12" s="93">
        <f>B2-J11</f>
        <v>105</v>
      </c>
      <c r="I12" s="60">
        <f>H12/$B$2</f>
        <v>1</v>
      </c>
      <c r="J12" s="13"/>
      <c r="K12" s="65"/>
    </row>
    <row r="13" spans="1:13" ht="13.5" thickBot="1" x14ac:dyDescent="0.25">
      <c r="A13" s="70" t="s">
        <v>15</v>
      </c>
      <c r="B13" s="71">
        <f>COUNTIF(Présents!$U$6:$U$110,"D")</f>
        <v>0</v>
      </c>
      <c r="C13" s="284">
        <f t="shared" si="1"/>
        <v>0</v>
      </c>
      <c r="D13" s="87" t="s">
        <v>39</v>
      </c>
      <c r="E13" s="97">
        <f>COUNTIF(Présents!$AH6:$AH$110,"Lycée")</f>
        <v>0</v>
      </c>
      <c r="F13" s="46">
        <f t="shared" si="0"/>
        <v>0</v>
      </c>
      <c r="G13" s="130"/>
      <c r="H13" s="131">
        <f>SUM(H10:H12)</f>
        <v>105</v>
      </c>
      <c r="I13" s="132">
        <f>H13/$B$2</f>
        <v>1</v>
      </c>
      <c r="J13" s="131"/>
      <c r="K13" s="133"/>
    </row>
    <row r="14" spans="1:13" ht="14.25" thickTop="1" thickBot="1" x14ac:dyDescent="0.25">
      <c r="A14" s="70" t="s">
        <v>25</v>
      </c>
      <c r="B14" s="71">
        <f>COUNTIF(Présents!$U$6:$U$110,"C")</f>
        <v>0</v>
      </c>
      <c r="C14" s="284">
        <f t="shared" si="1"/>
        <v>0</v>
      </c>
      <c r="D14" s="87" t="s">
        <v>107</v>
      </c>
      <c r="E14" s="97">
        <f>COUNTIF(Présents!$AH6:$AH$110,"Spécialisé")</f>
        <v>0</v>
      </c>
      <c r="F14" s="46">
        <f t="shared" si="0"/>
        <v>0</v>
      </c>
    </row>
    <row r="15" spans="1:13" x14ac:dyDescent="0.2">
      <c r="A15" s="70" t="s">
        <v>37</v>
      </c>
      <c r="B15" s="71">
        <f>COUNTIF(Présents!$U$6:$U$110,"Y")</f>
        <v>0</v>
      </c>
      <c r="C15" s="284">
        <f t="shared" si="1"/>
        <v>0</v>
      </c>
      <c r="D15" s="265" t="s">
        <v>90</v>
      </c>
      <c r="E15" s="97">
        <f>COUNTIF(Présents!$AH6:$AH$110,"Apprentissage")</f>
        <v>0</v>
      </c>
      <c r="F15" s="46">
        <f t="shared" si="0"/>
        <v>0</v>
      </c>
      <c r="H15" s="1321" t="s">
        <v>40</v>
      </c>
      <c r="I15" s="1322"/>
      <c r="K15" s="264"/>
      <c r="M15" s="321" t="s">
        <v>167</v>
      </c>
    </row>
    <row r="16" spans="1:13" x14ac:dyDescent="0.2">
      <c r="A16" s="70" t="s">
        <v>85</v>
      </c>
      <c r="B16" s="71">
        <f>COUNTIF(Présents!$U$6:$U$110,"B")</f>
        <v>0</v>
      </c>
      <c r="C16" s="284">
        <f t="shared" si="1"/>
        <v>0</v>
      </c>
      <c r="D16" s="87" t="s">
        <v>65</v>
      </c>
      <c r="E16" s="97">
        <f>COUNTIF(Présents!$AH6:$AH$51,"Non scol")</f>
        <v>0</v>
      </c>
      <c r="F16" s="46">
        <f t="shared" si="0"/>
        <v>0</v>
      </c>
      <c r="G16" s="103"/>
      <c r="H16" s="204">
        <f>SUM(Présents!$AN$6:$AN$110)</f>
        <v>111</v>
      </c>
      <c r="I16" s="205"/>
      <c r="J16" s="13"/>
      <c r="K16" s="60"/>
    </row>
    <row r="17" spans="1:14" ht="13.5" thickBot="1" x14ac:dyDescent="0.25">
      <c r="A17" s="70" t="s">
        <v>150</v>
      </c>
      <c r="B17" s="71">
        <f>COUNTIF(Présents!$U$6:$U$110,"E")</f>
        <v>0</v>
      </c>
      <c r="C17" s="284">
        <f t="shared" si="1"/>
        <v>0</v>
      </c>
      <c r="D17" s="266" t="s">
        <v>38</v>
      </c>
      <c r="E17" s="136">
        <f>SUM(E9:E16)</f>
        <v>0</v>
      </c>
      <c r="F17" s="137">
        <f>SUM(F9:F16)</f>
        <v>0</v>
      </c>
      <c r="G17" s="103"/>
      <c r="H17" s="206">
        <f>H16/$B$2</f>
        <v>1.0571428571428572</v>
      </c>
      <c r="I17" s="205"/>
    </row>
    <row r="18" spans="1:14" ht="14.25" thickTop="1" thickBot="1" x14ac:dyDescent="0.25">
      <c r="A18" s="70" t="s">
        <v>151</v>
      </c>
      <c r="B18" s="71">
        <f>COUNTIF(Présents!$U$6:$U$110,"Q")</f>
        <v>0</v>
      </c>
      <c r="C18" s="284">
        <f t="shared" si="1"/>
        <v>0</v>
      </c>
      <c r="G18" s="2"/>
      <c r="H18" s="206">
        <f>H17/365.25</f>
        <v>2.89429940353965E-3</v>
      </c>
      <c r="I18" s="205"/>
    </row>
    <row r="19" spans="1:14" ht="13.5" thickTop="1" x14ac:dyDescent="0.2">
      <c r="A19" s="70" t="s">
        <v>153</v>
      </c>
      <c r="B19" s="71">
        <f>COUNTIF(Présents!$U$6:$U$110,"Bo")</f>
        <v>0</v>
      </c>
      <c r="C19" s="284">
        <f t="shared" si="1"/>
        <v>0</v>
      </c>
      <c r="D19" s="267" t="s">
        <v>90</v>
      </c>
      <c r="E19" s="41" t="e">
        <f>COUNTIF(Présents!#REF!,"O")</f>
        <v>#REF!</v>
      </c>
      <c r="F19" s="253" t="e">
        <f t="shared" ref="F19:F29" si="2">E19/$B$2</f>
        <v>#REF!</v>
      </c>
      <c r="G19" s="48"/>
      <c r="H19" s="207">
        <f>INT(H18)</f>
        <v>0</v>
      </c>
      <c r="I19" s="208" t="s">
        <v>41</v>
      </c>
    </row>
    <row r="20" spans="1:14" x14ac:dyDescent="0.2">
      <c r="A20" s="70" t="s">
        <v>152</v>
      </c>
      <c r="B20" s="71">
        <f>COUNTIF(Présents!$U$6:$U$110,"Va")</f>
        <v>0</v>
      </c>
      <c r="C20" s="284">
        <f t="shared" si="1"/>
        <v>0</v>
      </c>
      <c r="D20" s="125" t="s">
        <v>89</v>
      </c>
      <c r="E20" s="39" t="e">
        <f>COUNTIF(Présents!#REF!,"O")</f>
        <v>#REF!</v>
      </c>
      <c r="F20" s="254" t="e">
        <f t="shared" si="2"/>
        <v>#REF!</v>
      </c>
      <c r="G20" s="48"/>
      <c r="H20" s="206">
        <f>H17-(365.25*H19)</f>
        <v>1.0571428571428572</v>
      </c>
      <c r="I20" s="205"/>
    </row>
    <row r="21" spans="1:14" ht="13.5" thickBot="1" x14ac:dyDescent="0.25">
      <c r="A21" s="52" t="s">
        <v>38</v>
      </c>
      <c r="B21" s="53">
        <f>SUM(B11:B20)</f>
        <v>0</v>
      </c>
      <c r="C21" s="268">
        <f t="shared" si="1"/>
        <v>0</v>
      </c>
      <c r="D21" s="125" t="s">
        <v>99</v>
      </c>
      <c r="E21" s="39">
        <f>COUNTIF(Présents!BE6:BE110,"O")</f>
        <v>0</v>
      </c>
      <c r="F21" s="254">
        <f t="shared" si="2"/>
        <v>0</v>
      </c>
      <c r="G21" s="48"/>
      <c r="H21" s="209">
        <f>H20/30.5</f>
        <v>3.4660421545667446E-2</v>
      </c>
      <c r="I21" s="210" t="s">
        <v>42</v>
      </c>
    </row>
    <row r="22" spans="1:14" ht="14.25" thickTop="1" thickBot="1" x14ac:dyDescent="0.25">
      <c r="A22" s="7"/>
      <c r="B22" s="8"/>
      <c r="C22" s="11"/>
      <c r="D22" s="43" t="s">
        <v>93</v>
      </c>
      <c r="E22" s="39" t="e">
        <f>COUNTIF(Présents!#REF!,"O")</f>
        <v>#REF!</v>
      </c>
      <c r="F22" s="254" t="e">
        <f t="shared" si="2"/>
        <v>#REF!</v>
      </c>
      <c r="G22" s="48"/>
      <c r="J22" s="359"/>
    </row>
    <row r="23" spans="1:14" ht="13.5" thickTop="1" x14ac:dyDescent="0.2">
      <c r="D23" s="43" t="s">
        <v>97</v>
      </c>
      <c r="E23" s="39" t="e">
        <f>COUNTIF(Présents!#REF!,"O")</f>
        <v>#REF!</v>
      </c>
      <c r="F23" s="254" t="e">
        <f t="shared" si="2"/>
        <v>#REF!</v>
      </c>
      <c r="G23" s="255" t="s">
        <v>154</v>
      </c>
      <c r="H23" s="256">
        <f>COUNTIF(Présents!$T$6:$T$110,"D")</f>
        <v>0</v>
      </c>
      <c r="I23" s="275">
        <f>H23/$B$2</f>
        <v>0</v>
      </c>
      <c r="J23" s="279" t="e">
        <f>H23-'Calculs enfants sortis'!F17</f>
        <v>#REF!</v>
      </c>
    </row>
    <row r="24" spans="1:14" x14ac:dyDescent="0.2">
      <c r="D24" s="43" t="s">
        <v>92</v>
      </c>
      <c r="E24" s="39" t="e">
        <f>COUNTIF(Présents!#REF!,"O")</f>
        <v>#REF!</v>
      </c>
      <c r="F24" s="254" t="e">
        <f t="shared" si="2"/>
        <v>#REF!</v>
      </c>
      <c r="G24" s="257" t="s">
        <v>155</v>
      </c>
      <c r="H24" s="258">
        <f>COUNTIF(Présents!$T$6:$T$110,"B")</f>
        <v>0</v>
      </c>
      <c r="I24" s="276">
        <f>H24/$B$2</f>
        <v>0</v>
      </c>
      <c r="J24" s="280" t="e">
        <f>H24-'Calculs enfants sortis'!F19</f>
        <v>#REF!</v>
      </c>
    </row>
    <row r="25" spans="1:14" ht="13.5" thickBot="1" x14ac:dyDescent="0.25">
      <c r="D25" s="43" t="s">
        <v>96</v>
      </c>
      <c r="E25" s="39" t="e">
        <f>COUNTIF(Présents!#REF!,"O")</f>
        <v>#REF!</v>
      </c>
      <c r="F25" s="254" t="e">
        <f t="shared" si="2"/>
        <v>#REF!</v>
      </c>
      <c r="G25" s="259" t="s">
        <v>38</v>
      </c>
      <c r="H25" s="260">
        <f>SUM(H23:H24)</f>
        <v>0</v>
      </c>
      <c r="I25" s="261">
        <f>SUM(I23:I24)</f>
        <v>0</v>
      </c>
      <c r="J25" s="281" t="e">
        <f>SUM(J23:J24)</f>
        <v>#REF!</v>
      </c>
    </row>
    <row r="26" spans="1:14" ht="13.5" thickTop="1" x14ac:dyDescent="0.2">
      <c r="D26" s="43" t="s">
        <v>98</v>
      </c>
      <c r="E26" s="39">
        <f>COUNTIF(Présents!AY6:AY110,"O")</f>
        <v>0</v>
      </c>
      <c r="F26" s="254">
        <f t="shared" si="2"/>
        <v>0</v>
      </c>
      <c r="M26" s="229"/>
    </row>
    <row r="27" spans="1:14" x14ac:dyDescent="0.2">
      <c r="D27" s="43" t="s">
        <v>91</v>
      </c>
      <c r="E27" s="39" t="e">
        <f>COUNTIF(Présents!#REF!,"O")</f>
        <v>#REF!</v>
      </c>
      <c r="F27" s="254" t="e">
        <f t="shared" si="2"/>
        <v>#REF!</v>
      </c>
      <c r="G27" s="48"/>
      <c r="H27" s="121"/>
      <c r="I27" s="122"/>
    </row>
    <row r="28" spans="1:14" x14ac:dyDescent="0.2">
      <c r="D28" s="43" t="s">
        <v>94</v>
      </c>
      <c r="E28" s="39" t="e">
        <f>COUNTIF(Présents!#REF!,"O")</f>
        <v>#REF!</v>
      </c>
      <c r="F28" s="254" t="e">
        <f t="shared" si="2"/>
        <v>#REF!</v>
      </c>
      <c r="G28" s="48"/>
      <c r="H28"/>
      <c r="I28"/>
    </row>
    <row r="29" spans="1:14" ht="13.5" thickBot="1" x14ac:dyDescent="0.25">
      <c r="D29" s="44" t="s">
        <v>95</v>
      </c>
      <c r="E29" s="45" t="e">
        <f>COUNTIF(Présents!#REF!,"O")</f>
        <v>#REF!</v>
      </c>
      <c r="F29" s="56" t="e">
        <f t="shared" si="2"/>
        <v>#REF!</v>
      </c>
      <c r="G29"/>
    </row>
    <row r="30" spans="1:14" ht="13.5" thickTop="1" x14ac:dyDescent="0.2">
      <c r="D30" s="87"/>
      <c r="E30" s="97"/>
      <c r="F30" s="48"/>
      <c r="G30"/>
    </row>
    <row r="31" spans="1:14" ht="15.75" x14ac:dyDescent="0.25">
      <c r="A31" s="148" t="s">
        <v>137</v>
      </c>
      <c r="B31" s="98">
        <f>COUNTIF(Présents!$D$6:$D$110,"Martial")</f>
        <v>13</v>
      </c>
      <c r="C31" s="123"/>
      <c r="D31" s="163" t="s">
        <v>232</v>
      </c>
      <c r="E31" s="9">
        <f>COUNTIF(Présents!$D$6:$D$110,"Aline")</f>
        <v>15</v>
      </c>
      <c r="F31" s="164" t="s">
        <v>168</v>
      </c>
      <c r="G31" s="95">
        <f>COUNTIF(Présents!$D$6:$D$110,"Florence")</f>
        <v>13</v>
      </c>
      <c r="H31" s="1330" t="s">
        <v>178</v>
      </c>
      <c r="I31" s="1330"/>
      <c r="J31" s="230">
        <f>COUNTIF(Présents!$D$6:$D$110,"Carla")</f>
        <v>13</v>
      </c>
      <c r="K31" s="101" t="s">
        <v>49</v>
      </c>
      <c r="L31" s="5"/>
      <c r="M31" s="108">
        <f>B31+B36+E31+E36+G31+G36+J31</f>
        <v>70</v>
      </c>
      <c r="N31" s="425" t="s">
        <v>260</v>
      </c>
    </row>
    <row r="32" spans="1:14" ht="15.75" x14ac:dyDescent="0.25">
      <c r="A32" s="162" t="s">
        <v>131</v>
      </c>
      <c r="B32" s="98" t="e">
        <f>COUNTIF(#REF!,"Martial")</f>
        <v>#REF!</v>
      </c>
      <c r="C32" s="123"/>
      <c r="D32" s="163" t="s">
        <v>131</v>
      </c>
      <c r="E32" s="9" t="e">
        <f>COUNTIF(#REF!,"Aline")</f>
        <v>#REF!</v>
      </c>
      <c r="F32" s="164" t="s">
        <v>131</v>
      </c>
      <c r="G32" s="95" t="e">
        <f>COUNTIF(#REF!,"Florence")</f>
        <v>#REF!</v>
      </c>
      <c r="H32" s="230"/>
      <c r="I32" s="231" t="s">
        <v>131</v>
      </c>
      <c r="J32" s="230" t="e">
        <f>COUNTIF(#REF!,"Carla")</f>
        <v>#REF!</v>
      </c>
      <c r="K32" s="161" t="s">
        <v>132</v>
      </c>
      <c r="L32" s="5"/>
      <c r="M32" s="108" t="e">
        <f>B32+B37+E32+E37+G32+G37+J32</f>
        <v>#REF!</v>
      </c>
    </row>
    <row r="33" spans="1:13" ht="15.75" x14ac:dyDescent="0.25">
      <c r="A33" s="149" t="s">
        <v>43</v>
      </c>
      <c r="B33" s="98" t="e">
        <f>COUNTIF(Sortis!#REF!,"Martial")</f>
        <v>#REF!</v>
      </c>
      <c r="C33"/>
      <c r="D33" s="163" t="s">
        <v>44</v>
      </c>
      <c r="E33" s="9" t="e">
        <f>COUNTIF(Sortis!#REF!,"Aline")</f>
        <v>#REF!</v>
      </c>
      <c r="F33" s="164" t="s">
        <v>45</v>
      </c>
      <c r="G33" s="95" t="e">
        <f>COUNTIF(Sortis!#REF!,"Florence")</f>
        <v>#REF!</v>
      </c>
      <c r="H33" s="230"/>
      <c r="I33" s="231" t="s">
        <v>143</v>
      </c>
      <c r="J33" s="230" t="e">
        <f>COUNTIF(Sortis!#REF!,"Carla")</f>
        <v>#REF!</v>
      </c>
      <c r="K33" s="160" t="s">
        <v>134</v>
      </c>
      <c r="L33" s="5"/>
      <c r="M33" s="108" t="e">
        <f>B33+B38+E33+E38+G33+G38+J33</f>
        <v>#REF!</v>
      </c>
    </row>
    <row r="34" spans="1:13" ht="15.75" x14ac:dyDescent="0.25">
      <c r="A34" s="149" t="s">
        <v>46</v>
      </c>
      <c r="B34" s="98" t="e">
        <f>B31-B33</f>
        <v>#REF!</v>
      </c>
      <c r="C34"/>
      <c r="D34" s="183" t="s">
        <v>47</v>
      </c>
      <c r="E34" s="9" t="e">
        <f>E31-E33</f>
        <v>#REF!</v>
      </c>
      <c r="F34" s="164" t="s">
        <v>48</v>
      </c>
      <c r="G34" s="95" t="e">
        <f>G31-G33</f>
        <v>#REF!</v>
      </c>
      <c r="H34" s="230"/>
      <c r="I34" s="231" t="s">
        <v>29</v>
      </c>
      <c r="J34" s="230" t="e">
        <f>J31-J33</f>
        <v>#REF!</v>
      </c>
      <c r="K34" s="100" t="s">
        <v>51</v>
      </c>
      <c r="L34" s="5"/>
      <c r="M34" s="108" t="e">
        <f>B34+B39+E34+E39+G34+G39+J34</f>
        <v>#REF!</v>
      </c>
    </row>
    <row r="35" spans="1:13" ht="15.75" x14ac:dyDescent="0.25">
      <c r="C35"/>
      <c r="D35" s="184"/>
      <c r="M35" s="108"/>
    </row>
    <row r="36" spans="1:13" x14ac:dyDescent="0.2">
      <c r="A36" s="174" t="s">
        <v>136</v>
      </c>
      <c r="B36" s="8">
        <f>COUNTIF(Présents!$D$6:$D$110,"Christelle")</f>
        <v>16</v>
      </c>
      <c r="D36" s="413" t="s">
        <v>233</v>
      </c>
      <c r="E36" s="96">
        <f>COUNTIF(Présents!$D$6:$D$110,"Mathilde")</f>
        <v>0</v>
      </c>
      <c r="F36" s="145" t="s">
        <v>169</v>
      </c>
      <c r="G36" s="146">
        <f>COUNTIF(Présents!$D$6:$D$110,"Bernard")</f>
        <v>0</v>
      </c>
    </row>
    <row r="37" spans="1:13" x14ac:dyDescent="0.2">
      <c r="A37" s="167" t="s">
        <v>131</v>
      </c>
      <c r="B37" s="8" t="e">
        <f>COUNTIF(#REF!,"Christelle")</f>
        <v>#REF!</v>
      </c>
      <c r="D37" s="166" t="s">
        <v>131</v>
      </c>
      <c r="E37" s="96" t="e">
        <f>COUNTIF(#REF!,"Mathilde")</f>
        <v>#REF!</v>
      </c>
      <c r="F37" s="165" t="s">
        <v>131</v>
      </c>
      <c r="G37" s="146" t="e">
        <f>COUNTIF(#REF!,"Bernard")</f>
        <v>#REF!</v>
      </c>
    </row>
    <row r="38" spans="1:13" x14ac:dyDescent="0.2">
      <c r="A38" s="7" t="s">
        <v>50</v>
      </c>
      <c r="B38" s="8" t="e">
        <f>COUNTIF(Sortis!#REF!,"Christelle")</f>
        <v>#REF!</v>
      </c>
      <c r="D38" s="166" t="s">
        <v>135</v>
      </c>
      <c r="E38" s="96" t="e">
        <f>COUNTIF(Sortis!#REF!,"Mathilde")</f>
        <v>#REF!</v>
      </c>
      <c r="F38" s="165" t="s">
        <v>45</v>
      </c>
      <c r="G38" s="146" t="e">
        <f>COUNTIF(Sortis!#REF!,"Bernard")</f>
        <v>#REF!</v>
      </c>
    </row>
    <row r="39" spans="1:13" x14ac:dyDescent="0.2">
      <c r="A39" s="147" t="s">
        <v>46</v>
      </c>
      <c r="B39" s="8" t="e">
        <f>B36-B38</f>
        <v>#REF!</v>
      </c>
      <c r="D39" s="166" t="s">
        <v>52</v>
      </c>
      <c r="E39" s="99" t="e">
        <f>E36-E38</f>
        <v>#REF!</v>
      </c>
      <c r="F39" s="165" t="s">
        <v>48</v>
      </c>
      <c r="G39" s="146" t="e">
        <f>G36-G38</f>
        <v>#REF!</v>
      </c>
    </row>
    <row r="40" spans="1:13" ht="18" customHeight="1" thickBot="1" x14ac:dyDescent="0.3">
      <c r="F40" s="100"/>
      <c r="G40" s="108"/>
    </row>
    <row r="41" spans="1:13" ht="42" customHeight="1" thickBot="1" x14ac:dyDescent="0.25">
      <c r="A41" s="1328" t="s">
        <v>86</v>
      </c>
      <c r="B41" s="1329"/>
      <c r="C41" s="157" t="s">
        <v>116</v>
      </c>
      <c r="D41" s="155" t="s">
        <v>84</v>
      </c>
      <c r="E41" s="156" t="s">
        <v>88</v>
      </c>
      <c r="F41" s="169" t="s">
        <v>115</v>
      </c>
      <c r="G41" s="173" t="s">
        <v>133</v>
      </c>
      <c r="H41" s="168" t="s">
        <v>88</v>
      </c>
      <c r="I41"/>
    </row>
    <row r="42" spans="1:13" x14ac:dyDescent="0.2">
      <c r="A42" s="112" t="s">
        <v>71</v>
      </c>
      <c r="B42" s="687"/>
      <c r="C42" s="295">
        <v>4891</v>
      </c>
      <c r="D42" s="226">
        <f t="shared" ref="D42:D53" si="3">+B42-C42</f>
        <v>-4891</v>
      </c>
      <c r="E42" s="150">
        <f t="shared" ref="E42:E53" si="4">+D42/C42</f>
        <v>-1</v>
      </c>
      <c r="F42" s="215"/>
      <c r="G42" s="216">
        <f>F42-C42</f>
        <v>-4891</v>
      </c>
      <c r="H42" s="360">
        <f t="shared" ref="H42:H53" si="5">(F42-C42)/C42</f>
        <v>-1</v>
      </c>
      <c r="I42" s="302"/>
      <c r="J42" s="424"/>
    </row>
    <row r="43" spans="1:13" x14ac:dyDescent="0.2">
      <c r="A43" s="113" t="s">
        <v>72</v>
      </c>
      <c r="B43" s="217"/>
      <c r="C43" s="320">
        <v>4575</v>
      </c>
      <c r="D43" s="227">
        <f t="shared" si="3"/>
        <v>-4575</v>
      </c>
      <c r="E43" s="151">
        <f t="shared" si="4"/>
        <v>-1</v>
      </c>
      <c r="F43" s="217"/>
      <c r="G43" s="218">
        <f t="shared" ref="G43:G53" si="6">F43-C43</f>
        <v>-4575</v>
      </c>
      <c r="H43" s="361">
        <f t="shared" si="5"/>
        <v>-1</v>
      </c>
      <c r="I43" s="302"/>
      <c r="J43" s="424"/>
    </row>
    <row r="44" spans="1:13" x14ac:dyDescent="0.2">
      <c r="A44" s="114" t="s">
        <v>73</v>
      </c>
      <c r="B44" s="743"/>
      <c r="C44" s="320">
        <v>4891</v>
      </c>
      <c r="D44" s="227">
        <f t="shared" si="3"/>
        <v>-4891</v>
      </c>
      <c r="E44" s="151">
        <f t="shared" si="4"/>
        <v>-1</v>
      </c>
      <c r="F44" s="217"/>
      <c r="G44" s="218">
        <f t="shared" si="6"/>
        <v>-4891</v>
      </c>
      <c r="H44" s="361">
        <f t="shared" si="5"/>
        <v>-1</v>
      </c>
      <c r="I44" s="302"/>
      <c r="J44" s="424"/>
    </row>
    <row r="45" spans="1:13" x14ac:dyDescent="0.2">
      <c r="A45" s="114" t="s">
        <v>74</v>
      </c>
      <c r="B45" s="743"/>
      <c r="C45" s="320">
        <v>4733</v>
      </c>
      <c r="D45" s="227">
        <f t="shared" si="3"/>
        <v>-4733</v>
      </c>
      <c r="E45" s="151">
        <f t="shared" si="4"/>
        <v>-1</v>
      </c>
      <c r="F45" s="217"/>
      <c r="G45" s="218">
        <f t="shared" si="6"/>
        <v>-4733</v>
      </c>
      <c r="H45" s="361">
        <f t="shared" si="5"/>
        <v>-1</v>
      </c>
      <c r="I45" s="302"/>
      <c r="J45" s="424"/>
    </row>
    <row r="46" spans="1:13" x14ac:dyDescent="0.2">
      <c r="A46" s="114" t="s">
        <v>75</v>
      </c>
      <c r="B46" s="743"/>
      <c r="C46" s="320">
        <v>4891</v>
      </c>
      <c r="D46" s="227">
        <f t="shared" si="3"/>
        <v>-4891</v>
      </c>
      <c r="E46" s="151">
        <f t="shared" si="4"/>
        <v>-1</v>
      </c>
      <c r="F46" s="217"/>
      <c r="G46" s="218">
        <f>F46-C46</f>
        <v>-4891</v>
      </c>
      <c r="H46" s="361">
        <f t="shared" si="5"/>
        <v>-1</v>
      </c>
      <c r="I46" s="302"/>
      <c r="J46" s="424"/>
    </row>
    <row r="47" spans="1:13" x14ac:dyDescent="0.2">
      <c r="A47" s="114" t="s">
        <v>76</v>
      </c>
      <c r="B47" s="743"/>
      <c r="C47" s="320">
        <v>4733</v>
      </c>
      <c r="D47" s="227">
        <f>+B47-C47</f>
        <v>-4733</v>
      </c>
      <c r="E47" s="151">
        <f t="shared" si="4"/>
        <v>-1</v>
      </c>
      <c r="F47" s="217"/>
      <c r="G47" s="218">
        <f t="shared" si="6"/>
        <v>-4733</v>
      </c>
      <c r="H47" s="361">
        <f t="shared" si="5"/>
        <v>-1</v>
      </c>
      <c r="I47" s="302"/>
      <c r="J47" s="424"/>
    </row>
    <row r="48" spans="1:13" x14ac:dyDescent="0.2">
      <c r="A48" s="114" t="s">
        <v>77</v>
      </c>
      <c r="B48" s="328"/>
      <c r="C48" s="320">
        <v>4891</v>
      </c>
      <c r="D48" s="227">
        <f>B48-C48</f>
        <v>-4891</v>
      </c>
      <c r="E48" s="151">
        <f>+D48/C48</f>
        <v>-1</v>
      </c>
      <c r="F48" s="217"/>
      <c r="G48" s="218">
        <f t="shared" si="6"/>
        <v>-4891</v>
      </c>
      <c r="H48" s="361">
        <f t="shared" si="5"/>
        <v>-1</v>
      </c>
      <c r="I48" s="302"/>
      <c r="J48" s="222"/>
    </row>
    <row r="49" spans="1:15" x14ac:dyDescent="0.2">
      <c r="A49" s="114" t="s">
        <v>78</v>
      </c>
      <c r="B49" s="328"/>
      <c r="C49" s="320">
        <v>4891</v>
      </c>
      <c r="D49" s="227">
        <f>B49-C49</f>
        <v>-4891</v>
      </c>
      <c r="E49" s="151">
        <f>D49/C49</f>
        <v>-1</v>
      </c>
      <c r="F49" s="217"/>
      <c r="G49" s="218">
        <f t="shared" si="6"/>
        <v>-4891</v>
      </c>
      <c r="H49" s="361">
        <f t="shared" si="5"/>
        <v>-1</v>
      </c>
      <c r="I49" s="302"/>
      <c r="J49" s="222"/>
    </row>
    <row r="50" spans="1:15" x14ac:dyDescent="0.2">
      <c r="A50" s="114" t="s">
        <v>79</v>
      </c>
      <c r="B50" s="328"/>
      <c r="C50" s="320">
        <v>4733</v>
      </c>
      <c r="D50" s="227">
        <f>+B50-C50</f>
        <v>-4733</v>
      </c>
      <c r="E50" s="151">
        <f>D50/C50</f>
        <v>-1</v>
      </c>
      <c r="F50" s="217"/>
      <c r="G50" s="218">
        <f t="shared" si="6"/>
        <v>-4733</v>
      </c>
      <c r="H50" s="361">
        <f t="shared" si="5"/>
        <v>-1</v>
      </c>
      <c r="I50" s="302"/>
      <c r="J50" s="222"/>
    </row>
    <row r="51" spans="1:15" x14ac:dyDescent="0.2">
      <c r="A51" s="114" t="s">
        <v>80</v>
      </c>
      <c r="B51" s="328"/>
      <c r="C51" s="320">
        <v>4891</v>
      </c>
      <c r="D51" s="227">
        <f t="shared" si="3"/>
        <v>-4891</v>
      </c>
      <c r="E51" s="151">
        <f t="shared" si="4"/>
        <v>-1</v>
      </c>
      <c r="F51" s="217"/>
      <c r="G51" s="218">
        <f t="shared" si="6"/>
        <v>-4891</v>
      </c>
      <c r="H51" s="361">
        <f t="shared" si="5"/>
        <v>-1</v>
      </c>
      <c r="I51" s="302"/>
      <c r="J51" s="222"/>
    </row>
    <row r="52" spans="1:15" x14ac:dyDescent="0.2">
      <c r="A52" s="113" t="s">
        <v>81</v>
      </c>
      <c r="B52" s="328"/>
      <c r="C52" s="320">
        <v>4733</v>
      </c>
      <c r="D52" s="227">
        <f t="shared" si="3"/>
        <v>-4733</v>
      </c>
      <c r="E52" s="151">
        <f t="shared" si="4"/>
        <v>-1</v>
      </c>
      <c r="F52" s="217"/>
      <c r="G52" s="218">
        <f t="shared" si="6"/>
        <v>-4733</v>
      </c>
      <c r="H52" s="361">
        <f t="shared" si="5"/>
        <v>-1</v>
      </c>
      <c r="I52" s="302"/>
      <c r="J52" s="222"/>
    </row>
    <row r="53" spans="1:15" ht="13.5" thickBot="1" x14ac:dyDescent="0.25">
      <c r="A53" s="115" t="s">
        <v>82</v>
      </c>
      <c r="B53" s="505"/>
      <c r="C53" s="320">
        <v>4891</v>
      </c>
      <c r="D53" s="228">
        <f t="shared" si="3"/>
        <v>-4891</v>
      </c>
      <c r="E53" s="152">
        <f t="shared" si="4"/>
        <v>-1</v>
      </c>
      <c r="F53" s="219"/>
      <c r="G53" s="220">
        <f t="shared" si="6"/>
        <v>-4891</v>
      </c>
      <c r="H53" s="362">
        <f t="shared" si="5"/>
        <v>-1</v>
      </c>
      <c r="I53" s="302"/>
      <c r="J53" s="222"/>
      <c r="O53" s="376"/>
    </row>
    <row r="54" spans="1:15" ht="13.5" thickBot="1" x14ac:dyDescent="0.25">
      <c r="A54" s="153" t="s">
        <v>38</v>
      </c>
      <c r="B54" s="214">
        <f>SUM(B42:B53)</f>
        <v>0</v>
      </c>
      <c r="C54" s="214">
        <f>SUM(C42:C53)</f>
        <v>57744</v>
      </c>
      <c r="F54" s="221"/>
      <c r="G54" s="222"/>
      <c r="I54"/>
      <c r="M54" s="323"/>
    </row>
    <row r="55" spans="1:15" ht="13.5" thickBot="1" x14ac:dyDescent="0.25">
      <c r="F55" s="221"/>
      <c r="G55" s="222"/>
      <c r="H55" s="117"/>
    </row>
    <row r="56" spans="1:15" ht="13.5" thickBot="1" x14ac:dyDescent="0.25">
      <c r="A56" s="116">
        <v>42370</v>
      </c>
      <c r="B56" s="211">
        <f>SUM(Présents!AV2:AV185)</f>
        <v>-4941</v>
      </c>
      <c r="C56" s="251">
        <f>C62</f>
        <v>23981</v>
      </c>
      <c r="D56" s="282">
        <f>B56-C56</f>
        <v>-28922</v>
      </c>
      <c r="E56" s="252">
        <f>(B56-C56)/C56</f>
        <v>-1.2060381135065259</v>
      </c>
      <c r="F56" s="221"/>
      <c r="G56" s="222"/>
    </row>
    <row r="57" spans="1:15" ht="28.15" customHeight="1" thickBot="1" x14ac:dyDescent="0.25">
      <c r="A57" s="159"/>
      <c r="B57" s="175" t="s">
        <v>83</v>
      </c>
      <c r="C57" s="249" t="s">
        <v>117</v>
      </c>
      <c r="D57" s="250" t="s">
        <v>120</v>
      </c>
      <c r="E57" s="154" t="s">
        <v>88</v>
      </c>
      <c r="F57" s="417" t="s">
        <v>119</v>
      </c>
      <c r="G57" s="418" t="s">
        <v>121</v>
      </c>
      <c r="H57" s="419" t="s">
        <v>122</v>
      </c>
    </row>
    <row r="58" spans="1:15" x14ac:dyDescent="0.2">
      <c r="A58" s="350" t="s">
        <v>71</v>
      </c>
      <c r="B58" s="212">
        <f>B42</f>
        <v>0</v>
      </c>
      <c r="C58" s="270">
        <f>C42</f>
        <v>4891</v>
      </c>
      <c r="D58" s="272">
        <f t="shared" ref="D58:D69" si="7">B58-C58</f>
        <v>-4891</v>
      </c>
      <c r="E58" s="118">
        <f t="shared" ref="E58:E69" si="8">(D58/C58)</f>
        <v>-1</v>
      </c>
      <c r="F58" s="215">
        <f>F42</f>
        <v>0</v>
      </c>
      <c r="G58" s="223">
        <f t="shared" ref="G58:G69" si="9">F58-C58</f>
        <v>-4891</v>
      </c>
      <c r="H58" s="170">
        <f t="shared" ref="H58:H69" si="10">G58/C58</f>
        <v>-1</v>
      </c>
      <c r="I58" s="184">
        <v>31</v>
      </c>
      <c r="J58" s="423" t="s">
        <v>185</v>
      </c>
    </row>
    <row r="59" spans="1:15" x14ac:dyDescent="0.2">
      <c r="A59" s="351" t="s">
        <v>72</v>
      </c>
      <c r="B59" s="212">
        <f>B42+B43</f>
        <v>0</v>
      </c>
      <c r="C59" s="270">
        <f>C42+C43</f>
        <v>9466</v>
      </c>
      <c r="D59" s="273">
        <f t="shared" si="7"/>
        <v>-9466</v>
      </c>
      <c r="E59" s="119">
        <f t="shared" si="8"/>
        <v>-1</v>
      </c>
      <c r="F59" s="217">
        <f>F42+F43</f>
        <v>0</v>
      </c>
      <c r="G59" s="224">
        <f t="shared" si="9"/>
        <v>-9466</v>
      </c>
      <c r="H59" s="171">
        <f t="shared" si="10"/>
        <v>-1</v>
      </c>
      <c r="I59" s="184">
        <f>I58+29</f>
        <v>60</v>
      </c>
      <c r="J59" s="423" t="s">
        <v>185</v>
      </c>
    </row>
    <row r="60" spans="1:15" x14ac:dyDescent="0.2">
      <c r="A60" s="352" t="s">
        <v>73</v>
      </c>
      <c r="B60" s="212">
        <f>SUM(B42:B44)</f>
        <v>0</v>
      </c>
      <c r="C60" s="270">
        <f>SUM(C42:C44)</f>
        <v>14357</v>
      </c>
      <c r="D60" s="273">
        <f t="shared" si="7"/>
        <v>-14357</v>
      </c>
      <c r="E60" s="119">
        <f t="shared" si="8"/>
        <v>-1</v>
      </c>
      <c r="F60" s="217">
        <f>F42+F43+F44</f>
        <v>0</v>
      </c>
      <c r="G60" s="224">
        <f t="shared" si="9"/>
        <v>-14357</v>
      </c>
      <c r="H60" s="171">
        <f t="shared" si="10"/>
        <v>-1</v>
      </c>
      <c r="I60" s="184">
        <v>91</v>
      </c>
      <c r="J60" s="423" t="s">
        <v>185</v>
      </c>
    </row>
    <row r="61" spans="1:15" x14ac:dyDescent="0.2">
      <c r="A61" s="352" t="s">
        <v>74</v>
      </c>
      <c r="B61" s="212">
        <f>SUM(B42:B45)</f>
        <v>0</v>
      </c>
      <c r="C61" s="270">
        <f>SUM(C42:C45)</f>
        <v>19090</v>
      </c>
      <c r="D61" s="273">
        <f t="shared" si="7"/>
        <v>-19090</v>
      </c>
      <c r="E61" s="119">
        <f t="shared" si="8"/>
        <v>-1</v>
      </c>
      <c r="F61" s="217">
        <f>SUM(F42:F45)</f>
        <v>0</v>
      </c>
      <c r="G61" s="224">
        <f t="shared" si="9"/>
        <v>-19090</v>
      </c>
      <c r="H61" s="171">
        <f t="shared" si="10"/>
        <v>-1</v>
      </c>
      <c r="I61" s="184">
        <v>121</v>
      </c>
      <c r="J61" s="423" t="s">
        <v>185</v>
      </c>
    </row>
    <row r="62" spans="1:15" x14ac:dyDescent="0.2">
      <c r="A62" s="352" t="s">
        <v>75</v>
      </c>
      <c r="B62" s="212">
        <f>SUM(B42:B46)</f>
        <v>0</v>
      </c>
      <c r="C62" s="270">
        <f>SUM(C42:C46)</f>
        <v>23981</v>
      </c>
      <c r="D62" s="273">
        <f t="shared" si="7"/>
        <v>-23981</v>
      </c>
      <c r="E62" s="119">
        <f t="shared" si="8"/>
        <v>-1</v>
      </c>
      <c r="F62" s="217">
        <f>SUM(F42:F46)</f>
        <v>0</v>
      </c>
      <c r="G62" s="224">
        <f t="shared" si="9"/>
        <v>-23981</v>
      </c>
      <c r="H62" s="171">
        <f t="shared" si="10"/>
        <v>-1</v>
      </c>
      <c r="I62" s="184">
        <v>152</v>
      </c>
      <c r="J62" s="423" t="s">
        <v>185</v>
      </c>
    </row>
    <row r="63" spans="1:15" x14ac:dyDescent="0.2">
      <c r="A63" s="352" t="s">
        <v>76</v>
      </c>
      <c r="B63" s="212">
        <f>SUM(B42:B47)</f>
        <v>0</v>
      </c>
      <c r="C63" s="270">
        <f>SUM(C42:C47)</f>
        <v>28714</v>
      </c>
      <c r="D63" s="273">
        <f t="shared" si="7"/>
        <v>-28714</v>
      </c>
      <c r="E63" s="119">
        <f t="shared" si="8"/>
        <v>-1</v>
      </c>
      <c r="F63" s="217">
        <f>SUM(F42:F47)</f>
        <v>0</v>
      </c>
      <c r="G63" s="224">
        <f t="shared" si="9"/>
        <v>-28714</v>
      </c>
      <c r="H63" s="171">
        <f t="shared" si="10"/>
        <v>-1</v>
      </c>
      <c r="I63" s="184">
        <v>181</v>
      </c>
      <c r="J63" s="423" t="s">
        <v>185</v>
      </c>
    </row>
    <row r="64" spans="1:15" x14ac:dyDescent="0.2">
      <c r="A64" s="352" t="s">
        <v>77</v>
      </c>
      <c r="B64" s="212">
        <f>SUM(B42:B48)</f>
        <v>0</v>
      </c>
      <c r="C64" s="270">
        <f>SUM(C42:C48)</f>
        <v>33605</v>
      </c>
      <c r="D64" s="273">
        <f t="shared" si="7"/>
        <v>-33605</v>
      </c>
      <c r="E64" s="119">
        <f t="shared" si="8"/>
        <v>-1</v>
      </c>
      <c r="F64" s="217">
        <f>SUM(F42:F48)</f>
        <v>0</v>
      </c>
      <c r="G64" s="224">
        <f t="shared" si="9"/>
        <v>-33605</v>
      </c>
      <c r="H64" s="171">
        <f t="shared" si="10"/>
        <v>-1</v>
      </c>
      <c r="I64" s="184">
        <v>213</v>
      </c>
      <c r="J64" s="423" t="s">
        <v>185</v>
      </c>
    </row>
    <row r="65" spans="1:14" x14ac:dyDescent="0.2">
      <c r="A65" s="352" t="s">
        <v>78</v>
      </c>
      <c r="B65" s="212">
        <f>SUM(B42:B49)</f>
        <v>0</v>
      </c>
      <c r="C65" s="270">
        <f>SUM(C42:C49)</f>
        <v>38496</v>
      </c>
      <c r="D65" s="273">
        <f t="shared" si="7"/>
        <v>-38496</v>
      </c>
      <c r="E65" s="119">
        <f t="shared" si="8"/>
        <v>-1</v>
      </c>
      <c r="F65" s="217">
        <f>SUM(F42:F49)</f>
        <v>0</v>
      </c>
      <c r="G65" s="224">
        <f t="shared" si="9"/>
        <v>-38496</v>
      </c>
      <c r="H65" s="171">
        <f t="shared" si="10"/>
        <v>-1</v>
      </c>
      <c r="I65" s="184">
        <v>244</v>
      </c>
      <c r="J65" s="423" t="s">
        <v>185</v>
      </c>
    </row>
    <row r="66" spans="1:14" x14ac:dyDescent="0.2">
      <c r="A66" s="352" t="s">
        <v>79</v>
      </c>
      <c r="B66" s="212">
        <f>SUM(B42:B50)</f>
        <v>0</v>
      </c>
      <c r="C66" s="270">
        <f>SUM(C42:C50)</f>
        <v>43229</v>
      </c>
      <c r="D66" s="273">
        <f t="shared" si="7"/>
        <v>-43229</v>
      </c>
      <c r="E66" s="119">
        <f t="shared" si="8"/>
        <v>-1</v>
      </c>
      <c r="F66" s="217">
        <f>SUM(F42:F50)</f>
        <v>0</v>
      </c>
      <c r="G66" s="224">
        <f t="shared" si="9"/>
        <v>-43229</v>
      </c>
      <c r="H66" s="171">
        <f t="shared" si="10"/>
        <v>-1</v>
      </c>
      <c r="I66" s="184">
        <v>275</v>
      </c>
      <c r="J66" s="423" t="s">
        <v>185</v>
      </c>
    </row>
    <row r="67" spans="1:14" x14ac:dyDescent="0.2">
      <c r="A67" s="246" t="s">
        <v>80</v>
      </c>
      <c r="B67" s="212">
        <f>SUM(B42:B51)</f>
        <v>0</v>
      </c>
      <c r="C67" s="270">
        <f>SUM(C42:C51)</f>
        <v>48120</v>
      </c>
      <c r="D67" s="273">
        <f t="shared" si="7"/>
        <v>-48120</v>
      </c>
      <c r="E67" s="119">
        <f t="shared" si="8"/>
        <v>-1</v>
      </c>
      <c r="F67" s="217">
        <f>SUM(F42:F51)</f>
        <v>0</v>
      </c>
      <c r="G67" s="224">
        <f t="shared" si="9"/>
        <v>-48120</v>
      </c>
      <c r="H67" s="171">
        <f t="shared" si="10"/>
        <v>-1</v>
      </c>
      <c r="I67" s="184">
        <v>305</v>
      </c>
      <c r="J67" s="423" t="s">
        <v>185</v>
      </c>
    </row>
    <row r="68" spans="1:14" x14ac:dyDescent="0.2">
      <c r="A68" s="245" t="s">
        <v>81</v>
      </c>
      <c r="B68" s="212">
        <f>SUM(B42:B52)</f>
        <v>0</v>
      </c>
      <c r="C68" s="270">
        <f>SUM(C42:C52)</f>
        <v>52853</v>
      </c>
      <c r="D68" s="273">
        <f t="shared" si="7"/>
        <v>-52853</v>
      </c>
      <c r="E68" s="119">
        <f t="shared" si="8"/>
        <v>-1</v>
      </c>
      <c r="F68" s="217">
        <f>SUM(F42:F52)</f>
        <v>0</v>
      </c>
      <c r="G68" s="224">
        <f t="shared" si="9"/>
        <v>-52853</v>
      </c>
      <c r="H68" s="171">
        <f t="shared" si="10"/>
        <v>-1</v>
      </c>
      <c r="I68" s="184">
        <v>335</v>
      </c>
      <c r="J68" s="423" t="s">
        <v>185</v>
      </c>
    </row>
    <row r="69" spans="1:14" ht="13.5" thickBot="1" x14ac:dyDescent="0.25">
      <c r="A69" s="247" t="s">
        <v>82</v>
      </c>
      <c r="B69" s="213">
        <f>SUM(B42:B53)</f>
        <v>0</v>
      </c>
      <c r="C69" s="271">
        <f>SUM(C42:C53)</f>
        <v>57744</v>
      </c>
      <c r="D69" s="274">
        <f t="shared" si="7"/>
        <v>-57744</v>
      </c>
      <c r="E69" s="120">
        <f t="shared" si="8"/>
        <v>-1</v>
      </c>
      <c r="F69" s="219">
        <f>SUM(F42:F53)</f>
        <v>0</v>
      </c>
      <c r="G69" s="225">
        <f t="shared" si="9"/>
        <v>-57744</v>
      </c>
      <c r="H69" s="172">
        <f t="shared" si="10"/>
        <v>-1</v>
      </c>
      <c r="I69" s="184">
        <v>366</v>
      </c>
      <c r="J69" s="423" t="s">
        <v>185</v>
      </c>
    </row>
    <row r="70" spans="1:14" ht="17.25" customHeight="1" x14ac:dyDescent="0.2">
      <c r="A70" s="232"/>
      <c r="B70" s="233"/>
      <c r="C70" s="234"/>
      <c r="D70" s="235"/>
      <c r="E70" s="236"/>
      <c r="F70" s="237"/>
      <c r="G70" s="237"/>
      <c r="H70" s="238"/>
      <c r="I70" s="184"/>
      <c r="J70" s="423"/>
    </row>
    <row r="71" spans="1:14" ht="18.75" thickBot="1" x14ac:dyDescent="0.3">
      <c r="N71" s="195">
        <v>1</v>
      </c>
    </row>
    <row r="72" spans="1:14" ht="18" customHeight="1" thickBot="1" x14ac:dyDescent="0.25">
      <c r="A72" s="186"/>
      <c r="B72" s="187" t="s">
        <v>140</v>
      </c>
      <c r="C72" s="188" t="s">
        <v>21</v>
      </c>
      <c r="D72" s="189" t="s">
        <v>13</v>
      </c>
      <c r="E72" s="181" t="s">
        <v>67</v>
      </c>
      <c r="F72" s="190" t="s">
        <v>13</v>
      </c>
      <c r="G72" s="191" t="s">
        <v>140</v>
      </c>
      <c r="H72" s="192" t="s">
        <v>140</v>
      </c>
      <c r="I72" s="181" t="s">
        <v>67</v>
      </c>
      <c r="J72" s="192" t="s">
        <v>66</v>
      </c>
      <c r="K72" s="181" t="s">
        <v>100</v>
      </c>
      <c r="L72" s="192" t="s">
        <v>141</v>
      </c>
      <c r="M72" s="181" t="s">
        <v>16</v>
      </c>
      <c r="N72" s="324" t="s">
        <v>142</v>
      </c>
    </row>
    <row r="73" spans="1:14" ht="18" customHeight="1" thickBot="1" x14ac:dyDescent="0.25">
      <c r="A73" s="538" t="s">
        <v>310</v>
      </c>
      <c r="B73" s="198">
        <f>C85/31</f>
        <v>24.580645161290324</v>
      </c>
      <c r="C73" s="199">
        <f>C86/29</f>
        <v>0</v>
      </c>
      <c r="D73" s="200">
        <f>C87/31</f>
        <v>0</v>
      </c>
      <c r="E73" s="199">
        <f>C88/30</f>
        <v>0</v>
      </c>
      <c r="F73" s="200">
        <f>C89/31</f>
        <v>0</v>
      </c>
      <c r="G73" s="202">
        <f>C90/30</f>
        <v>0</v>
      </c>
      <c r="H73" s="202">
        <f>C91/31</f>
        <v>0</v>
      </c>
      <c r="I73" s="199">
        <f>C92/31</f>
        <v>0</v>
      </c>
      <c r="J73" s="200">
        <f>C93/30</f>
        <v>0</v>
      </c>
      <c r="K73" s="299">
        <f>C94/31</f>
        <v>0</v>
      </c>
      <c r="L73" s="200">
        <f>C95/30</f>
        <v>0</v>
      </c>
      <c r="M73" s="199">
        <f>C96/31</f>
        <v>0</v>
      </c>
      <c r="N73" s="196">
        <f>SUM(B73:M73)/N71</f>
        <v>24.580645161290324</v>
      </c>
    </row>
    <row r="74" spans="1:14" ht="18" customHeight="1" thickBot="1" x14ac:dyDescent="0.25">
      <c r="A74" s="240" t="s">
        <v>228</v>
      </c>
      <c r="B74" s="201">
        <f>D85/31</f>
        <v>22</v>
      </c>
      <c r="C74" s="202">
        <f t="shared" ref="C74:C79" si="11">C87/29</f>
        <v>0</v>
      </c>
      <c r="D74" s="203">
        <f>D87/31</f>
        <v>0</v>
      </c>
      <c r="E74" s="202">
        <f>D88/30</f>
        <v>0</v>
      </c>
      <c r="F74" s="203">
        <f>D89/31</f>
        <v>0</v>
      </c>
      <c r="G74" s="202">
        <f>D90/30</f>
        <v>0</v>
      </c>
      <c r="H74" s="202">
        <f>D91/31</f>
        <v>0</v>
      </c>
      <c r="I74" s="202">
        <f>D92/31</f>
        <v>0</v>
      </c>
      <c r="J74" s="203">
        <f>D93/30</f>
        <v>0</v>
      </c>
      <c r="K74" s="300">
        <f>D94/31</f>
        <v>0</v>
      </c>
      <c r="L74" s="203">
        <f>D95/30</f>
        <v>0</v>
      </c>
      <c r="M74" s="202">
        <f>D96/31</f>
        <v>0</v>
      </c>
      <c r="N74" s="196">
        <f>SUM(B74:M74)/N71</f>
        <v>22</v>
      </c>
    </row>
    <row r="75" spans="1:14" ht="18" customHeight="1" thickBot="1" x14ac:dyDescent="0.25">
      <c r="A75" s="239" t="s">
        <v>138</v>
      </c>
      <c r="B75" s="198">
        <f>E85/31</f>
        <v>22.967741935483872</v>
      </c>
      <c r="C75" s="199">
        <f t="shared" si="11"/>
        <v>0</v>
      </c>
      <c r="D75" s="200">
        <f>E87/31</f>
        <v>0</v>
      </c>
      <c r="E75" s="199">
        <f>E88/30</f>
        <v>0</v>
      </c>
      <c r="F75" s="200">
        <f>E89/31</f>
        <v>0</v>
      </c>
      <c r="G75" s="202">
        <f>E90/30</f>
        <v>0</v>
      </c>
      <c r="H75" s="200">
        <f>E91/31</f>
        <v>0</v>
      </c>
      <c r="I75" s="199">
        <f>E92/31</f>
        <v>0</v>
      </c>
      <c r="J75" s="200">
        <f>E93/30</f>
        <v>0</v>
      </c>
      <c r="K75" s="299">
        <f>E94/31</f>
        <v>0</v>
      </c>
      <c r="L75" s="200">
        <f>E95/30</f>
        <v>0</v>
      </c>
      <c r="M75" s="199">
        <f>E96/31</f>
        <v>0</v>
      </c>
      <c r="N75" s="196">
        <f>SUM(B75:M75)/N71</f>
        <v>22.967741935483872</v>
      </c>
    </row>
    <row r="76" spans="1:14" ht="18" customHeight="1" thickBot="1" x14ac:dyDescent="0.25">
      <c r="A76" s="239" t="s">
        <v>70</v>
      </c>
      <c r="B76" s="198">
        <f>F85/31</f>
        <v>23.612903225806452</v>
      </c>
      <c r="C76" s="202">
        <f t="shared" si="11"/>
        <v>0</v>
      </c>
      <c r="D76" s="203">
        <f>F87/31</f>
        <v>0</v>
      </c>
      <c r="E76" s="202">
        <f>F88/30</f>
        <v>0</v>
      </c>
      <c r="F76" s="203">
        <f>F89/31</f>
        <v>0</v>
      </c>
      <c r="G76" s="202">
        <f>F90/30</f>
        <v>0</v>
      </c>
      <c r="H76" s="203">
        <f>F91/31</f>
        <v>0</v>
      </c>
      <c r="I76" s="202">
        <f>F92/31</f>
        <v>0</v>
      </c>
      <c r="J76" s="203">
        <f>F93/30</f>
        <v>0</v>
      </c>
      <c r="K76" s="300">
        <f>F94/31</f>
        <v>0</v>
      </c>
      <c r="L76" s="203">
        <f>F95/30</f>
        <v>0</v>
      </c>
      <c r="M76" s="202">
        <f>F96/31</f>
        <v>0</v>
      </c>
      <c r="N76" s="196">
        <f>SUM(B76:M76)/N71</f>
        <v>23.612903225806452</v>
      </c>
    </row>
    <row r="77" spans="1:14" ht="18" customHeight="1" thickBot="1" x14ac:dyDescent="0.25">
      <c r="A77" s="240" t="s">
        <v>87</v>
      </c>
      <c r="B77" s="201">
        <f>G85/31</f>
        <v>23.93548387096774</v>
      </c>
      <c r="C77" s="199">
        <f t="shared" si="11"/>
        <v>0</v>
      </c>
      <c r="D77" s="200">
        <f>G87/31</f>
        <v>0</v>
      </c>
      <c r="E77" s="199">
        <f>G88/30</f>
        <v>0</v>
      </c>
      <c r="F77" s="200">
        <f>G89/31</f>
        <v>0</v>
      </c>
      <c r="G77" s="202">
        <f>G90/30</f>
        <v>0</v>
      </c>
      <c r="H77" s="200">
        <f>G91/31</f>
        <v>0</v>
      </c>
      <c r="I77" s="199">
        <f>G92/31</f>
        <v>0</v>
      </c>
      <c r="J77" s="200">
        <f>G93/30</f>
        <v>0</v>
      </c>
      <c r="K77" s="299">
        <f>G94/31</f>
        <v>0</v>
      </c>
      <c r="L77" s="200">
        <f>G95/30</f>
        <v>0</v>
      </c>
      <c r="M77" s="199">
        <f>G96/31</f>
        <v>0</v>
      </c>
      <c r="N77" s="196">
        <f>SUM(B77:M77)/N71</f>
        <v>23.93548387096774</v>
      </c>
    </row>
    <row r="78" spans="1:14" ht="18" customHeight="1" thickBot="1" x14ac:dyDescent="0.25">
      <c r="A78" s="239" t="s">
        <v>179</v>
      </c>
      <c r="B78" s="198">
        <f>H85/31</f>
        <v>21.096774193548388</v>
      </c>
      <c r="C78" s="202">
        <f t="shared" si="11"/>
        <v>0</v>
      </c>
      <c r="D78" s="203">
        <f>H87/31</f>
        <v>0</v>
      </c>
      <c r="E78" s="202">
        <f>H88/30</f>
        <v>0</v>
      </c>
      <c r="F78" s="203">
        <f>H89/31</f>
        <v>0</v>
      </c>
      <c r="G78" s="202">
        <f>H90/30</f>
        <v>0</v>
      </c>
      <c r="H78" s="203">
        <f>H91/31</f>
        <v>0</v>
      </c>
      <c r="I78" s="202">
        <f>H92/31</f>
        <v>0</v>
      </c>
      <c r="J78" s="203">
        <f>H93/30</f>
        <v>0</v>
      </c>
      <c r="K78" s="300">
        <f>H94/31</f>
        <v>0</v>
      </c>
      <c r="L78" s="203">
        <f>H95/30</f>
        <v>0</v>
      </c>
      <c r="M78" s="202">
        <f>H96/31</f>
        <v>0</v>
      </c>
      <c r="N78" s="197">
        <f>SUM(B78:M78)/N71</f>
        <v>21.096774193548388</v>
      </c>
    </row>
    <row r="79" spans="1:14" ht="18" customHeight="1" thickBot="1" x14ac:dyDescent="0.25">
      <c r="A79" s="239" t="s">
        <v>183</v>
      </c>
      <c r="B79" s="244">
        <f>I85/31</f>
        <v>21.193548387096776</v>
      </c>
      <c r="C79" s="244">
        <f t="shared" si="11"/>
        <v>0</v>
      </c>
      <c r="D79" s="244">
        <f>I87/31</f>
        <v>0</v>
      </c>
      <c r="E79" s="244">
        <f>I88/30</f>
        <v>0</v>
      </c>
      <c r="F79" s="244">
        <f>I89/31</f>
        <v>0</v>
      </c>
      <c r="G79" s="244">
        <f>I90/30</f>
        <v>0</v>
      </c>
      <c r="H79" s="244">
        <f>I91/31</f>
        <v>0</v>
      </c>
      <c r="I79" s="244">
        <f>I92/31</f>
        <v>0</v>
      </c>
      <c r="J79" s="244">
        <f>I93/30</f>
        <v>0</v>
      </c>
      <c r="K79" s="301">
        <f>I94/31</f>
        <v>0</v>
      </c>
      <c r="L79" s="244">
        <f>I95/30</f>
        <v>0</v>
      </c>
      <c r="M79" s="244">
        <f>I96/31</f>
        <v>0</v>
      </c>
      <c r="N79" s="197">
        <f>SUM(B79:M79)/N71</f>
        <v>21.193548387096776</v>
      </c>
    </row>
    <row r="80" spans="1:14" ht="18" customHeight="1" thickBot="1" x14ac:dyDescent="0.25">
      <c r="A80" s="239" t="s">
        <v>171</v>
      </c>
      <c r="B80" s="312">
        <f t="shared" ref="B80:M80" si="12">SUM(B73:B79)/7</f>
        <v>22.769585253456221</v>
      </c>
      <c r="C80" s="312">
        <f t="shared" si="12"/>
        <v>0</v>
      </c>
      <c r="D80" s="312">
        <f t="shared" si="12"/>
        <v>0</v>
      </c>
      <c r="E80" s="312">
        <f>SUM(E73:E79)/6.8</f>
        <v>0</v>
      </c>
      <c r="F80" s="312">
        <f>SUM(F73:F79)/6.8</f>
        <v>0</v>
      </c>
      <c r="G80" s="312">
        <f t="shared" si="12"/>
        <v>0</v>
      </c>
      <c r="H80" s="312">
        <f t="shared" si="12"/>
        <v>0</v>
      </c>
      <c r="I80" s="312">
        <f t="shared" si="12"/>
        <v>0</v>
      </c>
      <c r="J80" s="312">
        <f t="shared" si="12"/>
        <v>0</v>
      </c>
      <c r="K80" s="312">
        <f t="shared" si="12"/>
        <v>0</v>
      </c>
      <c r="L80" s="312">
        <f t="shared" si="12"/>
        <v>0</v>
      </c>
      <c r="M80" s="312">
        <f t="shared" si="12"/>
        <v>0</v>
      </c>
      <c r="N80" s="197">
        <f>SUM(B80:M80)/N71</f>
        <v>22.769585253456221</v>
      </c>
    </row>
    <row r="81" spans="2:29" ht="32.450000000000003" customHeight="1" thickBot="1" x14ac:dyDescent="0.25">
      <c r="L81" s="1326" t="s">
        <v>184</v>
      </c>
      <c r="M81" s="1327"/>
      <c r="N81" s="514">
        <f>SUM(N73:N79)/7</f>
        <v>22.769585253456221</v>
      </c>
    </row>
    <row r="82" spans="2:29" ht="21" customHeight="1" thickBot="1" x14ac:dyDescent="0.25">
      <c r="B82" s="1323" t="s">
        <v>144</v>
      </c>
      <c r="C82" s="1324"/>
      <c r="D82" s="1324"/>
      <c r="E82" s="1324"/>
      <c r="F82" s="1324"/>
      <c r="G82" s="1324"/>
      <c r="H82" s="1324"/>
      <c r="I82" s="1324"/>
      <c r="J82" s="1325"/>
      <c r="L82" s="540"/>
      <c r="M82" s="540"/>
      <c r="N82" s="540"/>
      <c r="O82" s="540"/>
      <c r="P82" s="540"/>
      <c r="Q82" s="540"/>
      <c r="R82" s="540"/>
      <c r="S82" s="540"/>
      <c r="T82" s="540"/>
      <c r="U82" s="446"/>
    </row>
    <row r="83" spans="2:29" ht="9.6" customHeight="1" thickBot="1" x14ac:dyDescent="0.25">
      <c r="B83" s="241"/>
      <c r="C83" s="241"/>
      <c r="D83" s="241"/>
      <c r="E83" s="241"/>
      <c r="F83" s="241"/>
      <c r="G83" s="241"/>
      <c r="H83" s="241"/>
      <c r="I83" s="241"/>
      <c r="J83" s="241"/>
      <c r="L83" s="515"/>
      <c r="M83" s="515"/>
      <c r="N83" s="515"/>
      <c r="O83" s="515"/>
      <c r="P83" s="515"/>
      <c r="Q83" s="688"/>
      <c r="R83" s="689"/>
      <c r="S83" s="689"/>
      <c r="T83" s="689"/>
      <c r="U83" s="689"/>
      <c r="V83" s="689"/>
      <c r="W83" s="689"/>
      <c r="X83" s="689"/>
      <c r="Y83" s="689"/>
      <c r="Z83" s="690"/>
      <c r="AA83" s="689"/>
      <c r="AB83" s="689"/>
      <c r="AC83" s="527"/>
    </row>
    <row r="84" spans="2:29" ht="13.5" thickBot="1" x14ac:dyDescent="0.25">
      <c r="B84" s="241"/>
      <c r="C84" s="552" t="s">
        <v>311</v>
      </c>
      <c r="D84" s="938" t="s">
        <v>715</v>
      </c>
      <c r="E84" s="243" t="s">
        <v>145</v>
      </c>
      <c r="F84" s="242" t="s">
        <v>146</v>
      </c>
      <c r="G84" s="243" t="s">
        <v>147</v>
      </c>
      <c r="H84" s="242" t="s">
        <v>180</v>
      </c>
      <c r="I84" s="243" t="s">
        <v>181</v>
      </c>
      <c r="J84" s="242" t="s">
        <v>28</v>
      </c>
      <c r="K84" s="206"/>
      <c r="L84" s="515"/>
      <c r="M84" s="516"/>
      <c r="N84" s="516"/>
      <c r="O84" s="516"/>
      <c r="P84" s="516"/>
      <c r="Q84" s="688"/>
      <c r="R84" s="689"/>
      <c r="S84" s="689"/>
      <c r="T84" s="689"/>
      <c r="U84" s="689"/>
      <c r="V84" s="689"/>
      <c r="W84" s="689"/>
      <c r="X84" s="689"/>
      <c r="Y84" s="689"/>
      <c r="Z84" s="690"/>
      <c r="AA84" s="689"/>
      <c r="AB84" s="689"/>
      <c r="AC84" s="527"/>
    </row>
    <row r="85" spans="2:29" ht="13.5" thickBot="1" x14ac:dyDescent="0.25">
      <c r="B85" s="304" t="s">
        <v>140</v>
      </c>
      <c r="C85" s="308">
        <v>762</v>
      </c>
      <c r="D85" s="305">
        <v>682</v>
      </c>
      <c r="E85" s="305">
        <v>712</v>
      </c>
      <c r="F85" s="305">
        <v>732</v>
      </c>
      <c r="G85" s="305">
        <v>742</v>
      </c>
      <c r="H85" s="305">
        <v>654</v>
      </c>
      <c r="I85" s="305">
        <v>657</v>
      </c>
      <c r="J85" s="309">
        <f>SUM(C85:I85)</f>
        <v>4941</v>
      </c>
      <c r="K85" s="215"/>
      <c r="L85" s="517"/>
      <c r="M85" s="518"/>
      <c r="N85" s="515"/>
      <c r="O85" s="515"/>
      <c r="P85" s="515"/>
      <c r="Q85" s="688"/>
      <c r="R85" s="689"/>
      <c r="S85" s="689"/>
      <c r="T85" s="689"/>
      <c r="U85" s="689"/>
      <c r="V85" s="689"/>
      <c r="W85" s="689"/>
      <c r="X85" s="689"/>
      <c r="Y85" s="689"/>
      <c r="Z85" s="690"/>
      <c r="AA85" s="689"/>
      <c r="AB85" s="689"/>
      <c r="AC85" s="527"/>
    </row>
    <row r="86" spans="2:29" ht="13.5" thickBot="1" x14ac:dyDescent="0.25">
      <c r="B86" s="304" t="s">
        <v>21</v>
      </c>
      <c r="C86" s="305"/>
      <c r="D86" s="305"/>
      <c r="E86" s="305"/>
      <c r="F86" s="305"/>
      <c r="G86" s="305"/>
      <c r="H86" s="305"/>
      <c r="I86" s="305"/>
      <c r="J86" s="309">
        <f>SUM(C86:I86)</f>
        <v>0</v>
      </c>
      <c r="K86" s="217"/>
      <c r="L86" s="517"/>
      <c r="M86" s="515"/>
      <c r="N86" s="515"/>
      <c r="O86" s="515"/>
      <c r="P86" s="515"/>
      <c r="Q86" s="688"/>
      <c r="R86" s="689"/>
      <c r="S86" s="689"/>
      <c r="T86" s="689"/>
      <c r="U86" s="689"/>
      <c r="V86" s="689"/>
      <c r="W86" s="689"/>
      <c r="X86" s="689"/>
      <c r="Y86" s="689"/>
      <c r="Z86" s="690"/>
      <c r="AA86" s="689"/>
      <c r="AB86" s="689"/>
      <c r="AC86" s="527"/>
    </row>
    <row r="87" spans="2:29" ht="13.5" thickBot="1" x14ac:dyDescent="0.25">
      <c r="B87" s="304" t="s">
        <v>13</v>
      </c>
      <c r="C87" s="305"/>
      <c r="D87" s="306"/>
      <c r="E87" s="305"/>
      <c r="F87" s="306"/>
      <c r="G87" s="305"/>
      <c r="H87" s="306"/>
      <c r="I87" s="305"/>
      <c r="J87" s="309">
        <f t="shared" ref="J87:J96" si="13">SUM(C87:I87)</f>
        <v>0</v>
      </c>
      <c r="K87" s="217"/>
      <c r="L87" s="517"/>
      <c r="M87" s="515"/>
      <c r="N87" s="515"/>
      <c r="O87" s="515"/>
      <c r="P87" s="515"/>
      <c r="Q87" s="688"/>
      <c r="R87" s="689"/>
      <c r="S87" s="689"/>
      <c r="T87" s="689"/>
      <c r="U87" s="689"/>
      <c r="V87" s="689"/>
      <c r="W87" s="689"/>
      <c r="X87" s="689"/>
      <c r="Y87" s="689"/>
      <c r="Z87" s="690"/>
      <c r="AA87" s="689"/>
      <c r="AB87" s="689"/>
      <c r="AC87" s="527"/>
    </row>
    <row r="88" spans="2:29" ht="13.5" thickBot="1" x14ac:dyDescent="0.25">
      <c r="B88" s="304" t="s">
        <v>67</v>
      </c>
      <c r="C88" s="305"/>
      <c r="D88" s="306"/>
      <c r="E88" s="305"/>
      <c r="F88" s="306"/>
      <c r="G88" s="305"/>
      <c r="H88" s="306"/>
      <c r="I88" s="305"/>
      <c r="J88" s="309">
        <f t="shared" si="13"/>
        <v>0</v>
      </c>
      <c r="K88" s="217"/>
      <c r="L88" s="517"/>
      <c r="M88" s="515"/>
      <c r="N88" s="515"/>
      <c r="O88" s="515"/>
      <c r="P88" s="515"/>
      <c r="Q88" s="688"/>
      <c r="R88" s="689"/>
      <c r="S88" s="689"/>
      <c r="T88" s="689"/>
      <c r="U88" s="689"/>
      <c r="V88" s="689"/>
      <c r="W88" s="689"/>
      <c r="X88" s="689"/>
      <c r="Y88" s="689"/>
      <c r="Z88" s="690"/>
      <c r="AA88" s="689"/>
      <c r="AB88" s="689"/>
      <c r="AC88" s="527"/>
    </row>
    <row r="89" spans="2:29" ht="13.5" thickBot="1" x14ac:dyDescent="0.25">
      <c r="B89" s="304" t="s">
        <v>13</v>
      </c>
      <c r="C89" s="307"/>
      <c r="D89" s="305"/>
      <c r="E89" s="306"/>
      <c r="F89" s="305"/>
      <c r="G89" s="306"/>
      <c r="H89" s="305"/>
      <c r="I89" s="306"/>
      <c r="J89" s="309">
        <f t="shared" si="13"/>
        <v>0</v>
      </c>
      <c r="K89" s="217"/>
      <c r="L89" s="517"/>
      <c r="M89" s="515"/>
      <c r="N89" s="515"/>
      <c r="O89" s="515"/>
      <c r="P89" s="515"/>
      <c r="Q89" s="691"/>
      <c r="R89" s="691"/>
      <c r="S89" s="691"/>
      <c r="T89" s="691"/>
      <c r="U89" s="691"/>
      <c r="V89" s="691"/>
      <c r="W89" s="691"/>
      <c r="X89" s="691"/>
      <c r="Y89" s="691"/>
      <c r="Z89" s="692"/>
      <c r="AA89" s="691"/>
      <c r="AB89" s="691"/>
      <c r="AC89" s="527"/>
    </row>
    <row r="90" spans="2:29" ht="13.5" thickBot="1" x14ac:dyDescent="0.25">
      <c r="B90" s="304" t="s">
        <v>140</v>
      </c>
      <c r="C90" s="307"/>
      <c r="D90" s="305"/>
      <c r="E90" s="306"/>
      <c r="F90" s="305"/>
      <c r="G90" s="306"/>
      <c r="H90" s="305"/>
      <c r="I90" s="306"/>
      <c r="J90" s="309">
        <f t="shared" si="13"/>
        <v>0</v>
      </c>
      <c r="K90" s="217"/>
      <c r="L90" s="517"/>
      <c r="M90" s="515"/>
      <c r="N90" s="515"/>
      <c r="O90" s="515"/>
      <c r="P90" s="515"/>
      <c r="Q90" s="693"/>
      <c r="R90" s="693"/>
      <c r="S90" s="693"/>
      <c r="T90" s="693"/>
      <c r="U90" s="693"/>
      <c r="V90" s="693"/>
      <c r="W90" s="693"/>
      <c r="X90" s="693"/>
      <c r="Y90" s="693"/>
      <c r="Z90" s="693"/>
      <c r="AA90" s="693"/>
      <c r="AB90" s="693"/>
      <c r="AC90" s="527"/>
    </row>
    <row r="91" spans="2:29" ht="13.5" thickBot="1" x14ac:dyDescent="0.25">
      <c r="B91" s="303" t="s">
        <v>140</v>
      </c>
      <c r="C91" s="447"/>
      <c r="D91" s="447"/>
      <c r="E91" s="447"/>
      <c r="F91" s="447"/>
      <c r="G91" s="447"/>
      <c r="H91" s="447"/>
      <c r="I91" s="447"/>
      <c r="J91" s="309">
        <f t="shared" si="13"/>
        <v>0</v>
      </c>
      <c r="K91" s="217"/>
      <c r="L91" s="517"/>
      <c r="M91" s="520"/>
      <c r="N91" s="520"/>
      <c r="O91" s="520"/>
      <c r="P91" s="520"/>
      <c r="Q91" s="522"/>
      <c r="R91" s="522"/>
      <c r="S91" s="446"/>
      <c r="T91" s="446"/>
      <c r="U91" s="446"/>
      <c r="V91" s="522"/>
      <c r="W91" s="522"/>
      <c r="X91" s="522"/>
      <c r="Y91" s="522"/>
      <c r="Z91" s="446"/>
      <c r="AA91" s="1317"/>
      <c r="AB91" s="1317"/>
      <c r="AC91" s="527"/>
    </row>
    <row r="92" spans="2:29" ht="13.5" thickBot="1" x14ac:dyDescent="0.25">
      <c r="B92" s="304" t="s">
        <v>67</v>
      </c>
      <c r="C92" s="448"/>
      <c r="D92" s="449"/>
      <c r="E92" s="448"/>
      <c r="F92" s="449"/>
      <c r="G92" s="448"/>
      <c r="H92" s="449"/>
      <c r="I92" s="448"/>
      <c r="J92" s="309">
        <f t="shared" si="13"/>
        <v>0</v>
      </c>
      <c r="K92" s="217"/>
      <c r="L92" s="517"/>
      <c r="M92" s="520"/>
      <c r="N92" s="520"/>
      <c r="O92" s="520"/>
      <c r="P92" s="520"/>
      <c r="Q92" s="520"/>
      <c r="R92" s="520"/>
      <c r="S92" s="520"/>
      <c r="T92" s="519"/>
      <c r="U92" s="446"/>
    </row>
    <row r="93" spans="2:29" ht="13.5" thickBot="1" x14ac:dyDescent="0.25">
      <c r="B93" s="304" t="s">
        <v>66</v>
      </c>
      <c r="C93" s="305"/>
      <c r="D93" s="306"/>
      <c r="E93" s="305"/>
      <c r="F93" s="306"/>
      <c r="G93" s="305"/>
      <c r="H93" s="306"/>
      <c r="I93" s="305"/>
      <c r="J93" s="309">
        <f t="shared" si="13"/>
        <v>0</v>
      </c>
      <c r="K93" s="805"/>
      <c r="L93" s="517"/>
      <c r="M93" s="515"/>
      <c r="N93" s="515"/>
      <c r="O93" s="515"/>
      <c r="P93" s="515"/>
      <c r="Q93" s="515"/>
      <c r="R93" s="515"/>
      <c r="S93" s="515"/>
      <c r="T93" s="519"/>
      <c r="U93" s="446"/>
    </row>
    <row r="94" spans="2:29" ht="13.5" thickBot="1" x14ac:dyDescent="0.25">
      <c r="B94" s="497" t="s">
        <v>100</v>
      </c>
      <c r="C94" s="497"/>
      <c r="D94" s="497"/>
      <c r="E94" s="497"/>
      <c r="F94" s="497"/>
      <c r="G94" s="497"/>
      <c r="H94" s="497"/>
      <c r="I94" s="497"/>
      <c r="J94" s="498">
        <f t="shared" si="13"/>
        <v>0</v>
      </c>
      <c r="K94" s="805"/>
      <c r="L94" s="520"/>
      <c r="M94" s="520"/>
      <c r="N94" s="520"/>
      <c r="O94" s="520"/>
      <c r="P94" s="520"/>
      <c r="Q94" s="520"/>
      <c r="R94" s="520"/>
      <c r="S94" s="520"/>
      <c r="T94" s="521"/>
      <c r="U94" s="446"/>
    </row>
    <row r="95" spans="2:29" ht="13.5" thickBot="1" x14ac:dyDescent="0.25">
      <c r="B95" s="303" t="s">
        <v>141</v>
      </c>
      <c r="C95" s="325"/>
      <c r="D95" s="326"/>
      <c r="E95" s="327"/>
      <c r="F95" s="326"/>
      <c r="G95" s="327"/>
      <c r="H95" s="326"/>
      <c r="I95" s="327"/>
      <c r="J95" s="309">
        <f>SUM(C95:I95)</f>
        <v>0</v>
      </c>
      <c r="K95" s="805"/>
      <c r="L95" s="517"/>
      <c r="M95" s="489"/>
      <c r="N95" s="489"/>
      <c r="O95" s="489"/>
      <c r="P95" s="489"/>
      <c r="Q95" s="489"/>
      <c r="R95" s="489"/>
      <c r="S95" s="489"/>
      <c r="T95" s="519"/>
      <c r="U95" s="446"/>
    </row>
    <row r="96" spans="2:29" ht="13.5" thickBot="1" x14ac:dyDescent="0.25">
      <c r="B96" s="304" t="s">
        <v>16</v>
      </c>
      <c r="C96" s="307"/>
      <c r="D96" s="305"/>
      <c r="E96" s="306"/>
      <c r="F96" s="305"/>
      <c r="G96" s="306"/>
      <c r="H96" s="305"/>
      <c r="I96" s="306"/>
      <c r="J96" s="309">
        <f t="shared" si="13"/>
        <v>0</v>
      </c>
      <c r="L96" s="517"/>
      <c r="M96" s="515"/>
      <c r="N96" s="515"/>
      <c r="O96" s="515"/>
      <c r="P96" s="515"/>
      <c r="Q96" s="515"/>
      <c r="R96" s="515"/>
      <c r="S96" s="515"/>
      <c r="T96" s="519"/>
      <c r="U96" s="446"/>
    </row>
    <row r="97" spans="2:21" ht="9" customHeight="1" thickBot="1" x14ac:dyDescent="0.25">
      <c r="J97" s="222"/>
      <c r="L97" s="522"/>
      <c r="M97" s="522"/>
      <c r="N97" s="446"/>
      <c r="O97" s="446"/>
      <c r="P97" s="446"/>
      <c r="Q97" s="522"/>
      <c r="R97" s="522"/>
      <c r="S97" s="522"/>
      <c r="T97" s="523"/>
      <c r="U97" s="446"/>
    </row>
    <row r="98" spans="2:21" ht="18.600000000000001" customHeight="1" thickBot="1" x14ac:dyDescent="0.25">
      <c r="B98" s="311" t="s">
        <v>28</v>
      </c>
      <c r="C98" s="310">
        <f>SUM(C85:C96)</f>
        <v>762</v>
      </c>
      <c r="D98" s="309">
        <f t="shared" ref="D98:I98" si="14">SUM(D85:D96)</f>
        <v>682</v>
      </c>
      <c r="E98" s="309">
        <f t="shared" si="14"/>
        <v>712</v>
      </c>
      <c r="F98" s="309">
        <f t="shared" si="14"/>
        <v>732</v>
      </c>
      <c r="G98" s="309">
        <f t="shared" si="14"/>
        <v>742</v>
      </c>
      <c r="H98" s="309">
        <f t="shared" si="14"/>
        <v>654</v>
      </c>
      <c r="I98" s="309">
        <f t="shared" si="14"/>
        <v>657</v>
      </c>
      <c r="J98" s="309">
        <f>SUM(J85:J96)</f>
        <v>4941</v>
      </c>
      <c r="L98" s="524"/>
      <c r="M98" s="519"/>
      <c r="N98" s="519"/>
      <c r="O98" s="519"/>
      <c r="P98" s="519"/>
      <c r="Q98" s="519"/>
      <c r="R98" s="519"/>
      <c r="S98" s="519"/>
      <c r="T98" s="519"/>
      <c r="U98" s="446"/>
    </row>
    <row r="99" spans="2:21" ht="18.600000000000001" customHeight="1" thickBot="1" x14ac:dyDescent="0.25">
      <c r="B99" s="302"/>
      <c r="C99" s="302">
        <v>23</v>
      </c>
      <c r="D99" s="302">
        <v>23</v>
      </c>
      <c r="E99" s="302">
        <v>22</v>
      </c>
      <c r="F99" s="302">
        <v>23</v>
      </c>
      <c r="G99" s="302">
        <v>23</v>
      </c>
      <c r="H99" s="302">
        <v>23</v>
      </c>
      <c r="I99" s="302">
        <v>23</v>
      </c>
      <c r="J99" s="302">
        <f>SUM(C99:I99)</f>
        <v>160</v>
      </c>
      <c r="L99" s="525"/>
      <c r="M99" s="525"/>
      <c r="N99" s="525"/>
      <c r="O99" s="525"/>
      <c r="P99" s="525"/>
      <c r="Q99" s="525"/>
      <c r="R99" s="525"/>
      <c r="S99" s="525"/>
      <c r="T99" s="525"/>
      <c r="U99" s="446"/>
    </row>
    <row r="100" spans="2:21" ht="18.600000000000001" customHeight="1" thickBot="1" x14ac:dyDescent="0.25">
      <c r="B100" s="318" t="s">
        <v>172</v>
      </c>
      <c r="C100" s="313">
        <f>C98/365</f>
        <v>2.0876712328767124</v>
      </c>
      <c r="D100" s="314">
        <f t="shared" ref="D100:J100" si="15">D98/365</f>
        <v>1.8684931506849316</v>
      </c>
      <c r="E100" s="314">
        <f t="shared" si="15"/>
        <v>1.9506849315068493</v>
      </c>
      <c r="F100" s="314">
        <f t="shared" si="15"/>
        <v>2.0054794520547947</v>
      </c>
      <c r="G100" s="314">
        <f t="shared" si="15"/>
        <v>2.032876712328767</v>
      </c>
      <c r="H100" s="314">
        <f t="shared" si="15"/>
        <v>1.7917808219178082</v>
      </c>
      <c r="I100" s="314">
        <f t="shared" si="15"/>
        <v>1.8</v>
      </c>
      <c r="J100" s="314">
        <f t="shared" si="15"/>
        <v>13.536986301369863</v>
      </c>
      <c r="L100" s="526"/>
      <c r="M100" s="527"/>
      <c r="N100" s="527"/>
      <c r="O100" s="527"/>
      <c r="P100" s="527"/>
      <c r="Q100" s="527"/>
      <c r="R100" s="527"/>
      <c r="S100" s="527"/>
      <c r="T100" s="527"/>
      <c r="U100" s="446"/>
    </row>
    <row r="101" spans="2:21" ht="9.6" customHeight="1" thickBot="1" x14ac:dyDescent="0.25">
      <c r="B101" s="319"/>
      <c r="C101" s="315"/>
      <c r="D101" s="315"/>
      <c r="E101" s="315"/>
      <c r="F101" s="315"/>
      <c r="G101" s="315"/>
      <c r="H101" s="315"/>
      <c r="I101" s="315"/>
      <c r="J101" s="316"/>
      <c r="L101" s="526"/>
      <c r="M101" s="513"/>
      <c r="N101" s="513"/>
      <c r="O101" s="513"/>
      <c r="P101" s="513"/>
      <c r="Q101" s="513"/>
      <c r="R101" s="513"/>
      <c r="S101" s="513"/>
      <c r="T101" s="513"/>
      <c r="U101" s="446"/>
    </row>
    <row r="102" spans="2:21" ht="18.600000000000001" customHeight="1" thickBot="1" x14ac:dyDescent="0.25">
      <c r="B102" s="318" t="s">
        <v>173</v>
      </c>
      <c r="C102" s="317">
        <f>C100/C99</f>
        <v>9.0768314472900541E-2</v>
      </c>
      <c r="D102" s="317">
        <f t="shared" ref="D102:I102" si="16">D100/D99</f>
        <v>8.1238832638475283E-2</v>
      </c>
      <c r="E102" s="317">
        <f>E100/E99</f>
        <v>8.8667496886674968E-2</v>
      </c>
      <c r="F102" s="317">
        <f t="shared" si="16"/>
        <v>8.7194758784991069E-2</v>
      </c>
      <c r="G102" s="317">
        <f t="shared" si="16"/>
        <v>8.8385944014294213E-2</v>
      </c>
      <c r="H102" s="317">
        <f t="shared" si="16"/>
        <v>7.7903513996426449E-2</v>
      </c>
      <c r="I102" s="317">
        <f t="shared" si="16"/>
        <v>7.8260869565217397E-2</v>
      </c>
      <c r="J102" s="317">
        <f>J100/J99</f>
        <v>8.4606164383561638E-2</v>
      </c>
      <c r="L102" s="526"/>
      <c r="M102" s="528"/>
      <c r="N102" s="528"/>
      <c r="O102" s="528"/>
      <c r="P102" s="528"/>
      <c r="Q102" s="528"/>
      <c r="R102" s="528"/>
      <c r="S102" s="528"/>
      <c r="T102" s="528"/>
      <c r="U102" s="446"/>
    </row>
    <row r="103" spans="2:21" ht="13.5" thickBot="1" x14ac:dyDescent="0.25">
      <c r="B103" s="302"/>
      <c r="C103" s="302"/>
      <c r="D103" s="302"/>
      <c r="E103" s="302"/>
      <c r="F103" s="302"/>
      <c r="G103" s="302"/>
      <c r="H103" s="302"/>
      <c r="I103" s="302"/>
      <c r="J103" s="302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</row>
    <row r="104" spans="2:21" x14ac:dyDescent="0.2">
      <c r="B104" s="302"/>
      <c r="C104" s="302"/>
      <c r="D104" s="1331" t="s">
        <v>255</v>
      </c>
      <c r="E104" s="1332"/>
      <c r="F104" s="1333"/>
      <c r="G104" s="302"/>
      <c r="H104" s="438" t="s">
        <v>256</v>
      </c>
      <c r="I104" s="439"/>
      <c r="J104" s="440"/>
      <c r="K104" s="442">
        <v>42401</v>
      </c>
      <c r="L104" s="446"/>
      <c r="M104" s="446"/>
      <c r="N104" s="446"/>
      <c r="O104" s="446"/>
      <c r="P104" s="446"/>
      <c r="Q104" s="446"/>
      <c r="R104" s="529"/>
      <c r="S104" s="529"/>
      <c r="T104" s="529"/>
      <c r="U104" s="530"/>
    </row>
    <row r="105" spans="2:21" x14ac:dyDescent="0.2">
      <c r="D105" s="1319" t="s">
        <v>254</v>
      </c>
      <c r="E105" s="1320"/>
      <c r="F105" s="435">
        <f>161*366</f>
        <v>58926</v>
      </c>
      <c r="H105" s="432" t="s">
        <v>290</v>
      </c>
      <c r="I105" s="431"/>
      <c r="J105" s="436">
        <f>(K104-K105)*161</f>
        <v>4991</v>
      </c>
      <c r="K105" s="441">
        <v>42370</v>
      </c>
      <c r="L105" s="446"/>
      <c r="M105" s="446"/>
      <c r="N105" s="446"/>
      <c r="O105" s="446"/>
      <c r="P105" s="446"/>
      <c r="Q105" s="446"/>
      <c r="R105" s="499"/>
      <c r="S105" s="499"/>
      <c r="T105" s="531"/>
      <c r="U105" s="532"/>
    </row>
    <row r="106" spans="2:21" x14ac:dyDescent="0.2">
      <c r="D106" s="432" t="s">
        <v>292</v>
      </c>
      <c r="E106" s="431"/>
      <c r="F106" s="436">
        <f>J98-F105</f>
        <v>-53985</v>
      </c>
      <c r="H106" s="432" t="s">
        <v>133</v>
      </c>
      <c r="I106" s="431"/>
      <c r="J106" s="436">
        <f>J98-J105</f>
        <v>-50</v>
      </c>
      <c r="L106" s="446"/>
      <c r="M106" s="446"/>
      <c r="N106" s="446"/>
      <c r="O106" s="446"/>
      <c r="P106" s="446"/>
      <c r="Q106" s="446"/>
      <c r="R106" s="499"/>
      <c r="S106" s="499"/>
      <c r="T106" s="531"/>
      <c r="U106" s="446"/>
    </row>
    <row r="107" spans="2:21" ht="13.5" thickBot="1" x14ac:dyDescent="0.25">
      <c r="D107" s="433" t="s">
        <v>253</v>
      </c>
      <c r="E107" s="434"/>
      <c r="F107" s="437">
        <f>J98/(161*365)</f>
        <v>8.4080660256955667E-2</v>
      </c>
      <c r="H107" s="433" t="s">
        <v>253</v>
      </c>
      <c r="I107" s="434"/>
      <c r="J107" s="437">
        <f>J98/J105</f>
        <v>0.98998196754157486</v>
      </c>
      <c r="L107" s="446"/>
      <c r="M107" s="446"/>
      <c r="N107" s="446"/>
      <c r="O107" s="446"/>
      <c r="P107" s="446"/>
      <c r="Q107" s="446"/>
      <c r="R107" s="533"/>
      <c r="S107" s="534"/>
      <c r="T107" s="535"/>
      <c r="U107" s="446"/>
    </row>
    <row r="108" spans="2:21" x14ac:dyDescent="0.2">
      <c r="H108" s="1319" t="s">
        <v>291</v>
      </c>
      <c r="I108" s="1320"/>
      <c r="J108" s="435">
        <f>J105*0.98</f>
        <v>4891.18</v>
      </c>
      <c r="K108" s="835">
        <f>J108*6.8/7</f>
        <v>4751.4319999999998</v>
      </c>
      <c r="L108" s="446" t="s">
        <v>640</v>
      </c>
      <c r="M108" s="446"/>
      <c r="N108" s="446"/>
      <c r="O108" s="446"/>
      <c r="P108" s="446"/>
      <c r="Q108" s="446"/>
      <c r="R108" s="1318"/>
      <c r="S108" s="1318"/>
      <c r="T108" s="536"/>
      <c r="U108" s="446"/>
    </row>
    <row r="109" spans="2:21" x14ac:dyDescent="0.2">
      <c r="F109">
        <f>F105*0.98</f>
        <v>57747.479999999996</v>
      </c>
      <c r="H109" s="432" t="s">
        <v>133</v>
      </c>
      <c r="I109" s="431"/>
      <c r="J109" s="436">
        <f>J98-J108</f>
        <v>49.819999999999709</v>
      </c>
      <c r="K109" s="221">
        <f>J98-K108</f>
        <v>189.56800000000021</v>
      </c>
      <c r="L109" s="446"/>
      <c r="M109" s="446"/>
      <c r="N109" s="446"/>
      <c r="O109" s="446"/>
      <c r="P109" s="446"/>
      <c r="Q109" s="446"/>
      <c r="R109" s="499"/>
      <c r="S109" s="499"/>
      <c r="T109" s="531"/>
      <c r="U109" s="446"/>
    </row>
    <row r="110" spans="2:21" ht="13.5" thickBot="1" x14ac:dyDescent="0.25">
      <c r="H110" s="433" t="s">
        <v>261</v>
      </c>
      <c r="I110" s="434"/>
      <c r="J110" s="437">
        <f>J98/J108</f>
        <v>1.0101856811648722</v>
      </c>
      <c r="K110" s="751">
        <f>J98/K108</f>
        <v>1.0398970247285451</v>
      </c>
      <c r="L110" s="446"/>
      <c r="M110" s="446"/>
      <c r="N110" s="446"/>
      <c r="O110" s="446"/>
      <c r="P110" s="446"/>
      <c r="Q110" s="446"/>
      <c r="R110" s="533"/>
      <c r="S110" s="534"/>
      <c r="T110" s="535"/>
      <c r="U110" s="446"/>
    </row>
  </sheetData>
  <mergeCells count="10">
    <mergeCell ref="AA91:AB91"/>
    <mergeCell ref="R108:S108"/>
    <mergeCell ref="H108:I108"/>
    <mergeCell ref="H15:I15"/>
    <mergeCell ref="B82:J82"/>
    <mergeCell ref="L81:M81"/>
    <mergeCell ref="A41:B41"/>
    <mergeCell ref="H31:I31"/>
    <mergeCell ref="D105:E105"/>
    <mergeCell ref="D104:F104"/>
  </mergeCells>
  <phoneticPr fontId="0" type="noConversion"/>
  <pageMargins left="0.23622047244094491" right="0.23622047244094491" top="0.39370078740157483" bottom="0.39370078740157483" header="0.31496062992125984" footer="0.31496062992125984"/>
  <pageSetup paperSize="9" orientation="landscape" horizontalDpi="300" verticalDpi="300" r:id="rId1"/>
  <headerFooter alignWithMargins="0">
    <oddHeader>&amp;A</oddHeader>
    <oddFooter>Page &amp;P</oddFooter>
  </headerFooter>
  <rowBreaks count="1" manualBreakCount="1">
    <brk id="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0" sqref="O20"/>
    </sheetView>
  </sheetViews>
  <sheetFormatPr baseColWidth="10" defaultColWidth="11.42578125" defaultRowHeight="12.75" x14ac:dyDescent="0.2"/>
  <cols>
    <col min="1" max="1" width="28.140625" style="638" customWidth="1"/>
    <col min="2" max="2" width="23.7109375" style="638" customWidth="1"/>
    <col min="3" max="3" width="15.85546875" style="638" customWidth="1"/>
    <col min="4" max="5" width="11.42578125" style="821"/>
    <col min="6" max="6" width="3.85546875" style="638" customWidth="1"/>
    <col min="7" max="7" width="3.85546875" style="821" customWidth="1"/>
    <col min="8" max="8" width="3.85546875" style="638" customWidth="1"/>
    <col min="9" max="19" width="11.42578125" style="638"/>
    <col min="20" max="23" width="0" style="638" hidden="1" customWidth="1"/>
    <col min="24" max="31" width="11.42578125" style="638"/>
    <col min="32" max="37" width="0" style="638" hidden="1" customWidth="1"/>
    <col min="38" max="16384" width="11.42578125" style="638"/>
  </cols>
  <sheetData>
    <row r="1" spans="1:72" s="344" customFormat="1" ht="70.150000000000006" customHeight="1" thickBot="1" x14ac:dyDescent="0.25">
      <c r="A1" s="494" t="s">
        <v>410</v>
      </c>
      <c r="B1" s="494" t="s">
        <v>0</v>
      </c>
      <c r="C1" s="330" t="s">
        <v>1</v>
      </c>
      <c r="D1" s="330" t="s">
        <v>2</v>
      </c>
      <c r="E1" s="537" t="s">
        <v>363</v>
      </c>
      <c r="F1" s="329" t="s">
        <v>66</v>
      </c>
      <c r="G1" s="330" t="s">
        <v>67</v>
      </c>
      <c r="H1" s="330" t="s">
        <v>62</v>
      </c>
      <c r="I1" s="453" t="s">
        <v>263</v>
      </c>
      <c r="J1" s="331" t="s">
        <v>8</v>
      </c>
      <c r="K1" s="453" t="s">
        <v>699</v>
      </c>
      <c r="L1" s="453" t="s">
        <v>264</v>
      </c>
      <c r="M1" s="453" t="s">
        <v>419</v>
      </c>
      <c r="N1" s="453" t="s">
        <v>418</v>
      </c>
      <c r="O1" s="757"/>
      <c r="P1" s="757"/>
      <c r="Q1" s="332" t="s">
        <v>9</v>
      </c>
      <c r="R1" s="333" t="s">
        <v>148</v>
      </c>
      <c r="S1" s="334" t="s">
        <v>20</v>
      </c>
      <c r="T1" s="752" t="s">
        <v>123</v>
      </c>
      <c r="U1" s="752" t="s">
        <v>3</v>
      </c>
      <c r="V1" s="753" t="s">
        <v>124</v>
      </c>
      <c r="W1" s="753" t="s">
        <v>125</v>
      </c>
      <c r="X1" s="337" t="s">
        <v>4</v>
      </c>
      <c r="Y1" s="414" t="s">
        <v>5</v>
      </c>
      <c r="Z1" s="330" t="s">
        <v>6</v>
      </c>
      <c r="AA1" s="339" t="s">
        <v>114</v>
      </c>
      <c r="AB1" s="340" t="s">
        <v>109</v>
      </c>
      <c r="AC1" s="340" t="s">
        <v>110</v>
      </c>
      <c r="AD1" s="340" t="s">
        <v>111</v>
      </c>
      <c r="AE1" s="340" t="s">
        <v>112</v>
      </c>
      <c r="AF1" s="754" t="s">
        <v>7</v>
      </c>
      <c r="AG1" s="755" t="s">
        <v>126</v>
      </c>
      <c r="AH1" s="755" t="s">
        <v>127</v>
      </c>
      <c r="AI1" s="756" t="s">
        <v>128</v>
      </c>
      <c r="AJ1" s="756" t="s">
        <v>129</v>
      </c>
      <c r="AK1" s="756" t="s">
        <v>130</v>
      </c>
      <c r="AL1" s="341" t="s">
        <v>10</v>
      </c>
      <c r="AM1" s="330"/>
      <c r="AN1" s="342" t="s">
        <v>174</v>
      </c>
      <c r="AO1" s="338" t="s">
        <v>175</v>
      </c>
      <c r="AP1" s="334" t="s">
        <v>11</v>
      </c>
      <c r="AQ1" s="337" t="s">
        <v>68</v>
      </c>
      <c r="AR1" s="337" t="str">
        <f>Q1</f>
        <v>Sortie</v>
      </c>
      <c r="AS1" s="335" t="s">
        <v>69</v>
      </c>
      <c r="AT1" s="343" t="s">
        <v>176</v>
      </c>
      <c r="AU1" s="363" t="s">
        <v>177</v>
      </c>
      <c r="AV1" s="364">
        <v>42370</v>
      </c>
      <c r="AW1" s="343" t="s">
        <v>149</v>
      </c>
      <c r="AX1" s="428" t="s">
        <v>239</v>
      </c>
      <c r="AY1" s="474" t="s">
        <v>285</v>
      </c>
      <c r="AZ1" s="474" t="s">
        <v>286</v>
      </c>
      <c r="BA1" s="475" t="s">
        <v>287</v>
      </c>
      <c r="BB1" s="476" t="s">
        <v>283</v>
      </c>
      <c r="BC1" s="477" t="s">
        <v>284</v>
      </c>
      <c r="BD1" s="478" t="s">
        <v>277</v>
      </c>
      <c r="BE1" s="475" t="s">
        <v>288</v>
      </c>
      <c r="BF1" s="476" t="s">
        <v>281</v>
      </c>
      <c r="BG1" s="477" t="s">
        <v>282</v>
      </c>
      <c r="BH1" s="478" t="s">
        <v>277</v>
      </c>
      <c r="BI1" s="548" t="s">
        <v>323</v>
      </c>
      <c r="BJ1" s="549" t="s">
        <v>325</v>
      </c>
    </row>
    <row r="2" spans="1:72" s="388" customFormat="1" ht="13.15" customHeight="1" x14ac:dyDescent="0.2">
      <c r="A2" s="1138" t="s">
        <v>752</v>
      </c>
      <c r="B2" s="1138" t="s">
        <v>752</v>
      </c>
      <c r="C2" s="1139" t="s">
        <v>753</v>
      </c>
      <c r="D2" s="353" t="s">
        <v>754</v>
      </c>
      <c r="E2" s="1156" t="s">
        <v>70</v>
      </c>
      <c r="F2" s="1166"/>
      <c r="G2" s="353" t="s">
        <v>67</v>
      </c>
      <c r="H2" s="353"/>
      <c r="I2" s="1167">
        <v>42368</v>
      </c>
      <c r="J2" s="1168">
        <v>42380</v>
      </c>
      <c r="K2" s="1168"/>
      <c r="L2" s="1169">
        <v>26</v>
      </c>
      <c r="M2" s="1168">
        <v>42380</v>
      </c>
      <c r="N2" s="1168">
        <v>42746</v>
      </c>
      <c r="O2" s="1168"/>
      <c r="P2" s="1168"/>
      <c r="Q2" s="1143">
        <v>42736</v>
      </c>
      <c r="R2" s="1170" t="s">
        <v>156</v>
      </c>
      <c r="S2" s="1163" t="s">
        <v>62</v>
      </c>
      <c r="T2" s="1145">
        <v>37279</v>
      </c>
      <c r="U2" s="763"/>
      <c r="V2" s="353" t="s">
        <v>13</v>
      </c>
      <c r="W2" s="1171"/>
      <c r="X2" s="1145">
        <v>37279</v>
      </c>
      <c r="Y2" s="1146">
        <f t="shared" ref="Y2:Y8" si="0">(AX2-X2)/365</f>
        <v>14.947945205479453</v>
      </c>
      <c r="Z2" s="353" t="s">
        <v>13</v>
      </c>
      <c r="AA2" s="1171"/>
      <c r="AB2" s="763"/>
      <c r="AC2" s="763"/>
      <c r="AD2" s="763"/>
      <c r="AE2" s="763"/>
      <c r="AF2" s="1172"/>
      <c r="AG2" s="1146"/>
      <c r="AH2" s="1173"/>
      <c r="AI2" s="1141">
        <v>42394</v>
      </c>
      <c r="AJ2" s="1174">
        <v>42736</v>
      </c>
      <c r="AK2" s="763">
        <v>342</v>
      </c>
      <c r="AL2" s="1149">
        <v>0</v>
      </c>
      <c r="AM2" s="1150">
        <v>0</v>
      </c>
      <c r="AN2" s="1149">
        <v>0</v>
      </c>
      <c r="AO2" s="1175"/>
      <c r="AP2" s="1176" t="s">
        <v>674</v>
      </c>
      <c r="AQ2" s="1145">
        <v>42380</v>
      </c>
      <c r="AR2" s="1177">
        <v>42736</v>
      </c>
      <c r="AS2" s="1175">
        <v>42731</v>
      </c>
      <c r="AT2" s="1178"/>
      <c r="AU2" s="1179"/>
      <c r="AV2" s="1161"/>
      <c r="AW2" s="1180"/>
      <c r="AX2" s="1161">
        <v>42735</v>
      </c>
      <c r="AY2" s="1181"/>
      <c r="AZ2" s="1181"/>
      <c r="BA2" s="1175"/>
      <c r="BB2" s="1155"/>
      <c r="BC2" s="1156"/>
      <c r="BD2" s="1155"/>
      <c r="BE2" s="1182"/>
      <c r="BF2" s="1155"/>
      <c r="BG2" s="1156"/>
      <c r="BH2" s="1157"/>
      <c r="BI2" s="1183"/>
      <c r="BJ2" s="1158"/>
      <c r="BK2" s="1165"/>
      <c r="BL2" s="1165"/>
      <c r="BM2" s="1165"/>
      <c r="BN2" s="1165"/>
      <c r="BO2" s="1165"/>
      <c r="BP2" s="1165"/>
      <c r="BQ2" s="1165"/>
      <c r="BR2" s="1165"/>
      <c r="BS2" s="1165"/>
      <c r="BT2" s="1165"/>
    </row>
    <row r="3" spans="1:72" s="388" customFormat="1" ht="13.15" customHeight="1" x14ac:dyDescent="0.2">
      <c r="A3" s="1138" t="s">
        <v>755</v>
      </c>
      <c r="B3" s="1138" t="s">
        <v>755</v>
      </c>
      <c r="C3" s="1139" t="s">
        <v>202</v>
      </c>
      <c r="D3" s="353" t="s">
        <v>179</v>
      </c>
      <c r="E3" s="1156" t="s">
        <v>183</v>
      </c>
      <c r="F3" s="1166"/>
      <c r="G3" s="353" t="s">
        <v>67</v>
      </c>
      <c r="H3" s="353"/>
      <c r="I3" s="1167">
        <v>42368</v>
      </c>
      <c r="J3" s="1168">
        <v>42380</v>
      </c>
      <c r="K3" s="1168"/>
      <c r="L3" s="1184">
        <v>23</v>
      </c>
      <c r="M3" s="1143">
        <v>42380</v>
      </c>
      <c r="N3" s="1143">
        <v>42746</v>
      </c>
      <c r="O3" s="1143"/>
      <c r="P3" s="1143"/>
      <c r="Q3" s="1143">
        <v>42736</v>
      </c>
      <c r="R3" s="1170" t="s">
        <v>156</v>
      </c>
      <c r="S3" s="1163" t="s">
        <v>62</v>
      </c>
      <c r="T3" s="353">
        <v>36453</v>
      </c>
      <c r="U3" s="1144">
        <v>17.210958904109589</v>
      </c>
      <c r="V3" s="1166" t="s">
        <v>21</v>
      </c>
      <c r="W3" s="1166"/>
      <c r="X3" s="1145">
        <v>36453</v>
      </c>
      <c r="Y3" s="1146">
        <f t="shared" si="0"/>
        <v>17.210958904109589</v>
      </c>
      <c r="Z3" s="353" t="s">
        <v>21</v>
      </c>
      <c r="AA3" s="1171"/>
      <c r="AB3" s="763"/>
      <c r="AC3" s="763"/>
      <c r="AD3" s="763"/>
      <c r="AE3" s="763"/>
      <c r="AF3" s="1172"/>
      <c r="AG3" s="1146"/>
      <c r="AH3" s="1173"/>
      <c r="AI3" s="1141">
        <v>42391</v>
      </c>
      <c r="AJ3" s="1174">
        <v>42736</v>
      </c>
      <c r="AK3" s="763">
        <v>345</v>
      </c>
      <c r="AL3" s="1149">
        <v>0</v>
      </c>
      <c r="AM3" s="1150">
        <v>0</v>
      </c>
      <c r="AN3" s="1149">
        <v>0</v>
      </c>
      <c r="AO3" s="1175"/>
      <c r="AP3" s="1176" t="s">
        <v>674</v>
      </c>
      <c r="AQ3" s="1145">
        <v>42380</v>
      </c>
      <c r="AR3" s="1177">
        <v>42736</v>
      </c>
      <c r="AS3" s="1175">
        <v>42724</v>
      </c>
      <c r="AT3" s="1178"/>
      <c r="AU3" s="1179" t="s">
        <v>674</v>
      </c>
      <c r="AV3" s="1161"/>
      <c r="AW3" s="1185"/>
      <c r="AX3" s="1161">
        <v>42735</v>
      </c>
      <c r="AY3" s="1181"/>
      <c r="AZ3" s="1181"/>
      <c r="BA3" s="1175"/>
      <c r="BB3" s="1162"/>
      <c r="BD3" s="1155"/>
      <c r="BE3" s="1182"/>
      <c r="BF3" s="1155"/>
      <c r="BG3" s="1156"/>
      <c r="BH3" s="1155"/>
      <c r="BI3" s="1183"/>
      <c r="BJ3" s="1158"/>
      <c r="BK3" s="1165"/>
      <c r="BL3" s="1165"/>
      <c r="BM3" s="1165"/>
      <c r="BN3" s="1165"/>
      <c r="BO3" s="1165"/>
      <c r="BP3" s="1165"/>
      <c r="BQ3" s="1165"/>
      <c r="BR3" s="1165"/>
      <c r="BS3" s="1165"/>
      <c r="BT3" s="1165"/>
    </row>
    <row r="4" spans="1:72" s="388" customFormat="1" ht="13.15" customHeight="1" x14ac:dyDescent="0.2">
      <c r="A4" s="1138" t="s">
        <v>722</v>
      </c>
      <c r="B4" s="1138" t="s">
        <v>722</v>
      </c>
      <c r="C4" s="1139" t="s">
        <v>724</v>
      </c>
      <c r="D4" s="353" t="s">
        <v>138</v>
      </c>
      <c r="E4" s="353" t="s">
        <v>183</v>
      </c>
      <c r="F4" s="353"/>
      <c r="G4" s="353" t="s">
        <v>67</v>
      </c>
      <c r="H4" s="353"/>
      <c r="I4" s="1140">
        <v>42339</v>
      </c>
      <c r="J4" s="1141">
        <v>42380</v>
      </c>
      <c r="K4" s="1141"/>
      <c r="L4" s="1159">
        <f>IF(I4&lt;&gt;"",J4-I4,"")</f>
        <v>41</v>
      </c>
      <c r="M4" s="1141">
        <v>42380</v>
      </c>
      <c r="N4" s="1141">
        <v>42746</v>
      </c>
      <c r="O4" s="1141"/>
      <c r="P4" s="1141"/>
      <c r="Q4" s="1141">
        <v>42746</v>
      </c>
      <c r="R4" s="1143" t="s">
        <v>16</v>
      </c>
      <c r="S4" s="353" t="s">
        <v>13</v>
      </c>
      <c r="T4" s="1145"/>
      <c r="U4" s="1146"/>
      <c r="V4" s="353"/>
      <c r="W4" s="763"/>
      <c r="X4" s="1145">
        <v>37797</v>
      </c>
      <c r="Y4" s="1146">
        <f>(AX4-X4)/365</f>
        <v>13.528767123287672</v>
      </c>
      <c r="Z4" s="353" t="s">
        <v>13</v>
      </c>
      <c r="AA4" s="763" t="str">
        <f>IF(Y4&lt;6,IF(Z4="M","M","F"),"")</f>
        <v/>
      </c>
      <c r="AB4" s="763" t="str">
        <f>IF(AND(Y4&gt;=6,Y4&lt;11),IF(Z4="M","M","F"),"")</f>
        <v/>
      </c>
      <c r="AC4" s="1160" t="s">
        <v>674</v>
      </c>
      <c r="AD4" s="763"/>
      <c r="AE4" s="763"/>
      <c r="AF4" s="1148"/>
      <c r="AG4" s="763"/>
      <c r="AH4" s="1150"/>
      <c r="AI4" s="1150"/>
      <c r="AJ4" s="1149"/>
      <c r="AK4" s="326"/>
      <c r="AL4" s="1143"/>
      <c r="AM4" s="1151"/>
      <c r="AN4" s="763"/>
      <c r="AO4" s="763"/>
      <c r="AP4" s="1152"/>
      <c r="AQ4" s="1141">
        <v>42380</v>
      </c>
      <c r="AR4" s="1148">
        <f>Q4</f>
        <v>42746</v>
      </c>
      <c r="AS4" s="763">
        <f>Q4-AQ4</f>
        <v>366</v>
      </c>
      <c r="AT4" s="1149">
        <f>IF(AQ4&gt;'[1]calculs enfants présents'!$A$56,0,IF(Q4&lt;'[1]calculs enfants présents'!$A$56,Q4-AQ4,'[1]calculs enfants présents'!$A$56-AQ4))</f>
        <v>0</v>
      </c>
      <c r="AU4" s="1150">
        <f>IF($AQ4&gt;$AV$1,0,IF($Q4&lt;$AV$1,$Q4-$AQ4,$AV$1-$AQ4))</f>
        <v>0</v>
      </c>
      <c r="AV4" s="1149">
        <f>AT4-AU4</f>
        <v>0</v>
      </c>
      <c r="AW4" s="1144"/>
      <c r="AX4" s="1143">
        <v>42735</v>
      </c>
      <c r="AY4" s="1151">
        <f>N4</f>
        <v>42746</v>
      </c>
      <c r="AZ4" s="1151">
        <f>AR4</f>
        <v>42746</v>
      </c>
      <c r="BA4" s="1151">
        <f>(N4-30)-(WEEKDAY(N4-30,2)-2)</f>
        <v>42717</v>
      </c>
      <c r="BB4" s="1144"/>
      <c r="BC4" s="1144"/>
      <c r="BD4" s="1144"/>
      <c r="BE4" s="1154" t="str">
        <f>IF(K4&lt;&gt;"",(K4+90)-(WEEKDAY(K4+90,2)-2),"DIPC")</f>
        <v>DIPC</v>
      </c>
      <c r="BH4" s="1165"/>
      <c r="BJ4" s="1186"/>
    </row>
    <row r="5" spans="1:72" s="388" customFormat="1" ht="13.15" customHeight="1" x14ac:dyDescent="0.2">
      <c r="A5" s="1138" t="s">
        <v>722</v>
      </c>
      <c r="B5" s="1138" t="s">
        <v>722</v>
      </c>
      <c r="C5" s="1139" t="s">
        <v>723</v>
      </c>
      <c r="D5" s="353" t="s">
        <v>138</v>
      </c>
      <c r="E5" s="353" t="s">
        <v>183</v>
      </c>
      <c r="F5" s="353"/>
      <c r="G5" s="353" t="s">
        <v>67</v>
      </c>
      <c r="H5" s="353"/>
      <c r="I5" s="1140">
        <v>42339</v>
      </c>
      <c r="J5" s="1141">
        <v>42380</v>
      </c>
      <c r="K5" s="1141"/>
      <c r="L5" s="1159">
        <v>48</v>
      </c>
      <c r="M5" s="1141">
        <v>42380</v>
      </c>
      <c r="N5" s="1141">
        <v>42746</v>
      </c>
      <c r="O5" s="1141"/>
      <c r="P5" s="1141"/>
      <c r="Q5" s="1141">
        <v>42746</v>
      </c>
      <c r="R5" s="1143" t="s">
        <v>16</v>
      </c>
      <c r="S5" s="353" t="s">
        <v>13</v>
      </c>
      <c r="T5" s="763"/>
      <c r="U5" s="763"/>
      <c r="V5" s="763"/>
      <c r="W5" s="763"/>
      <c r="X5" s="1145">
        <v>37401</v>
      </c>
      <c r="Y5" s="1146">
        <f>(AX5-X5)/365</f>
        <v>14.613698630136986</v>
      </c>
      <c r="Z5" s="353" t="s">
        <v>21</v>
      </c>
      <c r="AA5" s="763" t="str">
        <f>IF(Y5&lt;6,IF(Z5="M","M","F"),"")</f>
        <v/>
      </c>
      <c r="AB5" s="763" t="str">
        <f>IF(AND(Y5&gt;=6,Y5&lt;11),IF(Z5="M","M","F"),"")</f>
        <v/>
      </c>
      <c r="AC5" s="1160" t="s">
        <v>674</v>
      </c>
      <c r="AD5" s="763"/>
      <c r="AE5" s="763"/>
      <c r="AF5" s="1140"/>
      <c r="AG5" s="1191"/>
      <c r="AH5" s="1140"/>
      <c r="AI5" s="353"/>
      <c r="AJ5" s="1140"/>
      <c r="AK5" s="1144"/>
      <c r="AL5" s="353"/>
      <c r="AM5" s="1144"/>
      <c r="AN5" s="763"/>
      <c r="AO5" s="763"/>
      <c r="AP5" s="1144"/>
      <c r="AQ5" s="1141">
        <v>42380</v>
      </c>
      <c r="AR5" s="1148">
        <f>Q5</f>
        <v>42746</v>
      </c>
      <c r="AS5" s="763">
        <f>Q5-AQ5</f>
        <v>366</v>
      </c>
      <c r="AT5" s="1149">
        <f>IF(AQ5&gt;'[1]calculs enfants présents'!$A$56,0,IF(Q5&lt;'[1]calculs enfants présents'!$A$56,Q5-AQ5,'[1]calculs enfants présents'!$A$56-AQ5))</f>
        <v>0</v>
      </c>
      <c r="AU5" s="1150">
        <f>IF($AQ5&gt;$AV$1,0,IF($Q5&lt;$AV$1,$Q5-$AQ5,$AV$1-$AQ5))</f>
        <v>0</v>
      </c>
      <c r="AV5" s="1149">
        <f>AT5-AU5</f>
        <v>0</v>
      </c>
      <c r="AW5" s="1144"/>
      <c r="AX5" s="1143">
        <v>42735</v>
      </c>
      <c r="AY5" s="1151">
        <f>N5</f>
        <v>42746</v>
      </c>
      <c r="AZ5" s="1151">
        <f>AR5</f>
        <v>42746</v>
      </c>
      <c r="BA5" s="1151">
        <f>(N5-30)-(WEEKDAY(N5-30,2)-2)</f>
        <v>42717</v>
      </c>
      <c r="BB5" s="1144"/>
      <c r="BC5" s="1144"/>
      <c r="BD5" s="1144"/>
      <c r="BE5" s="1154" t="str">
        <f>IF(K5&lt;&gt;"",(K5+90)-(WEEKDAY(K5+90,2)-2),"DIPC")</f>
        <v>DIPC</v>
      </c>
      <c r="BH5" s="1186"/>
      <c r="BJ5" s="1186"/>
    </row>
    <row r="6" spans="1:72" s="388" customFormat="1" ht="12.75" customHeight="1" x14ac:dyDescent="0.2">
      <c r="A6" s="1138" t="s">
        <v>756</v>
      </c>
      <c r="B6" s="1138" t="s">
        <v>759</v>
      </c>
      <c r="C6" s="1139" t="s">
        <v>757</v>
      </c>
      <c r="D6" s="353" t="s">
        <v>87</v>
      </c>
      <c r="E6" s="1156" t="s">
        <v>179</v>
      </c>
      <c r="F6" s="1166"/>
      <c r="G6" s="353" t="s">
        <v>67</v>
      </c>
      <c r="H6" s="353"/>
      <c r="I6" s="1167">
        <v>42368</v>
      </c>
      <c r="J6" s="1168">
        <v>42380</v>
      </c>
      <c r="K6" s="1168"/>
      <c r="L6" s="1169">
        <v>48</v>
      </c>
      <c r="M6" s="1168">
        <v>42380</v>
      </c>
      <c r="N6" s="1168">
        <v>42746</v>
      </c>
      <c r="O6" s="1168"/>
      <c r="P6" s="1168"/>
      <c r="Q6" s="1143">
        <v>42736</v>
      </c>
      <c r="R6" s="1170" t="s">
        <v>16</v>
      </c>
      <c r="S6" s="1163" t="s">
        <v>20</v>
      </c>
      <c r="T6" s="353"/>
      <c r="U6" s="1144"/>
      <c r="V6" s="1166"/>
      <c r="W6" s="1166"/>
      <c r="X6" s="1145">
        <v>41093</v>
      </c>
      <c r="Y6" s="1146">
        <f t="shared" si="0"/>
        <v>4.4986301369863018</v>
      </c>
      <c r="Z6" s="1192" t="s">
        <v>13</v>
      </c>
      <c r="AA6" s="1193"/>
      <c r="AB6" s="1160"/>
      <c r="AC6" s="1160"/>
      <c r="AD6" s="1160"/>
      <c r="AE6" s="1160"/>
      <c r="AF6" s="1194"/>
      <c r="AG6" s="1195"/>
      <c r="AH6" s="1195"/>
      <c r="AI6" s="1195"/>
      <c r="AJ6" s="1195"/>
      <c r="AK6" s="1195"/>
      <c r="AL6" s="1149">
        <v>0</v>
      </c>
      <c r="AM6" s="1150">
        <v>0</v>
      </c>
      <c r="AN6" s="1149">
        <v>0</v>
      </c>
      <c r="AO6" s="1196"/>
      <c r="AP6" s="1197"/>
      <c r="AQ6" s="1145">
        <v>42380</v>
      </c>
      <c r="AR6" s="1198">
        <v>42736</v>
      </c>
      <c r="AS6" s="1182" t="s">
        <v>339</v>
      </c>
      <c r="AT6" s="1149"/>
      <c r="AU6" s="1149"/>
      <c r="AV6" s="1149"/>
      <c r="AW6" s="1180"/>
      <c r="AX6" s="1161">
        <v>42735</v>
      </c>
      <c r="AY6" s="1181"/>
      <c r="AZ6" s="1181"/>
      <c r="BA6" s="1175"/>
      <c r="BB6" s="1183"/>
      <c r="BC6" s="1188"/>
      <c r="BD6" s="1157"/>
      <c r="BE6" s="1182"/>
      <c r="BF6" s="1155"/>
      <c r="BG6" s="1156"/>
      <c r="BH6" s="1157"/>
      <c r="BI6" s="1165"/>
      <c r="BJ6" s="1163"/>
      <c r="BK6" s="1199"/>
      <c r="BL6" s="1199"/>
      <c r="BM6" s="1199"/>
      <c r="BN6" s="1199"/>
      <c r="BO6" s="1199"/>
      <c r="BP6" s="1199"/>
      <c r="BQ6" s="1199"/>
      <c r="BR6" s="1199"/>
      <c r="BS6" s="1200"/>
      <c r="BT6" s="1200"/>
    </row>
    <row r="7" spans="1:72" s="388" customFormat="1" ht="12.75" customHeight="1" x14ac:dyDescent="0.2">
      <c r="A7" s="1138" t="s">
        <v>756</v>
      </c>
      <c r="B7" s="1138" t="s">
        <v>759</v>
      </c>
      <c r="C7" s="1139" t="s">
        <v>758</v>
      </c>
      <c r="D7" s="353" t="s">
        <v>87</v>
      </c>
      <c r="E7" s="1156" t="s">
        <v>179</v>
      </c>
      <c r="F7" s="1166"/>
      <c r="G7" s="353" t="s">
        <v>67</v>
      </c>
      <c r="H7" s="353"/>
      <c r="I7" s="1167">
        <v>42368</v>
      </c>
      <c r="J7" s="1168">
        <v>42380</v>
      </c>
      <c r="K7" s="1168"/>
      <c r="L7" s="1169">
        <v>48</v>
      </c>
      <c r="M7" s="1168">
        <v>42380</v>
      </c>
      <c r="N7" s="1168">
        <v>42746</v>
      </c>
      <c r="O7" s="1168"/>
      <c r="P7" s="1168"/>
      <c r="Q7" s="1143">
        <v>42736</v>
      </c>
      <c r="R7" s="1170" t="s">
        <v>16</v>
      </c>
      <c r="S7" s="1163" t="s">
        <v>20</v>
      </c>
      <c r="T7" s="353"/>
      <c r="U7" s="1144"/>
      <c r="V7" s="1166"/>
      <c r="W7" s="1166"/>
      <c r="X7" s="1145">
        <v>41531</v>
      </c>
      <c r="Y7" s="1146">
        <f t="shared" si="0"/>
        <v>3.2986301369863016</v>
      </c>
      <c r="Z7" s="1192" t="s">
        <v>21</v>
      </c>
      <c r="AA7" s="1193"/>
      <c r="AB7" s="1160"/>
      <c r="AC7" s="1160"/>
      <c r="AD7" s="1160"/>
      <c r="AE7" s="1160"/>
      <c r="AF7" s="1194"/>
      <c r="AG7" s="1195"/>
      <c r="AH7" s="1195"/>
      <c r="AI7" s="1195"/>
      <c r="AJ7" s="1195"/>
      <c r="AK7" s="1195"/>
      <c r="AL7" s="1149">
        <v>0</v>
      </c>
      <c r="AM7" s="1150">
        <v>0</v>
      </c>
      <c r="AN7" s="1149">
        <v>0</v>
      </c>
      <c r="AO7" s="1196"/>
      <c r="AP7" s="1197"/>
      <c r="AQ7" s="1145">
        <v>42380</v>
      </c>
      <c r="AR7" s="1198">
        <v>42736</v>
      </c>
      <c r="AS7" s="1182" t="s">
        <v>339</v>
      </c>
      <c r="AT7" s="1149"/>
      <c r="AU7" s="1149"/>
      <c r="AV7" s="1149"/>
      <c r="AW7" s="1180"/>
      <c r="AX7" s="1161">
        <v>42735</v>
      </c>
      <c r="AY7" s="1187"/>
      <c r="AZ7" s="1187"/>
      <c r="BA7" s="1175"/>
      <c r="BB7" s="1183"/>
      <c r="BC7" s="1188"/>
      <c r="BD7" s="1157"/>
      <c r="BE7" s="1182"/>
      <c r="BF7" s="1155"/>
      <c r="BG7" s="1156"/>
      <c r="BH7" s="1157"/>
      <c r="BI7" s="1165"/>
      <c r="BJ7" s="1163"/>
      <c r="BK7" s="1199"/>
      <c r="BL7" s="1199"/>
      <c r="BM7" s="1199"/>
      <c r="BN7" s="1199"/>
      <c r="BO7" s="1199"/>
      <c r="BP7" s="1199"/>
      <c r="BQ7" s="1199"/>
      <c r="BR7" s="1199"/>
      <c r="BS7" s="1200"/>
      <c r="BT7" s="1200"/>
    </row>
    <row r="8" spans="1:72" s="387" customFormat="1" x14ac:dyDescent="0.2">
      <c r="A8" s="1118" t="s">
        <v>780</v>
      </c>
      <c r="B8" s="1118" t="s">
        <v>780</v>
      </c>
      <c r="C8" s="379" t="s">
        <v>781</v>
      </c>
      <c r="D8" s="347" t="s">
        <v>138</v>
      </c>
      <c r="E8" s="347" t="s">
        <v>714</v>
      </c>
      <c r="F8" s="347"/>
      <c r="G8" s="347" t="s">
        <v>67</v>
      </c>
      <c r="H8" s="347"/>
      <c r="I8" s="1076">
        <v>42215</v>
      </c>
      <c r="J8" s="411">
        <v>42387</v>
      </c>
      <c r="K8" s="411"/>
      <c r="L8" s="1078">
        <f>IF(I8&lt;&gt;"",J8-I8,"")</f>
        <v>172</v>
      </c>
      <c r="M8" s="381">
        <v>42387</v>
      </c>
      <c r="N8" s="381">
        <v>42753</v>
      </c>
      <c r="O8" s="381"/>
      <c r="P8" s="381"/>
      <c r="Q8" s="381">
        <v>42736</v>
      </c>
      <c r="R8" s="381" t="s">
        <v>156</v>
      </c>
      <c r="S8" s="347" t="s">
        <v>156</v>
      </c>
      <c r="T8" s="347"/>
      <c r="U8" s="383"/>
      <c r="V8" s="347"/>
      <c r="W8" s="347"/>
      <c r="X8" s="385">
        <v>37122</v>
      </c>
      <c r="Y8" s="761">
        <f t="shared" si="0"/>
        <v>15.378082191780821</v>
      </c>
      <c r="Z8" s="347" t="s">
        <v>21</v>
      </c>
      <c r="AA8" s="770" t="str">
        <f>IF(Y8&lt;6,IF(Z8="M","M","F"),"")</f>
        <v/>
      </c>
      <c r="AB8" s="770" t="str">
        <f>IF(AND(Y8&gt;=6,Y8&lt;11),IF(Z8="M","M","F"),"")</f>
        <v/>
      </c>
      <c r="AC8" s="770" t="str">
        <f>IF(AND(Y8&gt;=11,Y8&lt;15),IF(Z8="M","M","F"),"")</f>
        <v/>
      </c>
      <c r="AD8" s="770" t="str">
        <f>IF(AND(Y8&gt;=15,Y8&lt;18),IF(Z8="M","M","F"),"")</f>
        <v>F</v>
      </c>
      <c r="AE8" s="770" t="str">
        <f>IF(Y8&gt;18,IF(Z8="M","M","F"),"")</f>
        <v/>
      </c>
      <c r="AF8" s="770"/>
      <c r="AG8" s="770"/>
      <c r="AH8" s="770"/>
      <c r="AI8" s="770"/>
      <c r="AJ8" s="770"/>
      <c r="AK8" s="770"/>
      <c r="AL8" s="790">
        <v>0</v>
      </c>
      <c r="AM8" s="791">
        <v>0</v>
      </c>
      <c r="AN8" s="790">
        <v>0</v>
      </c>
      <c r="AO8" s="1313"/>
      <c r="AP8" s="1074"/>
      <c r="AQ8" s="411">
        <v>42387</v>
      </c>
      <c r="AR8" s="782">
        <f>Q8</f>
        <v>42736</v>
      </c>
      <c r="AS8" s="491" t="s">
        <v>339</v>
      </c>
      <c r="AT8" s="790">
        <f>IF(AQ8&gt;'[1]calculs enfants présents'!$A$56,0,IF(Q8&lt;'[1]calculs enfants présents'!$A$56,Q8-AQ8,'[1]calculs enfants présents'!$A$56-AQ8))</f>
        <v>0</v>
      </c>
      <c r="AU8" s="791">
        <f>IF($AQ8&gt;$AV$1,0,IF($Q8&lt;$AV$1,$Q8-$AQ8,$AV$1-$AQ8))</f>
        <v>0</v>
      </c>
      <c r="AV8" s="790">
        <f>AT8-AU8</f>
        <v>0</v>
      </c>
      <c r="AW8" s="412"/>
      <c r="AX8" s="459">
        <v>42735</v>
      </c>
      <c r="AY8" s="955">
        <f>N8</f>
        <v>42753</v>
      </c>
      <c r="AZ8" s="955">
        <f>AR8</f>
        <v>42736</v>
      </c>
      <c r="BA8" s="955">
        <f>(N8-30)-(WEEKDAY(N8-30,2)-2)</f>
        <v>42724</v>
      </c>
      <c r="BB8" s="1105"/>
      <c r="BC8" s="1103"/>
      <c r="BD8" s="1076"/>
      <c r="BE8" s="1104" t="str">
        <f>IF(K8&lt;&gt;"",(K8+90)-(WEEKDAY(K8+90,2)-2),"DIPC")</f>
        <v>DIPC</v>
      </c>
      <c r="BF8" s="460"/>
      <c r="BG8" s="349"/>
      <c r="BH8" s="465"/>
      <c r="BI8" s="349"/>
      <c r="BJ8" s="572"/>
    </row>
    <row r="9" spans="1:72" s="396" customFormat="1" x14ac:dyDescent="0.2">
      <c r="A9" s="402" t="s">
        <v>771</v>
      </c>
      <c r="B9" s="402" t="s">
        <v>771</v>
      </c>
      <c r="C9" s="403" t="s">
        <v>772</v>
      </c>
      <c r="D9" s="355" t="s">
        <v>714</v>
      </c>
      <c r="E9" s="355"/>
      <c r="F9" s="355"/>
      <c r="G9" s="355" t="s">
        <v>67</v>
      </c>
      <c r="H9" s="355"/>
      <c r="I9" s="921">
        <v>42331</v>
      </c>
      <c r="J9" s="495">
        <v>42389</v>
      </c>
      <c r="K9" s="495"/>
      <c r="L9" s="1108">
        <f>IF(I9&lt;&gt;"",J9-I9,"")</f>
        <v>58</v>
      </c>
      <c r="M9" s="495">
        <v>42389</v>
      </c>
      <c r="N9" s="495">
        <v>42755</v>
      </c>
      <c r="O9" s="495"/>
      <c r="P9" s="495"/>
      <c r="Q9" s="405">
        <v>42736</v>
      </c>
      <c r="R9" s="405" t="s">
        <v>16</v>
      </c>
      <c r="S9" s="355" t="s">
        <v>20</v>
      </c>
      <c r="T9" s="347"/>
      <c r="U9" s="383"/>
      <c r="V9" s="347"/>
      <c r="W9" s="347"/>
      <c r="X9" s="410">
        <v>37285</v>
      </c>
      <c r="Y9" s="800">
        <f>(AX9-X9)/365</f>
        <v>14.931506849315069</v>
      </c>
      <c r="Z9" s="355" t="s">
        <v>21</v>
      </c>
      <c r="AA9" s="779"/>
      <c r="AB9" s="779"/>
      <c r="AC9" s="779"/>
      <c r="AD9" s="779"/>
      <c r="AE9" s="779"/>
      <c r="AF9" s="770"/>
      <c r="AG9" s="770"/>
      <c r="AH9" s="770"/>
      <c r="AI9" s="770"/>
      <c r="AJ9" s="770"/>
      <c r="AK9" s="770"/>
      <c r="AL9" s="1036">
        <v>0</v>
      </c>
      <c r="AM9" s="1037">
        <v>0</v>
      </c>
      <c r="AN9" s="1036">
        <v>0</v>
      </c>
      <c r="AO9" s="1137"/>
      <c r="AP9" s="1087"/>
      <c r="AQ9" s="495">
        <v>42389</v>
      </c>
      <c r="AR9" s="1072">
        <v>42736</v>
      </c>
      <c r="AS9" s="492" t="s">
        <v>339</v>
      </c>
      <c r="AT9" s="1036">
        <f>IF(AQ9&gt;'[1]calculs enfants présents'!$A$56,0,IF(Q9&lt;'[1]calculs enfants présents'!$A$56,Q9-AQ9,'[1]calculs enfants présents'!$A$56-AQ9))</f>
        <v>0</v>
      </c>
      <c r="AU9" s="1037">
        <f>IF($AQ9&gt;$AV$1,0,IF($Q9&lt;$AV$1,$Q9-$AQ9,$AV$1-$AQ9))</f>
        <v>0</v>
      </c>
      <c r="AV9" s="1036">
        <f>AT9-AU9</f>
        <v>0</v>
      </c>
      <c r="AW9" s="1048"/>
      <c r="AX9" s="672">
        <v>42735</v>
      </c>
      <c r="AY9" s="954">
        <f>N9</f>
        <v>42755</v>
      </c>
      <c r="AZ9" s="954">
        <f>AR9</f>
        <v>42736</v>
      </c>
      <c r="BA9" s="954">
        <f>(N9-30)-(WEEKDAY(N9-30,2)-2)</f>
        <v>42724</v>
      </c>
      <c r="BB9" s="1109"/>
      <c r="BC9" s="1110"/>
      <c r="BD9" s="921"/>
      <c r="BE9" s="1111" t="str">
        <f>IF(K9&lt;&gt;"",(K9+90)-(WEEKDAY(K9+90,2)-2),"DIPC")</f>
        <v>DIPC</v>
      </c>
      <c r="BF9" s="672"/>
      <c r="BG9" s="1067"/>
      <c r="BH9" s="672"/>
      <c r="BJ9" s="1067"/>
    </row>
    <row r="10" spans="1:72" s="387" customFormat="1" x14ac:dyDescent="0.2">
      <c r="A10" s="1118" t="s">
        <v>782</v>
      </c>
      <c r="B10" s="1118" t="s">
        <v>783</v>
      </c>
      <c r="C10" s="379" t="s">
        <v>711</v>
      </c>
      <c r="D10" s="347" t="s">
        <v>179</v>
      </c>
      <c r="E10" s="347" t="s">
        <v>714</v>
      </c>
      <c r="F10" s="347"/>
      <c r="G10" s="347" t="s">
        <v>67</v>
      </c>
      <c r="H10" s="347"/>
      <c r="I10" s="1076">
        <v>42317</v>
      </c>
      <c r="J10" s="411">
        <v>42380</v>
      </c>
      <c r="K10" s="411"/>
      <c r="L10" s="1078">
        <f>IF(I10&lt;&gt;"",J10-I10,"")</f>
        <v>63</v>
      </c>
      <c r="M10" s="381">
        <v>42380</v>
      </c>
      <c r="N10" s="381">
        <v>42746</v>
      </c>
      <c r="O10" s="381"/>
      <c r="P10" s="381"/>
      <c r="Q10" s="381">
        <v>42736</v>
      </c>
      <c r="R10" s="381" t="s">
        <v>16</v>
      </c>
      <c r="S10" s="347" t="s">
        <v>162</v>
      </c>
      <c r="T10" s="347"/>
      <c r="U10" s="383"/>
      <c r="V10" s="347"/>
      <c r="W10" s="347"/>
      <c r="X10" s="385">
        <v>41390</v>
      </c>
      <c r="Y10" s="761">
        <f>(AX10-X10)/365</f>
        <v>3.6849315068493151</v>
      </c>
      <c r="Z10" s="347" t="s">
        <v>21</v>
      </c>
      <c r="AA10" s="770" t="str">
        <f>IF(Y10&lt;6,IF(Z10="M","M","F"),"")</f>
        <v>F</v>
      </c>
      <c r="AB10" s="770" t="str">
        <f>IF(AND(Y10&gt;=6,Y10&lt;11),IF(Z10="M","M","F"),"")</f>
        <v/>
      </c>
      <c r="AC10" s="770" t="str">
        <f>IF(AND(Y10&gt;=11,Y10&lt;15),IF(Z10="M","M","F"),"")</f>
        <v/>
      </c>
      <c r="AD10" s="770" t="str">
        <f>IF(AND(Y10&gt;=15,Y10&lt;18),IF(Z10="M","M","F"),"")</f>
        <v/>
      </c>
      <c r="AE10" s="770" t="str">
        <f>IF(Y10&gt;18,IF(Z10="M","M","F"),"")</f>
        <v/>
      </c>
      <c r="AF10" s="770"/>
      <c r="AG10" s="770"/>
      <c r="AH10" s="770"/>
      <c r="AI10" s="770"/>
      <c r="AJ10" s="770"/>
      <c r="AK10" s="770"/>
      <c r="AL10" s="770">
        <f>Q10-J10</f>
        <v>356</v>
      </c>
      <c r="AM10" s="770">
        <f>AL10/365</f>
        <v>0.97534246575342465</v>
      </c>
      <c r="AN10" s="770">
        <f>INT(AM10)</f>
        <v>0</v>
      </c>
      <c r="AO10" s="761">
        <f>(AM10-AN10)*12</f>
        <v>11.704109589041096</v>
      </c>
      <c r="AP10" s="1074"/>
      <c r="AQ10" s="411">
        <v>42380</v>
      </c>
      <c r="AR10" s="782">
        <f>Q10</f>
        <v>42736</v>
      </c>
      <c r="AS10" s="491" t="s">
        <v>339</v>
      </c>
      <c r="AT10" s="790">
        <f>IF(AQ10&gt;'[1]calculs enfants présents'!$A$56,0,IF(Q10&lt;'[1]calculs enfants présents'!$A$56,Q10-AQ10,'[1]calculs enfants présents'!$A$56-AQ10))</f>
        <v>0</v>
      </c>
      <c r="AU10" s="791">
        <f>IF($AQ10&gt;$AV$1,0,IF($Q10&lt;$AV$1,$Q10-$AQ10,$AV$1-$AQ10))</f>
        <v>0</v>
      </c>
      <c r="AV10" s="790">
        <f>AT10-AU10</f>
        <v>0</v>
      </c>
      <c r="AW10" s="412"/>
      <c r="AX10" s="459">
        <v>42735</v>
      </c>
      <c r="AY10" s="955">
        <f>N10</f>
        <v>42746</v>
      </c>
      <c r="AZ10" s="955">
        <f>AR10</f>
        <v>42736</v>
      </c>
      <c r="BA10" s="955">
        <f>(N10-30)-(WEEKDAY(N10-30,2)-2)</f>
        <v>42717</v>
      </c>
      <c r="BB10" s="1105"/>
      <c r="BC10" s="1103"/>
      <c r="BD10" s="1076"/>
      <c r="BE10" s="1104" t="str">
        <f>IF(K10&lt;&gt;"",(K10+90)-(WEEKDAY(K10+90,2)-2),"DIPC")</f>
        <v>DIPC</v>
      </c>
      <c r="BF10" s="460"/>
      <c r="BG10" s="349"/>
      <c r="BH10" s="465"/>
      <c r="BI10" s="349"/>
      <c r="BJ10" s="572"/>
    </row>
    <row r="11" spans="1:72" s="396" customFormat="1" ht="12.75" customHeight="1" x14ac:dyDescent="0.2">
      <c r="A11" s="402" t="s">
        <v>765</v>
      </c>
      <c r="B11" s="402" t="s">
        <v>765</v>
      </c>
      <c r="C11" s="403" t="s">
        <v>784</v>
      </c>
      <c r="D11" s="355" t="s">
        <v>714</v>
      </c>
      <c r="E11" s="356" t="s">
        <v>183</v>
      </c>
      <c r="F11" s="409"/>
      <c r="G11" s="355" t="s">
        <v>67</v>
      </c>
      <c r="H11" s="355"/>
      <c r="I11" s="452">
        <v>42387</v>
      </c>
      <c r="J11" s="404">
        <v>42394</v>
      </c>
      <c r="K11" s="404"/>
      <c r="L11" s="454">
        <v>7</v>
      </c>
      <c r="M11" s="405">
        <v>42394</v>
      </c>
      <c r="N11" s="463">
        <v>42760</v>
      </c>
      <c r="O11" s="463"/>
      <c r="P11" s="463"/>
      <c r="Q11" s="405">
        <v>42736</v>
      </c>
      <c r="R11" s="406" t="s">
        <v>16</v>
      </c>
      <c r="S11" s="407" t="s">
        <v>13</v>
      </c>
      <c r="T11" s="355"/>
      <c r="U11" s="408"/>
      <c r="V11" s="409"/>
      <c r="W11" s="409"/>
      <c r="X11" s="410">
        <v>36342</v>
      </c>
      <c r="Y11" s="800">
        <f>(AX11-X11)/365</f>
        <v>16.512328767123286</v>
      </c>
      <c r="Z11" s="429" t="s">
        <v>21</v>
      </c>
      <c r="AA11" s="780" t="s">
        <v>404</v>
      </c>
      <c r="AB11" s="779" t="s">
        <v>404</v>
      </c>
      <c r="AC11" s="779" t="s">
        <v>404</v>
      </c>
      <c r="AD11" s="779" t="s">
        <v>21</v>
      </c>
      <c r="AE11" s="779" t="s">
        <v>404</v>
      </c>
      <c r="AF11" s="802"/>
      <c r="AG11" s="969"/>
      <c r="AH11" s="969"/>
      <c r="AI11" s="969"/>
      <c r="AJ11" s="969"/>
      <c r="AK11" s="969"/>
      <c r="AL11" s="780">
        <v>342</v>
      </c>
      <c r="AM11" s="779">
        <v>0.93698630136986305</v>
      </c>
      <c r="AN11" s="801">
        <v>0</v>
      </c>
      <c r="AO11" s="800">
        <v>11.243835616438357</v>
      </c>
      <c r="AP11" s="971"/>
      <c r="AQ11" s="410">
        <v>42394</v>
      </c>
      <c r="AR11" s="500">
        <v>42736</v>
      </c>
      <c r="AS11" s="802">
        <v>342</v>
      </c>
      <c r="AT11" s="1036">
        <v>0</v>
      </c>
      <c r="AU11" s="1037">
        <v>0</v>
      </c>
      <c r="AV11" s="1036">
        <v>0</v>
      </c>
      <c r="AW11" s="940"/>
      <c r="AX11" s="672">
        <v>42369</v>
      </c>
      <c r="AY11" s="486">
        <v>42760</v>
      </c>
      <c r="AZ11" s="486">
        <v>42736</v>
      </c>
      <c r="BA11" s="487">
        <v>42731</v>
      </c>
      <c r="BB11" s="539"/>
      <c r="BC11" s="356"/>
      <c r="BD11" s="539"/>
      <c r="BE11" s="492" t="s">
        <v>339</v>
      </c>
      <c r="BF11" s="511"/>
      <c r="BG11" s="356"/>
      <c r="BH11" s="511"/>
      <c r="BI11" s="488"/>
      <c r="BJ11" s="407"/>
      <c r="BS11" s="632"/>
      <c r="BT11" s="632"/>
    </row>
    <row r="12" spans="1:72" s="387" customFormat="1" x14ac:dyDescent="0.2">
      <c r="A12" s="836" t="s">
        <v>773</v>
      </c>
      <c r="B12" s="836" t="s">
        <v>773</v>
      </c>
      <c r="C12" s="379" t="s">
        <v>774</v>
      </c>
      <c r="D12" s="347" t="s">
        <v>70</v>
      </c>
      <c r="E12" s="347" t="s">
        <v>87</v>
      </c>
      <c r="F12" s="347"/>
      <c r="G12" s="347" t="s">
        <v>67</v>
      </c>
      <c r="H12" s="347"/>
      <c r="I12" s="1076">
        <v>42383</v>
      </c>
      <c r="J12" s="411">
        <v>42394</v>
      </c>
      <c r="K12" s="411"/>
      <c r="L12" s="1078">
        <f>IF(I12&lt;&gt;"",J12-I12,"")</f>
        <v>11</v>
      </c>
      <c r="M12" s="381">
        <v>42394</v>
      </c>
      <c r="N12" s="381">
        <v>42760</v>
      </c>
      <c r="O12" s="381"/>
      <c r="P12" s="381"/>
      <c r="Q12" s="381">
        <v>42736</v>
      </c>
      <c r="R12" s="381" t="s">
        <v>16</v>
      </c>
      <c r="S12" s="347" t="s">
        <v>162</v>
      </c>
      <c r="T12" s="347"/>
      <c r="U12" s="383"/>
      <c r="V12" s="347"/>
      <c r="W12" s="347"/>
      <c r="X12" s="385">
        <v>38253</v>
      </c>
      <c r="Y12" s="761">
        <f>(AX12-X12)/365</f>
        <v>11.276712328767124</v>
      </c>
      <c r="Z12" s="347" t="s">
        <v>13</v>
      </c>
      <c r="AA12" s="770" t="str">
        <f>IF(Y12&lt;6,IF(Z12="M","M","F"),"")</f>
        <v/>
      </c>
      <c r="AB12" s="770" t="str">
        <f>IF(AND(Y12&gt;=6,Y12&lt;11),IF(Z12="M","M","F"),"")</f>
        <v/>
      </c>
      <c r="AC12" s="770" t="str">
        <f>IF(AND(Y12&gt;=11,Y12&lt;15),IF(Z12="M","M","F"),"")</f>
        <v>M</v>
      </c>
      <c r="AD12" s="770" t="str">
        <f>IF(AND(Y12&gt;=15,Y12&lt;18),IF(Z12="M","M","F"),"")</f>
        <v/>
      </c>
      <c r="AE12" s="770" t="str">
        <f>IF(Y12&gt;18,IF(Z12="M","M","F"),"")</f>
        <v/>
      </c>
      <c r="AF12" s="770"/>
      <c r="AG12" s="770"/>
      <c r="AH12" s="770"/>
      <c r="AI12" s="770"/>
      <c r="AJ12" s="770"/>
      <c r="AK12" s="770"/>
      <c r="AL12" s="770">
        <f>Q12-J12</f>
        <v>342</v>
      </c>
      <c r="AM12" s="770">
        <f>AL12/365</f>
        <v>0.93698630136986305</v>
      </c>
      <c r="AN12" s="770">
        <f>INT(AM12)</f>
        <v>0</v>
      </c>
      <c r="AO12" s="761">
        <f>(AM12-AN12)*12</f>
        <v>11.243835616438357</v>
      </c>
      <c r="AP12" s="1074"/>
      <c r="AQ12" s="411">
        <v>42394</v>
      </c>
      <c r="AR12" s="782">
        <f>Q12</f>
        <v>42736</v>
      </c>
      <c r="AS12" s="770">
        <f>Q12-AQ12</f>
        <v>342</v>
      </c>
      <c r="AT12" s="790">
        <f>IF(AQ12&gt;'[1]calculs enfants présents'!$A$56,0,IF(Q12&lt;'[1]calculs enfants présents'!$A$56,Q12-AQ12,'[1]calculs enfants présents'!$A$56-AQ12))</f>
        <v>0</v>
      </c>
      <c r="AU12" s="791">
        <f>IF($AQ12&gt;$AV$1,0,IF($Q12&lt;$AV$1,$Q12-$AQ12,$AV$1-$AQ12))</f>
        <v>0</v>
      </c>
      <c r="AV12" s="790">
        <f>AT12-AU12</f>
        <v>0</v>
      </c>
      <c r="AW12" s="412"/>
      <c r="AX12" s="381">
        <v>42369</v>
      </c>
      <c r="AY12" s="955">
        <f>N12</f>
        <v>42760</v>
      </c>
      <c r="AZ12" s="955">
        <f>AR12</f>
        <v>42736</v>
      </c>
      <c r="BA12" s="955">
        <f>(N12-30)-(WEEKDAY(N12-30,2)-2)</f>
        <v>42731</v>
      </c>
      <c r="BB12" s="1105"/>
      <c r="BC12" s="1103"/>
      <c r="BD12" s="1076"/>
      <c r="BE12" s="1104" t="str">
        <f>IF(K12&lt;&gt;"",(K12+90)-(WEEKDAY(K12+90,2)-2),"DIPC")</f>
        <v>DIPC</v>
      </c>
      <c r="BF12" s="460"/>
      <c r="BG12" s="349"/>
      <c r="BH12" s="465"/>
      <c r="BI12" s="349"/>
      <c r="BJ12" s="572"/>
    </row>
    <row r="13" spans="1:72" s="396" customFormat="1" ht="13.15" customHeight="1" x14ac:dyDescent="0.2">
      <c r="A13" s="828" t="s">
        <v>792</v>
      </c>
      <c r="B13" s="828" t="s">
        <v>766</v>
      </c>
      <c r="C13" s="642" t="s">
        <v>767</v>
      </c>
      <c r="D13" s="355" t="s">
        <v>183</v>
      </c>
      <c r="E13" s="356" t="s">
        <v>138</v>
      </c>
      <c r="F13" s="409"/>
      <c r="G13" s="355" t="s">
        <v>67</v>
      </c>
      <c r="H13" s="355"/>
      <c r="I13" s="452">
        <v>42387</v>
      </c>
      <c r="J13" s="404">
        <v>42395</v>
      </c>
      <c r="K13" s="404"/>
      <c r="L13" s="454">
        <v>8</v>
      </c>
      <c r="M13" s="405">
        <v>42395</v>
      </c>
      <c r="N13" s="455">
        <v>42761</v>
      </c>
      <c r="O13" s="455"/>
      <c r="P13" s="455"/>
      <c r="Q13" s="405">
        <v>42736</v>
      </c>
      <c r="R13" s="406" t="s">
        <v>16</v>
      </c>
      <c r="S13" s="407" t="s">
        <v>13</v>
      </c>
      <c r="T13" s="355"/>
      <c r="U13" s="408"/>
      <c r="V13" s="409"/>
      <c r="W13" s="409"/>
      <c r="X13" s="410">
        <v>39571</v>
      </c>
      <c r="Y13" s="429">
        <v>7.6657534246575345</v>
      </c>
      <c r="Z13" s="802" t="s">
        <v>21</v>
      </c>
      <c r="AA13" s="986" t="s">
        <v>404</v>
      </c>
      <c r="AB13" s="941" t="s">
        <v>21</v>
      </c>
      <c r="AC13" s="941" t="s">
        <v>404</v>
      </c>
      <c r="AD13" s="941" t="s">
        <v>404</v>
      </c>
      <c r="AE13" s="941" t="s">
        <v>404</v>
      </c>
      <c r="AF13" s="802"/>
      <c r="AG13" s="969"/>
      <c r="AH13" s="969"/>
      <c r="AI13" s="969"/>
      <c r="AJ13" s="969"/>
      <c r="AK13" s="969"/>
      <c r="AL13" s="969">
        <v>341</v>
      </c>
      <c r="AM13" s="802">
        <v>0.9342465753424658</v>
      </c>
      <c r="AN13" s="833">
        <v>0</v>
      </c>
      <c r="AO13" s="397">
        <v>11.210958904109589</v>
      </c>
      <c r="AP13" s="971"/>
      <c r="AQ13" s="500">
        <v>42395</v>
      </c>
      <c r="AR13" s="500">
        <v>42736</v>
      </c>
      <c r="AS13" s="802">
        <v>341</v>
      </c>
      <c r="AT13" s="501">
        <v>0</v>
      </c>
      <c r="AU13" s="501">
        <v>0</v>
      </c>
      <c r="AV13" s="501">
        <v>0</v>
      </c>
      <c r="AW13" s="940"/>
      <c r="AX13" s="672">
        <v>42369</v>
      </c>
      <c r="AY13" s="486">
        <v>42751</v>
      </c>
      <c r="AZ13" s="486">
        <v>42736</v>
      </c>
      <c r="BA13" s="487">
        <v>42717</v>
      </c>
      <c r="BB13" s="511"/>
      <c r="BC13" s="553"/>
      <c r="BD13" s="511"/>
      <c r="BE13" s="492" t="s">
        <v>339</v>
      </c>
      <c r="BF13" s="539"/>
      <c r="BG13" s="356"/>
      <c r="BH13" s="509"/>
      <c r="BI13" s="511"/>
      <c r="BJ13" s="554"/>
      <c r="BS13" s="613"/>
      <c r="BT13" s="613"/>
    </row>
    <row r="14" spans="1:72" s="396" customFormat="1" ht="12.75" customHeight="1" x14ac:dyDescent="0.2">
      <c r="A14" s="641" t="s">
        <v>807</v>
      </c>
      <c r="B14" s="641" t="s">
        <v>762</v>
      </c>
      <c r="C14" s="642" t="s">
        <v>763</v>
      </c>
      <c r="D14" s="355" t="s">
        <v>714</v>
      </c>
      <c r="E14" s="356" t="s">
        <v>87</v>
      </c>
      <c r="F14" s="409"/>
      <c r="G14" s="355" t="s">
        <v>67</v>
      </c>
      <c r="H14" s="355"/>
      <c r="I14" s="452">
        <v>42387</v>
      </c>
      <c r="J14" s="404">
        <v>42401</v>
      </c>
      <c r="K14" s="404"/>
      <c r="L14" s="454">
        <v>14</v>
      </c>
      <c r="M14" s="405">
        <v>42401</v>
      </c>
      <c r="N14" s="584">
        <v>42767</v>
      </c>
      <c r="O14" s="584"/>
      <c r="P14" s="584"/>
      <c r="Q14" s="405">
        <v>42736</v>
      </c>
      <c r="R14" s="406" t="s">
        <v>156</v>
      </c>
      <c r="S14" s="407" t="s">
        <v>156</v>
      </c>
      <c r="T14" s="355"/>
      <c r="U14" s="408"/>
      <c r="V14" s="409"/>
      <c r="W14" s="409"/>
      <c r="X14" s="410">
        <v>37576</v>
      </c>
      <c r="Y14" s="429">
        <v>13.131506849315068</v>
      </c>
      <c r="Z14" s="802" t="s">
        <v>13</v>
      </c>
      <c r="AA14" s="986" t="s">
        <v>404</v>
      </c>
      <c r="AB14" s="941" t="s">
        <v>404</v>
      </c>
      <c r="AC14" s="941" t="s">
        <v>13</v>
      </c>
      <c r="AD14" s="941" t="s">
        <v>404</v>
      </c>
      <c r="AE14" s="941" t="s">
        <v>404</v>
      </c>
      <c r="AF14" s="802"/>
      <c r="AG14" s="969"/>
      <c r="AH14" s="969"/>
      <c r="AI14" s="969"/>
      <c r="AJ14" s="969"/>
      <c r="AK14" s="969"/>
      <c r="AL14" s="969">
        <v>335</v>
      </c>
      <c r="AM14" s="802">
        <v>0.9178082191780822</v>
      </c>
      <c r="AN14" s="970"/>
      <c r="AO14" s="429">
        <v>11.013698630136986</v>
      </c>
      <c r="AP14" s="971"/>
      <c r="AQ14" s="410">
        <v>42401</v>
      </c>
      <c r="AR14" s="500">
        <v>42736</v>
      </c>
      <c r="AS14" s="802">
        <v>335</v>
      </c>
      <c r="AT14" s="501"/>
      <c r="AU14" s="501">
        <v>0</v>
      </c>
      <c r="AV14" s="501"/>
      <c r="AW14" s="940"/>
      <c r="AX14" s="672">
        <v>42369</v>
      </c>
      <c r="AY14" s="486">
        <v>42767</v>
      </c>
      <c r="AZ14" s="486">
        <v>42736</v>
      </c>
      <c r="BA14" s="487">
        <v>42738</v>
      </c>
      <c r="BB14" s="511"/>
      <c r="BC14" s="553"/>
      <c r="BD14" s="511"/>
      <c r="BE14" s="492" t="s">
        <v>339</v>
      </c>
      <c r="BF14" s="539"/>
      <c r="BG14" s="356"/>
      <c r="BH14" s="509"/>
      <c r="BI14" s="511"/>
      <c r="BJ14" s="554"/>
      <c r="BS14" s="613"/>
      <c r="BT14" s="613"/>
    </row>
    <row r="15" spans="1:72" s="396" customFormat="1" x14ac:dyDescent="0.2">
      <c r="A15" s="641" t="s">
        <v>807</v>
      </c>
      <c r="B15" s="641" t="s">
        <v>762</v>
      </c>
      <c r="C15" s="642" t="s">
        <v>764</v>
      </c>
      <c r="D15" s="355" t="s">
        <v>714</v>
      </c>
      <c r="E15" s="356" t="s">
        <v>87</v>
      </c>
      <c r="F15" s="409"/>
      <c r="G15" s="355" t="s">
        <v>67</v>
      </c>
      <c r="H15" s="355"/>
      <c r="I15" s="452">
        <v>42370</v>
      </c>
      <c r="J15" s="404">
        <v>42401</v>
      </c>
      <c r="K15" s="404"/>
      <c r="L15" s="454">
        <v>31</v>
      </c>
      <c r="M15" s="405">
        <v>42401</v>
      </c>
      <c r="N15" s="455">
        <v>42767</v>
      </c>
      <c r="O15" s="455"/>
      <c r="P15" s="455"/>
      <c r="Q15" s="405">
        <v>42736</v>
      </c>
      <c r="R15" s="406" t="s">
        <v>156</v>
      </c>
      <c r="S15" s="407" t="s">
        <v>156</v>
      </c>
      <c r="T15" s="355"/>
      <c r="U15" s="408"/>
      <c r="V15" s="409"/>
      <c r="W15" s="409"/>
      <c r="X15" s="410">
        <v>36342</v>
      </c>
      <c r="Y15" s="429">
        <v>16.512328767123286</v>
      </c>
      <c r="Z15" s="802" t="s">
        <v>13</v>
      </c>
      <c r="AA15" s="986" t="s">
        <v>404</v>
      </c>
      <c r="AB15" s="941" t="s">
        <v>404</v>
      </c>
      <c r="AC15" s="941" t="s">
        <v>404</v>
      </c>
      <c r="AD15" s="941" t="s">
        <v>13</v>
      </c>
      <c r="AE15" s="941" t="s">
        <v>404</v>
      </c>
      <c r="AF15" s="802"/>
      <c r="AG15" s="969"/>
      <c r="AH15" s="969"/>
      <c r="AI15" s="969"/>
      <c r="AJ15" s="969"/>
      <c r="AK15" s="969"/>
      <c r="AL15" s="969">
        <v>335</v>
      </c>
      <c r="AM15" s="802">
        <v>0.9178082191780822</v>
      </c>
      <c r="AN15" s="970"/>
      <c r="AO15" s="429">
        <v>11.013698630136986</v>
      </c>
      <c r="AP15" s="971"/>
      <c r="AQ15" s="500">
        <v>42401</v>
      </c>
      <c r="AR15" s="500">
        <v>42736</v>
      </c>
      <c r="AS15" s="941">
        <v>335</v>
      </c>
      <c r="AT15" s="501"/>
      <c r="AU15" s="501">
        <v>0</v>
      </c>
      <c r="AV15" s="501"/>
      <c r="AW15" s="940"/>
      <c r="AX15" s="672">
        <v>42369</v>
      </c>
      <c r="AY15" s="486">
        <v>42767</v>
      </c>
      <c r="AZ15" s="486">
        <v>42736</v>
      </c>
      <c r="BA15" s="487">
        <v>42738</v>
      </c>
      <c r="BB15" s="539"/>
      <c r="BC15" s="553"/>
      <c r="BD15" s="539"/>
      <c r="BE15" s="492" t="s">
        <v>339</v>
      </c>
      <c r="BF15" s="511"/>
      <c r="BG15" s="356"/>
      <c r="BH15" s="509"/>
      <c r="BI15" s="356"/>
      <c r="BJ15" s="554"/>
      <c r="BK15" s="728"/>
      <c r="BL15" s="728"/>
      <c r="BM15" s="728"/>
      <c r="BN15" s="728"/>
      <c r="BO15" s="728"/>
      <c r="BP15" s="728"/>
      <c r="BQ15" s="728"/>
      <c r="BR15" s="728"/>
      <c r="BS15" s="728"/>
      <c r="BT15" s="728"/>
    </row>
    <row r="16" spans="1:72" s="396" customFormat="1" x14ac:dyDescent="0.2">
      <c r="A16" s="641" t="s">
        <v>808</v>
      </c>
      <c r="B16" s="641" t="s">
        <v>809</v>
      </c>
      <c r="C16" s="642" t="s">
        <v>768</v>
      </c>
      <c r="D16" s="355" t="s">
        <v>183</v>
      </c>
      <c r="E16" s="356" t="s">
        <v>714</v>
      </c>
      <c r="F16" s="409"/>
      <c r="G16" s="355" t="s">
        <v>67</v>
      </c>
      <c r="H16" s="355"/>
      <c r="I16" s="452">
        <v>42388</v>
      </c>
      <c r="J16" s="404">
        <v>42401</v>
      </c>
      <c r="K16" s="404"/>
      <c r="L16" s="454">
        <v>13</v>
      </c>
      <c r="M16" s="405">
        <v>42401</v>
      </c>
      <c r="N16" s="455">
        <v>42767</v>
      </c>
      <c r="O16" s="455"/>
      <c r="P16" s="455"/>
      <c r="Q16" s="405">
        <v>42736</v>
      </c>
      <c r="R16" s="406" t="s">
        <v>156</v>
      </c>
      <c r="S16" s="407" t="s">
        <v>157</v>
      </c>
      <c r="T16" s="355"/>
      <c r="U16" s="408"/>
      <c r="V16" s="409"/>
      <c r="W16" s="409"/>
      <c r="X16" s="410">
        <v>38491</v>
      </c>
      <c r="Y16" s="429">
        <v>10.624657534246575</v>
      </c>
      <c r="Z16" s="802" t="s">
        <v>13</v>
      </c>
      <c r="AA16" s="986"/>
      <c r="AB16" s="941"/>
      <c r="AC16" s="941"/>
      <c r="AD16" s="941"/>
      <c r="AE16" s="941"/>
      <c r="AF16" s="802"/>
      <c r="AG16" s="969"/>
      <c r="AH16" s="969"/>
      <c r="AI16" s="969"/>
      <c r="AJ16" s="969"/>
      <c r="AK16" s="969"/>
      <c r="AL16" s="969">
        <v>335</v>
      </c>
      <c r="AM16" s="802">
        <v>0.9178082191780822</v>
      </c>
      <c r="AN16" s="988"/>
      <c r="AO16" s="429">
        <v>11.013698630136986</v>
      </c>
      <c r="AP16" s="971"/>
      <c r="AQ16" s="500">
        <v>42401</v>
      </c>
      <c r="AR16" s="500">
        <v>42736</v>
      </c>
      <c r="AS16" s="802">
        <v>335</v>
      </c>
      <c r="AT16" s="501"/>
      <c r="AU16" s="501"/>
      <c r="AV16" s="501"/>
      <c r="AW16" s="570"/>
      <c r="AX16" s="672">
        <v>42369</v>
      </c>
      <c r="AY16" s="486">
        <v>42767</v>
      </c>
      <c r="AZ16" s="486">
        <v>42736</v>
      </c>
      <c r="BA16" s="487">
        <v>42738</v>
      </c>
      <c r="BB16" s="539"/>
      <c r="BC16" s="553"/>
      <c r="BD16" s="511"/>
      <c r="BE16" s="492" t="s">
        <v>339</v>
      </c>
      <c r="BF16" s="539"/>
      <c r="BG16" s="356"/>
      <c r="BH16" s="550"/>
      <c r="BI16" s="356"/>
      <c r="BJ16" s="554"/>
      <c r="BS16" s="613"/>
      <c r="BT16" s="613"/>
    </row>
    <row r="17" spans="1:72" s="396" customFormat="1" x14ac:dyDescent="0.2">
      <c r="A17" s="402" t="s">
        <v>769</v>
      </c>
      <c r="B17" s="402" t="s">
        <v>769</v>
      </c>
      <c r="C17" s="403" t="s">
        <v>770</v>
      </c>
      <c r="D17" s="355" t="s">
        <v>70</v>
      </c>
      <c r="E17" s="355" t="s">
        <v>138</v>
      </c>
      <c r="F17" s="355"/>
      <c r="G17" s="355" t="s">
        <v>67</v>
      </c>
      <c r="H17" s="355"/>
      <c r="I17" s="921">
        <v>42389</v>
      </c>
      <c r="J17" s="495">
        <v>42405</v>
      </c>
      <c r="K17" s="495"/>
      <c r="L17" s="1108">
        <f t="shared" ref="L17" si="1">IF(I17&lt;&gt;"",J17-I17,"")</f>
        <v>16</v>
      </c>
      <c r="M17" s="405">
        <v>42405</v>
      </c>
      <c r="N17" s="405">
        <v>42771</v>
      </c>
      <c r="O17" s="405"/>
      <c r="P17" s="405"/>
      <c r="Q17" s="405">
        <v>42736</v>
      </c>
      <c r="R17" s="405" t="s">
        <v>16</v>
      </c>
      <c r="S17" s="355" t="s">
        <v>16</v>
      </c>
      <c r="T17" s="355"/>
      <c r="U17" s="408"/>
      <c r="V17" s="355"/>
      <c r="W17" s="355"/>
      <c r="X17" s="410">
        <v>37159</v>
      </c>
      <c r="Y17" s="800">
        <f t="shared" ref="Y17" si="2">(AX17-X17)/365</f>
        <v>14.273972602739725</v>
      </c>
      <c r="Z17" s="355" t="s">
        <v>13</v>
      </c>
      <c r="AA17" s="779"/>
      <c r="AB17" s="779"/>
      <c r="AC17" s="779"/>
      <c r="AD17" s="779"/>
      <c r="AE17" s="779"/>
      <c r="AF17" s="779"/>
      <c r="AG17" s="779"/>
      <c r="AH17" s="779"/>
      <c r="AI17" s="779"/>
      <c r="AJ17" s="779"/>
      <c r="AK17" s="779"/>
      <c r="AL17" s="779">
        <f t="shared" ref="AL17" si="3">Q17-J17</f>
        <v>331</v>
      </c>
      <c r="AM17" s="779">
        <f t="shared" ref="AM17" si="4">AL17/365</f>
        <v>0.9068493150684932</v>
      </c>
      <c r="AN17" s="779"/>
      <c r="AO17" s="800">
        <f t="shared" ref="AO17" si="5">(AM17-AN17)*12</f>
        <v>10.882191780821918</v>
      </c>
      <c r="AP17" s="1087"/>
      <c r="AQ17" s="1072">
        <f t="shared" ref="AQ17" si="6">IF(J17&lt;DATE(2016,1,1),DATE(2016,1,1),J17)</f>
        <v>42405</v>
      </c>
      <c r="AR17" s="1072">
        <f t="shared" ref="AR17" si="7">Q17</f>
        <v>42736</v>
      </c>
      <c r="AS17" s="779">
        <f t="shared" ref="AS17" si="8">Q17-AQ17</f>
        <v>331</v>
      </c>
      <c r="AT17" s="1036"/>
      <c r="AU17" s="1037">
        <f t="shared" ref="AU17" si="9">IF($AQ17&gt;$AV$1,0,IF($Q17&lt;$AV$1,$Q17-$AQ17,$AV$1-$AQ17))</f>
        <v>0</v>
      </c>
      <c r="AV17" s="1036"/>
      <c r="AW17" s="1048"/>
      <c r="AX17" s="405">
        <v>42369</v>
      </c>
      <c r="AY17" s="954">
        <f t="shared" ref="AY17" si="10">N17</f>
        <v>42771</v>
      </c>
      <c r="AZ17" s="954">
        <f t="shared" ref="AZ17" si="11">AR17</f>
        <v>42736</v>
      </c>
      <c r="BA17" s="954">
        <f t="shared" ref="BA17" si="12">(N17-30)-(WEEKDAY(N17-30,2)-2)</f>
        <v>42738</v>
      </c>
      <c r="BB17" s="1109"/>
      <c r="BC17" s="1110"/>
      <c r="BD17" s="921"/>
      <c r="BE17" s="1111" t="str">
        <f t="shared" ref="BE17" si="13">IF(K17&lt;&gt;"",(K17+90)-(WEEKDAY(K17+90,2)-2),"DIPC")</f>
        <v>DIPC</v>
      </c>
      <c r="BF17" s="511"/>
      <c r="BG17" s="356"/>
      <c r="BH17" s="509"/>
      <c r="BI17" s="356"/>
      <c r="BJ17" s="554"/>
    </row>
    <row r="18" spans="1:72" s="396" customFormat="1" ht="12.75" customHeight="1" x14ac:dyDescent="0.2">
      <c r="A18" s="402" t="s">
        <v>777</v>
      </c>
      <c r="B18" s="402" t="s">
        <v>777</v>
      </c>
      <c r="C18" s="403" t="s">
        <v>583</v>
      </c>
      <c r="D18" s="355" t="s">
        <v>179</v>
      </c>
      <c r="E18" s="356" t="s">
        <v>310</v>
      </c>
      <c r="F18" s="409" t="s">
        <v>674</v>
      </c>
      <c r="G18" s="355" t="s">
        <v>67</v>
      </c>
      <c r="H18" s="407"/>
      <c r="I18" s="511">
        <v>42383</v>
      </c>
      <c r="J18" s="404">
        <v>42405</v>
      </c>
      <c r="K18" s="404"/>
      <c r="L18" s="454">
        <v>22</v>
      </c>
      <c r="M18" s="405">
        <v>42405</v>
      </c>
      <c r="N18" s="463">
        <v>42771</v>
      </c>
      <c r="O18" s="463"/>
      <c r="P18" s="463"/>
      <c r="Q18" s="405">
        <v>42736</v>
      </c>
      <c r="R18" s="406" t="s">
        <v>157</v>
      </c>
      <c r="S18" s="407" t="s">
        <v>156</v>
      </c>
      <c r="T18" s="355"/>
      <c r="U18" s="408"/>
      <c r="V18" s="409"/>
      <c r="W18" s="409"/>
      <c r="X18" s="410">
        <v>36595</v>
      </c>
      <c r="Y18" s="429">
        <v>15.819178082191781</v>
      </c>
      <c r="Z18" s="802" t="s">
        <v>13</v>
      </c>
      <c r="AA18" s="969"/>
      <c r="AB18" s="802"/>
      <c r="AC18" s="802"/>
      <c r="AD18" s="802"/>
      <c r="AE18" s="802"/>
      <c r="AF18" s="802"/>
      <c r="AG18" s="969"/>
      <c r="AH18" s="969"/>
      <c r="AI18" s="969"/>
      <c r="AJ18" s="969"/>
      <c r="AK18" s="969"/>
      <c r="AL18" s="969">
        <v>331</v>
      </c>
      <c r="AM18" s="802">
        <v>0.9068493150684932</v>
      </c>
      <c r="AN18" s="970"/>
      <c r="AO18" s="429">
        <v>10.882191780821918</v>
      </c>
      <c r="AP18" s="971"/>
      <c r="AQ18" s="410">
        <v>42405</v>
      </c>
      <c r="AR18" s="500">
        <v>42736</v>
      </c>
      <c r="AS18" s="802">
        <v>331</v>
      </c>
      <c r="AT18" s="501"/>
      <c r="AU18" s="972">
        <v>0</v>
      </c>
      <c r="AV18" s="501">
        <v>0</v>
      </c>
      <c r="AW18" s="940"/>
      <c r="AX18" s="672">
        <v>42369</v>
      </c>
      <c r="AY18" s="486">
        <v>42771</v>
      </c>
      <c r="AZ18" s="486">
        <v>42736</v>
      </c>
      <c r="BA18" s="487">
        <v>42738</v>
      </c>
      <c r="BB18" s="539"/>
      <c r="BC18" s="356"/>
      <c r="BD18" s="539"/>
      <c r="BE18" s="492" t="s">
        <v>339</v>
      </c>
      <c r="BF18" s="511"/>
      <c r="BG18" s="356"/>
      <c r="BH18" s="509"/>
      <c r="BI18" s="488"/>
      <c r="BJ18" s="407"/>
      <c r="BS18" s="613"/>
      <c r="BT18" s="613"/>
    </row>
    <row r="19" spans="1:72" s="396" customFormat="1" x14ac:dyDescent="0.2">
      <c r="A19" s="402" t="s">
        <v>838</v>
      </c>
      <c r="B19" s="402" t="s">
        <v>779</v>
      </c>
      <c r="C19" s="403" t="s">
        <v>778</v>
      </c>
      <c r="D19" s="355" t="s">
        <v>87</v>
      </c>
      <c r="E19" s="355" t="s">
        <v>138</v>
      </c>
      <c r="F19" s="355"/>
      <c r="G19" s="355" t="s">
        <v>67</v>
      </c>
      <c r="H19" s="355"/>
      <c r="I19" s="921">
        <v>42383</v>
      </c>
      <c r="J19" s="495">
        <v>42402</v>
      </c>
      <c r="K19" s="495">
        <v>42409</v>
      </c>
      <c r="L19" s="1108">
        <f t="shared" ref="L19" si="14">IF(I19&lt;&gt;"",J19-I19,"")</f>
        <v>19</v>
      </c>
      <c r="M19" s="405">
        <v>42402</v>
      </c>
      <c r="N19" s="405">
        <v>42732</v>
      </c>
      <c r="O19" s="405"/>
      <c r="P19" s="405"/>
      <c r="Q19" s="405">
        <v>42736</v>
      </c>
      <c r="R19" s="405" t="s">
        <v>62</v>
      </c>
      <c r="S19" s="355" t="s">
        <v>156</v>
      </c>
      <c r="T19" s="355"/>
      <c r="U19" s="408"/>
      <c r="V19" s="355"/>
      <c r="W19" s="355"/>
      <c r="X19" s="410">
        <v>36131</v>
      </c>
      <c r="Y19" s="800">
        <f t="shared" ref="Y19" si="15">(AX19-X19)/365</f>
        <v>17.090410958904108</v>
      </c>
      <c r="Z19" s="355" t="s">
        <v>21</v>
      </c>
      <c r="AA19" s="779"/>
      <c r="AB19" s="779"/>
      <c r="AC19" s="779"/>
      <c r="AD19" s="779"/>
      <c r="AE19" s="779"/>
      <c r="AF19" s="779"/>
      <c r="AG19" s="779"/>
      <c r="AH19" s="779"/>
      <c r="AI19" s="779"/>
      <c r="AJ19" s="779"/>
      <c r="AK19" s="779"/>
      <c r="AL19" s="779">
        <f t="shared" ref="AL19" si="16">Q19-J19</f>
        <v>334</v>
      </c>
      <c r="AM19" s="779">
        <f t="shared" ref="AM19" si="17">AL19/365</f>
        <v>0.91506849315068495</v>
      </c>
      <c r="AN19" s="779"/>
      <c r="AO19" s="800">
        <f t="shared" ref="AO19" si="18">(AM19-AN19)*12</f>
        <v>10.980821917808219</v>
      </c>
      <c r="AP19" s="1087"/>
      <c r="AQ19" s="1072">
        <f t="shared" ref="AQ19" si="19">IF(J19&lt;DATE(2016,1,1),DATE(2016,1,1),J19)</f>
        <v>42402</v>
      </c>
      <c r="AR19" s="1072">
        <f t="shared" ref="AR19" si="20">Q19</f>
        <v>42736</v>
      </c>
      <c r="AS19" s="779">
        <f t="shared" ref="AS19" si="21">Q19-AQ19</f>
        <v>334</v>
      </c>
      <c r="AT19" s="1036"/>
      <c r="AU19" s="1037"/>
      <c r="AV19" s="1036">
        <f t="shared" ref="AV19" si="22">AT19-AU19</f>
        <v>0</v>
      </c>
      <c r="AW19" s="1048"/>
      <c r="AX19" s="405">
        <v>42369</v>
      </c>
      <c r="AY19" s="954">
        <f t="shared" ref="AY19" si="23">N19</f>
        <v>42732</v>
      </c>
      <c r="AZ19" s="954">
        <f t="shared" ref="AZ19" si="24">AR19</f>
        <v>42736</v>
      </c>
      <c r="BA19" s="954">
        <f t="shared" ref="BA19" si="25">(N19-30)-(WEEKDAY(N19-30,2)-2)</f>
        <v>42703</v>
      </c>
      <c r="BB19" s="1109"/>
      <c r="BC19" s="1110"/>
      <c r="BD19" s="921"/>
      <c r="BE19" s="1111">
        <f t="shared" ref="BE19" si="26">IF(K19&lt;&gt;"",(K19+90)-(WEEKDAY(K19+90,2)-2),"DIPC")</f>
        <v>42500</v>
      </c>
      <c r="BF19" s="511"/>
      <c r="BG19" s="356"/>
      <c r="BH19" s="509"/>
      <c r="BI19" s="356"/>
      <c r="BJ19" s="554"/>
    </row>
    <row r="20" spans="1:72" s="396" customFormat="1" ht="13.15" customHeight="1" x14ac:dyDescent="0.2">
      <c r="A20" s="643"/>
      <c r="B20" s="402"/>
      <c r="C20" s="403"/>
      <c r="D20" s="355"/>
      <c r="E20" s="356"/>
      <c r="F20" s="409"/>
      <c r="G20" s="355"/>
      <c r="H20" s="355"/>
      <c r="I20" s="452"/>
      <c r="J20" s="404"/>
      <c r="K20" s="404"/>
      <c r="L20" s="454"/>
      <c r="M20" s="405"/>
      <c r="N20" s="405"/>
      <c r="O20" s="405"/>
      <c r="P20" s="405"/>
      <c r="Q20" s="405"/>
      <c r="R20" s="406"/>
      <c r="S20" s="407"/>
      <c r="T20" s="355"/>
      <c r="U20" s="408"/>
      <c r="V20" s="409"/>
      <c r="W20" s="409"/>
      <c r="X20" s="410"/>
      <c r="Y20" s="429"/>
      <c r="Z20" s="802"/>
      <c r="AA20" s="969"/>
      <c r="AB20" s="802"/>
      <c r="AC20" s="802"/>
      <c r="AD20" s="802"/>
      <c r="AE20" s="802"/>
      <c r="AF20" s="802"/>
      <c r="AG20" s="969"/>
      <c r="AH20" s="969"/>
      <c r="AI20" s="969"/>
      <c r="AJ20" s="969"/>
      <c r="AK20" s="969"/>
      <c r="AL20" s="969"/>
      <c r="AM20" s="802"/>
      <c r="AN20" s="970"/>
      <c r="AO20" s="429"/>
      <c r="AP20" s="971"/>
      <c r="AQ20" s="500"/>
      <c r="AR20" s="500"/>
      <c r="AS20" s="802"/>
      <c r="AT20" s="501"/>
      <c r="AU20" s="940"/>
      <c r="AV20" s="570"/>
      <c r="AW20" s="940"/>
      <c r="AX20" s="672">
        <v>42735</v>
      </c>
      <c r="AY20" s="486"/>
      <c r="AZ20" s="486"/>
      <c r="BA20" s="487"/>
      <c r="BB20" s="539"/>
      <c r="BC20" s="356"/>
      <c r="BD20" s="539"/>
      <c r="BE20" s="492"/>
      <c r="BF20" s="511"/>
      <c r="BG20" s="356"/>
      <c r="BH20" s="509"/>
      <c r="BI20" s="356"/>
      <c r="BJ20" s="554"/>
      <c r="BK20" s="613"/>
      <c r="BL20" s="613"/>
      <c r="BM20" s="613"/>
      <c r="BN20" s="613"/>
      <c r="BO20" s="613"/>
      <c r="BP20" s="613"/>
      <c r="BQ20" s="613"/>
      <c r="BR20" s="613"/>
      <c r="BS20" s="613"/>
      <c r="BT20" s="613"/>
    </row>
    <row r="21" spans="1:72" s="396" customFormat="1" ht="12.75" customHeight="1" x14ac:dyDescent="0.2">
      <c r="A21" s="655"/>
      <c r="B21" s="641"/>
      <c r="C21" s="642"/>
      <c r="D21" s="355"/>
      <c r="E21" s="356"/>
      <c r="F21" s="409"/>
      <c r="G21" s="355"/>
      <c r="H21" s="355"/>
      <c r="I21" s="452"/>
      <c r="J21" s="404"/>
      <c r="K21" s="404"/>
      <c r="L21" s="454"/>
      <c r="M21" s="405"/>
      <c r="N21" s="455"/>
      <c r="O21" s="455"/>
      <c r="P21" s="455"/>
      <c r="Q21" s="405"/>
      <c r="R21" s="406"/>
      <c r="S21" s="407"/>
      <c r="T21" s="355"/>
      <c r="U21" s="408"/>
      <c r="V21" s="409"/>
      <c r="W21" s="409"/>
      <c r="X21" s="410"/>
      <c r="Y21" s="429"/>
      <c r="Z21" s="802"/>
      <c r="AA21" s="986"/>
      <c r="AB21" s="941"/>
      <c r="AC21" s="941"/>
      <c r="AD21" s="941"/>
      <c r="AE21" s="941"/>
      <c r="AF21" s="802"/>
      <c r="AG21" s="969"/>
      <c r="AH21" s="969"/>
      <c r="AI21" s="969"/>
      <c r="AJ21" s="969"/>
      <c r="AK21" s="969"/>
      <c r="AL21" s="969"/>
      <c r="AM21" s="802"/>
      <c r="AN21" s="970"/>
      <c r="AO21" s="429"/>
      <c r="AP21" s="971"/>
      <c r="AQ21" s="500"/>
      <c r="AR21" s="500"/>
      <c r="AS21" s="941"/>
      <c r="AT21" s="501"/>
      <c r="AU21" s="501"/>
      <c r="AV21" s="501"/>
      <c r="AW21" s="940"/>
      <c r="AX21" s="672">
        <v>42735</v>
      </c>
      <c r="AY21" s="486"/>
      <c r="AZ21" s="486"/>
      <c r="BA21" s="487"/>
      <c r="BB21" s="539"/>
      <c r="BC21" s="553"/>
      <c r="BD21" s="539"/>
      <c r="BE21" s="492"/>
      <c r="BF21" s="511"/>
      <c r="BG21" s="356"/>
      <c r="BH21" s="509"/>
      <c r="BI21" s="356"/>
      <c r="BJ21" s="554"/>
      <c r="BK21" s="728"/>
      <c r="BL21" s="728"/>
      <c r="BM21" s="728"/>
      <c r="BN21" s="728"/>
      <c r="BO21" s="728"/>
      <c r="BP21" s="728"/>
      <c r="BQ21" s="728"/>
      <c r="BR21" s="728"/>
      <c r="BS21" s="728"/>
      <c r="BT21" s="728"/>
    </row>
    <row r="22" spans="1:72" s="396" customFormat="1" ht="13.5" customHeight="1" x14ac:dyDescent="0.2">
      <c r="A22" s="484"/>
      <c r="B22" s="484"/>
      <c r="C22" s="379"/>
      <c r="D22" s="347"/>
      <c r="E22" s="349"/>
      <c r="F22" s="384"/>
      <c r="G22" s="347"/>
      <c r="H22" s="347"/>
      <c r="I22" s="485"/>
      <c r="J22" s="380"/>
      <c r="K22" s="404"/>
      <c r="L22" s="454"/>
      <c r="M22" s="381"/>
      <c r="N22" s="381"/>
      <c r="O22" s="381"/>
      <c r="P22" s="381"/>
      <c r="Q22" s="381"/>
      <c r="R22" s="399"/>
      <c r="S22" s="382"/>
      <c r="T22" s="347"/>
      <c r="U22" s="383"/>
      <c r="V22" s="384"/>
      <c r="W22" s="384"/>
      <c r="X22" s="385"/>
      <c r="Y22" s="429"/>
      <c r="Z22" s="802"/>
      <c r="AA22" s="969"/>
      <c r="AB22" s="802"/>
      <c r="AC22" s="802"/>
      <c r="AD22" s="802"/>
      <c r="AE22" s="802"/>
      <c r="AF22" s="802"/>
      <c r="AG22" s="969"/>
      <c r="AH22" s="969"/>
      <c r="AI22" s="969"/>
      <c r="AJ22" s="969"/>
      <c r="AK22" s="969"/>
      <c r="AL22" s="969"/>
      <c r="AM22" s="802"/>
      <c r="AN22" s="970"/>
      <c r="AO22" s="429"/>
      <c r="AP22" s="971"/>
      <c r="AQ22" s="500"/>
      <c r="AR22" s="500"/>
      <c r="AS22" s="802"/>
      <c r="AT22" s="501"/>
      <c r="AU22" s="501"/>
      <c r="AV22" s="501"/>
      <c r="AW22" s="940"/>
      <c r="AX22" s="672">
        <v>42735</v>
      </c>
      <c r="AY22" s="486"/>
      <c r="AZ22" s="486"/>
      <c r="BA22" s="487"/>
      <c r="BB22" s="539"/>
      <c r="BC22" s="553"/>
      <c r="BD22" s="509"/>
      <c r="BE22" s="492"/>
      <c r="BF22" s="511"/>
      <c r="BG22" s="356"/>
      <c r="BH22" s="509"/>
      <c r="BI22" s="488"/>
      <c r="BJ22" s="407"/>
    </row>
    <row r="23" spans="1:72" s="389" customFormat="1" ht="12.75" customHeight="1" x14ac:dyDescent="0.2">
      <c r="A23" s="484"/>
      <c r="B23" s="484"/>
      <c r="C23" s="379"/>
      <c r="D23" s="347"/>
      <c r="E23" s="349"/>
      <c r="F23" s="384"/>
      <c r="G23" s="347"/>
      <c r="H23" s="382"/>
      <c r="I23" s="460"/>
      <c r="J23" s="380"/>
      <c r="K23" s="404"/>
      <c r="L23" s="454"/>
      <c r="M23" s="381"/>
      <c r="N23" s="456"/>
      <c r="O23" s="456"/>
      <c r="P23" s="456"/>
      <c r="Q23" s="381"/>
      <c r="R23" s="399"/>
      <c r="S23" s="382"/>
      <c r="T23" s="347"/>
      <c r="U23" s="383"/>
      <c r="V23" s="384"/>
      <c r="W23" s="384"/>
      <c r="X23" s="385"/>
      <c r="Y23" s="429"/>
      <c r="Z23" s="802"/>
      <c r="AA23" s="969"/>
      <c r="AB23" s="802"/>
      <c r="AC23" s="802"/>
      <c r="AD23" s="802"/>
      <c r="AE23" s="802"/>
      <c r="AF23" s="802"/>
      <c r="AG23" s="969"/>
      <c r="AH23" s="969"/>
      <c r="AI23" s="969"/>
      <c r="AJ23" s="969"/>
      <c r="AK23" s="969"/>
      <c r="AL23" s="969"/>
      <c r="AM23" s="802"/>
      <c r="AN23" s="970"/>
      <c r="AO23" s="429"/>
      <c r="AP23" s="971"/>
      <c r="AQ23" s="410"/>
      <c r="AR23" s="500"/>
      <c r="AS23" s="802"/>
      <c r="AT23" s="501"/>
      <c r="AU23" s="501"/>
      <c r="AV23" s="501"/>
      <c r="AW23" s="940"/>
      <c r="AX23" s="672">
        <v>42735</v>
      </c>
      <c r="AY23" s="486"/>
      <c r="AZ23" s="486"/>
      <c r="BA23" s="487"/>
      <c r="BB23" s="539"/>
      <c r="BC23" s="553"/>
      <c r="BD23" s="511"/>
      <c r="BE23" s="492"/>
      <c r="BF23" s="511"/>
      <c r="BG23" s="356"/>
      <c r="BH23" s="509"/>
      <c r="BI23" s="488"/>
      <c r="BJ23" s="407"/>
      <c r="BK23" s="396"/>
      <c r="BL23" s="396"/>
      <c r="BM23" s="396"/>
      <c r="BN23" s="396"/>
      <c r="BO23" s="396"/>
      <c r="BP23" s="396"/>
      <c r="BQ23" s="396"/>
      <c r="BR23" s="396"/>
      <c r="BS23" s="396"/>
      <c r="BT23" s="396"/>
    </row>
    <row r="24" spans="1:72" s="389" customFormat="1" ht="12.75" customHeight="1" x14ac:dyDescent="0.2">
      <c r="A24" s="484"/>
      <c r="B24" s="484"/>
      <c r="C24" s="379"/>
      <c r="D24" s="347"/>
      <c r="E24" s="349"/>
      <c r="F24" s="384"/>
      <c r="G24" s="347"/>
      <c r="H24" s="347"/>
      <c r="I24" s="485"/>
      <c r="J24" s="380"/>
      <c r="K24" s="404"/>
      <c r="L24" s="454"/>
      <c r="M24" s="381"/>
      <c r="N24" s="456"/>
      <c r="O24" s="456"/>
      <c r="P24" s="456"/>
      <c r="Q24" s="381"/>
      <c r="R24" s="399"/>
      <c r="S24" s="382"/>
      <c r="T24" s="347"/>
      <c r="U24" s="383"/>
      <c r="V24" s="384"/>
      <c r="W24" s="384"/>
      <c r="X24" s="385"/>
      <c r="Y24" s="429"/>
      <c r="Z24" s="802"/>
      <c r="AA24" s="969"/>
      <c r="AB24" s="802"/>
      <c r="AC24" s="802"/>
      <c r="AD24" s="802"/>
      <c r="AE24" s="802"/>
      <c r="AF24" s="802"/>
      <c r="AG24" s="969"/>
      <c r="AH24" s="969"/>
      <c r="AI24" s="969"/>
      <c r="AJ24" s="969"/>
      <c r="AK24" s="969"/>
      <c r="AL24" s="969"/>
      <c r="AM24" s="802"/>
      <c r="AN24" s="970"/>
      <c r="AO24" s="429"/>
      <c r="AP24" s="971"/>
      <c r="AQ24" s="410"/>
      <c r="AR24" s="500"/>
      <c r="AS24" s="802"/>
      <c r="AT24" s="501"/>
      <c r="AU24" s="501"/>
      <c r="AV24" s="501"/>
      <c r="AW24" s="940"/>
      <c r="AX24" s="672">
        <v>42735</v>
      </c>
      <c r="AY24" s="486"/>
      <c r="AZ24" s="486"/>
      <c r="BA24" s="487"/>
      <c r="BB24" s="539"/>
      <c r="BC24" s="553"/>
      <c r="BD24" s="511"/>
      <c r="BE24" s="492"/>
      <c r="BF24" s="511"/>
      <c r="BG24" s="356"/>
      <c r="BH24" s="509"/>
      <c r="BI24" s="488"/>
      <c r="BJ24" s="407"/>
      <c r="BK24" s="396"/>
      <c r="BL24" s="396"/>
      <c r="BM24" s="396"/>
      <c r="BN24" s="396"/>
      <c r="BO24" s="396"/>
      <c r="BP24" s="396"/>
      <c r="BQ24" s="396"/>
      <c r="BR24" s="396"/>
      <c r="BS24" s="396"/>
      <c r="BT24" s="396"/>
    </row>
    <row r="25" spans="1:72" s="396" customFormat="1" ht="12.75" customHeight="1" x14ac:dyDescent="0.2">
      <c r="A25" s="484"/>
      <c r="B25" s="484"/>
      <c r="C25" s="379"/>
      <c r="D25" s="347"/>
      <c r="E25" s="349"/>
      <c r="F25" s="384"/>
      <c r="G25" s="347"/>
      <c r="H25" s="347"/>
      <c r="I25" s="485"/>
      <c r="J25" s="380"/>
      <c r="K25" s="404"/>
      <c r="L25" s="454"/>
      <c r="M25" s="381"/>
      <c r="N25" s="381"/>
      <c r="O25" s="381"/>
      <c r="P25" s="381"/>
      <c r="Q25" s="381"/>
      <c r="R25" s="399"/>
      <c r="S25" s="382"/>
      <c r="T25" s="347"/>
      <c r="U25" s="383"/>
      <c r="V25" s="384"/>
      <c r="W25" s="384"/>
      <c r="X25" s="385"/>
      <c r="Y25" s="429"/>
      <c r="Z25" s="802"/>
      <c r="AA25" s="969"/>
      <c r="AB25" s="802"/>
      <c r="AC25" s="802"/>
      <c r="AD25" s="802"/>
      <c r="AE25" s="802"/>
      <c r="AF25" s="802"/>
      <c r="AG25" s="969"/>
      <c r="AH25" s="969"/>
      <c r="AI25" s="969"/>
      <c r="AJ25" s="969"/>
      <c r="AK25" s="969"/>
      <c r="AL25" s="969"/>
      <c r="AM25" s="802"/>
      <c r="AN25" s="970"/>
      <c r="AO25" s="429"/>
      <c r="AP25" s="971"/>
      <c r="AQ25" s="500"/>
      <c r="AR25" s="500"/>
      <c r="AS25" s="802"/>
      <c r="AT25" s="501"/>
      <c r="AU25" s="501"/>
      <c r="AV25" s="501"/>
      <c r="AW25" s="940"/>
      <c r="AX25" s="672">
        <v>42735</v>
      </c>
      <c r="AY25" s="486"/>
      <c r="AZ25" s="486"/>
      <c r="BA25" s="487"/>
      <c r="BB25" s="539"/>
      <c r="BC25" s="553"/>
      <c r="BD25" s="509"/>
      <c r="BE25" s="492"/>
      <c r="BF25" s="511"/>
      <c r="BG25" s="356"/>
      <c r="BH25" s="509"/>
      <c r="BI25" s="488"/>
      <c r="BJ25" s="407"/>
    </row>
    <row r="26" spans="1:72" s="396" customFormat="1" ht="12.75" customHeight="1" x14ac:dyDescent="0.2">
      <c r="A26" s="643"/>
      <c r="B26" s="641"/>
      <c r="C26" s="642"/>
      <c r="D26" s="802"/>
      <c r="E26" s="830"/>
      <c r="F26" s="384"/>
      <c r="G26" s="802"/>
      <c r="H26" s="347"/>
      <c r="I26" s="452"/>
      <c r="J26" s="404"/>
      <c r="K26" s="404"/>
      <c r="L26" s="454"/>
      <c r="M26" s="405"/>
      <c r="N26" s="405"/>
      <c r="O26" s="405"/>
      <c r="P26" s="405"/>
      <c r="Q26" s="405"/>
      <c r="R26" s="406"/>
      <c r="S26" s="407"/>
      <c r="T26" s="355"/>
      <c r="U26" s="408"/>
      <c r="V26" s="409"/>
      <c r="W26" s="409"/>
      <c r="X26" s="410"/>
      <c r="Y26" s="429"/>
      <c r="Z26" s="802"/>
      <c r="AA26" s="969"/>
      <c r="AB26" s="802"/>
      <c r="AC26" s="802"/>
      <c r="AD26" s="802"/>
      <c r="AE26" s="802"/>
      <c r="AF26" s="802"/>
      <c r="AG26" s="969"/>
      <c r="AH26" s="969"/>
      <c r="AI26" s="969"/>
      <c r="AJ26" s="969"/>
      <c r="AK26" s="969"/>
      <c r="AL26" s="969"/>
      <c r="AM26" s="802"/>
      <c r="AN26" s="970"/>
      <c r="AO26" s="429"/>
      <c r="AP26" s="971"/>
      <c r="AQ26" s="500"/>
      <c r="AR26" s="500"/>
      <c r="AS26" s="802"/>
      <c r="AT26" s="501"/>
      <c r="AU26" s="501"/>
      <c r="AV26" s="501"/>
      <c r="AW26" s="940"/>
      <c r="AX26" s="672">
        <v>42735</v>
      </c>
      <c r="AY26" s="486"/>
      <c r="AZ26" s="486"/>
      <c r="BA26" s="487"/>
      <c r="BB26" s="539"/>
      <c r="BC26" s="356"/>
      <c r="BD26" s="539"/>
      <c r="BE26" s="492"/>
      <c r="BF26" s="511"/>
      <c r="BG26" s="356"/>
      <c r="BH26" s="509"/>
      <c r="BI26" s="349"/>
      <c r="BJ26" s="572"/>
      <c r="BK26" s="569"/>
      <c r="BL26" s="569"/>
      <c r="BM26" s="569"/>
      <c r="BN26" s="569"/>
      <c r="BO26" s="569"/>
      <c r="BP26" s="569"/>
      <c r="BQ26" s="569"/>
      <c r="BR26" s="569"/>
      <c r="BS26" s="566"/>
      <c r="BT26" s="566"/>
    </row>
    <row r="27" spans="1:72" s="396" customFormat="1" ht="12.75" customHeight="1" x14ac:dyDescent="0.2">
      <c r="A27" s="640"/>
      <c r="B27" s="484"/>
      <c r="C27" s="379"/>
      <c r="D27" s="347"/>
      <c r="E27" s="349"/>
      <c r="F27" s="384"/>
      <c r="G27" s="347"/>
      <c r="H27" s="347"/>
      <c r="I27" s="485"/>
      <c r="J27" s="380"/>
      <c r="K27" s="380"/>
      <c r="L27" s="706"/>
      <c r="M27" s="381"/>
      <c r="N27" s="381"/>
      <c r="O27" s="381"/>
      <c r="P27" s="381"/>
      <c r="Q27" s="405"/>
      <c r="R27" s="399"/>
      <c r="S27" s="382"/>
      <c r="T27" s="355"/>
      <c r="U27" s="408"/>
      <c r="V27" s="409"/>
      <c r="W27" s="409"/>
      <c r="X27" s="410"/>
      <c r="Y27" s="429"/>
      <c r="Z27" s="802"/>
      <c r="AA27" s="969"/>
      <c r="AB27" s="802"/>
      <c r="AC27" s="802"/>
      <c r="AD27" s="802"/>
      <c r="AE27" s="802"/>
      <c r="AF27" s="802"/>
      <c r="AG27" s="969"/>
      <c r="AH27" s="969"/>
      <c r="AI27" s="969"/>
      <c r="AJ27" s="969"/>
      <c r="AK27" s="969"/>
      <c r="AL27" s="969"/>
      <c r="AM27" s="802"/>
      <c r="AN27" s="970"/>
      <c r="AO27" s="429"/>
      <c r="AP27" s="971"/>
      <c r="AQ27" s="500"/>
      <c r="AR27" s="500"/>
      <c r="AS27" s="802"/>
      <c r="AT27" s="501"/>
      <c r="AU27" s="501"/>
      <c r="AV27" s="501"/>
      <c r="AW27" s="940"/>
      <c r="AX27" s="672">
        <v>42735</v>
      </c>
      <c r="AY27" s="486"/>
      <c r="AZ27" s="486"/>
      <c r="BA27" s="487"/>
      <c r="BB27" s="539"/>
      <c r="BC27" s="553"/>
      <c r="BD27" s="511"/>
      <c r="BE27" s="492"/>
      <c r="BF27" s="511"/>
      <c r="BG27" s="356"/>
      <c r="BH27" s="509"/>
      <c r="BI27" s="488"/>
      <c r="BJ27" s="407"/>
    </row>
    <row r="28" spans="1:72" s="396" customFormat="1" ht="12.75" customHeight="1" x14ac:dyDescent="0.2">
      <c r="A28" s="479"/>
      <c r="B28" s="479"/>
      <c r="C28" s="379"/>
      <c r="D28" s="347"/>
      <c r="E28" s="349"/>
      <c r="F28" s="384"/>
      <c r="G28" s="347"/>
      <c r="H28" s="347"/>
      <c r="I28" s="485"/>
      <c r="J28" s="380"/>
      <c r="K28" s="380"/>
      <c r="L28" s="706"/>
      <c r="M28" s="381"/>
      <c r="N28" s="381"/>
      <c r="O28" s="381"/>
      <c r="P28" s="381"/>
      <c r="Q28" s="381"/>
      <c r="R28" s="399"/>
      <c r="S28" s="382"/>
      <c r="T28" s="347"/>
      <c r="U28" s="383"/>
      <c r="V28" s="384"/>
      <c r="W28" s="384"/>
      <c r="X28" s="385"/>
      <c r="Y28" s="397"/>
      <c r="Z28" s="832"/>
      <c r="AA28" s="615"/>
      <c r="AB28" s="832"/>
      <c r="AC28" s="832"/>
      <c r="AD28" s="832"/>
      <c r="AE28" s="832"/>
      <c r="AF28" s="832"/>
      <c r="AG28" s="615"/>
      <c r="AH28" s="615"/>
      <c r="AI28" s="615"/>
      <c r="AJ28" s="615"/>
      <c r="AK28" s="615"/>
      <c r="AL28" s="615"/>
      <c r="AM28" s="832"/>
      <c r="AN28" s="833"/>
      <c r="AO28" s="397"/>
      <c r="AP28" s="834"/>
      <c r="AQ28" s="398"/>
      <c r="AR28" s="398"/>
      <c r="AS28" s="832"/>
      <c r="AT28" s="570"/>
      <c r="AU28" s="570"/>
      <c r="AV28" s="570"/>
      <c r="AW28" s="716"/>
      <c r="AX28" s="672">
        <v>42735</v>
      </c>
      <c r="AY28" s="471"/>
      <c r="AZ28" s="471"/>
      <c r="BA28" s="472"/>
      <c r="BB28" s="462"/>
      <c r="BC28" s="469"/>
      <c r="BD28" s="460"/>
      <c r="BE28" s="491"/>
      <c r="BF28" s="460"/>
      <c r="BG28" s="349"/>
      <c r="BH28" s="465"/>
      <c r="BI28" s="390"/>
      <c r="BJ28" s="382"/>
      <c r="BK28" s="387"/>
      <c r="BL28" s="387"/>
      <c r="BM28" s="387"/>
      <c r="BN28" s="387"/>
      <c r="BO28" s="387"/>
      <c r="BP28" s="387"/>
      <c r="BQ28" s="387"/>
      <c r="BR28" s="387"/>
      <c r="BS28" s="387"/>
      <c r="BT28" s="387"/>
    </row>
    <row r="29" spans="1:72" s="374" customFormat="1" ht="12.75" customHeight="1" x14ac:dyDescent="0.2">
      <c r="A29" s="643"/>
      <c r="B29" s="402"/>
      <c r="C29" s="403"/>
      <c r="D29" s="355"/>
      <c r="E29" s="356"/>
      <c r="F29" s="409"/>
      <c r="G29" s="355"/>
      <c r="H29" s="355"/>
      <c r="I29" s="452"/>
      <c r="J29" s="404"/>
      <c r="K29" s="404"/>
      <c r="L29" s="454"/>
      <c r="M29" s="405"/>
      <c r="N29" s="405"/>
      <c r="O29" s="405"/>
      <c r="P29" s="405"/>
      <c r="Q29" s="405"/>
      <c r="R29" s="406"/>
      <c r="S29" s="407"/>
      <c r="T29" s="355"/>
      <c r="U29" s="408"/>
      <c r="V29" s="409"/>
      <c r="W29" s="409"/>
      <c r="X29" s="410"/>
      <c r="Y29" s="429"/>
      <c r="Z29" s="802"/>
      <c r="AA29" s="969"/>
      <c r="AB29" s="802"/>
      <c r="AC29" s="802"/>
      <c r="AD29" s="802"/>
      <c r="AE29" s="802"/>
      <c r="AF29" s="802"/>
      <c r="AG29" s="969"/>
      <c r="AH29" s="969"/>
      <c r="AI29" s="969"/>
      <c r="AJ29" s="969"/>
      <c r="AK29" s="969"/>
      <c r="AL29" s="969"/>
      <c r="AM29" s="802"/>
      <c r="AN29" s="970"/>
      <c r="AO29" s="429"/>
      <c r="AP29" s="971"/>
      <c r="AQ29" s="500"/>
      <c r="AR29" s="500"/>
      <c r="AS29" s="802"/>
      <c r="AT29" s="501"/>
      <c r="AU29" s="501"/>
      <c r="AV29" s="501"/>
      <c r="AW29" s="940"/>
      <c r="AX29" s="672">
        <v>42735</v>
      </c>
      <c r="AY29" s="486"/>
      <c r="AZ29" s="486"/>
      <c r="BA29" s="487"/>
      <c r="BB29" s="539"/>
      <c r="BC29" s="553"/>
      <c r="BD29" s="511"/>
      <c r="BE29" s="492"/>
      <c r="BF29" s="511"/>
      <c r="BG29" s="356"/>
      <c r="BH29" s="509"/>
      <c r="BI29" s="488"/>
      <c r="BJ29" s="407"/>
      <c r="BK29" s="396"/>
      <c r="BL29" s="396"/>
      <c r="BM29" s="396"/>
      <c r="BN29" s="396"/>
      <c r="BO29" s="396"/>
      <c r="BP29" s="396"/>
      <c r="BQ29" s="396"/>
      <c r="BR29" s="396"/>
      <c r="BS29" s="396"/>
      <c r="BT29" s="396"/>
    </row>
    <row r="30" spans="1:72" s="374" customFormat="1" ht="12.75" customHeight="1" x14ac:dyDescent="0.2">
      <c r="A30" s="675"/>
      <c r="B30" s="375"/>
      <c r="C30" s="391"/>
      <c r="D30" s="366"/>
      <c r="E30" s="357"/>
      <c r="F30" s="394"/>
      <c r="G30" s="366"/>
      <c r="H30" s="366"/>
      <c r="I30" s="451"/>
      <c r="J30" s="372"/>
      <c r="K30" s="372"/>
      <c r="L30" s="581"/>
      <c r="M30" s="369"/>
      <c r="N30" s="369"/>
      <c r="O30" s="369"/>
      <c r="P30" s="369"/>
      <c r="Q30" s="369"/>
      <c r="R30" s="421"/>
      <c r="S30" s="392"/>
      <c r="T30" s="366"/>
      <c r="U30" s="393"/>
      <c r="V30" s="394"/>
      <c r="W30" s="394"/>
      <c r="X30" s="370"/>
      <c r="Y30" s="371"/>
      <c r="Z30" s="647"/>
      <c r="AA30" s="648"/>
      <c r="AB30" s="647"/>
      <c r="AC30" s="647"/>
      <c r="AD30" s="647"/>
      <c r="AE30" s="647"/>
      <c r="AF30" s="647"/>
      <c r="AG30" s="648"/>
      <c r="AH30" s="648"/>
      <c r="AI30" s="648"/>
      <c r="AJ30" s="648"/>
      <c r="AK30" s="648"/>
      <c r="AL30" s="648"/>
      <c r="AM30" s="647"/>
      <c r="AN30" s="930"/>
      <c r="AO30" s="371"/>
      <c r="AP30" s="973"/>
      <c r="AQ30" s="368"/>
      <c r="AR30" s="368"/>
      <c r="AS30" s="647"/>
      <c r="AT30" s="373"/>
      <c r="AU30" s="373"/>
      <c r="AV30" s="373"/>
      <c r="AW30" s="918"/>
      <c r="AX30" s="672">
        <v>42735</v>
      </c>
      <c r="AY30" s="480"/>
      <c r="AZ30" s="480"/>
      <c r="BA30" s="481"/>
      <c r="BB30" s="624"/>
      <c r="BC30" s="620"/>
      <c r="BD30" s="483"/>
      <c r="BE30" s="493"/>
      <c r="BF30" s="483"/>
      <c r="BG30" s="357"/>
      <c r="BH30" s="482"/>
      <c r="BI30" s="400"/>
      <c r="BJ30" s="392"/>
    </row>
    <row r="31" spans="1:72" s="396" customFormat="1" ht="13.15" customHeight="1" x14ac:dyDescent="0.2">
      <c r="A31" s="803"/>
      <c r="B31" s="375"/>
      <c r="C31" s="391"/>
      <c r="D31" s="366"/>
      <c r="E31" s="357"/>
      <c r="F31" s="394"/>
      <c r="G31" s="366"/>
      <c r="H31" s="366"/>
      <c r="I31" s="451"/>
      <c r="J31" s="372"/>
      <c r="K31" s="372"/>
      <c r="L31" s="581"/>
      <c r="M31" s="369"/>
      <c r="N31" s="369"/>
      <c r="O31" s="369"/>
      <c r="P31" s="369"/>
      <c r="Q31" s="369"/>
      <c r="R31" s="421"/>
      <c r="S31" s="392"/>
      <c r="T31" s="366"/>
      <c r="U31" s="393"/>
      <c r="V31" s="394"/>
      <c r="W31" s="394"/>
      <c r="X31" s="370"/>
      <c r="Y31" s="371"/>
      <c r="Z31" s="647"/>
      <c r="AA31" s="648"/>
      <c r="AB31" s="647"/>
      <c r="AC31" s="647"/>
      <c r="AD31" s="647"/>
      <c r="AE31" s="647"/>
      <c r="AF31" s="647"/>
      <c r="AG31" s="648"/>
      <c r="AH31" s="648"/>
      <c r="AI31" s="648"/>
      <c r="AJ31" s="648"/>
      <c r="AK31" s="648"/>
      <c r="AL31" s="648"/>
      <c r="AM31" s="647"/>
      <c r="AN31" s="930"/>
      <c r="AO31" s="371"/>
      <c r="AP31" s="973"/>
      <c r="AQ31" s="368"/>
      <c r="AR31" s="368"/>
      <c r="AS31" s="647"/>
      <c r="AT31" s="373"/>
      <c r="AU31" s="373"/>
      <c r="AV31" s="373"/>
      <c r="AW31" s="918"/>
      <c r="AX31" s="672">
        <v>42735</v>
      </c>
      <c r="AY31" s="480"/>
      <c r="AZ31" s="480"/>
      <c r="BA31" s="481"/>
      <c r="BB31" s="624"/>
      <c r="BC31" s="620"/>
      <c r="BD31" s="483"/>
      <c r="BE31" s="493"/>
      <c r="BF31" s="483"/>
      <c r="BG31" s="357"/>
      <c r="BH31" s="482"/>
      <c r="BI31" s="400"/>
      <c r="BJ31" s="392"/>
      <c r="BK31" s="374"/>
      <c r="BL31" s="374"/>
      <c r="BM31" s="374"/>
      <c r="BN31" s="374"/>
      <c r="BO31" s="374"/>
      <c r="BP31" s="374"/>
      <c r="BQ31" s="374"/>
      <c r="BR31" s="374"/>
      <c r="BS31" s="374"/>
      <c r="BT31" s="374"/>
    </row>
    <row r="32" spans="1:72" s="396" customFormat="1" ht="12" customHeight="1" x14ac:dyDescent="0.2">
      <c r="A32" s="402"/>
      <c r="B32" s="402"/>
      <c r="C32" s="403"/>
      <c r="D32" s="355"/>
      <c r="E32" s="356"/>
      <c r="F32" s="409"/>
      <c r="G32" s="355"/>
      <c r="H32" s="355"/>
      <c r="I32" s="452"/>
      <c r="J32" s="404"/>
      <c r="K32" s="404"/>
      <c r="L32" s="454"/>
      <c r="M32" s="405"/>
      <c r="N32" s="405"/>
      <c r="O32" s="405"/>
      <c r="P32" s="405"/>
      <c r="Q32" s="405"/>
      <c r="R32" s="406"/>
      <c r="S32" s="407"/>
      <c r="T32" s="355"/>
      <c r="U32" s="408"/>
      <c r="V32" s="409"/>
      <c r="W32" s="409"/>
      <c r="X32" s="410"/>
      <c r="Y32" s="429"/>
      <c r="Z32" s="802"/>
      <c r="AA32" s="969"/>
      <c r="AB32" s="802"/>
      <c r="AC32" s="802"/>
      <c r="AD32" s="802"/>
      <c r="AE32" s="802"/>
      <c r="AF32" s="802"/>
      <c r="AG32" s="969"/>
      <c r="AH32" s="969"/>
      <c r="AI32" s="969"/>
      <c r="AJ32" s="969"/>
      <c r="AK32" s="969"/>
      <c r="AL32" s="969"/>
      <c r="AM32" s="802"/>
      <c r="AN32" s="970"/>
      <c r="AO32" s="429"/>
      <c r="AP32" s="971"/>
      <c r="AQ32" s="500"/>
      <c r="AR32" s="500"/>
      <c r="AS32" s="802"/>
      <c r="AT32" s="501"/>
      <c r="AU32" s="501"/>
      <c r="AV32" s="501"/>
      <c r="AW32" s="940"/>
      <c r="AX32" s="672">
        <v>42735</v>
      </c>
      <c r="AY32" s="486"/>
      <c r="AZ32" s="486"/>
      <c r="BA32" s="487"/>
      <c r="BB32" s="539"/>
      <c r="BC32" s="553"/>
      <c r="BD32" s="509"/>
      <c r="BE32" s="492"/>
      <c r="BF32" s="511"/>
      <c r="BG32" s="356"/>
      <c r="BH32" s="509"/>
      <c r="BI32" s="488"/>
      <c r="BJ32" s="407"/>
    </row>
    <row r="33" spans="1:72" s="396" customFormat="1" ht="13.15" customHeight="1" x14ac:dyDescent="0.2">
      <c r="A33" s="695"/>
      <c r="B33" s="695"/>
      <c r="C33" s="746"/>
      <c r="D33" s="555"/>
      <c r="E33" s="556"/>
      <c r="F33" s="608"/>
      <c r="G33" s="555"/>
      <c r="H33" s="555"/>
      <c r="I33" s="703"/>
      <c r="J33" s="704"/>
      <c r="K33" s="704"/>
      <c r="L33" s="454"/>
      <c r="M33" s="609"/>
      <c r="N33" s="710"/>
      <c r="O33" s="710"/>
      <c r="P33" s="710"/>
      <c r="Q33" s="609"/>
      <c r="R33" s="711"/>
      <c r="S33" s="557"/>
      <c r="T33" s="555"/>
      <c r="U33" s="558"/>
      <c r="V33" s="608"/>
      <c r="W33" s="608"/>
      <c r="X33" s="714"/>
      <c r="Y33" s="935"/>
      <c r="Z33" s="568"/>
      <c r="AA33" s="980"/>
      <c r="AB33" s="939"/>
      <c r="AC33" s="939"/>
      <c r="AD33" s="939"/>
      <c r="AE33" s="939"/>
      <c r="AF33" s="568"/>
      <c r="AG33" s="981"/>
      <c r="AH33" s="981"/>
      <c r="AI33" s="981"/>
      <c r="AJ33" s="981"/>
      <c r="AK33" s="981"/>
      <c r="AL33" s="981"/>
      <c r="AM33" s="568"/>
      <c r="AN33" s="610"/>
      <c r="AO33" s="935"/>
      <c r="AP33" s="982"/>
      <c r="AQ33" s="983"/>
      <c r="AR33" s="983"/>
      <c r="AS33" s="568"/>
      <c r="AT33" s="943"/>
      <c r="AU33" s="943"/>
      <c r="AV33" s="943"/>
      <c r="AW33" s="934"/>
      <c r="AX33" s="672">
        <v>42735</v>
      </c>
      <c r="AY33" s="720"/>
      <c r="AZ33" s="720"/>
      <c r="BA33" s="560"/>
      <c r="BB33" s="567"/>
      <c r="BC33" s="562"/>
      <c r="BD33" s="561"/>
      <c r="BE33" s="564"/>
      <c r="BF33" s="556"/>
      <c r="BG33" s="556"/>
      <c r="BH33" s="563"/>
      <c r="BI33" s="556"/>
      <c r="BJ33" s="611"/>
      <c r="BK33" s="566"/>
      <c r="BL33" s="566"/>
      <c r="BM33" s="566"/>
      <c r="BN33" s="566"/>
      <c r="BO33" s="566"/>
      <c r="BP33" s="566"/>
      <c r="BQ33" s="566"/>
      <c r="BR33" s="566"/>
      <c r="BS33" s="566"/>
      <c r="BT33" s="566"/>
    </row>
    <row r="34" spans="1:72" s="387" customFormat="1" ht="12.75" customHeight="1" x14ac:dyDescent="0.2">
      <c r="A34" s="402"/>
      <c r="B34" s="402"/>
      <c r="C34" s="583"/>
      <c r="D34" s="355"/>
      <c r="E34" s="356"/>
      <c r="F34" s="409"/>
      <c r="G34" s="355"/>
      <c r="H34" s="355"/>
      <c r="I34" s="452"/>
      <c r="J34" s="404"/>
      <c r="K34" s="404"/>
      <c r="L34" s="454"/>
      <c r="M34" s="405"/>
      <c r="N34" s="455"/>
      <c r="O34" s="455"/>
      <c r="P34" s="455"/>
      <c r="Q34" s="405"/>
      <c r="R34" s="406"/>
      <c r="S34" s="407"/>
      <c r="T34" s="355"/>
      <c r="U34" s="408"/>
      <c r="V34" s="409"/>
      <c r="W34" s="409"/>
      <c r="X34" s="410"/>
      <c r="Y34" s="429"/>
      <c r="Z34" s="802"/>
      <c r="AA34" s="986"/>
      <c r="AB34" s="941"/>
      <c r="AC34" s="941"/>
      <c r="AD34" s="941"/>
      <c r="AE34" s="941"/>
      <c r="AF34" s="802"/>
      <c r="AG34" s="969"/>
      <c r="AH34" s="969"/>
      <c r="AI34" s="969"/>
      <c r="AJ34" s="969"/>
      <c r="AK34" s="969"/>
      <c r="AL34" s="969"/>
      <c r="AM34" s="802"/>
      <c r="AN34" s="970"/>
      <c r="AO34" s="429"/>
      <c r="AP34" s="971"/>
      <c r="AQ34" s="500"/>
      <c r="AR34" s="500"/>
      <c r="AS34" s="802"/>
      <c r="AT34" s="501"/>
      <c r="AU34" s="501"/>
      <c r="AV34" s="570"/>
      <c r="AW34" s="940"/>
      <c r="AX34" s="672">
        <v>42735</v>
      </c>
      <c r="AY34" s="496"/>
      <c r="AZ34" s="496"/>
      <c r="BA34" s="487"/>
      <c r="BB34" s="539"/>
      <c r="BC34" s="553"/>
      <c r="BD34" s="509"/>
      <c r="BE34" s="492"/>
      <c r="BF34" s="356"/>
      <c r="BG34" s="356"/>
      <c r="BH34" s="509"/>
      <c r="BI34" s="356"/>
      <c r="BJ34" s="554"/>
      <c r="BK34" s="396"/>
      <c r="BL34" s="396"/>
      <c r="BM34" s="396"/>
      <c r="BN34" s="396"/>
      <c r="BO34" s="396"/>
      <c r="BP34" s="396"/>
      <c r="BQ34" s="396"/>
      <c r="BR34" s="396"/>
      <c r="BS34" s="396"/>
      <c r="BT34" s="396"/>
    </row>
    <row r="35" spans="1:72" s="566" customFormat="1" ht="12.75" customHeight="1" x14ac:dyDescent="0.2">
      <c r="A35" s="484"/>
      <c r="B35" s="484"/>
      <c r="C35" s="700"/>
      <c r="D35" s="347"/>
      <c r="E35" s="349"/>
      <c r="F35" s="384"/>
      <c r="G35" s="347"/>
      <c r="H35" s="347"/>
      <c r="I35" s="485"/>
      <c r="J35" s="380"/>
      <c r="K35" s="380"/>
      <c r="L35" s="705"/>
      <c r="M35" s="411"/>
      <c r="N35" s="411"/>
      <c r="O35" s="710"/>
      <c r="P35" s="381"/>
      <c r="Q35" s="381"/>
      <c r="R35" s="399"/>
      <c r="S35" s="382"/>
      <c r="T35" s="385"/>
      <c r="U35" s="770"/>
      <c r="V35" s="384"/>
      <c r="W35" s="771"/>
      <c r="X35" s="951"/>
      <c r="Y35" s="832"/>
      <c r="Z35" s="832"/>
      <c r="AA35" s="615"/>
      <c r="AB35" s="832"/>
      <c r="AC35" s="397"/>
      <c r="AD35" s="946"/>
      <c r="AE35" s="385"/>
      <c r="AF35" s="385"/>
      <c r="AG35" s="615"/>
      <c r="AH35" s="989"/>
      <c r="AI35" s="989"/>
      <c r="AJ35" s="989"/>
      <c r="AK35" s="989"/>
      <c r="AL35" s="990"/>
      <c r="AM35" s="952"/>
      <c r="AN35" s="991"/>
      <c r="AO35" s="952"/>
      <c r="AP35" s="992"/>
      <c r="AQ35" s="993"/>
      <c r="AR35" s="398"/>
      <c r="AS35" s="952"/>
      <c r="AT35" s="951"/>
      <c r="AU35" s="832"/>
      <c r="AV35" s="951"/>
      <c r="AW35" s="953"/>
      <c r="AX35" s="672">
        <v>42735</v>
      </c>
      <c r="AY35" s="471"/>
      <c r="AZ35" s="471"/>
      <c r="BA35" s="472"/>
      <c r="BB35" s="462"/>
      <c r="BC35" s="469"/>
      <c r="BD35" s="465"/>
      <c r="BE35" s="491"/>
      <c r="BF35" s="460"/>
      <c r="BG35" s="349"/>
      <c r="BH35" s="465"/>
      <c r="BI35" s="390"/>
      <c r="BJ35" s="382"/>
      <c r="BK35" s="387"/>
      <c r="BL35" s="387"/>
      <c r="BM35" s="387"/>
      <c r="BN35" s="387"/>
      <c r="BO35" s="387"/>
      <c r="BP35" s="387"/>
      <c r="BQ35" s="387"/>
      <c r="BR35" s="387"/>
      <c r="BS35" s="387"/>
      <c r="BT35" s="387"/>
    </row>
    <row r="36" spans="1:72" s="396" customFormat="1" ht="13.15" customHeight="1" x14ac:dyDescent="0.2">
      <c r="A36" s="936"/>
      <c r="B36" s="695"/>
      <c r="C36" s="698"/>
      <c r="D36" s="555"/>
      <c r="E36" s="556"/>
      <c r="F36" s="608"/>
      <c r="G36" s="555"/>
      <c r="H36" s="555"/>
      <c r="I36" s="703"/>
      <c r="J36" s="704"/>
      <c r="K36" s="704"/>
      <c r="L36" s="707"/>
      <c r="M36" s="609"/>
      <c r="N36" s="748"/>
      <c r="O36" s="748"/>
      <c r="P36" s="748"/>
      <c r="Q36" s="609"/>
      <c r="R36" s="711"/>
      <c r="S36" s="557"/>
      <c r="T36" s="555"/>
      <c r="U36" s="558"/>
      <c r="V36" s="608"/>
      <c r="W36" s="608"/>
      <c r="X36" s="714"/>
      <c r="Y36" s="935"/>
      <c r="Z36" s="568"/>
      <c r="AA36" s="980"/>
      <c r="AB36" s="939"/>
      <c r="AC36" s="939"/>
      <c r="AD36" s="939"/>
      <c r="AE36" s="939"/>
      <c r="AF36" s="568"/>
      <c r="AG36" s="981"/>
      <c r="AH36" s="981"/>
      <c r="AI36" s="981"/>
      <c r="AJ36" s="981"/>
      <c r="AK36" s="981"/>
      <c r="AL36" s="981"/>
      <c r="AM36" s="568"/>
      <c r="AN36" s="610"/>
      <c r="AO36" s="935"/>
      <c r="AP36" s="982"/>
      <c r="AQ36" s="983"/>
      <c r="AR36" s="983"/>
      <c r="AS36" s="568"/>
      <c r="AT36" s="943"/>
      <c r="AU36" s="943"/>
      <c r="AV36" s="943"/>
      <c r="AW36" s="934"/>
      <c r="AX36" s="672">
        <v>42735</v>
      </c>
      <c r="AY36" s="720"/>
      <c r="AZ36" s="720"/>
      <c r="BA36" s="560"/>
      <c r="BB36" s="561"/>
      <c r="BC36" s="562"/>
      <c r="BD36" s="561"/>
      <c r="BE36" s="564"/>
      <c r="BF36" s="561"/>
      <c r="BG36" s="556"/>
      <c r="BH36" s="563"/>
      <c r="BI36" s="565"/>
      <c r="BJ36" s="557"/>
      <c r="BK36" s="566"/>
      <c r="BL36" s="566"/>
      <c r="BM36" s="566"/>
      <c r="BN36" s="566"/>
      <c r="BO36" s="566"/>
      <c r="BP36" s="566"/>
      <c r="BQ36" s="566"/>
      <c r="BR36" s="566"/>
      <c r="BS36" s="566"/>
      <c r="BT36" s="566"/>
    </row>
    <row r="37" spans="1:72" s="374" customFormat="1" ht="13.15" customHeight="1" x14ac:dyDescent="0.2">
      <c r="A37" s="631"/>
      <c r="B37" s="631"/>
      <c r="C37" s="403"/>
      <c r="D37" s="355"/>
      <c r="E37" s="356"/>
      <c r="F37" s="409"/>
      <c r="G37" s="355"/>
      <c r="H37" s="355"/>
      <c r="I37" s="452"/>
      <c r="J37" s="404"/>
      <c r="K37" s="404"/>
      <c r="L37" s="454"/>
      <c r="M37" s="405"/>
      <c r="N37" s="463"/>
      <c r="O37" s="463"/>
      <c r="P37" s="463"/>
      <c r="Q37" s="405"/>
      <c r="R37" s="406"/>
      <c r="S37" s="407"/>
      <c r="T37" s="355"/>
      <c r="U37" s="408"/>
      <c r="V37" s="409"/>
      <c r="W37" s="409"/>
      <c r="X37" s="410"/>
      <c r="Y37" s="429"/>
      <c r="Z37" s="802"/>
      <c r="AA37" s="969"/>
      <c r="AB37" s="802"/>
      <c r="AC37" s="802"/>
      <c r="AD37" s="802"/>
      <c r="AE37" s="802"/>
      <c r="AF37" s="802"/>
      <c r="AG37" s="969"/>
      <c r="AH37" s="969"/>
      <c r="AI37" s="969"/>
      <c r="AJ37" s="969"/>
      <c r="AK37" s="969"/>
      <c r="AL37" s="969"/>
      <c r="AM37" s="802"/>
      <c r="AN37" s="970"/>
      <c r="AO37" s="429"/>
      <c r="AP37" s="971"/>
      <c r="AQ37" s="500"/>
      <c r="AR37" s="500"/>
      <c r="AS37" s="802"/>
      <c r="AT37" s="501"/>
      <c r="AU37" s="940"/>
      <c r="AV37" s="373"/>
      <c r="AW37" s="940"/>
      <c r="AX37" s="672">
        <v>42735</v>
      </c>
      <c r="AY37" s="486"/>
      <c r="AZ37" s="486"/>
      <c r="BA37" s="487"/>
      <c r="BB37" s="539"/>
      <c r="BC37" s="553"/>
      <c r="BD37" s="539"/>
      <c r="BE37" s="492"/>
      <c r="BF37" s="511"/>
      <c r="BG37" s="356"/>
      <c r="BH37" s="509"/>
      <c r="BI37" s="488"/>
      <c r="BJ37" s="407"/>
      <c r="BK37" s="396"/>
      <c r="BL37" s="396"/>
      <c r="BM37" s="396"/>
      <c r="BN37" s="396"/>
      <c r="BO37" s="396"/>
      <c r="BP37" s="396"/>
      <c r="BQ37" s="396"/>
      <c r="BR37" s="396"/>
      <c r="BS37" s="488"/>
      <c r="BT37" s="488"/>
    </row>
    <row r="38" spans="1:72" s="396" customFormat="1" ht="13.15" customHeight="1" x14ac:dyDescent="0.2">
      <c r="A38" s="375"/>
      <c r="B38" s="375"/>
      <c r="C38" s="391"/>
      <c r="D38" s="366"/>
      <c r="E38" s="357"/>
      <c r="F38" s="394"/>
      <c r="G38" s="366"/>
      <c r="H38" s="366"/>
      <c r="I38" s="451"/>
      <c r="J38" s="372"/>
      <c r="K38" s="372"/>
      <c r="L38" s="616"/>
      <c r="M38" s="369"/>
      <c r="N38" s="369"/>
      <c r="O38" s="369"/>
      <c r="P38" s="369"/>
      <c r="Q38" s="369"/>
      <c r="R38" s="421"/>
      <c r="S38" s="392"/>
      <c r="T38" s="366"/>
      <c r="U38" s="393"/>
      <c r="V38" s="394"/>
      <c r="W38" s="394"/>
      <c r="X38" s="370"/>
      <c r="Y38" s="371"/>
      <c r="Z38" s="647"/>
      <c r="AA38" s="648"/>
      <c r="AB38" s="647"/>
      <c r="AC38" s="647"/>
      <c r="AD38" s="647"/>
      <c r="AE38" s="647"/>
      <c r="AF38" s="647"/>
      <c r="AG38" s="648"/>
      <c r="AH38" s="648"/>
      <c r="AI38" s="648"/>
      <c r="AJ38" s="648"/>
      <c r="AK38" s="648"/>
      <c r="AL38" s="648"/>
      <c r="AM38" s="647"/>
      <c r="AN38" s="930"/>
      <c r="AO38" s="371"/>
      <c r="AP38" s="973"/>
      <c r="AQ38" s="368"/>
      <c r="AR38" s="368"/>
      <c r="AS38" s="647"/>
      <c r="AT38" s="373"/>
      <c r="AU38" s="918"/>
      <c r="AV38" s="373"/>
      <c r="AW38" s="918"/>
      <c r="AX38" s="672">
        <v>42735</v>
      </c>
      <c r="AY38" s="480"/>
      <c r="AZ38" s="480"/>
      <c r="BA38" s="481"/>
      <c r="BB38" s="624"/>
      <c r="BC38" s="620"/>
      <c r="BD38" s="624"/>
      <c r="BE38" s="493"/>
      <c r="BF38" s="483"/>
      <c r="BG38" s="357"/>
      <c r="BH38" s="482"/>
      <c r="BI38" s="400"/>
      <c r="BJ38" s="392"/>
      <c r="BK38" s="374"/>
      <c r="BL38" s="374"/>
      <c r="BM38" s="374"/>
      <c r="BN38" s="374"/>
      <c r="BO38" s="374"/>
      <c r="BP38" s="374"/>
      <c r="BQ38" s="374"/>
      <c r="BR38" s="374"/>
      <c r="BS38" s="400"/>
      <c r="BT38" s="400"/>
    </row>
    <row r="39" spans="1:72" s="396" customFormat="1" ht="13.15" customHeight="1" x14ac:dyDescent="0.2">
      <c r="A39" s="402"/>
      <c r="B39" s="402"/>
      <c r="C39" s="583"/>
      <c r="D39" s="355"/>
      <c r="E39" s="356"/>
      <c r="F39" s="409"/>
      <c r="G39" s="355"/>
      <c r="H39" s="355"/>
      <c r="I39" s="452"/>
      <c r="J39" s="404"/>
      <c r="K39" s="404"/>
      <c r="L39" s="454"/>
      <c r="M39" s="405"/>
      <c r="N39" s="405"/>
      <c r="O39" s="405"/>
      <c r="P39" s="405"/>
      <c r="Q39" s="405"/>
      <c r="R39" s="406"/>
      <c r="S39" s="407"/>
      <c r="T39" s="355"/>
      <c r="U39" s="408"/>
      <c r="V39" s="409"/>
      <c r="W39" s="409"/>
      <c r="X39" s="410"/>
      <c r="Y39" s="429"/>
      <c r="Z39" s="802"/>
      <c r="AA39" s="969"/>
      <c r="AB39" s="802"/>
      <c r="AC39" s="802"/>
      <c r="AD39" s="802"/>
      <c r="AE39" s="802"/>
      <c r="AF39" s="802"/>
      <c r="AG39" s="969"/>
      <c r="AH39" s="969"/>
      <c r="AI39" s="969"/>
      <c r="AJ39" s="969"/>
      <c r="AK39" s="969"/>
      <c r="AL39" s="969"/>
      <c r="AM39" s="802"/>
      <c r="AN39" s="970"/>
      <c r="AO39" s="429"/>
      <c r="AP39" s="971"/>
      <c r="AQ39" s="500"/>
      <c r="AR39" s="500"/>
      <c r="AS39" s="802"/>
      <c r="AT39" s="501"/>
      <c r="AU39" s="940"/>
      <c r="AV39" s="373"/>
      <c r="AW39" s="940"/>
      <c r="AX39" s="672">
        <v>42735</v>
      </c>
      <c r="AY39" s="486"/>
      <c r="AZ39" s="486"/>
      <c r="BA39" s="487"/>
      <c r="BB39" s="539"/>
      <c r="BC39" s="553"/>
      <c r="BD39" s="539"/>
      <c r="BE39" s="492"/>
      <c r="BF39" s="511"/>
      <c r="BG39" s="356"/>
      <c r="BH39" s="509"/>
      <c r="BI39" s="488"/>
      <c r="BJ39" s="407"/>
      <c r="BS39" s="488"/>
      <c r="BT39" s="488"/>
    </row>
    <row r="40" spans="1:72" s="396" customFormat="1" ht="12.75" customHeight="1" x14ac:dyDescent="0.2">
      <c r="A40" s="484"/>
      <c r="B40" s="484"/>
      <c r="C40" s="700"/>
      <c r="D40" s="347"/>
      <c r="E40" s="349"/>
      <c r="F40" s="384"/>
      <c r="G40" s="347"/>
      <c r="H40" s="347"/>
      <c r="I40" s="485"/>
      <c r="J40" s="380"/>
      <c r="K40" s="380"/>
      <c r="L40" s="706"/>
      <c r="M40" s="381"/>
      <c r="N40" s="381"/>
      <c r="O40" s="381"/>
      <c r="P40" s="381"/>
      <c r="Q40" s="405"/>
      <c r="R40" s="399"/>
      <c r="S40" s="382"/>
      <c r="T40" s="355"/>
      <c r="U40" s="408"/>
      <c r="V40" s="409"/>
      <c r="W40" s="409"/>
      <c r="X40" s="410"/>
      <c r="Y40" s="429"/>
      <c r="Z40" s="802"/>
      <c r="AA40" s="969"/>
      <c r="AB40" s="802"/>
      <c r="AC40" s="802"/>
      <c r="AD40" s="802"/>
      <c r="AE40" s="802"/>
      <c r="AF40" s="802"/>
      <c r="AG40" s="969"/>
      <c r="AH40" s="969"/>
      <c r="AI40" s="969"/>
      <c r="AJ40" s="969"/>
      <c r="AK40" s="969"/>
      <c r="AL40" s="969"/>
      <c r="AM40" s="802"/>
      <c r="AN40" s="970"/>
      <c r="AO40" s="429"/>
      <c r="AP40" s="971"/>
      <c r="AQ40" s="500"/>
      <c r="AR40" s="500"/>
      <c r="AS40" s="802"/>
      <c r="AT40" s="501"/>
      <c r="AU40" s="501"/>
      <c r="AV40" s="501"/>
      <c r="AW40" s="940"/>
      <c r="AX40" s="976"/>
      <c r="AY40" s="486"/>
      <c r="AZ40" s="486"/>
      <c r="BA40" s="487"/>
      <c r="BB40" s="539"/>
      <c r="BC40" s="553"/>
      <c r="BD40" s="509"/>
      <c r="BE40" s="492"/>
      <c r="BF40" s="511"/>
      <c r="BG40" s="356"/>
      <c r="BH40" s="509"/>
      <c r="BI40" s="488"/>
      <c r="BJ40" s="407"/>
    </row>
    <row r="41" spans="1:72" s="396" customFormat="1" ht="12.75" customHeight="1" x14ac:dyDescent="0.2">
      <c r="A41" s="484"/>
      <c r="B41" s="484"/>
      <c r="C41" s="379"/>
      <c r="D41" s="347"/>
      <c r="E41" s="349"/>
      <c r="F41" s="384"/>
      <c r="G41" s="347"/>
      <c r="H41" s="347"/>
      <c r="I41" s="485"/>
      <c r="J41" s="380"/>
      <c r="K41" s="380"/>
      <c r="L41" s="706"/>
      <c r="M41" s="381"/>
      <c r="N41" s="381"/>
      <c r="O41" s="381"/>
      <c r="P41" s="381"/>
      <c r="Q41" s="405"/>
      <c r="R41" s="399"/>
      <c r="S41" s="382"/>
      <c r="T41" s="355"/>
      <c r="U41" s="408"/>
      <c r="V41" s="409"/>
      <c r="W41" s="409"/>
      <c r="X41" s="410"/>
      <c r="Y41" s="429"/>
      <c r="Z41" s="802"/>
      <c r="AA41" s="969"/>
      <c r="AB41" s="802"/>
      <c r="AC41" s="802"/>
      <c r="AD41" s="802"/>
      <c r="AE41" s="802"/>
      <c r="AF41" s="802"/>
      <c r="AG41" s="969"/>
      <c r="AH41" s="969"/>
      <c r="AI41" s="969"/>
      <c r="AJ41" s="969"/>
      <c r="AK41" s="969"/>
      <c r="AL41" s="969"/>
      <c r="AM41" s="802"/>
      <c r="AN41" s="970"/>
      <c r="AO41" s="429"/>
      <c r="AP41" s="971"/>
      <c r="AQ41" s="500"/>
      <c r="AR41" s="500"/>
      <c r="AS41" s="802"/>
      <c r="AT41" s="501"/>
      <c r="AU41" s="501"/>
      <c r="AV41" s="501"/>
      <c r="AW41" s="940"/>
      <c r="AX41" s="976"/>
      <c r="AY41" s="486"/>
      <c r="AZ41" s="486"/>
      <c r="BA41" s="487"/>
      <c r="BB41" s="539"/>
      <c r="BC41" s="553"/>
      <c r="BD41" s="511"/>
      <c r="BE41" s="492"/>
      <c r="BF41" s="511"/>
      <c r="BG41" s="356"/>
      <c r="BH41" s="511"/>
      <c r="BI41" s="488"/>
      <c r="BJ41" s="407"/>
    </row>
    <row r="42" spans="1:72" s="396" customFormat="1" ht="13.15" customHeight="1" x14ac:dyDescent="0.2">
      <c r="A42" s="484"/>
      <c r="B42" s="484"/>
      <c r="C42" s="700"/>
      <c r="D42" s="347"/>
      <c r="E42" s="349"/>
      <c r="F42" s="384"/>
      <c r="G42" s="347"/>
      <c r="H42" s="347"/>
      <c r="I42" s="485"/>
      <c r="J42" s="380"/>
      <c r="K42" s="380"/>
      <c r="L42" s="706"/>
      <c r="M42" s="381"/>
      <c r="N42" s="381"/>
      <c r="O42" s="381"/>
      <c r="P42" s="381"/>
      <c r="Q42" s="405"/>
      <c r="R42" s="399"/>
      <c r="S42" s="382"/>
      <c r="T42" s="355"/>
      <c r="U42" s="408"/>
      <c r="V42" s="409"/>
      <c r="W42" s="409"/>
      <c r="X42" s="410"/>
      <c r="Y42" s="429"/>
      <c r="Z42" s="802"/>
      <c r="AA42" s="969"/>
      <c r="AB42" s="802"/>
      <c r="AC42" s="802"/>
      <c r="AD42" s="802"/>
      <c r="AE42" s="802"/>
      <c r="AF42" s="802"/>
      <c r="AG42" s="969"/>
      <c r="AH42" s="969"/>
      <c r="AI42" s="969"/>
      <c r="AJ42" s="969"/>
      <c r="AK42" s="969"/>
      <c r="AL42" s="969"/>
      <c r="AM42" s="802"/>
      <c r="AN42" s="970"/>
      <c r="AO42" s="429"/>
      <c r="AP42" s="971"/>
      <c r="AQ42" s="500"/>
      <c r="AR42" s="500"/>
      <c r="AS42" s="802"/>
      <c r="AT42" s="501"/>
      <c r="AU42" s="501"/>
      <c r="AV42" s="501"/>
      <c r="AW42" s="940"/>
      <c r="AX42" s="976"/>
      <c r="AY42" s="486"/>
      <c r="AZ42" s="486"/>
      <c r="BA42" s="487"/>
      <c r="BB42" s="539"/>
      <c r="BC42" s="553"/>
      <c r="BD42" s="511"/>
      <c r="BE42" s="492"/>
      <c r="BF42" s="511"/>
      <c r="BG42" s="356"/>
      <c r="BH42" s="509"/>
      <c r="BI42" s="488"/>
      <c r="BJ42" s="407"/>
    </row>
    <row r="43" spans="1:72" s="396" customFormat="1" ht="12.75" customHeight="1" x14ac:dyDescent="0.2">
      <c r="A43" s="643"/>
      <c r="B43" s="402"/>
      <c r="C43" s="403"/>
      <c r="D43" s="355"/>
      <c r="E43" s="356"/>
      <c r="F43" s="409"/>
      <c r="G43" s="355"/>
      <c r="H43" s="355"/>
      <c r="I43" s="452"/>
      <c r="J43" s="404"/>
      <c r="K43" s="404"/>
      <c r="L43" s="706"/>
      <c r="M43" s="405"/>
      <c r="N43" s="455"/>
      <c r="O43" s="455"/>
      <c r="P43" s="455"/>
      <c r="Q43" s="405"/>
      <c r="R43" s="406"/>
      <c r="S43" s="407"/>
      <c r="T43" s="355"/>
      <c r="U43" s="408"/>
      <c r="V43" s="409"/>
      <c r="W43" s="409"/>
      <c r="X43" s="410"/>
      <c r="Y43" s="429"/>
      <c r="Z43" s="802"/>
      <c r="AA43" s="986"/>
      <c r="AB43" s="941"/>
      <c r="AC43" s="941"/>
      <c r="AD43" s="941"/>
      <c r="AE43" s="941"/>
      <c r="AF43" s="802"/>
      <c r="AG43" s="969"/>
      <c r="AH43" s="969"/>
      <c r="AI43" s="969"/>
      <c r="AJ43" s="969"/>
      <c r="AK43" s="969"/>
      <c r="AL43" s="969"/>
      <c r="AM43" s="802"/>
      <c r="AN43" s="988"/>
      <c r="AO43" s="429"/>
      <c r="AP43" s="971"/>
      <c r="AQ43" s="500"/>
      <c r="AR43" s="500"/>
      <c r="AS43" s="802"/>
      <c r="AT43" s="501"/>
      <c r="AU43" s="940"/>
      <c r="AV43" s="501"/>
      <c r="AW43" s="940"/>
      <c r="AX43" s="976"/>
      <c r="AY43" s="486"/>
      <c r="AZ43" s="486"/>
      <c r="BA43" s="487"/>
      <c r="BB43" s="511"/>
      <c r="BC43" s="553"/>
      <c r="BD43" s="509"/>
      <c r="BE43" s="492"/>
      <c r="BF43" s="356"/>
      <c r="BG43" s="356"/>
      <c r="BH43" s="509"/>
      <c r="BI43" s="488"/>
      <c r="BJ43" s="407"/>
    </row>
    <row r="44" spans="1:72" s="396" customFormat="1" ht="13.5" customHeight="1" x14ac:dyDescent="0.2">
      <c r="A44" s="484"/>
      <c r="B44" s="484"/>
      <c r="C44" s="379"/>
      <c r="D44" s="347"/>
      <c r="E44" s="349"/>
      <c r="F44" s="384"/>
      <c r="G44" s="347"/>
      <c r="H44" s="347"/>
      <c r="I44" s="485"/>
      <c r="J44" s="380"/>
      <c r="K44" s="380"/>
      <c r="L44" s="706"/>
      <c r="M44" s="381"/>
      <c r="N44" s="381"/>
      <c r="O44" s="381"/>
      <c r="P44" s="381"/>
      <c r="Q44" s="405"/>
      <c r="R44" s="399"/>
      <c r="S44" s="382"/>
      <c r="T44" s="355"/>
      <c r="U44" s="408"/>
      <c r="V44" s="409"/>
      <c r="W44" s="409"/>
      <c r="X44" s="410"/>
      <c r="Y44" s="429"/>
      <c r="Z44" s="802"/>
      <c r="AA44" s="969"/>
      <c r="AB44" s="802"/>
      <c r="AC44" s="802"/>
      <c r="AD44" s="802"/>
      <c r="AE44" s="802"/>
      <c r="AF44" s="802"/>
      <c r="AG44" s="969"/>
      <c r="AH44" s="969"/>
      <c r="AI44" s="969"/>
      <c r="AJ44" s="969"/>
      <c r="AK44" s="969"/>
      <c r="AL44" s="969"/>
      <c r="AM44" s="802"/>
      <c r="AN44" s="970"/>
      <c r="AO44" s="429"/>
      <c r="AP44" s="971"/>
      <c r="AQ44" s="500"/>
      <c r="AR44" s="500"/>
      <c r="AS44" s="802"/>
      <c r="AT44" s="501"/>
      <c r="AU44" s="501"/>
      <c r="AV44" s="501"/>
      <c r="AW44" s="940"/>
      <c r="AX44" s="976"/>
      <c r="AY44" s="486"/>
      <c r="AZ44" s="486"/>
      <c r="BA44" s="487"/>
      <c r="BB44" s="539"/>
      <c r="BC44" s="553"/>
      <c r="BD44" s="509"/>
      <c r="BE44" s="492"/>
      <c r="BF44" s="511"/>
      <c r="BG44" s="356"/>
      <c r="BH44" s="509"/>
      <c r="BI44" s="488"/>
      <c r="BJ44" s="407"/>
    </row>
    <row r="45" spans="1:72" s="396" customFormat="1" ht="13.15" customHeight="1" x14ac:dyDescent="0.2">
      <c r="A45" s="643"/>
      <c r="B45" s="402"/>
      <c r="C45" s="403"/>
      <c r="D45" s="355"/>
      <c r="E45" s="356"/>
      <c r="F45" s="409"/>
      <c r="G45" s="355"/>
      <c r="H45" s="355"/>
      <c r="I45" s="452"/>
      <c r="J45" s="404"/>
      <c r="K45" s="404"/>
      <c r="L45" s="454"/>
      <c r="M45" s="405"/>
      <c r="N45" s="455"/>
      <c r="O45" s="455"/>
      <c r="P45" s="455"/>
      <c r="Q45" s="405"/>
      <c r="R45" s="406"/>
      <c r="S45" s="407"/>
      <c r="T45" s="355"/>
      <c r="U45" s="408"/>
      <c r="V45" s="409"/>
      <c r="W45" s="409"/>
      <c r="X45" s="410"/>
      <c r="Y45" s="429"/>
      <c r="Z45" s="802"/>
      <c r="AA45" s="986"/>
      <c r="AB45" s="941"/>
      <c r="AC45" s="941"/>
      <c r="AD45" s="941"/>
      <c r="AE45" s="941"/>
      <c r="AF45" s="802"/>
      <c r="AG45" s="969"/>
      <c r="AH45" s="969"/>
      <c r="AI45" s="969"/>
      <c r="AJ45" s="969"/>
      <c r="AK45" s="969"/>
      <c r="AL45" s="969"/>
      <c r="AM45" s="802"/>
      <c r="AN45" s="970"/>
      <c r="AO45" s="429"/>
      <c r="AP45" s="971"/>
      <c r="AQ45" s="500"/>
      <c r="AR45" s="500"/>
      <c r="AS45" s="802"/>
      <c r="AT45" s="501"/>
      <c r="AU45" s="501"/>
      <c r="AV45" s="570"/>
      <c r="AW45" s="940"/>
      <c r="AX45" s="976"/>
      <c r="AY45" s="486"/>
      <c r="AZ45" s="486"/>
      <c r="BA45" s="487"/>
      <c r="BB45" s="539"/>
      <c r="BC45" s="553"/>
      <c r="BD45" s="511"/>
      <c r="BE45" s="492"/>
      <c r="BF45" s="511"/>
      <c r="BG45" s="356"/>
      <c r="BH45" s="509"/>
      <c r="BI45" s="488"/>
      <c r="BJ45" s="407"/>
    </row>
    <row r="46" spans="1:72" s="396" customFormat="1" ht="13.15" customHeight="1" x14ac:dyDescent="0.2">
      <c r="A46" s="479"/>
      <c r="B46" s="479"/>
      <c r="C46" s="379"/>
      <c r="D46" s="347"/>
      <c r="E46" s="349"/>
      <c r="F46" s="384"/>
      <c r="G46" s="347"/>
      <c r="H46" s="347"/>
      <c r="I46" s="485"/>
      <c r="J46" s="380"/>
      <c r="K46" s="380"/>
      <c r="L46" s="706"/>
      <c r="M46" s="381"/>
      <c r="N46" s="381"/>
      <c r="O46" s="381"/>
      <c r="P46" s="381"/>
      <c r="Q46" s="405"/>
      <c r="R46" s="399"/>
      <c r="S46" s="382"/>
      <c r="T46" s="355"/>
      <c r="U46" s="408"/>
      <c r="V46" s="409"/>
      <c r="W46" s="409"/>
      <c r="X46" s="410"/>
      <c r="Y46" s="429"/>
      <c r="Z46" s="802"/>
      <c r="AA46" s="969"/>
      <c r="AB46" s="802"/>
      <c r="AC46" s="802"/>
      <c r="AD46" s="802"/>
      <c r="AE46" s="802"/>
      <c r="AF46" s="802"/>
      <c r="AG46" s="969"/>
      <c r="AH46" s="969"/>
      <c r="AI46" s="969"/>
      <c r="AJ46" s="969"/>
      <c r="AK46" s="969"/>
      <c r="AL46" s="969"/>
      <c r="AM46" s="802"/>
      <c r="AN46" s="970"/>
      <c r="AO46" s="429"/>
      <c r="AP46" s="971"/>
      <c r="AQ46" s="500"/>
      <c r="AR46" s="500"/>
      <c r="AS46" s="802"/>
      <c r="AT46" s="501"/>
      <c r="AU46" s="501"/>
      <c r="AV46" s="501"/>
      <c r="AW46" s="940"/>
      <c r="AX46" s="976"/>
      <c r="AY46" s="486"/>
      <c r="AZ46" s="486"/>
      <c r="BA46" s="487"/>
      <c r="BB46" s="539"/>
      <c r="BC46" s="553"/>
      <c r="BD46" s="509"/>
      <c r="BE46" s="492"/>
      <c r="BF46" s="511"/>
      <c r="BG46" s="356"/>
      <c r="BH46" s="509"/>
      <c r="BI46" s="488"/>
      <c r="BJ46" s="407"/>
    </row>
    <row r="47" spans="1:72" s="396" customFormat="1" x14ac:dyDescent="0.2">
      <c r="A47" s="641"/>
      <c r="B47" s="641"/>
      <c r="C47" s="829"/>
      <c r="D47" s="355"/>
      <c r="E47" s="356"/>
      <c r="F47" s="409"/>
      <c r="G47" s="355"/>
      <c r="H47" s="355"/>
      <c r="I47" s="452"/>
      <c r="J47" s="404"/>
      <c r="K47" s="404"/>
      <c r="L47" s="454"/>
      <c r="M47" s="405"/>
      <c r="N47" s="455"/>
      <c r="O47" s="455"/>
      <c r="P47" s="455"/>
      <c r="Q47" s="405"/>
      <c r="R47" s="406"/>
      <c r="S47" s="407"/>
      <c r="T47" s="355"/>
      <c r="U47" s="408"/>
      <c r="V47" s="409"/>
      <c r="W47" s="409"/>
      <c r="X47" s="410"/>
      <c r="Y47" s="429"/>
      <c r="Z47" s="802"/>
      <c r="AA47" s="986"/>
      <c r="AB47" s="941"/>
      <c r="AC47" s="941"/>
      <c r="AD47" s="941"/>
      <c r="AE47" s="941"/>
      <c r="AF47" s="802"/>
      <c r="AG47" s="969"/>
      <c r="AH47" s="969"/>
      <c r="AI47" s="969"/>
      <c r="AJ47" s="969"/>
      <c r="AK47" s="969"/>
      <c r="AL47" s="969"/>
      <c r="AM47" s="802"/>
      <c r="AN47" s="970"/>
      <c r="AO47" s="429"/>
      <c r="AP47" s="971"/>
      <c r="AQ47" s="500"/>
      <c r="AR47" s="500"/>
      <c r="AS47" s="941"/>
      <c r="AT47" s="501"/>
      <c r="AU47" s="501"/>
      <c r="AV47" s="501"/>
      <c r="AW47" s="940"/>
      <c r="AX47" s="976"/>
      <c r="AY47" s="486"/>
      <c r="AZ47" s="486"/>
      <c r="BA47" s="487"/>
      <c r="BB47" s="539"/>
      <c r="BC47" s="553"/>
      <c r="BD47" s="511"/>
      <c r="BE47" s="492"/>
      <c r="BF47" s="511"/>
      <c r="BG47" s="356"/>
      <c r="BH47" s="509"/>
      <c r="BI47" s="356"/>
      <c r="BJ47" s="554"/>
    </row>
    <row r="48" spans="1:72" s="396" customFormat="1" ht="12.75" customHeight="1" x14ac:dyDescent="0.2">
      <c r="A48" s="641"/>
      <c r="B48" s="641"/>
      <c r="C48" s="829"/>
      <c r="D48" s="355"/>
      <c r="E48" s="356"/>
      <c r="F48" s="409"/>
      <c r="G48" s="355"/>
      <c r="H48" s="355"/>
      <c r="I48" s="452"/>
      <c r="J48" s="404"/>
      <c r="K48" s="404"/>
      <c r="L48" s="454"/>
      <c r="M48" s="405"/>
      <c r="N48" s="455"/>
      <c r="O48" s="455"/>
      <c r="P48" s="455"/>
      <c r="Q48" s="405"/>
      <c r="R48" s="406"/>
      <c r="S48" s="407"/>
      <c r="T48" s="355"/>
      <c r="U48" s="408"/>
      <c r="V48" s="409"/>
      <c r="W48" s="409"/>
      <c r="X48" s="410"/>
      <c r="Y48" s="429"/>
      <c r="Z48" s="802"/>
      <c r="AA48" s="986"/>
      <c r="AB48" s="941"/>
      <c r="AC48" s="941"/>
      <c r="AD48" s="941"/>
      <c r="AE48" s="941"/>
      <c r="AF48" s="802"/>
      <c r="AG48" s="969"/>
      <c r="AH48" s="969"/>
      <c r="AI48" s="969"/>
      <c r="AJ48" s="969"/>
      <c r="AK48" s="969"/>
      <c r="AL48" s="969"/>
      <c r="AM48" s="802"/>
      <c r="AN48" s="970"/>
      <c r="AO48" s="429"/>
      <c r="AP48" s="971"/>
      <c r="AQ48" s="500"/>
      <c r="AR48" s="500"/>
      <c r="AS48" s="941"/>
      <c r="AT48" s="501"/>
      <c r="AU48" s="501"/>
      <c r="AV48" s="501"/>
      <c r="AW48" s="940"/>
      <c r="AX48" s="976"/>
      <c r="AY48" s="486"/>
      <c r="AZ48" s="486"/>
      <c r="BA48" s="487"/>
      <c r="BB48" s="511"/>
      <c r="BC48" s="553"/>
      <c r="BD48" s="509"/>
      <c r="BE48" s="492"/>
      <c r="BF48" s="511"/>
      <c r="BG48" s="356"/>
      <c r="BH48" s="509"/>
      <c r="BI48" s="488"/>
      <c r="BJ48" s="407"/>
    </row>
    <row r="49" spans="1:72" s="396" customFormat="1" ht="12.75" customHeight="1" x14ac:dyDescent="0.2">
      <c r="A49" s="402"/>
      <c r="B49" s="402"/>
      <c r="C49" s="583"/>
      <c r="D49" s="355"/>
      <c r="E49" s="356"/>
      <c r="F49" s="409"/>
      <c r="G49" s="355"/>
      <c r="H49" s="355"/>
      <c r="I49" s="452"/>
      <c r="J49" s="404"/>
      <c r="K49" s="404"/>
      <c r="L49" s="454"/>
      <c r="M49" s="405"/>
      <c r="N49" s="405"/>
      <c r="O49" s="405"/>
      <c r="P49" s="405"/>
      <c r="Q49" s="405"/>
      <c r="R49" s="406"/>
      <c r="S49" s="407"/>
      <c r="T49" s="355"/>
      <c r="U49" s="408"/>
      <c r="V49" s="409"/>
      <c r="W49" s="409"/>
      <c r="X49" s="410"/>
      <c r="Y49" s="429"/>
      <c r="Z49" s="802"/>
      <c r="AA49" s="986"/>
      <c r="AB49" s="941"/>
      <c r="AC49" s="941"/>
      <c r="AD49" s="941"/>
      <c r="AE49" s="941"/>
      <c r="AF49" s="802"/>
      <c r="AG49" s="969"/>
      <c r="AH49" s="969"/>
      <c r="AI49" s="969"/>
      <c r="AJ49" s="969"/>
      <c r="AK49" s="969"/>
      <c r="AL49" s="969"/>
      <c r="AM49" s="802"/>
      <c r="AN49" s="970"/>
      <c r="AO49" s="429"/>
      <c r="AP49" s="971"/>
      <c r="AQ49" s="500"/>
      <c r="AR49" s="500"/>
      <c r="AS49" s="802"/>
      <c r="AT49" s="501"/>
      <c r="AU49" s="501"/>
      <c r="AV49" s="570"/>
      <c r="AW49" s="940"/>
      <c r="AX49" s="976"/>
      <c r="AY49" s="486"/>
      <c r="AZ49" s="486"/>
      <c r="BA49" s="487"/>
      <c r="BB49" s="539"/>
      <c r="BC49" s="356"/>
      <c r="BD49" s="407"/>
      <c r="BE49" s="492"/>
      <c r="BF49" s="511"/>
      <c r="BG49" s="356"/>
      <c r="BH49" s="509"/>
      <c r="BI49" s="539"/>
      <c r="BJ49" s="554"/>
    </row>
    <row r="50" spans="1:72" s="396" customFormat="1" ht="12.75" customHeight="1" x14ac:dyDescent="0.2">
      <c r="A50" s="402"/>
      <c r="B50" s="402"/>
      <c r="C50" s="583"/>
      <c r="D50" s="355"/>
      <c r="E50" s="356"/>
      <c r="F50" s="409"/>
      <c r="G50" s="355"/>
      <c r="H50" s="355"/>
      <c r="I50" s="452"/>
      <c r="J50" s="404"/>
      <c r="K50" s="404"/>
      <c r="L50" s="454"/>
      <c r="M50" s="405"/>
      <c r="N50" s="405"/>
      <c r="O50" s="405"/>
      <c r="P50" s="405"/>
      <c r="Q50" s="405"/>
      <c r="R50" s="406"/>
      <c r="S50" s="407"/>
      <c r="T50" s="355"/>
      <c r="U50" s="408"/>
      <c r="V50" s="409"/>
      <c r="W50" s="409"/>
      <c r="X50" s="410"/>
      <c r="Y50" s="429"/>
      <c r="Z50" s="802"/>
      <c r="AA50" s="986"/>
      <c r="AB50" s="941"/>
      <c r="AC50" s="941"/>
      <c r="AD50" s="941"/>
      <c r="AE50" s="941"/>
      <c r="AF50" s="802"/>
      <c r="AG50" s="969"/>
      <c r="AH50" s="969"/>
      <c r="AI50" s="969"/>
      <c r="AJ50" s="969"/>
      <c r="AK50" s="969"/>
      <c r="AL50" s="969"/>
      <c r="AM50" s="802"/>
      <c r="AN50" s="970"/>
      <c r="AO50" s="429"/>
      <c r="AP50" s="971"/>
      <c r="AQ50" s="500"/>
      <c r="AR50" s="500"/>
      <c r="AS50" s="802"/>
      <c r="AT50" s="501"/>
      <c r="AU50" s="501"/>
      <c r="AV50" s="570"/>
      <c r="AW50" s="940"/>
      <c r="AX50" s="976"/>
      <c r="AY50" s="486"/>
      <c r="AZ50" s="486"/>
      <c r="BA50" s="487"/>
      <c r="BB50" s="539"/>
      <c r="BC50" s="356"/>
      <c r="BD50" s="407"/>
      <c r="BE50" s="492"/>
      <c r="BF50" s="511"/>
      <c r="BG50" s="356"/>
      <c r="BH50" s="509"/>
      <c r="BI50" s="539"/>
      <c r="BJ50" s="554"/>
    </row>
    <row r="51" spans="1:72" s="396" customFormat="1" ht="12.75" customHeight="1" x14ac:dyDescent="0.2">
      <c r="A51" s="375"/>
      <c r="B51" s="375"/>
      <c r="C51" s="622"/>
      <c r="D51" s="366"/>
      <c r="E51" s="357"/>
      <c r="F51" s="394"/>
      <c r="G51" s="366"/>
      <c r="H51" s="366"/>
      <c r="I51" s="451"/>
      <c r="J51" s="372"/>
      <c r="K51" s="372"/>
      <c r="L51" s="616"/>
      <c r="M51" s="369"/>
      <c r="N51" s="369"/>
      <c r="O51" s="369"/>
      <c r="P51" s="369"/>
      <c r="Q51" s="369"/>
      <c r="R51" s="421"/>
      <c r="S51" s="392"/>
      <c r="T51" s="366"/>
      <c r="U51" s="393"/>
      <c r="V51" s="394"/>
      <c r="W51" s="394"/>
      <c r="X51" s="370"/>
      <c r="Y51" s="371"/>
      <c r="Z51" s="647"/>
      <c r="AA51" s="969"/>
      <c r="AB51" s="929"/>
      <c r="AC51" s="929"/>
      <c r="AD51" s="929"/>
      <c r="AE51" s="929"/>
      <c r="AF51" s="647"/>
      <c r="AG51" s="648"/>
      <c r="AH51" s="648"/>
      <c r="AI51" s="648"/>
      <c r="AJ51" s="648"/>
      <c r="AK51" s="648"/>
      <c r="AL51" s="648"/>
      <c r="AM51" s="647"/>
      <c r="AN51" s="930"/>
      <c r="AO51" s="371"/>
      <c r="AP51" s="973"/>
      <c r="AQ51" s="368"/>
      <c r="AR51" s="368"/>
      <c r="AS51" s="647"/>
      <c r="AT51" s="373"/>
      <c r="AU51" s="373"/>
      <c r="AV51" s="373"/>
      <c r="AW51" s="918"/>
      <c r="AX51" s="975"/>
      <c r="AY51" s="676"/>
      <c r="AZ51" s="676"/>
      <c r="BA51" s="481"/>
      <c r="BB51" s="624"/>
      <c r="BC51" s="620"/>
      <c r="BD51" s="392"/>
      <c r="BE51" s="493"/>
      <c r="BF51" s="483"/>
      <c r="BG51" s="357"/>
      <c r="BH51" s="482"/>
      <c r="BI51" s="624"/>
      <c r="BJ51" s="625"/>
      <c r="BK51" s="374"/>
      <c r="BL51" s="374"/>
      <c r="BM51" s="374"/>
      <c r="BN51" s="374"/>
      <c r="BO51" s="374"/>
      <c r="BP51" s="374"/>
      <c r="BQ51" s="374"/>
      <c r="BR51" s="374"/>
      <c r="BS51" s="374"/>
      <c r="BT51" s="374"/>
    </row>
    <row r="52" spans="1:72" s="396" customFormat="1" ht="13.15" customHeight="1" x14ac:dyDescent="0.2">
      <c r="A52" s="402"/>
      <c r="B52" s="402"/>
      <c r="C52" s="403"/>
      <c r="D52" s="355"/>
      <c r="E52" s="356"/>
      <c r="F52" s="409"/>
      <c r="G52" s="355"/>
      <c r="H52" s="355"/>
      <c r="I52" s="452"/>
      <c r="J52" s="404"/>
      <c r="K52" s="404"/>
      <c r="L52" s="454"/>
      <c r="M52" s="405"/>
      <c r="N52" s="405"/>
      <c r="O52" s="405"/>
      <c r="P52" s="405"/>
      <c r="Q52" s="405"/>
      <c r="R52" s="406"/>
      <c r="S52" s="407"/>
      <c r="T52" s="355"/>
      <c r="U52" s="408"/>
      <c r="V52" s="409"/>
      <c r="W52" s="409"/>
      <c r="X52" s="410"/>
      <c r="Y52" s="429"/>
      <c r="Z52" s="802"/>
      <c r="AA52" s="986"/>
      <c r="AB52" s="941"/>
      <c r="AC52" s="941"/>
      <c r="AD52" s="941"/>
      <c r="AE52" s="941"/>
      <c r="AF52" s="802"/>
      <c r="AG52" s="969"/>
      <c r="AH52" s="969"/>
      <c r="AI52" s="969"/>
      <c r="AJ52" s="969"/>
      <c r="AK52" s="969"/>
      <c r="AL52" s="969"/>
      <c r="AM52" s="802"/>
      <c r="AN52" s="970"/>
      <c r="AO52" s="429"/>
      <c r="AP52" s="971"/>
      <c r="AQ52" s="500"/>
      <c r="AR52" s="500"/>
      <c r="AS52" s="802"/>
      <c r="AT52" s="501"/>
      <c r="AU52" s="501"/>
      <c r="AV52" s="501"/>
      <c r="AW52" s="940"/>
      <c r="AX52" s="976"/>
      <c r="AY52" s="486"/>
      <c r="AZ52" s="486"/>
      <c r="BA52" s="487"/>
      <c r="BB52" s="539"/>
      <c r="BC52" s="356"/>
      <c r="BD52" s="356"/>
      <c r="BE52" s="492"/>
      <c r="BF52" s="511"/>
      <c r="BG52" s="356"/>
      <c r="BH52" s="509"/>
      <c r="BI52" s="539"/>
      <c r="BJ52" s="554"/>
    </row>
    <row r="53" spans="1:72" s="396" customFormat="1" ht="13.15" customHeight="1" x14ac:dyDescent="0.2">
      <c r="A53" s="402"/>
      <c r="B53" s="402"/>
      <c r="C53" s="403"/>
      <c r="D53" s="355"/>
      <c r="E53" s="356"/>
      <c r="F53" s="409"/>
      <c r="G53" s="355"/>
      <c r="H53" s="355"/>
      <c r="I53" s="452"/>
      <c r="J53" s="404"/>
      <c r="K53" s="404"/>
      <c r="L53" s="454"/>
      <c r="M53" s="405"/>
      <c r="N53" s="405"/>
      <c r="O53" s="405"/>
      <c r="P53" s="405"/>
      <c r="Q53" s="405"/>
      <c r="R53" s="406"/>
      <c r="S53" s="407"/>
      <c r="T53" s="355"/>
      <c r="U53" s="408"/>
      <c r="V53" s="409"/>
      <c r="W53" s="409"/>
      <c r="X53" s="410"/>
      <c r="Y53" s="429"/>
      <c r="Z53" s="802"/>
      <c r="AA53" s="986"/>
      <c r="AB53" s="941"/>
      <c r="AC53" s="941"/>
      <c r="AD53" s="941"/>
      <c r="AE53" s="941"/>
      <c r="AF53" s="802"/>
      <c r="AG53" s="969"/>
      <c r="AH53" s="969"/>
      <c r="AI53" s="969"/>
      <c r="AJ53" s="969"/>
      <c r="AK53" s="969"/>
      <c r="AL53" s="969"/>
      <c r="AM53" s="802"/>
      <c r="AN53" s="970"/>
      <c r="AO53" s="429"/>
      <c r="AP53" s="971"/>
      <c r="AQ53" s="500"/>
      <c r="AR53" s="500"/>
      <c r="AS53" s="802"/>
      <c r="AT53" s="501"/>
      <c r="AU53" s="501"/>
      <c r="AV53" s="373"/>
      <c r="AW53" s="940"/>
      <c r="AX53" s="976"/>
      <c r="AY53" s="486"/>
      <c r="AZ53" s="486"/>
      <c r="BA53" s="487"/>
      <c r="BB53" s="539"/>
      <c r="BC53" s="356"/>
      <c r="BD53" s="356"/>
      <c r="BE53" s="492"/>
      <c r="BF53" s="511"/>
      <c r="BG53" s="356"/>
      <c r="BH53" s="509"/>
      <c r="BI53" s="539"/>
      <c r="BJ53" s="554"/>
    </row>
    <row r="54" spans="1:72" s="396" customFormat="1" ht="13.15" customHeight="1" x14ac:dyDescent="0.2">
      <c r="A54" s="484"/>
      <c r="B54" s="484"/>
      <c r="C54" s="379"/>
      <c r="D54" s="347"/>
      <c r="E54" s="349"/>
      <c r="F54" s="384"/>
      <c r="G54" s="347"/>
      <c r="H54" s="347"/>
      <c r="I54" s="485"/>
      <c r="J54" s="380"/>
      <c r="K54" s="380"/>
      <c r="L54" s="706"/>
      <c r="M54" s="381"/>
      <c r="N54" s="381"/>
      <c r="O54" s="381"/>
      <c r="P54" s="381"/>
      <c r="Q54" s="405"/>
      <c r="R54" s="399"/>
      <c r="S54" s="382"/>
      <c r="T54" s="355"/>
      <c r="U54" s="408"/>
      <c r="V54" s="409"/>
      <c r="W54" s="409"/>
      <c r="X54" s="410"/>
      <c r="Y54" s="429"/>
      <c r="Z54" s="802"/>
      <c r="AA54" s="969"/>
      <c r="AB54" s="802"/>
      <c r="AC54" s="802"/>
      <c r="AD54" s="802"/>
      <c r="AE54" s="802"/>
      <c r="AF54" s="802"/>
      <c r="AG54" s="969"/>
      <c r="AH54" s="969"/>
      <c r="AI54" s="969"/>
      <c r="AJ54" s="969"/>
      <c r="AK54" s="969"/>
      <c r="AL54" s="969"/>
      <c r="AM54" s="802"/>
      <c r="AN54" s="970"/>
      <c r="AO54" s="429"/>
      <c r="AP54" s="971"/>
      <c r="AQ54" s="500"/>
      <c r="AR54" s="500"/>
      <c r="AS54" s="802"/>
      <c r="AT54" s="501"/>
      <c r="AU54" s="501"/>
      <c r="AV54" s="501"/>
      <c r="AW54" s="940"/>
      <c r="AX54" s="976"/>
      <c r="AY54" s="486"/>
      <c r="AZ54" s="486"/>
      <c r="BA54" s="487"/>
      <c r="BB54" s="539"/>
      <c r="BC54" s="553"/>
      <c r="BD54" s="511"/>
      <c r="BE54" s="492"/>
      <c r="BF54" s="511"/>
      <c r="BG54" s="356"/>
      <c r="BH54" s="509"/>
      <c r="BI54" s="488"/>
      <c r="BJ54" s="407"/>
    </row>
    <row r="55" spans="1:72" s="396" customFormat="1" ht="12.75" customHeight="1" x14ac:dyDescent="0.2">
      <c r="A55" s="402"/>
      <c r="B55" s="402"/>
      <c r="C55" s="403"/>
      <c r="D55" s="355"/>
      <c r="E55" s="356"/>
      <c r="F55" s="409"/>
      <c r="G55" s="355"/>
      <c r="H55" s="355"/>
      <c r="I55" s="452"/>
      <c r="J55" s="404"/>
      <c r="K55" s="404"/>
      <c r="L55" s="454"/>
      <c r="M55" s="405"/>
      <c r="N55" s="405"/>
      <c r="O55" s="405"/>
      <c r="P55" s="405"/>
      <c r="Q55" s="405"/>
      <c r="R55" s="406"/>
      <c r="S55" s="407"/>
      <c r="T55" s="355"/>
      <c r="U55" s="408"/>
      <c r="V55" s="409"/>
      <c r="W55" s="409"/>
      <c r="X55" s="410"/>
      <c r="Y55" s="429"/>
      <c r="Z55" s="802"/>
      <c r="AA55" s="986"/>
      <c r="AB55" s="941"/>
      <c r="AC55" s="941"/>
      <c r="AD55" s="941"/>
      <c r="AE55" s="941"/>
      <c r="AF55" s="802"/>
      <c r="AG55" s="969"/>
      <c r="AH55" s="969"/>
      <c r="AI55" s="969"/>
      <c r="AJ55" s="969"/>
      <c r="AK55" s="969"/>
      <c r="AL55" s="969"/>
      <c r="AM55" s="802"/>
      <c r="AN55" s="970"/>
      <c r="AO55" s="429"/>
      <c r="AP55" s="971"/>
      <c r="AQ55" s="500"/>
      <c r="AR55" s="500"/>
      <c r="AS55" s="802"/>
      <c r="AT55" s="501"/>
      <c r="AU55" s="501"/>
      <c r="AV55" s="501"/>
      <c r="AW55" s="940"/>
      <c r="AX55" s="976"/>
      <c r="AY55" s="486"/>
      <c r="AZ55" s="486"/>
      <c r="BA55" s="487"/>
      <c r="BB55" s="539"/>
      <c r="BC55" s="356"/>
      <c r="BD55" s="407"/>
      <c r="BE55" s="492"/>
      <c r="BF55" s="511"/>
      <c r="BG55" s="356"/>
      <c r="BH55" s="509"/>
      <c r="BI55" s="488"/>
      <c r="BJ55" s="554"/>
    </row>
    <row r="56" spans="1:72" s="396" customFormat="1" ht="12.75" customHeight="1" x14ac:dyDescent="0.2">
      <c r="A56" s="402"/>
      <c r="B56" s="402"/>
      <c r="C56" s="583"/>
      <c r="D56" s="355"/>
      <c r="E56" s="356"/>
      <c r="F56" s="409"/>
      <c r="G56" s="355"/>
      <c r="H56" s="355"/>
      <c r="I56" s="452"/>
      <c r="J56" s="404"/>
      <c r="K56" s="404"/>
      <c r="L56" s="454"/>
      <c r="M56" s="405"/>
      <c r="N56" s="405"/>
      <c r="O56" s="405"/>
      <c r="P56" s="405"/>
      <c r="Q56" s="405"/>
      <c r="R56" s="406"/>
      <c r="S56" s="407"/>
      <c r="T56" s="355"/>
      <c r="U56" s="408"/>
      <c r="V56" s="409"/>
      <c r="W56" s="409"/>
      <c r="X56" s="410"/>
      <c r="Y56" s="429"/>
      <c r="Z56" s="802"/>
      <c r="AA56" s="986"/>
      <c r="AB56" s="941"/>
      <c r="AC56" s="941"/>
      <c r="AD56" s="941"/>
      <c r="AE56" s="941"/>
      <c r="AF56" s="802"/>
      <c r="AG56" s="969"/>
      <c r="AH56" s="969"/>
      <c r="AI56" s="969"/>
      <c r="AJ56" s="969"/>
      <c r="AK56" s="969"/>
      <c r="AL56" s="969"/>
      <c r="AM56" s="802"/>
      <c r="AN56" s="970"/>
      <c r="AO56" s="429"/>
      <c r="AP56" s="971"/>
      <c r="AQ56" s="500"/>
      <c r="AR56" s="500"/>
      <c r="AS56" s="802"/>
      <c r="AT56" s="501"/>
      <c r="AU56" s="501"/>
      <c r="AV56" s="501"/>
      <c r="AW56" s="940"/>
      <c r="AX56" s="976"/>
      <c r="AY56" s="486"/>
      <c r="AZ56" s="486"/>
      <c r="BA56" s="487"/>
      <c r="BB56" s="539"/>
      <c r="BC56" s="356"/>
      <c r="BD56" s="356"/>
      <c r="BE56" s="492"/>
      <c r="BF56" s="511"/>
      <c r="BG56" s="356"/>
      <c r="BH56" s="509"/>
      <c r="BI56" s="488"/>
      <c r="BJ56" s="554"/>
    </row>
    <row r="57" spans="1:72" s="387" customFormat="1" ht="12.75" customHeight="1" x14ac:dyDescent="0.2">
      <c r="A57" s="640"/>
      <c r="B57" s="484"/>
      <c r="C57" s="379"/>
      <c r="D57" s="347"/>
      <c r="E57" s="349"/>
      <c r="F57" s="384"/>
      <c r="G57" s="347"/>
      <c r="H57" s="347"/>
      <c r="I57" s="485"/>
      <c r="J57" s="380"/>
      <c r="K57" s="380"/>
      <c r="L57" s="706"/>
      <c r="M57" s="381"/>
      <c r="N57" s="381"/>
      <c r="O57" s="381"/>
      <c r="P57" s="381"/>
      <c r="Q57" s="381"/>
      <c r="R57" s="399"/>
      <c r="S57" s="382"/>
      <c r="T57" s="347"/>
      <c r="U57" s="383"/>
      <c r="V57" s="384"/>
      <c r="W57" s="384"/>
      <c r="X57" s="385"/>
      <c r="Y57" s="397"/>
      <c r="Z57" s="832"/>
      <c r="AA57" s="615"/>
      <c r="AB57" s="832"/>
      <c r="AC57" s="832"/>
      <c r="AD57" s="832"/>
      <c r="AE57" s="832"/>
      <c r="AF57" s="832"/>
      <c r="AG57" s="615"/>
      <c r="AH57" s="615"/>
      <c r="AI57" s="615"/>
      <c r="AJ57" s="615"/>
      <c r="AK57" s="615"/>
      <c r="AL57" s="615"/>
      <c r="AM57" s="832"/>
      <c r="AN57" s="833"/>
      <c r="AO57" s="397"/>
      <c r="AP57" s="834"/>
      <c r="AQ57" s="398"/>
      <c r="AR57" s="398"/>
      <c r="AS57" s="832"/>
      <c r="AT57" s="570"/>
      <c r="AU57" s="716"/>
      <c r="AV57" s="570"/>
      <c r="AW57" s="716"/>
      <c r="AX57" s="974"/>
      <c r="AY57" s="471"/>
      <c r="AZ57" s="471"/>
      <c r="BA57" s="472"/>
      <c r="BB57" s="462"/>
      <c r="BC57" s="349"/>
      <c r="BD57" s="460"/>
      <c r="BE57" s="491"/>
      <c r="BF57" s="460"/>
      <c r="BG57" s="349"/>
      <c r="BH57" s="465"/>
      <c r="BI57" s="349"/>
      <c r="BJ57" s="572"/>
    </row>
    <row r="58" spans="1:72" s="396" customFormat="1" ht="12.75" customHeight="1" x14ac:dyDescent="0.2">
      <c r="A58" s="643"/>
      <c r="B58" s="402"/>
      <c r="C58" s="403"/>
      <c r="D58" s="355"/>
      <c r="E58" s="355"/>
      <c r="F58" s="409"/>
      <c r="G58" s="355"/>
      <c r="H58" s="355"/>
      <c r="I58" s="452"/>
      <c r="J58" s="404"/>
      <c r="K58" s="404"/>
      <c r="L58" s="454"/>
      <c r="M58" s="405"/>
      <c r="N58" s="405"/>
      <c r="O58" s="405"/>
      <c r="P58" s="405"/>
      <c r="Q58" s="405"/>
      <c r="R58" s="406"/>
      <c r="S58" s="407"/>
      <c r="T58" s="355"/>
      <c r="U58" s="408"/>
      <c r="V58" s="409"/>
      <c r="W58" s="409"/>
      <c r="X58" s="410"/>
      <c r="Y58" s="429"/>
      <c r="Z58" s="802"/>
      <c r="AA58" s="986"/>
      <c r="AB58" s="941"/>
      <c r="AC58" s="941"/>
      <c r="AD58" s="941"/>
      <c r="AE58" s="941"/>
      <c r="AF58" s="802"/>
      <c r="AG58" s="969"/>
      <c r="AH58" s="969"/>
      <c r="AI58" s="969"/>
      <c r="AJ58" s="969"/>
      <c r="AK58" s="969"/>
      <c r="AL58" s="969"/>
      <c r="AM58" s="802"/>
      <c r="AN58" s="970"/>
      <c r="AO58" s="429"/>
      <c r="AP58" s="971"/>
      <c r="AQ58" s="500"/>
      <c r="AR58" s="500"/>
      <c r="AS58" s="802"/>
      <c r="AT58" s="501"/>
      <c r="AU58" s="501"/>
      <c r="AV58" s="570"/>
      <c r="AW58" s="940"/>
      <c r="AX58" s="976"/>
      <c r="AY58" s="486"/>
      <c r="AZ58" s="486"/>
      <c r="BA58" s="487"/>
      <c r="BB58" s="539"/>
      <c r="BC58" s="356"/>
      <c r="BD58" s="511"/>
      <c r="BE58" s="492"/>
      <c r="BF58" s="511"/>
      <c r="BG58" s="356"/>
      <c r="BH58" s="509"/>
      <c r="BI58" s="488"/>
      <c r="BJ58" s="554"/>
      <c r="BS58" s="632"/>
      <c r="BT58" s="632"/>
    </row>
    <row r="59" spans="1:72" s="396" customFormat="1" ht="13.15" customHeight="1" x14ac:dyDescent="0.2">
      <c r="A59" s="402"/>
      <c r="B59" s="402"/>
      <c r="C59" s="403"/>
      <c r="D59" s="355"/>
      <c r="E59" s="356"/>
      <c r="F59" s="409"/>
      <c r="G59" s="355"/>
      <c r="H59" s="355"/>
      <c r="I59" s="452"/>
      <c r="J59" s="404"/>
      <c r="K59" s="404"/>
      <c r="L59" s="454"/>
      <c r="M59" s="405"/>
      <c r="N59" s="405"/>
      <c r="O59" s="405"/>
      <c r="P59" s="405"/>
      <c r="Q59" s="405"/>
      <c r="R59" s="406"/>
      <c r="S59" s="407"/>
      <c r="T59" s="355"/>
      <c r="U59" s="408"/>
      <c r="V59" s="409"/>
      <c r="W59" s="409"/>
      <c r="X59" s="410"/>
      <c r="Y59" s="429"/>
      <c r="Z59" s="802"/>
      <c r="AA59" s="986"/>
      <c r="AB59" s="941"/>
      <c r="AC59" s="941"/>
      <c r="AD59" s="941"/>
      <c r="AE59" s="941"/>
      <c r="AF59" s="802"/>
      <c r="AG59" s="969"/>
      <c r="AH59" s="969"/>
      <c r="AI59" s="969"/>
      <c r="AJ59" s="969"/>
      <c r="AK59" s="969"/>
      <c r="AL59" s="969"/>
      <c r="AM59" s="802"/>
      <c r="AN59" s="970"/>
      <c r="AO59" s="429"/>
      <c r="AP59" s="971"/>
      <c r="AQ59" s="500"/>
      <c r="AR59" s="500"/>
      <c r="AS59" s="802"/>
      <c r="AT59" s="501"/>
      <c r="AU59" s="501"/>
      <c r="AV59" s="570"/>
      <c r="AW59" s="940"/>
      <c r="AX59" s="976"/>
      <c r="AY59" s="486"/>
      <c r="AZ59" s="486"/>
      <c r="BA59" s="487"/>
      <c r="BB59" s="539"/>
      <c r="BC59" s="356"/>
      <c r="BD59" s="511"/>
      <c r="BE59" s="492"/>
      <c r="BF59" s="511"/>
      <c r="BG59" s="356"/>
      <c r="BH59" s="509"/>
      <c r="BI59" s="488"/>
      <c r="BJ59" s="554"/>
      <c r="BS59" s="632"/>
      <c r="BT59" s="632"/>
    </row>
    <row r="60" spans="1:72" s="396" customFormat="1" ht="15.75" customHeight="1" x14ac:dyDescent="0.2">
      <c r="A60" s="643"/>
      <c r="B60" s="402"/>
      <c r="C60" s="403"/>
      <c r="D60" s="355"/>
      <c r="E60" s="356"/>
      <c r="F60" s="409"/>
      <c r="G60" s="355"/>
      <c r="H60" s="355"/>
      <c r="I60" s="452"/>
      <c r="J60" s="404"/>
      <c r="K60" s="404"/>
      <c r="L60" s="454"/>
      <c r="M60" s="405"/>
      <c r="N60" s="405"/>
      <c r="O60" s="405"/>
      <c r="P60" s="405"/>
      <c r="Q60" s="405"/>
      <c r="R60" s="406"/>
      <c r="S60" s="407"/>
      <c r="T60" s="355"/>
      <c r="U60" s="408"/>
      <c r="V60" s="409"/>
      <c r="W60" s="409"/>
      <c r="X60" s="410"/>
      <c r="Y60" s="429"/>
      <c r="Z60" s="802"/>
      <c r="AA60" s="969"/>
      <c r="AB60" s="802"/>
      <c r="AC60" s="802"/>
      <c r="AD60" s="802"/>
      <c r="AE60" s="802"/>
      <c r="AF60" s="802"/>
      <c r="AG60" s="969"/>
      <c r="AH60" s="969"/>
      <c r="AI60" s="969"/>
      <c r="AJ60" s="969"/>
      <c r="AK60" s="969"/>
      <c r="AL60" s="969"/>
      <c r="AM60" s="802"/>
      <c r="AN60" s="970"/>
      <c r="AO60" s="429"/>
      <c r="AP60" s="971"/>
      <c r="AQ60" s="500"/>
      <c r="AR60" s="500"/>
      <c r="AS60" s="802"/>
      <c r="AT60" s="570"/>
      <c r="AU60" s="716"/>
      <c r="AV60" s="570"/>
      <c r="AW60" s="940"/>
      <c r="AX60" s="976"/>
      <c r="AY60" s="486"/>
      <c r="AZ60" s="486"/>
      <c r="BA60" s="487"/>
      <c r="BB60" s="539"/>
      <c r="BC60" s="356"/>
      <c r="BD60" s="550"/>
      <c r="BE60" s="492"/>
      <c r="BF60" s="678"/>
      <c r="BG60" s="356"/>
      <c r="BH60" s="509"/>
      <c r="BI60" s="488"/>
      <c r="BJ60" s="407"/>
    </row>
    <row r="61" spans="1:72" s="387" customFormat="1" ht="12.75" customHeight="1" x14ac:dyDescent="0.2">
      <c r="A61" s="402"/>
      <c r="B61" s="402"/>
      <c r="C61" s="403"/>
      <c r="D61" s="355"/>
      <c r="E61" s="356"/>
      <c r="F61" s="409"/>
      <c r="G61" s="355"/>
      <c r="H61" s="355"/>
      <c r="I61" s="452"/>
      <c r="J61" s="404"/>
      <c r="K61" s="404"/>
      <c r="L61" s="454"/>
      <c r="M61" s="405"/>
      <c r="N61" s="405"/>
      <c r="O61" s="405"/>
      <c r="P61" s="405"/>
      <c r="Q61" s="405"/>
      <c r="R61" s="406"/>
      <c r="S61" s="407"/>
      <c r="T61" s="355"/>
      <c r="U61" s="408"/>
      <c r="V61" s="409"/>
      <c r="W61" s="409"/>
      <c r="X61" s="410"/>
      <c r="Y61" s="429"/>
      <c r="Z61" s="802"/>
      <c r="AA61" s="969"/>
      <c r="AB61" s="802"/>
      <c r="AC61" s="802"/>
      <c r="AD61" s="802"/>
      <c r="AE61" s="802"/>
      <c r="AF61" s="802"/>
      <c r="AG61" s="969"/>
      <c r="AH61" s="969"/>
      <c r="AI61" s="969"/>
      <c r="AJ61" s="969"/>
      <c r="AK61" s="969"/>
      <c r="AL61" s="969"/>
      <c r="AM61" s="802"/>
      <c r="AN61" s="970"/>
      <c r="AO61" s="429"/>
      <c r="AP61" s="971"/>
      <c r="AQ61" s="500"/>
      <c r="AR61" s="500"/>
      <c r="AS61" s="802"/>
      <c r="AT61" s="570"/>
      <c r="AU61" s="716"/>
      <c r="AV61" s="570"/>
      <c r="AW61" s="940"/>
      <c r="AX61" s="976"/>
      <c r="AY61" s="486"/>
      <c r="AZ61" s="486"/>
      <c r="BA61" s="487"/>
      <c r="BB61" s="539"/>
      <c r="BC61" s="356"/>
      <c r="BD61" s="550"/>
      <c r="BE61" s="492"/>
      <c r="BF61" s="678"/>
      <c r="BG61" s="356"/>
      <c r="BH61" s="509"/>
      <c r="BI61" s="488"/>
      <c r="BJ61" s="407"/>
      <c r="BK61" s="396"/>
      <c r="BL61" s="396"/>
      <c r="BM61" s="396"/>
      <c r="BN61" s="396"/>
      <c r="BO61" s="396"/>
      <c r="BP61" s="396"/>
      <c r="BQ61" s="396"/>
      <c r="BR61" s="396"/>
      <c r="BS61" s="396"/>
      <c r="BT61" s="396"/>
    </row>
    <row r="62" spans="1:72" s="396" customFormat="1" ht="12.75" customHeight="1" x14ac:dyDescent="0.2">
      <c r="A62" s="402"/>
      <c r="B62" s="402"/>
      <c r="C62" s="403"/>
      <c r="D62" s="355"/>
      <c r="E62" s="356"/>
      <c r="F62" s="409"/>
      <c r="G62" s="355"/>
      <c r="H62" s="355"/>
      <c r="I62" s="452"/>
      <c r="J62" s="404"/>
      <c r="K62" s="404"/>
      <c r="L62" s="454"/>
      <c r="M62" s="405"/>
      <c r="N62" s="405"/>
      <c r="O62" s="405"/>
      <c r="P62" s="405"/>
      <c r="Q62" s="405"/>
      <c r="R62" s="406"/>
      <c r="S62" s="407"/>
      <c r="T62" s="355"/>
      <c r="U62" s="408"/>
      <c r="V62" s="409"/>
      <c r="W62" s="409"/>
      <c r="X62" s="410"/>
      <c r="Y62" s="429"/>
      <c r="Z62" s="802"/>
      <c r="AA62" s="986"/>
      <c r="AB62" s="941"/>
      <c r="AC62" s="941"/>
      <c r="AD62" s="941"/>
      <c r="AE62" s="941"/>
      <c r="AF62" s="802"/>
      <c r="AG62" s="969"/>
      <c r="AH62" s="969"/>
      <c r="AI62" s="969"/>
      <c r="AJ62" s="969"/>
      <c r="AK62" s="969"/>
      <c r="AL62" s="969"/>
      <c r="AM62" s="802"/>
      <c r="AN62" s="970"/>
      <c r="AO62" s="429"/>
      <c r="AP62" s="971"/>
      <c r="AQ62" s="500"/>
      <c r="AR62" s="500"/>
      <c r="AS62" s="802"/>
      <c r="AT62" s="501"/>
      <c r="AU62" s="940"/>
      <c r="AV62" s="943"/>
      <c r="AW62" s="940"/>
      <c r="AX62" s="976"/>
      <c r="AY62" s="486"/>
      <c r="AZ62" s="486"/>
      <c r="BA62" s="487"/>
      <c r="BB62" s="539"/>
      <c r="BC62" s="356"/>
      <c r="BD62" s="550"/>
      <c r="BE62" s="492"/>
      <c r="BF62" s="672"/>
      <c r="BG62" s="356"/>
      <c r="BH62" s="509"/>
      <c r="BI62" s="488"/>
      <c r="BJ62" s="407"/>
    </row>
    <row r="63" spans="1:72" s="396" customFormat="1" ht="12.75" customHeight="1" x14ac:dyDescent="0.2">
      <c r="A63" s="402"/>
      <c r="B63" s="402"/>
      <c r="C63" s="403"/>
      <c r="D63" s="355"/>
      <c r="E63" s="356"/>
      <c r="F63" s="409"/>
      <c r="G63" s="355"/>
      <c r="H63" s="355"/>
      <c r="I63" s="452"/>
      <c r="J63" s="404"/>
      <c r="K63" s="404"/>
      <c r="L63" s="454"/>
      <c r="M63" s="405"/>
      <c r="N63" s="405"/>
      <c r="O63" s="405"/>
      <c r="P63" s="405"/>
      <c r="Q63" s="405"/>
      <c r="R63" s="406"/>
      <c r="S63" s="407"/>
      <c r="T63" s="355"/>
      <c r="U63" s="408"/>
      <c r="V63" s="409"/>
      <c r="W63" s="409"/>
      <c r="X63" s="410"/>
      <c r="Y63" s="429"/>
      <c r="Z63" s="802"/>
      <c r="AA63" s="986"/>
      <c r="AB63" s="941"/>
      <c r="AC63" s="941"/>
      <c r="AD63" s="941"/>
      <c r="AE63" s="941"/>
      <c r="AF63" s="802"/>
      <c r="AG63" s="969"/>
      <c r="AH63" s="969"/>
      <c r="AI63" s="969"/>
      <c r="AJ63" s="969"/>
      <c r="AK63" s="969"/>
      <c r="AL63" s="969"/>
      <c r="AM63" s="802"/>
      <c r="AN63" s="970"/>
      <c r="AO63" s="429"/>
      <c r="AP63" s="971"/>
      <c r="AQ63" s="500"/>
      <c r="AR63" s="500"/>
      <c r="AS63" s="802"/>
      <c r="AT63" s="501"/>
      <c r="AU63" s="501"/>
      <c r="AV63" s="570"/>
      <c r="AW63" s="940"/>
      <c r="AX63" s="976"/>
      <c r="AY63" s="486"/>
      <c r="AZ63" s="486"/>
      <c r="BA63" s="487"/>
      <c r="BB63" s="539"/>
      <c r="BC63" s="356"/>
      <c r="BD63" s="509"/>
      <c r="BE63" s="492"/>
      <c r="BF63" s="511"/>
      <c r="BG63" s="356"/>
      <c r="BH63" s="509"/>
      <c r="BI63" s="488"/>
      <c r="BJ63" s="554"/>
      <c r="BS63" s="632"/>
      <c r="BT63" s="632"/>
    </row>
    <row r="64" spans="1:72" s="396" customFormat="1" ht="12.75" customHeight="1" x14ac:dyDescent="0.2">
      <c r="A64" s="484"/>
      <c r="B64" s="484"/>
      <c r="C64" s="700"/>
      <c r="D64" s="347"/>
      <c r="E64" s="349"/>
      <c r="F64" s="384"/>
      <c r="G64" s="347"/>
      <c r="H64" s="347"/>
      <c r="I64" s="485"/>
      <c r="J64" s="485"/>
      <c r="K64" s="485"/>
      <c r="L64" s="454"/>
      <c r="M64" s="381"/>
      <c r="N64" s="381"/>
      <c r="O64" s="381"/>
      <c r="P64" s="381"/>
      <c r="Q64" s="381"/>
      <c r="R64" s="399"/>
      <c r="S64" s="382"/>
      <c r="T64" s="347"/>
      <c r="U64" s="383"/>
      <c r="V64" s="384"/>
      <c r="W64" s="384"/>
      <c r="X64" s="385"/>
      <c r="Y64" s="397"/>
      <c r="Z64" s="832"/>
      <c r="AA64" s="987"/>
      <c r="AB64" s="942"/>
      <c r="AC64" s="942"/>
      <c r="AD64" s="942"/>
      <c r="AE64" s="942"/>
      <c r="AF64" s="832"/>
      <c r="AG64" s="615"/>
      <c r="AH64" s="615"/>
      <c r="AI64" s="615"/>
      <c r="AJ64" s="615"/>
      <c r="AK64" s="615"/>
      <c r="AL64" s="615"/>
      <c r="AM64" s="832"/>
      <c r="AN64" s="833"/>
      <c r="AO64" s="397"/>
      <c r="AP64" s="834"/>
      <c r="AQ64" s="398"/>
      <c r="AR64" s="398"/>
      <c r="AS64" s="832"/>
      <c r="AT64" s="570"/>
      <c r="AU64" s="570"/>
      <c r="AV64" s="570"/>
      <c r="AW64" s="716"/>
      <c r="AX64" s="974"/>
      <c r="AY64" s="471"/>
      <c r="AZ64" s="471"/>
      <c r="BA64" s="472"/>
      <c r="BB64" s="462"/>
      <c r="BC64" s="349"/>
      <c r="BD64" s="465"/>
      <c r="BE64" s="491"/>
      <c r="BF64" s="460"/>
      <c r="BG64" s="349"/>
      <c r="BH64" s="465"/>
      <c r="BI64" s="390"/>
      <c r="BJ64" s="572"/>
      <c r="BK64" s="387"/>
      <c r="BL64" s="387"/>
      <c r="BM64" s="387"/>
      <c r="BN64" s="387"/>
      <c r="BO64" s="387"/>
      <c r="BP64" s="387"/>
      <c r="BQ64" s="387"/>
      <c r="BR64" s="387"/>
      <c r="BS64" s="506"/>
      <c r="BT64" s="506"/>
    </row>
    <row r="65" spans="1:72" s="396" customFormat="1" ht="12.75" customHeight="1" x14ac:dyDescent="0.2">
      <c r="A65" s="402"/>
      <c r="B65" s="402"/>
      <c r="C65" s="403"/>
      <c r="D65" s="355"/>
      <c r="E65" s="356"/>
      <c r="F65" s="409"/>
      <c r="G65" s="355"/>
      <c r="H65" s="355"/>
      <c r="I65" s="452"/>
      <c r="J65" s="404"/>
      <c r="K65" s="404"/>
      <c r="L65" s="454"/>
      <c r="M65" s="405"/>
      <c r="N65" s="405"/>
      <c r="O65" s="405"/>
      <c r="P65" s="405"/>
      <c r="Q65" s="405"/>
      <c r="R65" s="406"/>
      <c r="S65" s="407"/>
      <c r="T65" s="355"/>
      <c r="U65" s="408"/>
      <c r="V65" s="409"/>
      <c r="W65" s="409"/>
      <c r="X65" s="410"/>
      <c r="Y65" s="429"/>
      <c r="Z65" s="802"/>
      <c r="AA65" s="986"/>
      <c r="AB65" s="941"/>
      <c r="AC65" s="941"/>
      <c r="AD65" s="941"/>
      <c r="AE65" s="941"/>
      <c r="AF65" s="802"/>
      <c r="AG65" s="969"/>
      <c r="AH65" s="969"/>
      <c r="AI65" s="969"/>
      <c r="AJ65" s="969"/>
      <c r="AK65" s="969"/>
      <c r="AL65" s="969"/>
      <c r="AM65" s="802"/>
      <c r="AN65" s="970"/>
      <c r="AO65" s="429"/>
      <c r="AP65" s="971"/>
      <c r="AQ65" s="500"/>
      <c r="AR65" s="500"/>
      <c r="AS65" s="802"/>
      <c r="AT65" s="501"/>
      <c r="AU65" s="501"/>
      <c r="AV65" s="570"/>
      <c r="AW65" s="940"/>
      <c r="AX65" s="976"/>
      <c r="AY65" s="486"/>
      <c r="AZ65" s="486"/>
      <c r="BA65" s="487"/>
      <c r="BB65" s="539"/>
      <c r="BC65" s="356"/>
      <c r="BD65" s="509"/>
      <c r="BE65" s="492"/>
      <c r="BF65" s="511"/>
      <c r="BG65" s="356"/>
      <c r="BH65" s="509"/>
      <c r="BI65" s="488"/>
      <c r="BJ65" s="554"/>
      <c r="BS65" s="632"/>
      <c r="BT65" s="632"/>
    </row>
    <row r="66" spans="1:72" s="396" customFormat="1" ht="13.5" customHeight="1" x14ac:dyDescent="0.2">
      <c r="A66" s="402"/>
      <c r="B66" s="402"/>
      <c r="C66" s="403"/>
      <c r="D66" s="355"/>
      <c r="E66" s="356"/>
      <c r="F66" s="409"/>
      <c r="G66" s="355"/>
      <c r="H66" s="355"/>
      <c r="I66" s="452"/>
      <c r="J66" s="404"/>
      <c r="K66" s="404"/>
      <c r="L66" s="454"/>
      <c r="M66" s="405"/>
      <c r="N66" s="405"/>
      <c r="O66" s="405"/>
      <c r="P66" s="405"/>
      <c r="Q66" s="405"/>
      <c r="R66" s="406"/>
      <c r="S66" s="407"/>
      <c r="T66" s="355"/>
      <c r="U66" s="408"/>
      <c r="V66" s="409"/>
      <c r="W66" s="409"/>
      <c r="X66" s="410"/>
      <c r="Y66" s="429"/>
      <c r="Z66" s="802"/>
      <c r="AA66" s="986"/>
      <c r="AB66" s="941"/>
      <c r="AC66" s="941"/>
      <c r="AD66" s="941"/>
      <c r="AE66" s="941"/>
      <c r="AF66" s="802"/>
      <c r="AG66" s="969"/>
      <c r="AH66" s="969"/>
      <c r="AI66" s="969"/>
      <c r="AJ66" s="969"/>
      <c r="AK66" s="969"/>
      <c r="AL66" s="969"/>
      <c r="AM66" s="802"/>
      <c r="AN66" s="970"/>
      <c r="AO66" s="429"/>
      <c r="AP66" s="971"/>
      <c r="AQ66" s="500"/>
      <c r="AR66" s="500"/>
      <c r="AS66" s="802"/>
      <c r="AT66" s="501"/>
      <c r="AU66" s="501"/>
      <c r="AV66" s="570"/>
      <c r="AW66" s="940"/>
      <c r="AX66" s="976"/>
      <c r="AY66" s="486"/>
      <c r="AZ66" s="486"/>
      <c r="BA66" s="487"/>
      <c r="BB66" s="539"/>
      <c r="BC66" s="356"/>
      <c r="BD66" s="509"/>
      <c r="BE66" s="492"/>
      <c r="BF66" s="511"/>
      <c r="BG66" s="356"/>
      <c r="BH66" s="509"/>
      <c r="BI66" s="488"/>
      <c r="BJ66" s="554"/>
      <c r="BS66" s="632"/>
      <c r="BT66" s="632"/>
    </row>
    <row r="67" spans="1:72" s="396" customFormat="1" ht="12.75" customHeight="1" x14ac:dyDescent="0.2">
      <c r="A67" s="631"/>
      <c r="B67" s="631"/>
      <c r="C67" s="642"/>
      <c r="D67" s="802"/>
      <c r="E67" s="830"/>
      <c r="F67" s="384"/>
      <c r="G67" s="802"/>
      <c r="H67" s="347"/>
      <c r="I67" s="831"/>
      <c r="J67" s="831"/>
      <c r="K67" s="831"/>
      <c r="L67" s="454"/>
      <c r="M67" s="405"/>
      <c r="N67" s="405"/>
      <c r="O67" s="381"/>
      <c r="P67" s="381"/>
      <c r="Q67" s="405"/>
      <c r="R67" s="406"/>
      <c r="S67" s="406"/>
      <c r="T67" s="405"/>
      <c r="U67" s="405"/>
      <c r="V67" s="463"/>
      <c r="W67" s="463"/>
      <c r="X67" s="405"/>
      <c r="Y67" s="429"/>
      <c r="Z67" s="802"/>
      <c r="AA67" s="987"/>
      <c r="AB67" s="942"/>
      <c r="AC67" s="942"/>
      <c r="AD67" s="942"/>
      <c r="AE67" s="942"/>
      <c r="AF67" s="832"/>
      <c r="AG67" s="615"/>
      <c r="AH67" s="615"/>
      <c r="AI67" s="615"/>
      <c r="AJ67" s="615"/>
      <c r="AK67" s="615"/>
      <c r="AL67" s="615"/>
      <c r="AM67" s="832"/>
      <c r="AN67" s="833"/>
      <c r="AO67" s="397"/>
      <c r="AP67" s="834"/>
      <c r="AQ67" s="500"/>
      <c r="AR67" s="500"/>
      <c r="AS67" s="802"/>
      <c r="AT67" s="501"/>
      <c r="AU67" s="501"/>
      <c r="AV67" s="501"/>
      <c r="AW67" s="940"/>
      <c r="AX67" s="976"/>
      <c r="AY67" s="486"/>
      <c r="AZ67" s="486"/>
      <c r="BA67" s="487"/>
      <c r="BB67" s="539"/>
      <c r="BC67" s="356"/>
      <c r="BD67" s="511"/>
      <c r="BE67" s="492"/>
      <c r="BF67" s="460"/>
      <c r="BG67" s="349"/>
      <c r="BH67" s="465"/>
      <c r="BI67" s="390"/>
      <c r="BJ67" s="572"/>
      <c r="BK67" s="387"/>
      <c r="BL67" s="387"/>
      <c r="BM67" s="387"/>
      <c r="BN67" s="387"/>
      <c r="BO67" s="387"/>
      <c r="BP67" s="387"/>
      <c r="BQ67" s="387"/>
      <c r="BR67" s="387"/>
      <c r="BS67" s="506"/>
      <c r="BT67" s="506"/>
    </row>
    <row r="68" spans="1:72" s="387" customFormat="1" ht="12" customHeight="1" x14ac:dyDescent="0.2">
      <c r="A68" s="402"/>
      <c r="B68" s="402"/>
      <c r="C68" s="403"/>
      <c r="D68" s="355"/>
      <c r="E68" s="356"/>
      <c r="F68" s="409"/>
      <c r="G68" s="355"/>
      <c r="H68" s="355"/>
      <c r="I68" s="452"/>
      <c r="J68" s="404"/>
      <c r="K68" s="404"/>
      <c r="L68" s="454"/>
      <c r="M68" s="405"/>
      <c r="N68" s="405"/>
      <c r="O68" s="405"/>
      <c r="P68" s="405"/>
      <c r="Q68" s="405"/>
      <c r="R68" s="406"/>
      <c r="S68" s="407"/>
      <c r="T68" s="355"/>
      <c r="U68" s="408"/>
      <c r="V68" s="409"/>
      <c r="W68" s="409"/>
      <c r="X68" s="410"/>
      <c r="Y68" s="429"/>
      <c r="Z68" s="802"/>
      <c r="AA68" s="986"/>
      <c r="AB68" s="941"/>
      <c r="AC68" s="941"/>
      <c r="AD68" s="941"/>
      <c r="AE68" s="941"/>
      <c r="AF68" s="802"/>
      <c r="AG68" s="969"/>
      <c r="AH68" s="969"/>
      <c r="AI68" s="969"/>
      <c r="AJ68" s="969"/>
      <c r="AK68" s="969"/>
      <c r="AL68" s="969"/>
      <c r="AM68" s="802"/>
      <c r="AN68" s="970"/>
      <c r="AO68" s="429"/>
      <c r="AP68" s="971"/>
      <c r="AQ68" s="500"/>
      <c r="AR68" s="500"/>
      <c r="AS68" s="802"/>
      <c r="AT68" s="501"/>
      <c r="AU68" s="501"/>
      <c r="AV68" s="570"/>
      <c r="AW68" s="940"/>
      <c r="AX68" s="976"/>
      <c r="AY68" s="486"/>
      <c r="AZ68" s="486"/>
      <c r="BA68" s="487"/>
      <c r="BB68" s="539"/>
      <c r="BC68" s="356"/>
      <c r="BD68" s="509"/>
      <c r="BE68" s="492"/>
      <c r="BF68" s="511"/>
      <c r="BG68" s="356"/>
      <c r="BH68" s="509"/>
      <c r="BI68" s="488"/>
      <c r="BJ68" s="554"/>
      <c r="BK68" s="396"/>
      <c r="BL68" s="396"/>
      <c r="BM68" s="396"/>
      <c r="BN68" s="396"/>
      <c r="BO68" s="396"/>
      <c r="BP68" s="396"/>
      <c r="BQ68" s="396"/>
      <c r="BR68" s="396"/>
      <c r="BS68" s="632"/>
      <c r="BT68" s="632"/>
    </row>
    <row r="69" spans="1:72" s="396" customFormat="1" ht="12" customHeight="1" x14ac:dyDescent="0.2">
      <c r="A69" s="484"/>
      <c r="B69" s="484"/>
      <c r="C69" s="379"/>
      <c r="D69" s="347"/>
      <c r="E69" s="349"/>
      <c r="F69" s="384"/>
      <c r="G69" s="347"/>
      <c r="H69" s="347"/>
      <c r="I69" s="485"/>
      <c r="J69" s="380"/>
      <c r="K69" s="380"/>
      <c r="L69" s="454"/>
      <c r="M69" s="381"/>
      <c r="N69" s="456"/>
      <c r="O69" s="456"/>
      <c r="P69" s="456"/>
      <c r="Q69" s="405"/>
      <c r="R69" s="399"/>
      <c r="S69" s="382"/>
      <c r="T69" s="355"/>
      <c r="U69" s="408"/>
      <c r="V69" s="409"/>
      <c r="W69" s="409"/>
      <c r="X69" s="410"/>
      <c r="Y69" s="429"/>
      <c r="Z69" s="802"/>
      <c r="AA69" s="969"/>
      <c r="AB69" s="802"/>
      <c r="AC69" s="802"/>
      <c r="AD69" s="802"/>
      <c r="AE69" s="802"/>
      <c r="AF69" s="802"/>
      <c r="AG69" s="969"/>
      <c r="AH69" s="969"/>
      <c r="AI69" s="969"/>
      <c r="AJ69" s="969"/>
      <c r="AK69" s="969"/>
      <c r="AL69" s="969"/>
      <c r="AM69" s="802"/>
      <c r="AN69" s="970"/>
      <c r="AO69" s="429"/>
      <c r="AP69" s="971"/>
      <c r="AQ69" s="500"/>
      <c r="AR69" s="500"/>
      <c r="AS69" s="802"/>
      <c r="AT69" s="501"/>
      <c r="AU69" s="501"/>
      <c r="AV69" s="501"/>
      <c r="AW69" s="940"/>
      <c r="AX69" s="976"/>
      <c r="AY69" s="486"/>
      <c r="AZ69" s="486"/>
      <c r="BA69" s="487"/>
      <c r="BB69" s="539"/>
      <c r="BC69" s="553"/>
      <c r="BD69" s="509"/>
      <c r="BE69" s="492"/>
      <c r="BF69" s="511"/>
      <c r="BG69" s="356"/>
      <c r="BH69" s="509"/>
      <c r="BI69" s="488"/>
      <c r="BJ69" s="407"/>
    </row>
    <row r="70" spans="1:72" s="396" customFormat="1" ht="12" customHeight="1" x14ac:dyDescent="0.2">
      <c r="A70" s="484"/>
      <c r="B70" s="484"/>
      <c r="C70" s="379"/>
      <c r="D70" s="347"/>
      <c r="E70" s="349"/>
      <c r="F70" s="384"/>
      <c r="G70" s="347"/>
      <c r="H70" s="347"/>
      <c r="I70" s="485"/>
      <c r="J70" s="380"/>
      <c r="K70" s="380"/>
      <c r="L70" s="454"/>
      <c r="M70" s="381"/>
      <c r="N70" s="456"/>
      <c r="O70" s="456"/>
      <c r="P70" s="456"/>
      <c r="Q70" s="405"/>
      <c r="R70" s="399"/>
      <c r="S70" s="382"/>
      <c r="T70" s="355"/>
      <c r="U70" s="408"/>
      <c r="V70" s="409"/>
      <c r="W70" s="409"/>
      <c r="X70" s="410"/>
      <c r="Y70" s="429"/>
      <c r="Z70" s="802"/>
      <c r="AA70" s="969"/>
      <c r="AB70" s="802"/>
      <c r="AC70" s="802"/>
      <c r="AD70" s="802"/>
      <c r="AE70" s="802"/>
      <c r="AF70" s="802"/>
      <c r="AG70" s="969"/>
      <c r="AH70" s="969"/>
      <c r="AI70" s="969"/>
      <c r="AJ70" s="969"/>
      <c r="AK70" s="969"/>
      <c r="AL70" s="969"/>
      <c r="AM70" s="802"/>
      <c r="AN70" s="970"/>
      <c r="AO70" s="429"/>
      <c r="AP70" s="971"/>
      <c r="AQ70" s="500"/>
      <c r="AR70" s="500"/>
      <c r="AS70" s="802"/>
      <c r="AT70" s="501"/>
      <c r="AU70" s="501"/>
      <c r="AV70" s="501"/>
      <c r="AW70" s="940"/>
      <c r="AX70" s="976"/>
      <c r="AY70" s="486"/>
      <c r="AZ70" s="486"/>
      <c r="BA70" s="487"/>
      <c r="BB70" s="539"/>
      <c r="BC70" s="553"/>
      <c r="BD70" s="509"/>
      <c r="BE70" s="492"/>
      <c r="BF70" s="511"/>
      <c r="BG70" s="356"/>
      <c r="BH70" s="509"/>
      <c r="BI70" s="488"/>
      <c r="BJ70" s="407"/>
    </row>
    <row r="71" spans="1:72" s="396" customFormat="1" ht="12" customHeight="1" x14ac:dyDescent="0.2">
      <c r="A71" s="402"/>
      <c r="B71" s="402"/>
      <c r="C71" s="403"/>
      <c r="D71" s="355"/>
      <c r="E71" s="356"/>
      <c r="F71" s="409"/>
      <c r="G71" s="355"/>
      <c r="H71" s="355"/>
      <c r="I71" s="452"/>
      <c r="J71" s="404"/>
      <c r="K71" s="404"/>
      <c r="L71" s="454"/>
      <c r="M71" s="405"/>
      <c r="N71" s="463"/>
      <c r="O71" s="463"/>
      <c r="P71" s="463"/>
      <c r="Q71" s="405"/>
      <c r="R71" s="406"/>
      <c r="S71" s="407"/>
      <c r="T71" s="355"/>
      <c r="U71" s="408"/>
      <c r="V71" s="409"/>
      <c r="W71" s="409"/>
      <c r="X71" s="410"/>
      <c r="Y71" s="429"/>
      <c r="Z71" s="802"/>
      <c r="AA71" s="986"/>
      <c r="AB71" s="941"/>
      <c r="AC71" s="941"/>
      <c r="AD71" s="941"/>
      <c r="AE71" s="941"/>
      <c r="AF71" s="802"/>
      <c r="AG71" s="969"/>
      <c r="AH71" s="969"/>
      <c r="AI71" s="969"/>
      <c r="AJ71" s="969"/>
      <c r="AK71" s="969"/>
      <c r="AL71" s="969"/>
      <c r="AM71" s="802"/>
      <c r="AN71" s="970"/>
      <c r="AO71" s="429"/>
      <c r="AP71" s="971"/>
      <c r="AQ71" s="500"/>
      <c r="AR71" s="500"/>
      <c r="AS71" s="802"/>
      <c r="AT71" s="501"/>
      <c r="AU71" s="501"/>
      <c r="AV71" s="501"/>
      <c r="AW71" s="940"/>
      <c r="AX71" s="976"/>
      <c r="AY71" s="486"/>
      <c r="AZ71" s="486"/>
      <c r="BA71" s="487"/>
      <c r="BB71" s="539"/>
      <c r="BC71" s="356"/>
      <c r="BD71" s="509"/>
      <c r="BE71" s="492"/>
      <c r="BF71" s="511"/>
      <c r="BG71" s="356"/>
      <c r="BH71" s="509"/>
      <c r="BI71" s="488"/>
      <c r="BJ71" s="554"/>
      <c r="BS71" s="632"/>
      <c r="BT71" s="632"/>
    </row>
    <row r="72" spans="1:72" s="396" customFormat="1" ht="12" customHeight="1" x14ac:dyDescent="0.2">
      <c r="A72" s="402"/>
      <c r="B72" s="402"/>
      <c r="C72" s="403"/>
      <c r="D72" s="355"/>
      <c r="E72" s="356"/>
      <c r="F72" s="409"/>
      <c r="G72" s="355"/>
      <c r="H72" s="355"/>
      <c r="I72" s="452"/>
      <c r="J72" s="404"/>
      <c r="K72" s="404"/>
      <c r="L72" s="454"/>
      <c r="M72" s="405"/>
      <c r="N72" s="584"/>
      <c r="O72" s="584"/>
      <c r="P72" s="584"/>
      <c r="Q72" s="405"/>
      <c r="R72" s="406"/>
      <c r="S72" s="407"/>
      <c r="T72" s="355"/>
      <c r="U72" s="408"/>
      <c r="V72" s="409"/>
      <c r="W72" s="409"/>
      <c r="X72" s="410"/>
      <c r="Y72" s="429"/>
      <c r="Z72" s="802"/>
      <c r="AA72" s="986"/>
      <c r="AB72" s="941"/>
      <c r="AC72" s="941"/>
      <c r="AD72" s="941"/>
      <c r="AE72" s="941"/>
      <c r="AF72" s="802"/>
      <c r="AG72" s="969"/>
      <c r="AH72" s="969"/>
      <c r="AI72" s="969"/>
      <c r="AJ72" s="969"/>
      <c r="AK72" s="969"/>
      <c r="AL72" s="969"/>
      <c r="AM72" s="802"/>
      <c r="AN72" s="988"/>
      <c r="AO72" s="429"/>
      <c r="AP72" s="971"/>
      <c r="AQ72" s="500"/>
      <c r="AR72" s="500"/>
      <c r="AS72" s="802"/>
      <c r="AT72" s="501"/>
      <c r="AU72" s="501"/>
      <c r="AV72" s="501"/>
      <c r="AW72" s="940"/>
      <c r="AX72" s="976"/>
      <c r="AY72" s="486"/>
      <c r="AZ72" s="486"/>
      <c r="BA72" s="487"/>
      <c r="BB72" s="511"/>
      <c r="BC72" s="356"/>
      <c r="BD72" s="509"/>
      <c r="BE72" s="492"/>
      <c r="BF72" s="511"/>
      <c r="BG72" s="356"/>
      <c r="BH72" s="509"/>
      <c r="BI72" s="488"/>
      <c r="BJ72" s="407"/>
    </row>
    <row r="73" spans="1:72" s="396" customFormat="1" ht="12" customHeight="1" x14ac:dyDescent="0.2">
      <c r="A73" s="402"/>
      <c r="B73" s="402"/>
      <c r="C73" s="403"/>
      <c r="D73" s="355"/>
      <c r="E73" s="356"/>
      <c r="F73" s="409"/>
      <c r="G73" s="355"/>
      <c r="H73" s="355"/>
      <c r="I73" s="452"/>
      <c r="J73" s="404"/>
      <c r="K73" s="404"/>
      <c r="L73" s="454"/>
      <c r="M73" s="405"/>
      <c r="N73" s="584"/>
      <c r="O73" s="584"/>
      <c r="P73" s="584"/>
      <c r="Q73" s="405"/>
      <c r="R73" s="406"/>
      <c r="S73" s="407"/>
      <c r="T73" s="355"/>
      <c r="U73" s="408"/>
      <c r="V73" s="409"/>
      <c r="W73" s="409"/>
      <c r="X73" s="410"/>
      <c r="Y73" s="429"/>
      <c r="Z73" s="802"/>
      <c r="AA73" s="986"/>
      <c r="AB73" s="941"/>
      <c r="AC73" s="941"/>
      <c r="AD73" s="941"/>
      <c r="AE73" s="941"/>
      <c r="AF73" s="802"/>
      <c r="AG73" s="969"/>
      <c r="AH73" s="969"/>
      <c r="AI73" s="969"/>
      <c r="AJ73" s="969"/>
      <c r="AK73" s="969"/>
      <c r="AL73" s="969"/>
      <c r="AM73" s="802"/>
      <c r="AN73" s="988"/>
      <c r="AO73" s="429"/>
      <c r="AP73" s="971"/>
      <c r="AQ73" s="500"/>
      <c r="AR73" s="500"/>
      <c r="AS73" s="802"/>
      <c r="AT73" s="501"/>
      <c r="AU73" s="501"/>
      <c r="AV73" s="501"/>
      <c r="AW73" s="940"/>
      <c r="AX73" s="976"/>
      <c r="AY73" s="486"/>
      <c r="AZ73" s="486"/>
      <c r="BA73" s="487"/>
      <c r="BB73" s="511"/>
      <c r="BC73" s="356"/>
      <c r="BD73" s="509"/>
      <c r="BE73" s="492"/>
      <c r="BF73" s="511"/>
      <c r="BG73" s="356"/>
      <c r="BH73" s="509"/>
      <c r="BI73" s="488"/>
      <c r="BJ73" s="407"/>
    </row>
    <row r="74" spans="1:72" s="396" customFormat="1" ht="12" customHeight="1" x14ac:dyDescent="0.2">
      <c r="A74" s="402"/>
      <c r="B74" s="402"/>
      <c r="C74" s="403"/>
      <c r="D74" s="355"/>
      <c r="E74" s="356"/>
      <c r="F74" s="409"/>
      <c r="G74" s="355"/>
      <c r="H74" s="355"/>
      <c r="I74" s="452"/>
      <c r="J74" s="404"/>
      <c r="K74" s="404"/>
      <c r="L74" s="937"/>
      <c r="M74" s="405"/>
      <c r="N74" s="463"/>
      <c r="O74" s="463"/>
      <c r="P74" s="463"/>
      <c r="Q74" s="405"/>
      <c r="R74" s="406"/>
      <c r="S74" s="407"/>
      <c r="T74" s="355"/>
      <c r="U74" s="408"/>
      <c r="V74" s="409"/>
      <c r="W74" s="409"/>
      <c r="X74" s="410"/>
      <c r="Y74" s="429"/>
      <c r="Z74" s="802"/>
      <c r="AA74" s="802"/>
      <c r="AB74" s="802"/>
      <c r="AC74" s="802"/>
      <c r="AD74" s="802"/>
      <c r="AE74" s="802"/>
      <c r="AF74" s="802"/>
      <c r="AG74" s="802"/>
      <c r="AH74" s="802"/>
      <c r="AI74" s="802"/>
      <c r="AJ74" s="802"/>
      <c r="AK74" s="802"/>
      <c r="AL74" s="802"/>
      <c r="AM74" s="802"/>
      <c r="AN74" s="802"/>
      <c r="AO74" s="429"/>
      <c r="AP74" s="944"/>
      <c r="AQ74" s="410"/>
      <c r="AR74" s="410"/>
      <c r="AS74" s="802"/>
      <c r="AT74" s="501"/>
      <c r="AU74" s="940"/>
      <c r="AV74" s="501"/>
      <c r="AW74" s="940"/>
      <c r="AX74" s="945"/>
      <c r="AY74" s="954"/>
      <c r="AZ74" s="954"/>
      <c r="BA74" s="954"/>
      <c r="BB74" s="539"/>
      <c r="BC74" s="553"/>
      <c r="BD74" s="509"/>
      <c r="BE74" s="492"/>
      <c r="BF74" s="511"/>
      <c r="BG74" s="356"/>
      <c r="BH74" s="509"/>
      <c r="BI74" s="356"/>
      <c r="BJ74" s="554"/>
    </row>
    <row r="75" spans="1:72" s="396" customFormat="1" ht="12" customHeight="1" x14ac:dyDescent="0.2">
      <c r="A75" s="402"/>
      <c r="B75" s="402"/>
      <c r="C75" s="403"/>
      <c r="D75" s="355"/>
      <c r="E75" s="356"/>
      <c r="F75" s="409"/>
      <c r="G75" s="355"/>
      <c r="H75" s="355"/>
      <c r="I75" s="452"/>
      <c r="J75" s="404"/>
      <c r="K75" s="404"/>
      <c r="L75" s="937"/>
      <c r="M75" s="405"/>
      <c r="N75" s="463"/>
      <c r="O75" s="463"/>
      <c r="P75" s="463"/>
      <c r="Q75" s="405"/>
      <c r="R75" s="406"/>
      <c r="S75" s="407"/>
      <c r="T75" s="355"/>
      <c r="U75" s="408"/>
      <c r="V75" s="409"/>
      <c r="W75" s="409"/>
      <c r="X75" s="410"/>
      <c r="Y75" s="429"/>
      <c r="Z75" s="802"/>
      <c r="AA75" s="802"/>
      <c r="AB75" s="802"/>
      <c r="AC75" s="802"/>
      <c r="AD75" s="802"/>
      <c r="AE75" s="802"/>
      <c r="AF75" s="802"/>
      <c r="AG75" s="802"/>
      <c r="AH75" s="802"/>
      <c r="AI75" s="802"/>
      <c r="AJ75" s="802"/>
      <c r="AK75" s="802"/>
      <c r="AL75" s="802"/>
      <c r="AM75" s="802"/>
      <c r="AN75" s="802"/>
      <c r="AO75" s="429"/>
      <c r="AP75" s="944"/>
      <c r="AQ75" s="410"/>
      <c r="AR75" s="410"/>
      <c r="AS75" s="802"/>
      <c r="AT75" s="501"/>
      <c r="AU75" s="940"/>
      <c r="AV75" s="501"/>
      <c r="AW75" s="940"/>
      <c r="AX75" s="945"/>
      <c r="AY75" s="954"/>
      <c r="AZ75" s="954"/>
      <c r="BA75" s="954"/>
      <c r="BB75" s="539"/>
      <c r="BC75" s="553"/>
      <c r="BD75" s="509"/>
      <c r="BE75" s="492"/>
      <c r="BF75" s="511"/>
      <c r="BG75" s="356"/>
      <c r="BH75" s="509"/>
      <c r="BI75" s="356"/>
      <c r="BJ75" s="554"/>
    </row>
    <row r="76" spans="1:72" s="396" customFormat="1" ht="12" customHeight="1" x14ac:dyDescent="0.2">
      <c r="A76" s="484"/>
      <c r="B76" s="484"/>
      <c r="C76" s="379"/>
      <c r="D76" s="347"/>
      <c r="E76" s="349"/>
      <c r="F76" s="384"/>
      <c r="G76" s="347"/>
      <c r="H76" s="347"/>
      <c r="I76" s="485"/>
      <c r="J76" s="380"/>
      <c r="K76" s="380"/>
      <c r="L76" s="706"/>
      <c r="M76" s="381"/>
      <c r="N76" s="456"/>
      <c r="O76" s="456"/>
      <c r="P76" s="456"/>
      <c r="Q76" s="381"/>
      <c r="R76" s="399"/>
      <c r="S76" s="382"/>
      <c r="T76" s="347"/>
      <c r="U76" s="383"/>
      <c r="V76" s="384"/>
      <c r="W76" s="384"/>
      <c r="X76" s="385"/>
      <c r="Y76" s="397"/>
      <c r="Z76" s="832"/>
      <c r="AA76" s="832"/>
      <c r="AB76" s="832"/>
      <c r="AC76" s="832"/>
      <c r="AD76" s="832"/>
      <c r="AE76" s="832"/>
      <c r="AF76" s="832"/>
      <c r="AG76" s="832"/>
      <c r="AH76" s="832"/>
      <c r="AI76" s="832"/>
      <c r="AJ76" s="832"/>
      <c r="AK76" s="832"/>
      <c r="AL76" s="832"/>
      <c r="AM76" s="832"/>
      <c r="AN76" s="832"/>
      <c r="AO76" s="397"/>
      <c r="AP76" s="946"/>
      <c r="AQ76" s="385"/>
      <c r="AR76" s="385"/>
      <c r="AS76" s="832"/>
      <c r="AT76" s="570"/>
      <c r="AU76" s="716"/>
      <c r="AV76" s="570"/>
      <c r="AW76" s="716"/>
      <c r="AX76" s="947"/>
      <c r="AY76" s="955"/>
      <c r="AZ76" s="955"/>
      <c r="BA76" s="955"/>
      <c r="BB76" s="462"/>
      <c r="BC76" s="469"/>
      <c r="BD76" s="465"/>
      <c r="BE76" s="491"/>
      <c r="BF76" s="460"/>
      <c r="BG76" s="349"/>
      <c r="BH76" s="465"/>
      <c r="BI76" s="349"/>
      <c r="BJ76" s="572"/>
      <c r="BK76" s="387"/>
      <c r="BL76" s="387"/>
      <c r="BM76" s="387"/>
      <c r="BN76" s="387"/>
      <c r="BO76" s="387"/>
      <c r="BP76" s="387"/>
      <c r="BQ76" s="387"/>
      <c r="BR76" s="387"/>
      <c r="BS76" s="387"/>
      <c r="BT76" s="387"/>
    </row>
    <row r="77" spans="1:72" s="396" customFormat="1" ht="12" customHeight="1" x14ac:dyDescent="0.2">
      <c r="A77" s="402"/>
      <c r="B77" s="402"/>
      <c r="C77" s="403"/>
      <c r="D77" s="355"/>
      <c r="E77" s="356"/>
      <c r="F77" s="409"/>
      <c r="G77" s="355"/>
      <c r="H77" s="355"/>
      <c r="I77" s="452"/>
      <c r="J77" s="404"/>
      <c r="K77" s="404"/>
      <c r="L77" s="454"/>
      <c r="M77" s="405"/>
      <c r="N77" s="463"/>
      <c r="O77" s="463"/>
      <c r="P77" s="463"/>
      <c r="Q77" s="405"/>
      <c r="R77" s="406"/>
      <c r="S77" s="407"/>
      <c r="T77" s="355"/>
      <c r="U77" s="408"/>
      <c r="V77" s="409"/>
      <c r="W77" s="409"/>
      <c r="X77" s="410"/>
      <c r="Y77" s="429"/>
      <c r="Z77" s="802"/>
      <c r="AA77" s="802"/>
      <c r="AB77" s="802"/>
      <c r="AC77" s="802"/>
      <c r="AD77" s="802"/>
      <c r="AE77" s="802"/>
      <c r="AF77" s="802"/>
      <c r="AG77" s="802"/>
      <c r="AH77" s="802"/>
      <c r="AI77" s="802"/>
      <c r="AJ77" s="802"/>
      <c r="AK77" s="802"/>
      <c r="AL77" s="802"/>
      <c r="AM77" s="802"/>
      <c r="AN77" s="802"/>
      <c r="AO77" s="429"/>
      <c r="AP77" s="944"/>
      <c r="AQ77" s="410"/>
      <c r="AR77" s="410"/>
      <c r="AS77" s="802"/>
      <c r="AT77" s="501"/>
      <c r="AU77" s="940"/>
      <c r="AV77" s="501"/>
      <c r="AW77" s="940"/>
      <c r="AX77" s="945"/>
      <c r="AY77" s="954"/>
      <c r="AZ77" s="954"/>
      <c r="BA77" s="954"/>
      <c r="BB77" s="539"/>
      <c r="BC77" s="356"/>
      <c r="BD77" s="550"/>
      <c r="BE77" s="492"/>
      <c r="BF77" s="511"/>
      <c r="BG77" s="356"/>
      <c r="BH77" s="509"/>
      <c r="BI77" s="356"/>
      <c r="BJ77" s="554"/>
    </row>
    <row r="78" spans="1:72" s="396" customFormat="1" ht="12" customHeight="1" x14ac:dyDescent="0.2">
      <c r="A78" s="484"/>
      <c r="B78" s="484"/>
      <c r="C78" s="379"/>
      <c r="D78" s="347"/>
      <c r="E78" s="349"/>
      <c r="F78" s="384"/>
      <c r="G78" s="347"/>
      <c r="H78" s="347"/>
      <c r="I78" s="485"/>
      <c r="J78" s="380"/>
      <c r="K78" s="380"/>
      <c r="L78" s="454"/>
      <c r="M78" s="381"/>
      <c r="N78" s="456"/>
      <c r="O78" s="456"/>
      <c r="P78" s="456"/>
      <c r="Q78" s="381"/>
      <c r="R78" s="399"/>
      <c r="S78" s="382"/>
      <c r="T78" s="347"/>
      <c r="U78" s="383"/>
      <c r="V78" s="384"/>
      <c r="W78" s="384"/>
      <c r="X78" s="385"/>
      <c r="Y78" s="397"/>
      <c r="Z78" s="832"/>
      <c r="AA78" s="832"/>
      <c r="AB78" s="832"/>
      <c r="AC78" s="832"/>
      <c r="AD78" s="832"/>
      <c r="AE78" s="832"/>
      <c r="AF78" s="832"/>
      <c r="AG78" s="832"/>
      <c r="AH78" s="832"/>
      <c r="AI78" s="832"/>
      <c r="AJ78" s="832"/>
      <c r="AK78" s="832"/>
      <c r="AL78" s="832"/>
      <c r="AM78" s="832"/>
      <c r="AN78" s="832"/>
      <c r="AO78" s="397"/>
      <c r="AP78" s="946"/>
      <c r="AQ78" s="385"/>
      <c r="AR78" s="385"/>
      <c r="AS78" s="832"/>
      <c r="AT78" s="570"/>
      <c r="AU78" s="716"/>
      <c r="AV78" s="570"/>
      <c r="AW78" s="716"/>
      <c r="AX78" s="947"/>
      <c r="AY78" s="955"/>
      <c r="AZ78" s="955"/>
      <c r="BA78" s="955"/>
      <c r="BB78" s="462"/>
      <c r="BC78" s="349"/>
      <c r="BD78" s="468"/>
      <c r="BE78" s="491"/>
      <c r="BF78" s="466"/>
      <c r="BG78" s="349"/>
      <c r="BH78" s="465"/>
      <c r="BI78" s="387"/>
      <c r="BJ78" s="464"/>
      <c r="BK78" s="387"/>
      <c r="BL78" s="387"/>
      <c r="BM78" s="387"/>
      <c r="BN78" s="387"/>
      <c r="BO78" s="387"/>
      <c r="BP78" s="387"/>
      <c r="BQ78" s="387"/>
      <c r="BR78" s="387"/>
      <c r="BS78" s="387"/>
      <c r="BT78" s="387"/>
    </row>
    <row r="79" spans="1:72" s="396" customFormat="1" ht="12" customHeight="1" x14ac:dyDescent="0.2">
      <c r="A79" s="484"/>
      <c r="B79" s="484"/>
      <c r="C79" s="379"/>
      <c r="D79" s="347"/>
      <c r="E79" s="349"/>
      <c r="F79" s="384"/>
      <c r="G79" s="347"/>
      <c r="H79" s="347"/>
      <c r="I79" s="485"/>
      <c r="J79" s="380"/>
      <c r="K79" s="380"/>
      <c r="L79" s="454"/>
      <c r="M79" s="381"/>
      <c r="N79" s="456"/>
      <c r="O79" s="456"/>
      <c r="P79" s="456"/>
      <c r="Q79" s="405"/>
      <c r="R79" s="399"/>
      <c r="S79" s="382"/>
      <c r="T79" s="355"/>
      <c r="U79" s="408"/>
      <c r="V79" s="409"/>
      <c r="W79" s="409"/>
      <c r="X79" s="410"/>
      <c r="Y79" s="429"/>
      <c r="Z79" s="802"/>
      <c r="AA79" s="802"/>
      <c r="AB79" s="802"/>
      <c r="AC79" s="802"/>
      <c r="AD79" s="802"/>
      <c r="AE79" s="802"/>
      <c r="AF79" s="802"/>
      <c r="AG79" s="802"/>
      <c r="AH79" s="802"/>
      <c r="AI79" s="802"/>
      <c r="AJ79" s="802"/>
      <c r="AK79" s="802"/>
      <c r="AL79" s="802"/>
      <c r="AM79" s="802"/>
      <c r="AN79" s="802"/>
      <c r="AO79" s="429"/>
      <c r="AP79" s="944"/>
      <c r="AQ79" s="410"/>
      <c r="AR79" s="410"/>
      <c r="AS79" s="802"/>
      <c r="AT79" s="501"/>
      <c r="AU79" s="501"/>
      <c r="AV79" s="501"/>
      <c r="AW79" s="940"/>
      <c r="AX79" s="945"/>
      <c r="AY79" s="954"/>
      <c r="AZ79" s="954"/>
      <c r="BA79" s="954"/>
      <c r="BB79" s="539"/>
      <c r="BC79" s="553"/>
      <c r="BD79" s="509"/>
      <c r="BE79" s="492"/>
      <c r="BF79" s="511"/>
      <c r="BG79" s="356"/>
      <c r="BH79" s="509"/>
      <c r="BI79" s="488"/>
      <c r="BJ79" s="407"/>
    </row>
    <row r="80" spans="1:72" s="396" customFormat="1" ht="12" customHeight="1" x14ac:dyDescent="0.2">
      <c r="A80" s="402"/>
      <c r="B80" s="402"/>
      <c r="C80" s="403"/>
      <c r="D80" s="355"/>
      <c r="E80" s="356"/>
      <c r="F80" s="409"/>
      <c r="G80" s="355"/>
      <c r="H80" s="355"/>
      <c r="I80" s="452"/>
      <c r="J80" s="404"/>
      <c r="K80" s="404"/>
      <c r="L80" s="937"/>
      <c r="M80" s="405"/>
      <c r="N80" s="463"/>
      <c r="O80" s="463"/>
      <c r="P80" s="463"/>
      <c r="Q80" s="405"/>
      <c r="R80" s="406"/>
      <c r="S80" s="407"/>
      <c r="T80" s="355"/>
      <c r="U80" s="408"/>
      <c r="V80" s="409"/>
      <c r="W80" s="409"/>
      <c r="X80" s="410"/>
      <c r="Y80" s="429"/>
      <c r="Z80" s="802"/>
      <c r="AA80" s="802"/>
      <c r="AB80" s="802"/>
      <c r="AC80" s="802"/>
      <c r="AD80" s="802"/>
      <c r="AE80" s="802"/>
      <c r="AF80" s="802"/>
      <c r="AG80" s="802"/>
      <c r="AH80" s="802"/>
      <c r="AI80" s="802"/>
      <c r="AJ80" s="802"/>
      <c r="AK80" s="802"/>
      <c r="AL80" s="802"/>
      <c r="AM80" s="802"/>
      <c r="AN80" s="802"/>
      <c r="AO80" s="429"/>
      <c r="AP80" s="944"/>
      <c r="AQ80" s="410"/>
      <c r="AR80" s="410"/>
      <c r="AS80" s="802"/>
      <c r="AT80" s="501"/>
      <c r="AU80" s="940"/>
      <c r="AV80" s="501"/>
      <c r="AW80" s="940"/>
      <c r="AX80" s="945"/>
      <c r="AY80" s="954"/>
      <c r="AZ80" s="954"/>
      <c r="BA80" s="954"/>
      <c r="BB80" s="539"/>
      <c r="BC80" s="553"/>
      <c r="BD80" s="509"/>
      <c r="BE80" s="492"/>
      <c r="BF80" s="511"/>
      <c r="BG80" s="356"/>
      <c r="BH80" s="509"/>
      <c r="BI80" s="356"/>
      <c r="BJ80" s="554"/>
    </row>
    <row r="81" spans="1:72" s="396" customFormat="1" ht="12" customHeight="1" x14ac:dyDescent="0.2">
      <c r="A81" s="484"/>
      <c r="B81" s="484"/>
      <c r="C81" s="379"/>
      <c r="D81" s="347"/>
      <c r="E81" s="349"/>
      <c r="F81" s="384"/>
      <c r="G81" s="347"/>
      <c r="H81" s="347"/>
      <c r="I81" s="485"/>
      <c r="J81" s="380"/>
      <c r="K81" s="380"/>
      <c r="L81" s="454"/>
      <c r="M81" s="381"/>
      <c r="N81" s="456"/>
      <c r="O81" s="456"/>
      <c r="P81" s="456"/>
      <c r="Q81" s="405"/>
      <c r="R81" s="399"/>
      <c r="S81" s="382"/>
      <c r="T81" s="355"/>
      <c r="U81" s="408"/>
      <c r="V81" s="409"/>
      <c r="W81" s="409"/>
      <c r="X81" s="410"/>
      <c r="Y81" s="429"/>
      <c r="Z81" s="802"/>
      <c r="AA81" s="802"/>
      <c r="AB81" s="802"/>
      <c r="AC81" s="802"/>
      <c r="AD81" s="802"/>
      <c r="AE81" s="802"/>
      <c r="AF81" s="802"/>
      <c r="AG81" s="802"/>
      <c r="AH81" s="802"/>
      <c r="AI81" s="802"/>
      <c r="AJ81" s="802"/>
      <c r="AK81" s="802"/>
      <c r="AL81" s="802"/>
      <c r="AM81" s="802"/>
      <c r="AN81" s="802"/>
      <c r="AO81" s="429"/>
      <c r="AP81" s="944"/>
      <c r="AQ81" s="410"/>
      <c r="AR81" s="410"/>
      <c r="AS81" s="802"/>
      <c r="AT81" s="501"/>
      <c r="AU81" s="501"/>
      <c r="AV81" s="501"/>
      <c r="AW81" s="940"/>
      <c r="AX81" s="945"/>
      <c r="AY81" s="954"/>
      <c r="AZ81" s="954"/>
      <c r="BA81" s="954"/>
      <c r="BB81" s="539"/>
      <c r="BC81" s="553"/>
      <c r="BD81" s="509"/>
      <c r="BE81" s="492"/>
      <c r="BF81" s="511"/>
      <c r="BG81" s="356"/>
      <c r="BH81" s="509"/>
      <c r="BI81" s="488"/>
      <c r="BJ81" s="407"/>
    </row>
    <row r="82" spans="1:72" s="396" customFormat="1" ht="12" customHeight="1" x14ac:dyDescent="0.2">
      <c r="A82" s="402"/>
      <c r="B82" s="402"/>
      <c r="C82" s="403"/>
      <c r="D82" s="355"/>
      <c r="E82" s="356"/>
      <c r="F82" s="409"/>
      <c r="G82" s="355"/>
      <c r="H82" s="355"/>
      <c r="I82" s="452"/>
      <c r="J82" s="404"/>
      <c r="K82" s="404"/>
      <c r="L82" s="454"/>
      <c r="M82" s="405"/>
      <c r="N82" s="463"/>
      <c r="O82" s="463"/>
      <c r="P82" s="463"/>
      <c r="Q82" s="405"/>
      <c r="R82" s="406"/>
      <c r="S82" s="407"/>
      <c r="T82" s="355"/>
      <c r="U82" s="408"/>
      <c r="V82" s="409"/>
      <c r="W82" s="409"/>
      <c r="X82" s="410"/>
      <c r="Y82" s="429"/>
      <c r="Z82" s="802"/>
      <c r="AA82" s="802"/>
      <c r="AB82" s="802"/>
      <c r="AC82" s="802"/>
      <c r="AD82" s="802"/>
      <c r="AE82" s="802"/>
      <c r="AF82" s="802"/>
      <c r="AG82" s="802"/>
      <c r="AH82" s="802"/>
      <c r="AI82" s="802"/>
      <c r="AJ82" s="802"/>
      <c r="AK82" s="802"/>
      <c r="AL82" s="802"/>
      <c r="AM82" s="802"/>
      <c r="AN82" s="802"/>
      <c r="AO82" s="429"/>
      <c r="AP82" s="944"/>
      <c r="AQ82" s="410"/>
      <c r="AR82" s="410"/>
      <c r="AS82" s="802"/>
      <c r="AT82" s="501"/>
      <c r="AU82" s="940"/>
      <c r="AV82" s="501"/>
      <c r="AW82" s="940"/>
      <c r="AX82" s="945"/>
      <c r="AY82" s="954"/>
      <c r="AZ82" s="954"/>
      <c r="BA82" s="954"/>
      <c r="BB82" s="539"/>
      <c r="BC82" s="356"/>
      <c r="BD82" s="550"/>
      <c r="BE82" s="492"/>
      <c r="BF82" s="511"/>
      <c r="BG82" s="356"/>
      <c r="BH82" s="509"/>
      <c r="BI82" s="356"/>
      <c r="BJ82" s="554"/>
    </row>
    <row r="83" spans="1:72" s="396" customFormat="1" ht="12" customHeight="1" x14ac:dyDescent="0.2">
      <c r="A83" s="402"/>
      <c r="B83" s="402"/>
      <c r="C83" s="403"/>
      <c r="D83" s="355"/>
      <c r="E83" s="356"/>
      <c r="F83" s="409"/>
      <c r="G83" s="355"/>
      <c r="H83" s="355"/>
      <c r="I83" s="452"/>
      <c r="J83" s="404"/>
      <c r="K83" s="404"/>
      <c r="L83" s="454"/>
      <c r="M83" s="405"/>
      <c r="N83" s="463"/>
      <c r="O83" s="463"/>
      <c r="P83" s="463"/>
      <c r="Q83" s="405"/>
      <c r="R83" s="406"/>
      <c r="S83" s="407"/>
      <c r="T83" s="355"/>
      <c r="U83" s="408"/>
      <c r="V83" s="409"/>
      <c r="W83" s="409"/>
      <c r="X83" s="410"/>
      <c r="Y83" s="429"/>
      <c r="Z83" s="802"/>
      <c r="AA83" s="802"/>
      <c r="AB83" s="802"/>
      <c r="AC83" s="802"/>
      <c r="AD83" s="802"/>
      <c r="AE83" s="802"/>
      <c r="AF83" s="802"/>
      <c r="AG83" s="802"/>
      <c r="AH83" s="802"/>
      <c r="AI83" s="802"/>
      <c r="AJ83" s="802"/>
      <c r="AK83" s="802"/>
      <c r="AL83" s="802"/>
      <c r="AM83" s="802"/>
      <c r="AN83" s="802"/>
      <c r="AO83" s="429"/>
      <c r="AP83" s="944"/>
      <c r="AQ83" s="410"/>
      <c r="AR83" s="410"/>
      <c r="AS83" s="802"/>
      <c r="AT83" s="501"/>
      <c r="AU83" s="940"/>
      <c r="AV83" s="501"/>
      <c r="AW83" s="940"/>
      <c r="AX83" s="945"/>
      <c r="AY83" s="954"/>
      <c r="AZ83" s="954"/>
      <c r="BA83" s="954"/>
      <c r="BB83" s="539"/>
      <c r="BC83" s="356"/>
      <c r="BD83" s="550"/>
      <c r="BE83" s="492"/>
      <c r="BF83" s="678"/>
      <c r="BG83" s="356"/>
      <c r="BH83" s="509"/>
      <c r="BI83" s="488"/>
      <c r="BJ83" s="407"/>
    </row>
    <row r="84" spans="1:72" s="396" customFormat="1" ht="12" customHeight="1" x14ac:dyDescent="0.2">
      <c r="A84" s="402"/>
      <c r="B84" s="402"/>
      <c r="C84" s="403"/>
      <c r="D84" s="355"/>
      <c r="E84" s="356"/>
      <c r="F84" s="409"/>
      <c r="G84" s="355"/>
      <c r="H84" s="355"/>
      <c r="I84" s="452"/>
      <c r="J84" s="404"/>
      <c r="K84" s="404"/>
      <c r="L84" s="454"/>
      <c r="M84" s="405"/>
      <c r="N84" s="584"/>
      <c r="O84" s="584"/>
      <c r="P84" s="584"/>
      <c r="Q84" s="405"/>
      <c r="R84" s="406"/>
      <c r="S84" s="407"/>
      <c r="T84" s="355"/>
      <c r="U84" s="408"/>
      <c r="V84" s="409"/>
      <c r="W84" s="409"/>
      <c r="X84" s="410"/>
      <c r="Y84" s="397"/>
      <c r="Z84" s="802"/>
      <c r="AA84" s="941"/>
      <c r="AB84" s="941"/>
      <c r="AC84" s="941"/>
      <c r="AD84" s="941"/>
      <c r="AE84" s="941"/>
      <c r="AF84" s="802"/>
      <c r="AG84" s="802"/>
      <c r="AH84" s="802"/>
      <c r="AI84" s="802"/>
      <c r="AJ84" s="802"/>
      <c r="AK84" s="802"/>
      <c r="AL84" s="802"/>
      <c r="AM84" s="802"/>
      <c r="AN84" s="941"/>
      <c r="AO84" s="429"/>
      <c r="AP84" s="944"/>
      <c r="AQ84" s="410"/>
      <c r="AR84" s="410"/>
      <c r="AS84" s="802"/>
      <c r="AT84" s="501"/>
      <c r="AU84" s="501"/>
      <c r="AV84" s="570"/>
      <c r="AW84" s="940"/>
      <c r="AX84" s="945"/>
      <c r="AY84" s="954"/>
      <c r="AZ84" s="954"/>
      <c r="BA84" s="954"/>
      <c r="BB84" s="511"/>
      <c r="BC84" s="553"/>
      <c r="BD84" s="509"/>
      <c r="BE84" s="492"/>
      <c r="BF84" s="356"/>
      <c r="BG84" s="356"/>
      <c r="BH84" s="509"/>
      <c r="BI84" s="488"/>
      <c r="BJ84" s="407"/>
    </row>
    <row r="85" spans="1:72" s="387" customFormat="1" ht="12" customHeight="1" x14ac:dyDescent="0.2">
      <c r="A85" s="402"/>
      <c r="B85" s="402"/>
      <c r="C85" s="403"/>
      <c r="D85" s="355"/>
      <c r="E85" s="356"/>
      <c r="F85" s="409"/>
      <c r="G85" s="355"/>
      <c r="H85" s="355"/>
      <c r="I85" s="452"/>
      <c r="J85" s="404"/>
      <c r="K85" s="404"/>
      <c r="L85" s="454"/>
      <c r="M85" s="405"/>
      <c r="N85" s="584"/>
      <c r="O85" s="584"/>
      <c r="P85" s="584"/>
      <c r="Q85" s="405"/>
      <c r="R85" s="406"/>
      <c r="S85" s="407"/>
      <c r="T85" s="355"/>
      <c r="U85" s="408"/>
      <c r="V85" s="409"/>
      <c r="W85" s="409"/>
      <c r="X85" s="410"/>
      <c r="Y85" s="429"/>
      <c r="Z85" s="802"/>
      <c r="AA85" s="941"/>
      <c r="AB85" s="941"/>
      <c r="AC85" s="941"/>
      <c r="AD85" s="941"/>
      <c r="AE85" s="941"/>
      <c r="AF85" s="802"/>
      <c r="AG85" s="802"/>
      <c r="AH85" s="802"/>
      <c r="AI85" s="802"/>
      <c r="AJ85" s="802"/>
      <c r="AK85" s="802"/>
      <c r="AL85" s="802"/>
      <c r="AM85" s="802"/>
      <c r="AN85" s="941"/>
      <c r="AO85" s="429"/>
      <c r="AP85" s="944"/>
      <c r="AQ85" s="410"/>
      <c r="AR85" s="410"/>
      <c r="AS85" s="802"/>
      <c r="AT85" s="501"/>
      <c r="AU85" s="501"/>
      <c r="AV85" s="501"/>
      <c r="AW85" s="940"/>
      <c r="AX85" s="945"/>
      <c r="AY85" s="954"/>
      <c r="AZ85" s="954"/>
      <c r="BA85" s="954"/>
      <c r="BB85" s="511"/>
      <c r="BC85" s="553"/>
      <c r="BD85" s="509"/>
      <c r="BE85" s="492"/>
      <c r="BF85" s="356"/>
      <c r="BG85" s="356"/>
      <c r="BH85" s="509"/>
      <c r="BI85" s="488"/>
      <c r="BJ85" s="407"/>
      <c r="BK85" s="396"/>
      <c r="BL85" s="396"/>
      <c r="BM85" s="396"/>
      <c r="BN85" s="396"/>
      <c r="BO85" s="396"/>
      <c r="BP85" s="396"/>
      <c r="BQ85" s="396"/>
      <c r="BR85" s="396"/>
      <c r="BS85" s="396"/>
      <c r="BT85" s="396"/>
    </row>
    <row r="86" spans="1:72" s="396" customFormat="1" ht="12" customHeight="1" x14ac:dyDescent="0.2">
      <c r="A86" s="402"/>
      <c r="B86" s="402"/>
      <c r="C86" s="403"/>
      <c r="D86" s="355"/>
      <c r="E86" s="356"/>
      <c r="F86" s="409"/>
      <c r="G86" s="355"/>
      <c r="H86" s="355"/>
      <c r="I86" s="452"/>
      <c r="J86" s="404"/>
      <c r="K86" s="404"/>
      <c r="L86" s="454"/>
      <c r="M86" s="405"/>
      <c r="N86" s="584"/>
      <c r="O86" s="584"/>
      <c r="P86" s="584"/>
      <c r="Q86" s="405"/>
      <c r="R86" s="406"/>
      <c r="S86" s="407"/>
      <c r="T86" s="355"/>
      <c r="U86" s="408"/>
      <c r="V86" s="409"/>
      <c r="W86" s="409"/>
      <c r="X86" s="410"/>
      <c r="Y86" s="429"/>
      <c r="Z86" s="802"/>
      <c r="AA86" s="802"/>
      <c r="AB86" s="802"/>
      <c r="AC86" s="802"/>
      <c r="AD86" s="802"/>
      <c r="AE86" s="802"/>
      <c r="AF86" s="942"/>
      <c r="AG86" s="802"/>
      <c r="AH86" s="802"/>
      <c r="AI86" s="802"/>
      <c r="AJ86" s="802"/>
      <c r="AK86" s="802"/>
      <c r="AL86" s="802"/>
      <c r="AM86" s="802"/>
      <c r="AN86" s="802"/>
      <c r="AO86" s="429"/>
      <c r="AP86" s="944"/>
      <c r="AQ86" s="410"/>
      <c r="AR86" s="410"/>
      <c r="AS86" s="802"/>
      <c r="AT86" s="501"/>
      <c r="AU86" s="501"/>
      <c r="AV86" s="501"/>
      <c r="AW86" s="940"/>
      <c r="AX86" s="945"/>
      <c r="AY86" s="954"/>
      <c r="AZ86" s="954"/>
      <c r="BA86" s="954"/>
      <c r="BB86" s="539"/>
      <c r="BC86" s="553"/>
      <c r="BD86" s="509"/>
      <c r="BE86" s="492"/>
      <c r="BF86" s="511"/>
      <c r="BG86" s="356"/>
      <c r="BH86" s="511"/>
      <c r="BI86" s="356"/>
      <c r="BJ86" s="554"/>
    </row>
    <row r="87" spans="1:72" s="396" customFormat="1" ht="13.5" customHeight="1" x14ac:dyDescent="0.2">
      <c r="A87" s="402"/>
      <c r="B87" s="402"/>
      <c r="C87" s="403"/>
      <c r="D87" s="355"/>
      <c r="E87" s="356"/>
      <c r="F87" s="409"/>
      <c r="G87" s="355"/>
      <c r="H87" s="355"/>
      <c r="I87" s="452"/>
      <c r="J87" s="404"/>
      <c r="K87" s="404"/>
      <c r="L87" s="454"/>
      <c r="M87" s="405"/>
      <c r="N87" s="455"/>
      <c r="O87" s="455"/>
      <c r="P87" s="455"/>
      <c r="Q87" s="405"/>
      <c r="R87" s="406"/>
      <c r="S87" s="407"/>
      <c r="T87" s="355"/>
      <c r="U87" s="408"/>
      <c r="V87" s="409"/>
      <c r="W87" s="409"/>
      <c r="X87" s="410"/>
      <c r="Y87" s="429"/>
      <c r="Z87" s="802"/>
      <c r="AA87" s="802"/>
      <c r="AB87" s="802"/>
      <c r="AC87" s="802"/>
      <c r="AD87" s="802"/>
      <c r="AE87" s="802"/>
      <c r="AF87" s="942"/>
      <c r="AG87" s="802"/>
      <c r="AH87" s="802"/>
      <c r="AI87" s="802"/>
      <c r="AJ87" s="802"/>
      <c r="AK87" s="802"/>
      <c r="AL87" s="802"/>
      <c r="AM87" s="802"/>
      <c r="AN87" s="802"/>
      <c r="AO87" s="429"/>
      <c r="AP87" s="944"/>
      <c r="AQ87" s="410"/>
      <c r="AR87" s="410"/>
      <c r="AS87" s="802"/>
      <c r="AT87" s="501"/>
      <c r="AU87" s="501"/>
      <c r="AV87" s="501"/>
      <c r="AW87" s="940"/>
      <c r="AX87" s="945"/>
      <c r="AY87" s="954"/>
      <c r="AZ87" s="954"/>
      <c r="BA87" s="954"/>
      <c r="BB87" s="539"/>
      <c r="BC87" s="553"/>
      <c r="BD87" s="509"/>
      <c r="BE87" s="492"/>
      <c r="BF87" s="511"/>
      <c r="BG87" s="356"/>
      <c r="BH87" s="509"/>
      <c r="BI87" s="356"/>
      <c r="BJ87" s="554"/>
    </row>
    <row r="88" spans="1:72" s="652" customFormat="1" ht="13.15" customHeight="1" x14ac:dyDescent="0.2">
      <c r="A88" s="402"/>
      <c r="B88" s="402"/>
      <c r="C88" s="403"/>
      <c r="D88" s="355"/>
      <c r="E88" s="355"/>
      <c r="F88" s="409"/>
      <c r="G88" s="355"/>
      <c r="H88" s="355"/>
      <c r="I88" s="452"/>
      <c r="J88" s="404"/>
      <c r="K88" s="404"/>
      <c r="L88" s="454"/>
      <c r="M88" s="405"/>
      <c r="N88" s="455"/>
      <c r="O88" s="455"/>
      <c r="P88" s="455"/>
      <c r="Q88" s="405"/>
      <c r="R88" s="406"/>
      <c r="S88" s="407"/>
      <c r="T88" s="355"/>
      <c r="U88" s="408"/>
      <c r="V88" s="409"/>
      <c r="W88" s="409"/>
      <c r="X88" s="410"/>
      <c r="Y88" s="429"/>
      <c r="Z88" s="802"/>
      <c r="AA88" s="802"/>
      <c r="AB88" s="802"/>
      <c r="AC88" s="802"/>
      <c r="AD88" s="802"/>
      <c r="AE88" s="802"/>
      <c r="AF88" s="802"/>
      <c r="AG88" s="802"/>
      <c r="AH88" s="802"/>
      <c r="AI88" s="802"/>
      <c r="AJ88" s="802"/>
      <c r="AK88" s="802"/>
      <c r="AL88" s="802"/>
      <c r="AM88" s="802"/>
      <c r="AN88" s="802"/>
      <c r="AO88" s="429"/>
      <c r="AP88" s="944"/>
      <c r="AQ88" s="410"/>
      <c r="AR88" s="410"/>
      <c r="AS88" s="802"/>
      <c r="AT88" s="501"/>
      <c r="AU88" s="501"/>
      <c r="AV88" s="501"/>
      <c r="AW88" s="940"/>
      <c r="AX88" s="945"/>
      <c r="AY88" s="954"/>
      <c r="AZ88" s="954"/>
      <c r="BA88" s="954"/>
      <c r="BB88" s="539"/>
      <c r="BC88" s="553"/>
      <c r="BD88" s="509"/>
      <c r="BE88" s="492"/>
      <c r="BF88" s="511"/>
      <c r="BG88" s="356"/>
      <c r="BH88" s="509"/>
      <c r="BI88" s="356"/>
      <c r="BJ88" s="554"/>
      <c r="BK88" s="396"/>
      <c r="BL88" s="396"/>
      <c r="BM88" s="396"/>
      <c r="BN88" s="396"/>
      <c r="BO88" s="396"/>
      <c r="BP88" s="396"/>
      <c r="BQ88" s="396"/>
      <c r="BR88" s="396"/>
      <c r="BS88" s="396"/>
      <c r="BT88" s="396"/>
    </row>
    <row r="89" spans="1:72" s="387" customFormat="1" ht="13.15" customHeight="1" x14ac:dyDescent="0.2">
      <c r="A89" s="643"/>
      <c r="B89" s="402"/>
      <c r="C89" s="403"/>
      <c r="D89" s="355"/>
      <c r="E89" s="355"/>
      <c r="F89" s="409"/>
      <c r="G89" s="355"/>
      <c r="H89" s="355"/>
      <c r="I89" s="452"/>
      <c r="J89" s="404"/>
      <c r="K89" s="404"/>
      <c r="L89" s="454"/>
      <c r="M89" s="405"/>
      <c r="N89" s="455"/>
      <c r="O89" s="455"/>
      <c r="P89" s="455"/>
      <c r="Q89" s="405"/>
      <c r="R89" s="406"/>
      <c r="S89" s="407"/>
      <c r="T89" s="355"/>
      <c r="U89" s="408"/>
      <c r="V89" s="409"/>
      <c r="W89" s="409"/>
      <c r="X89" s="410"/>
      <c r="Y89" s="429"/>
      <c r="Z89" s="802"/>
      <c r="AA89" s="802"/>
      <c r="AB89" s="802"/>
      <c r="AC89" s="802"/>
      <c r="AD89" s="802"/>
      <c r="AE89" s="802"/>
      <c r="AF89" s="802"/>
      <c r="AG89" s="802"/>
      <c r="AH89" s="802"/>
      <c r="AI89" s="802"/>
      <c r="AJ89" s="802"/>
      <c r="AK89" s="802"/>
      <c r="AL89" s="802"/>
      <c r="AM89" s="802"/>
      <c r="AN89" s="802"/>
      <c r="AO89" s="429"/>
      <c r="AP89" s="944"/>
      <c r="AQ89" s="410"/>
      <c r="AR89" s="410"/>
      <c r="AS89" s="802"/>
      <c r="AT89" s="501"/>
      <c r="AU89" s="501"/>
      <c r="AV89" s="501"/>
      <c r="AW89" s="940"/>
      <c r="AX89" s="945"/>
      <c r="AY89" s="954"/>
      <c r="AZ89" s="954"/>
      <c r="BA89" s="954"/>
      <c r="BB89" s="539"/>
      <c r="BC89" s="553"/>
      <c r="BD89" s="509"/>
      <c r="BE89" s="492"/>
      <c r="BF89" s="511"/>
      <c r="BG89" s="356"/>
      <c r="BH89" s="509"/>
      <c r="BI89" s="356"/>
      <c r="BJ89" s="554"/>
      <c r="BK89" s="396"/>
      <c r="BL89" s="396"/>
      <c r="BM89" s="396"/>
      <c r="BN89" s="396"/>
      <c r="BO89" s="396"/>
      <c r="BP89" s="396"/>
      <c r="BQ89" s="396"/>
      <c r="BR89" s="396"/>
      <c r="BS89" s="396"/>
      <c r="BT89" s="396"/>
    </row>
    <row r="90" spans="1:72" s="387" customFormat="1" ht="13.5" customHeight="1" x14ac:dyDescent="0.2">
      <c r="A90" s="643"/>
      <c r="B90" s="643"/>
      <c r="C90" s="403"/>
      <c r="D90" s="355"/>
      <c r="E90" s="356"/>
      <c r="F90" s="409"/>
      <c r="G90" s="355"/>
      <c r="H90" s="355"/>
      <c r="I90" s="921"/>
      <c r="J90" s="495"/>
      <c r="K90" s="495"/>
      <c r="L90" s="454"/>
      <c r="M90" s="405"/>
      <c r="N90" s="405"/>
      <c r="O90" s="463"/>
      <c r="P90" s="463"/>
      <c r="Q90" s="405"/>
      <c r="R90" s="405"/>
      <c r="S90" s="355"/>
      <c r="T90" s="355"/>
      <c r="U90" s="408"/>
      <c r="V90" s="355"/>
      <c r="W90" s="409"/>
      <c r="X90" s="410"/>
      <c r="Y90" s="429"/>
      <c r="Z90" s="802"/>
      <c r="AA90" s="802"/>
      <c r="AB90" s="802"/>
      <c r="AC90" s="802"/>
      <c r="AD90" s="802"/>
      <c r="AE90" s="802"/>
      <c r="AF90" s="802"/>
      <c r="AG90" s="802"/>
      <c r="AH90" s="802"/>
      <c r="AI90" s="802"/>
      <c r="AJ90" s="802"/>
      <c r="AK90" s="802"/>
      <c r="AL90" s="802"/>
      <c r="AM90" s="802"/>
      <c r="AN90" s="802"/>
      <c r="AO90" s="429"/>
      <c r="AP90" s="944"/>
      <c r="AQ90" s="410"/>
      <c r="AR90" s="410"/>
      <c r="AS90" s="802"/>
      <c r="AT90" s="501"/>
      <c r="AU90" s="940"/>
      <c r="AV90" s="570"/>
      <c r="AW90" s="940"/>
      <c r="AX90" s="945"/>
      <c r="AY90" s="954"/>
      <c r="AZ90" s="954"/>
      <c r="BA90" s="954"/>
      <c r="BB90" s="539"/>
      <c r="BC90" s="356"/>
      <c r="BD90" s="539"/>
      <c r="BE90" s="492"/>
      <c r="BF90" s="672"/>
      <c r="BG90" s="356"/>
      <c r="BH90" s="509"/>
      <c r="BI90" s="488"/>
      <c r="BJ90" s="407"/>
      <c r="BK90" s="396"/>
      <c r="BL90" s="396"/>
      <c r="BM90" s="396"/>
      <c r="BN90" s="396"/>
      <c r="BO90" s="396"/>
      <c r="BP90" s="396"/>
      <c r="BQ90" s="396"/>
      <c r="BR90" s="396"/>
      <c r="BS90" s="396"/>
      <c r="BT90" s="396"/>
    </row>
    <row r="91" spans="1:72" s="396" customFormat="1" x14ac:dyDescent="0.2">
      <c r="A91" s="484"/>
      <c r="B91" s="484"/>
      <c r="C91" s="379"/>
      <c r="D91" s="347"/>
      <c r="E91" s="349"/>
      <c r="F91" s="384"/>
      <c r="G91" s="347"/>
      <c r="H91" s="347"/>
      <c r="I91" s="485"/>
      <c r="J91" s="380"/>
      <c r="K91" s="380"/>
      <c r="L91" s="454"/>
      <c r="M91" s="381"/>
      <c r="N91" s="381"/>
      <c r="O91" s="381"/>
      <c r="P91" s="381"/>
      <c r="Q91" s="381"/>
      <c r="R91" s="399"/>
      <c r="S91" s="382"/>
      <c r="T91" s="347"/>
      <c r="U91" s="383"/>
      <c r="V91" s="384"/>
      <c r="W91" s="384"/>
      <c r="X91" s="385"/>
      <c r="Y91" s="397"/>
      <c r="Z91" s="832"/>
      <c r="AA91" s="832"/>
      <c r="AB91" s="832"/>
      <c r="AC91" s="832"/>
      <c r="AD91" s="832"/>
      <c r="AE91" s="832"/>
      <c r="AF91" s="832"/>
      <c r="AG91" s="832"/>
      <c r="AH91" s="832"/>
      <c r="AI91" s="832"/>
      <c r="AJ91" s="832"/>
      <c r="AK91" s="832"/>
      <c r="AL91" s="832"/>
      <c r="AM91" s="832"/>
      <c r="AN91" s="832"/>
      <c r="AO91" s="397"/>
      <c r="AP91" s="946"/>
      <c r="AQ91" s="385"/>
      <c r="AR91" s="385"/>
      <c r="AS91" s="832"/>
      <c r="AT91" s="570"/>
      <c r="AU91" s="716"/>
      <c r="AV91" s="570"/>
      <c r="AW91" s="716"/>
      <c r="AX91" s="947"/>
      <c r="AY91" s="955"/>
      <c r="AZ91" s="955"/>
      <c r="BA91" s="955"/>
      <c r="BB91" s="462"/>
      <c r="BC91" s="349"/>
      <c r="BD91" s="460"/>
      <c r="BE91" s="491"/>
      <c r="BF91" s="460"/>
      <c r="BG91" s="349"/>
      <c r="BH91" s="465"/>
      <c r="BI91" s="349"/>
      <c r="BJ91" s="572"/>
      <c r="BK91" s="387"/>
      <c r="BL91" s="387"/>
      <c r="BM91" s="387"/>
      <c r="BN91" s="387"/>
      <c r="BO91" s="387"/>
      <c r="BP91" s="387"/>
      <c r="BQ91" s="387"/>
      <c r="BR91" s="387"/>
      <c r="BS91" s="387"/>
      <c r="BT91" s="387"/>
    </row>
    <row r="92" spans="1:72" s="396" customFormat="1" ht="12.75" customHeight="1" x14ac:dyDescent="0.2">
      <c r="A92" s="402"/>
      <c r="B92" s="402"/>
      <c r="C92" s="403"/>
      <c r="D92" s="355"/>
      <c r="E92" s="355"/>
      <c r="F92" s="409"/>
      <c r="G92" s="355"/>
      <c r="H92" s="355"/>
      <c r="I92" s="921"/>
      <c r="J92" s="495"/>
      <c r="K92" s="495"/>
      <c r="L92" s="454"/>
      <c r="M92" s="405"/>
      <c r="N92" s="584"/>
      <c r="O92" s="584"/>
      <c r="P92" s="584"/>
      <c r="Q92" s="405"/>
      <c r="R92" s="406"/>
      <c r="S92" s="407"/>
      <c r="T92" s="355"/>
      <c r="U92" s="408"/>
      <c r="V92" s="409"/>
      <c r="W92" s="409"/>
      <c r="X92" s="410"/>
      <c r="Y92" s="429"/>
      <c r="Z92" s="802"/>
      <c r="AA92" s="941"/>
      <c r="AB92" s="941"/>
      <c r="AC92" s="941"/>
      <c r="AD92" s="941"/>
      <c r="AE92" s="941"/>
      <c r="AF92" s="802"/>
      <c r="AG92" s="802"/>
      <c r="AH92" s="802"/>
      <c r="AI92" s="802"/>
      <c r="AJ92" s="802"/>
      <c r="AK92" s="802"/>
      <c r="AL92" s="802"/>
      <c r="AM92" s="802"/>
      <c r="AN92" s="941"/>
      <c r="AO92" s="429"/>
      <c r="AP92" s="944"/>
      <c r="AQ92" s="410"/>
      <c r="AR92" s="410"/>
      <c r="AS92" s="802"/>
      <c r="AT92" s="501"/>
      <c r="AU92" s="501"/>
      <c r="AV92" s="501"/>
      <c r="AW92" s="940"/>
      <c r="AX92" s="945"/>
      <c r="AY92" s="954"/>
      <c r="AZ92" s="954"/>
      <c r="BA92" s="954"/>
      <c r="BB92" s="539"/>
      <c r="BC92" s="553"/>
      <c r="BD92" s="539"/>
      <c r="BE92" s="492"/>
      <c r="BF92" s="511"/>
      <c r="BG92" s="356"/>
      <c r="BH92" s="509"/>
      <c r="BI92" s="356"/>
      <c r="BJ92" s="554"/>
    </row>
    <row r="93" spans="1:72" s="387" customFormat="1" ht="13.15" customHeight="1" x14ac:dyDescent="0.2">
      <c r="A93" s="402"/>
      <c r="B93" s="402"/>
      <c r="C93" s="403"/>
      <c r="D93" s="355"/>
      <c r="E93" s="356"/>
      <c r="F93" s="409"/>
      <c r="G93" s="355"/>
      <c r="H93" s="355"/>
      <c r="I93" s="452"/>
      <c r="J93" s="404"/>
      <c r="K93" s="404"/>
      <c r="L93" s="454"/>
      <c r="M93" s="405"/>
      <c r="N93" s="584"/>
      <c r="O93" s="584"/>
      <c r="P93" s="584"/>
      <c r="Q93" s="405"/>
      <c r="R93" s="406"/>
      <c r="S93" s="407"/>
      <c r="T93" s="355"/>
      <c r="U93" s="408"/>
      <c r="V93" s="409"/>
      <c r="W93" s="409"/>
      <c r="X93" s="410"/>
      <c r="Y93" s="429"/>
      <c r="Z93" s="802"/>
      <c r="AA93" s="941"/>
      <c r="AB93" s="941"/>
      <c r="AC93" s="941"/>
      <c r="AD93" s="941"/>
      <c r="AE93" s="941"/>
      <c r="AF93" s="802"/>
      <c r="AG93" s="802"/>
      <c r="AH93" s="802"/>
      <c r="AI93" s="802"/>
      <c r="AJ93" s="802"/>
      <c r="AK93" s="802"/>
      <c r="AL93" s="802"/>
      <c r="AM93" s="802"/>
      <c r="AN93" s="941"/>
      <c r="AO93" s="429"/>
      <c r="AP93" s="944"/>
      <c r="AQ93" s="410"/>
      <c r="AR93" s="410"/>
      <c r="AS93" s="802"/>
      <c r="AT93" s="501"/>
      <c r="AU93" s="501"/>
      <c r="AV93" s="501"/>
      <c r="AW93" s="940"/>
      <c r="AX93" s="945"/>
      <c r="AY93" s="954"/>
      <c r="AZ93" s="954"/>
      <c r="BA93" s="954"/>
      <c r="BB93" s="539"/>
      <c r="BC93" s="553"/>
      <c r="BD93" s="550"/>
      <c r="BE93" s="492"/>
      <c r="BF93" s="511"/>
      <c r="BG93" s="356"/>
      <c r="BH93" s="509"/>
      <c r="BI93" s="356"/>
      <c r="BJ93" s="554"/>
      <c r="BK93" s="396"/>
      <c r="BL93" s="396"/>
      <c r="BM93" s="396"/>
      <c r="BN93" s="396"/>
      <c r="BO93" s="396"/>
      <c r="BP93" s="396"/>
      <c r="BQ93" s="396"/>
      <c r="BR93" s="396"/>
      <c r="BS93" s="396"/>
      <c r="BT93" s="396"/>
    </row>
    <row r="94" spans="1:72" s="387" customFormat="1" ht="13.15" customHeight="1" x14ac:dyDescent="0.2">
      <c r="A94" s="484"/>
      <c r="B94" s="484"/>
      <c r="C94" s="379"/>
      <c r="D94" s="347"/>
      <c r="E94" s="349"/>
      <c r="F94" s="384"/>
      <c r="G94" s="347"/>
      <c r="H94" s="347"/>
      <c r="I94" s="485"/>
      <c r="J94" s="380"/>
      <c r="K94" s="380"/>
      <c r="L94" s="454"/>
      <c r="M94" s="381"/>
      <c r="N94" s="456"/>
      <c r="O94" s="456"/>
      <c r="P94" s="456"/>
      <c r="Q94" s="405"/>
      <c r="R94" s="399"/>
      <c r="S94" s="382"/>
      <c r="T94" s="355"/>
      <c r="U94" s="408"/>
      <c r="V94" s="409"/>
      <c r="W94" s="409"/>
      <c r="X94" s="410"/>
      <c r="Y94" s="429"/>
      <c r="Z94" s="802"/>
      <c r="AA94" s="802"/>
      <c r="AB94" s="802"/>
      <c r="AC94" s="802"/>
      <c r="AD94" s="802"/>
      <c r="AE94" s="802"/>
      <c r="AF94" s="802"/>
      <c r="AG94" s="802"/>
      <c r="AH94" s="802"/>
      <c r="AI94" s="802"/>
      <c r="AJ94" s="802"/>
      <c r="AK94" s="802"/>
      <c r="AL94" s="802"/>
      <c r="AM94" s="802"/>
      <c r="AN94" s="802"/>
      <c r="AO94" s="429"/>
      <c r="AP94" s="944"/>
      <c r="AQ94" s="410"/>
      <c r="AR94" s="410"/>
      <c r="AS94" s="802"/>
      <c r="AT94" s="501"/>
      <c r="AU94" s="501"/>
      <c r="AV94" s="501"/>
      <c r="AW94" s="940"/>
      <c r="AX94" s="945"/>
      <c r="AY94" s="954"/>
      <c r="AZ94" s="954"/>
      <c r="BA94" s="954"/>
      <c r="BB94" s="539"/>
      <c r="BC94" s="553"/>
      <c r="BD94" s="509"/>
      <c r="BE94" s="492"/>
      <c r="BF94" s="511"/>
      <c r="BG94" s="356"/>
      <c r="BH94" s="509"/>
      <c r="BI94" s="488"/>
      <c r="BJ94" s="407"/>
      <c r="BK94" s="396"/>
      <c r="BL94" s="396"/>
      <c r="BM94" s="396"/>
      <c r="BN94" s="396"/>
      <c r="BO94" s="396"/>
      <c r="BP94" s="396"/>
      <c r="BQ94" s="396"/>
      <c r="BR94" s="396"/>
      <c r="BS94" s="396"/>
      <c r="BT94" s="396"/>
    </row>
    <row r="95" spans="1:72" s="396" customFormat="1" ht="12" customHeight="1" x14ac:dyDescent="0.2">
      <c r="A95" s="402"/>
      <c r="B95" s="402"/>
      <c r="C95" s="403"/>
      <c r="D95" s="355"/>
      <c r="E95" s="356"/>
      <c r="F95" s="409"/>
      <c r="G95" s="355"/>
      <c r="H95" s="355"/>
      <c r="I95" s="452"/>
      <c r="J95" s="404"/>
      <c r="K95" s="404"/>
      <c r="L95" s="454"/>
      <c r="M95" s="405"/>
      <c r="N95" s="455"/>
      <c r="O95" s="455"/>
      <c r="P95" s="455"/>
      <c r="Q95" s="405"/>
      <c r="R95" s="406"/>
      <c r="S95" s="407"/>
      <c r="T95" s="355"/>
      <c r="U95" s="408"/>
      <c r="V95" s="409"/>
      <c r="W95" s="409"/>
      <c r="X95" s="410"/>
      <c r="Y95" s="429"/>
      <c r="Z95" s="802"/>
      <c r="AA95" s="941"/>
      <c r="AB95" s="941"/>
      <c r="AC95" s="941"/>
      <c r="AD95" s="941"/>
      <c r="AE95" s="941"/>
      <c r="AF95" s="802"/>
      <c r="AG95" s="802"/>
      <c r="AH95" s="802"/>
      <c r="AI95" s="802"/>
      <c r="AJ95" s="802"/>
      <c r="AK95" s="802"/>
      <c r="AL95" s="802"/>
      <c r="AM95" s="802"/>
      <c r="AN95" s="941"/>
      <c r="AO95" s="429"/>
      <c r="AP95" s="944"/>
      <c r="AQ95" s="410"/>
      <c r="AR95" s="410"/>
      <c r="AS95" s="802"/>
      <c r="AT95" s="501"/>
      <c r="AU95" s="501"/>
      <c r="AV95" s="501"/>
      <c r="AW95" s="940"/>
      <c r="AX95" s="945"/>
      <c r="AY95" s="954"/>
      <c r="AZ95" s="954"/>
      <c r="BA95" s="954"/>
      <c r="BB95" s="539"/>
      <c r="BC95" s="356"/>
      <c r="BD95" s="550"/>
      <c r="BE95" s="492"/>
      <c r="BF95" s="356"/>
      <c r="BG95" s="356"/>
      <c r="BH95" s="509"/>
      <c r="BI95" s="488"/>
      <c r="BJ95" s="407"/>
      <c r="BS95" s="613"/>
      <c r="BT95" s="613"/>
    </row>
    <row r="96" spans="1:72" s="396" customFormat="1" x14ac:dyDescent="0.2">
      <c r="A96" s="402"/>
      <c r="B96" s="402"/>
      <c r="C96" s="403"/>
      <c r="D96" s="355"/>
      <c r="E96" s="356"/>
      <c r="F96" s="409"/>
      <c r="G96" s="355"/>
      <c r="H96" s="355"/>
      <c r="I96" s="452"/>
      <c r="J96" s="404"/>
      <c r="K96" s="404"/>
      <c r="L96" s="454"/>
      <c r="M96" s="405"/>
      <c r="N96" s="584"/>
      <c r="O96" s="584"/>
      <c r="P96" s="584"/>
      <c r="Q96" s="405"/>
      <c r="R96" s="406"/>
      <c r="S96" s="407"/>
      <c r="T96" s="355"/>
      <c r="U96" s="408"/>
      <c r="V96" s="409"/>
      <c r="W96" s="409"/>
      <c r="X96" s="410"/>
      <c r="Y96" s="429"/>
      <c r="Z96" s="802"/>
      <c r="AA96" s="941"/>
      <c r="AB96" s="941"/>
      <c r="AC96" s="941"/>
      <c r="AD96" s="941"/>
      <c r="AE96" s="941"/>
      <c r="AF96" s="802"/>
      <c r="AG96" s="802"/>
      <c r="AH96" s="802"/>
      <c r="AI96" s="802"/>
      <c r="AJ96" s="802"/>
      <c r="AK96" s="802"/>
      <c r="AL96" s="802"/>
      <c r="AM96" s="802"/>
      <c r="AN96" s="941"/>
      <c r="AO96" s="429"/>
      <c r="AP96" s="944"/>
      <c r="AQ96" s="410"/>
      <c r="AR96" s="410"/>
      <c r="AS96" s="802"/>
      <c r="AT96" s="501"/>
      <c r="AU96" s="501"/>
      <c r="AV96" s="501"/>
      <c r="AW96" s="940"/>
      <c r="AX96" s="945"/>
      <c r="AY96" s="954"/>
      <c r="AZ96" s="954"/>
      <c r="BA96" s="954"/>
      <c r="BB96" s="539"/>
      <c r="BC96" s="356"/>
      <c r="BD96" s="550"/>
      <c r="BE96" s="492"/>
      <c r="BF96" s="356"/>
      <c r="BG96" s="356"/>
      <c r="BH96" s="509"/>
      <c r="BI96" s="488"/>
      <c r="BJ96" s="407"/>
      <c r="BS96" s="613"/>
      <c r="BT96" s="613"/>
    </row>
    <row r="97" spans="1:72" s="387" customFormat="1" ht="12.75" customHeight="1" x14ac:dyDescent="0.2">
      <c r="A97" s="641"/>
      <c r="B97" s="641"/>
      <c r="C97" s="642"/>
      <c r="D97" s="355"/>
      <c r="E97" s="356"/>
      <c r="F97" s="409"/>
      <c r="G97" s="355"/>
      <c r="H97" s="355"/>
      <c r="I97" s="452"/>
      <c r="J97" s="404"/>
      <c r="K97" s="404"/>
      <c r="L97" s="454"/>
      <c r="M97" s="405"/>
      <c r="N97" s="584"/>
      <c r="O97" s="584"/>
      <c r="P97" s="584"/>
      <c r="Q97" s="405"/>
      <c r="R97" s="406"/>
      <c r="S97" s="407"/>
      <c r="T97" s="355"/>
      <c r="U97" s="408"/>
      <c r="V97" s="409"/>
      <c r="W97" s="409"/>
      <c r="X97" s="410"/>
      <c r="Y97" s="429"/>
      <c r="Z97" s="802"/>
      <c r="AA97" s="941"/>
      <c r="AB97" s="941"/>
      <c r="AC97" s="941"/>
      <c r="AD97" s="941"/>
      <c r="AE97" s="941"/>
      <c r="AF97" s="802"/>
      <c r="AG97" s="802"/>
      <c r="AH97" s="802"/>
      <c r="AI97" s="802"/>
      <c r="AJ97" s="802"/>
      <c r="AK97" s="802"/>
      <c r="AL97" s="802"/>
      <c r="AM97" s="802"/>
      <c r="AN97" s="941"/>
      <c r="AO97" s="429"/>
      <c r="AP97" s="944"/>
      <c r="AQ97" s="410"/>
      <c r="AR97" s="410"/>
      <c r="AS97" s="802"/>
      <c r="AT97" s="501"/>
      <c r="AU97" s="501"/>
      <c r="AV97" s="501"/>
      <c r="AW97" s="940"/>
      <c r="AX97" s="945"/>
      <c r="AY97" s="954"/>
      <c r="AZ97" s="954"/>
      <c r="BA97" s="954"/>
      <c r="BB97" s="539"/>
      <c r="BC97" s="553"/>
      <c r="BD97" s="509"/>
      <c r="BE97" s="492"/>
      <c r="BF97" s="539"/>
      <c r="BG97" s="356"/>
      <c r="BH97" s="539"/>
      <c r="BI97" s="356"/>
      <c r="BJ97" s="554"/>
      <c r="BK97" s="396"/>
      <c r="BL97" s="396"/>
      <c r="BM97" s="396"/>
      <c r="BN97" s="396"/>
      <c r="BO97" s="396"/>
      <c r="BP97" s="396"/>
      <c r="BQ97" s="396"/>
      <c r="BR97" s="396"/>
      <c r="BS97" s="644"/>
      <c r="BT97" s="644"/>
    </row>
    <row r="98" spans="1:72" s="374" customFormat="1" ht="13.15" customHeight="1" x14ac:dyDescent="0.2">
      <c r="A98" s="402"/>
      <c r="B98" s="402"/>
      <c r="C98" s="403"/>
      <c r="D98" s="355"/>
      <c r="E98" s="356"/>
      <c r="F98" s="409"/>
      <c r="G98" s="355"/>
      <c r="H98" s="355"/>
      <c r="I98" s="452"/>
      <c r="J98" s="404"/>
      <c r="K98" s="404"/>
      <c r="L98" s="454"/>
      <c r="M98" s="405"/>
      <c r="N98" s="455"/>
      <c r="O98" s="455"/>
      <c r="P98" s="455"/>
      <c r="Q98" s="405"/>
      <c r="R98" s="406"/>
      <c r="S98" s="407"/>
      <c r="T98" s="355"/>
      <c r="U98" s="408"/>
      <c r="V98" s="409"/>
      <c r="W98" s="409"/>
      <c r="X98" s="410"/>
      <c r="Y98" s="429"/>
      <c r="Z98" s="802"/>
      <c r="AA98" s="941"/>
      <c r="AB98" s="941"/>
      <c r="AC98" s="941"/>
      <c r="AD98" s="941"/>
      <c r="AE98" s="941"/>
      <c r="AF98" s="802"/>
      <c r="AG98" s="802"/>
      <c r="AH98" s="802"/>
      <c r="AI98" s="802"/>
      <c r="AJ98" s="802"/>
      <c r="AK98" s="802"/>
      <c r="AL98" s="802"/>
      <c r="AM98" s="802"/>
      <c r="AN98" s="941"/>
      <c r="AO98" s="429"/>
      <c r="AP98" s="944"/>
      <c r="AQ98" s="410"/>
      <c r="AR98" s="410"/>
      <c r="AS98" s="802"/>
      <c r="AT98" s="501"/>
      <c r="AU98" s="501"/>
      <c r="AV98" s="501"/>
      <c r="AW98" s="940"/>
      <c r="AX98" s="945"/>
      <c r="AY98" s="954"/>
      <c r="AZ98" s="954"/>
      <c r="BA98" s="954"/>
      <c r="BB98" s="539"/>
      <c r="BC98" s="356"/>
      <c r="BD98" s="539"/>
      <c r="BE98" s="492"/>
      <c r="BF98" s="356"/>
      <c r="BG98" s="356"/>
      <c r="BH98" s="509"/>
      <c r="BI98" s="488"/>
      <c r="BJ98" s="407"/>
      <c r="BK98" s="396"/>
      <c r="BL98" s="396"/>
      <c r="BM98" s="396"/>
      <c r="BN98" s="396"/>
      <c r="BO98" s="396"/>
      <c r="BP98" s="396"/>
      <c r="BQ98" s="396"/>
      <c r="BR98" s="396"/>
      <c r="BS98" s="613"/>
      <c r="BT98" s="613"/>
    </row>
    <row r="99" spans="1:72" s="674" customFormat="1" ht="13.15" customHeight="1" x14ac:dyDescent="0.2">
      <c r="A99" s="402"/>
      <c r="B99" s="402"/>
      <c r="C99" s="403"/>
      <c r="D99" s="355"/>
      <c r="E99" s="356"/>
      <c r="F99" s="409"/>
      <c r="G99" s="355"/>
      <c r="H99" s="355"/>
      <c r="I99" s="452"/>
      <c r="J99" s="404"/>
      <c r="K99" s="404"/>
      <c r="L99" s="454"/>
      <c r="M99" s="405"/>
      <c r="N99" s="463"/>
      <c r="O99" s="463"/>
      <c r="P99" s="463"/>
      <c r="Q99" s="405"/>
      <c r="R99" s="406"/>
      <c r="S99" s="407"/>
      <c r="T99" s="355"/>
      <c r="U99" s="408"/>
      <c r="V99" s="409"/>
      <c r="W99" s="409"/>
      <c r="X99" s="410"/>
      <c r="Y99" s="429"/>
      <c r="Z99" s="802"/>
      <c r="AA99" s="941"/>
      <c r="AB99" s="941"/>
      <c r="AC99" s="941"/>
      <c r="AD99" s="941"/>
      <c r="AE99" s="941"/>
      <c r="AF99" s="802"/>
      <c r="AG99" s="802"/>
      <c r="AH99" s="802"/>
      <c r="AI99" s="802"/>
      <c r="AJ99" s="802"/>
      <c r="AK99" s="802"/>
      <c r="AL99" s="802"/>
      <c r="AM99" s="802"/>
      <c r="AN99" s="802"/>
      <c r="AO99" s="429"/>
      <c r="AP99" s="944"/>
      <c r="AQ99" s="410"/>
      <c r="AR99" s="410"/>
      <c r="AS99" s="802"/>
      <c r="AT99" s="501"/>
      <c r="AU99" s="501"/>
      <c r="AV99" s="501"/>
      <c r="AW99" s="940"/>
      <c r="AX99" s="945"/>
      <c r="AY99" s="954"/>
      <c r="AZ99" s="954"/>
      <c r="BA99" s="954"/>
      <c r="BB99" s="539"/>
      <c r="BC99" s="356"/>
      <c r="BD99" s="550"/>
      <c r="BE99" s="492"/>
      <c r="BF99" s="511"/>
      <c r="BG99" s="356"/>
      <c r="BH99" s="509"/>
      <c r="BI99" s="488"/>
      <c r="BJ99" s="407"/>
      <c r="BK99" s="396"/>
      <c r="BL99" s="396"/>
      <c r="BM99" s="396"/>
      <c r="BN99" s="396"/>
      <c r="BO99" s="396"/>
      <c r="BP99" s="396"/>
      <c r="BQ99" s="396"/>
      <c r="BR99" s="396"/>
      <c r="BS99" s="396"/>
      <c r="BT99" s="396"/>
    </row>
    <row r="100" spans="1:72" s="566" customFormat="1" ht="13.15" customHeight="1" x14ac:dyDescent="0.2">
      <c r="A100" s="402"/>
      <c r="B100" s="402"/>
      <c r="C100" s="403"/>
      <c r="D100" s="355"/>
      <c r="E100" s="356"/>
      <c r="F100" s="409"/>
      <c r="G100" s="355"/>
      <c r="H100" s="355"/>
      <c r="I100" s="452"/>
      <c r="J100" s="404"/>
      <c r="K100" s="404"/>
      <c r="L100" s="454"/>
      <c r="M100" s="405"/>
      <c r="N100" s="463"/>
      <c r="O100" s="463"/>
      <c r="P100" s="463"/>
      <c r="Q100" s="405"/>
      <c r="R100" s="406"/>
      <c r="S100" s="407"/>
      <c r="T100" s="355"/>
      <c r="U100" s="408"/>
      <c r="V100" s="409"/>
      <c r="W100" s="409"/>
      <c r="X100" s="410"/>
      <c r="Y100" s="429"/>
      <c r="Z100" s="802"/>
      <c r="AA100" s="941"/>
      <c r="AB100" s="941"/>
      <c r="AC100" s="941"/>
      <c r="AD100" s="941"/>
      <c r="AE100" s="941"/>
      <c r="AF100" s="802"/>
      <c r="AG100" s="802"/>
      <c r="AH100" s="802"/>
      <c r="AI100" s="802"/>
      <c r="AJ100" s="802"/>
      <c r="AK100" s="802"/>
      <c r="AL100" s="802"/>
      <c r="AM100" s="802"/>
      <c r="AN100" s="802"/>
      <c r="AO100" s="429"/>
      <c r="AP100" s="944"/>
      <c r="AQ100" s="410"/>
      <c r="AR100" s="410"/>
      <c r="AS100" s="802"/>
      <c r="AT100" s="501"/>
      <c r="AU100" s="501"/>
      <c r="AV100" s="501"/>
      <c r="AW100" s="940"/>
      <c r="AX100" s="945"/>
      <c r="AY100" s="954"/>
      <c r="AZ100" s="954"/>
      <c r="BA100" s="954"/>
      <c r="BB100" s="539"/>
      <c r="BC100" s="356"/>
      <c r="BD100" s="550"/>
      <c r="BE100" s="492"/>
      <c r="BF100" s="511"/>
      <c r="BG100" s="356"/>
      <c r="BH100" s="509"/>
      <c r="BI100" s="488"/>
      <c r="BJ100" s="407"/>
      <c r="BK100" s="396"/>
      <c r="BL100" s="396"/>
      <c r="BM100" s="396"/>
      <c r="BN100" s="396"/>
      <c r="BO100" s="396"/>
      <c r="BP100" s="396"/>
      <c r="BQ100" s="396"/>
      <c r="BR100" s="396"/>
      <c r="BS100" s="396"/>
      <c r="BT100" s="396"/>
    </row>
    <row r="101" spans="1:72" s="566" customFormat="1" ht="13.15" customHeight="1" x14ac:dyDescent="0.2">
      <c r="A101" s="919"/>
      <c r="B101" s="919"/>
      <c r="C101" s="633"/>
      <c r="D101" s="355"/>
      <c r="E101" s="356"/>
      <c r="F101" s="636"/>
      <c r="G101" s="355"/>
      <c r="H101" s="634"/>
      <c r="I101" s="920"/>
      <c r="J101" s="922"/>
      <c r="K101" s="922"/>
      <c r="L101" s="454"/>
      <c r="M101" s="405"/>
      <c r="N101" s="455"/>
      <c r="O101" s="455"/>
      <c r="P101" s="455"/>
      <c r="Q101" s="405"/>
      <c r="R101" s="504"/>
      <c r="S101" s="504"/>
      <c r="T101" s="634"/>
      <c r="U101" s="634"/>
      <c r="V101" s="636"/>
      <c r="W101" s="636"/>
      <c r="X101" s="637"/>
      <c r="Y101" s="429"/>
      <c r="Z101" s="802"/>
      <c r="AA101" s="941"/>
      <c r="AB101" s="941"/>
      <c r="AC101" s="941"/>
      <c r="AD101" s="941"/>
      <c r="AE101" s="941"/>
      <c r="AF101" s="802"/>
      <c r="AG101" s="802"/>
      <c r="AH101" s="802"/>
      <c r="AI101" s="802"/>
      <c r="AJ101" s="802"/>
      <c r="AK101" s="802"/>
      <c r="AL101" s="802"/>
      <c r="AM101" s="802"/>
      <c r="AN101" s="941"/>
      <c r="AO101" s="429"/>
      <c r="AP101" s="802"/>
      <c r="AQ101" s="410"/>
      <c r="AR101" s="410"/>
      <c r="AS101" s="802"/>
      <c r="AT101" s="802"/>
      <c r="AU101" s="802"/>
      <c r="AV101" s="802"/>
      <c r="AW101" s="802"/>
      <c r="AX101" s="945"/>
      <c r="AY101" s="954"/>
      <c r="AZ101" s="954"/>
      <c r="BA101" s="954"/>
      <c r="BB101" s="511"/>
      <c r="BC101" s="553"/>
      <c r="BD101" s="511"/>
      <c r="BE101" s="492"/>
      <c r="BF101" s="539"/>
      <c r="BG101" s="356"/>
      <c r="BH101" s="550"/>
      <c r="BI101" s="635"/>
      <c r="BJ101" s="356"/>
      <c r="BK101" s="396"/>
      <c r="BL101" s="396"/>
      <c r="BM101" s="396"/>
      <c r="BN101" s="396"/>
      <c r="BO101" s="396"/>
      <c r="BP101" s="396"/>
      <c r="BQ101" s="396"/>
      <c r="BR101" s="396"/>
      <c r="BS101" s="396"/>
      <c r="BT101" s="396"/>
    </row>
    <row r="102" spans="1:72" s="387" customFormat="1" ht="12" customHeight="1" x14ac:dyDescent="0.2">
      <c r="A102" s="631"/>
      <c r="B102" s="631"/>
      <c r="C102" s="403"/>
      <c r="D102" s="355"/>
      <c r="E102" s="356"/>
      <c r="F102" s="409"/>
      <c r="G102" s="355"/>
      <c r="H102" s="355"/>
      <c r="I102" s="452"/>
      <c r="J102" s="404"/>
      <c r="K102" s="404"/>
      <c r="L102" s="937"/>
      <c r="M102" s="404"/>
      <c r="N102" s="404"/>
      <c r="O102" s="404"/>
      <c r="P102" s="495"/>
      <c r="Q102" s="405"/>
      <c r="R102" s="406"/>
      <c r="S102" s="407"/>
      <c r="T102" s="410"/>
      <c r="U102" s="800"/>
      <c r="V102" s="355"/>
      <c r="W102" s="962"/>
      <c r="X102" s="410"/>
      <c r="Y102" s="429"/>
      <c r="Z102" s="802"/>
      <c r="AA102" s="802"/>
      <c r="AB102" s="802"/>
      <c r="AC102" s="429"/>
      <c r="AD102" s="944"/>
      <c r="AE102" s="410"/>
      <c r="AF102" s="410"/>
      <c r="AG102" s="802"/>
      <c r="AH102" s="501"/>
      <c r="AI102" s="501"/>
      <c r="AJ102" s="501"/>
      <c r="AK102" s="940"/>
      <c r="AL102" s="945"/>
      <c r="AM102" s="802"/>
      <c r="AN102" s="802"/>
      <c r="AO102" s="429"/>
      <c r="AP102" s="964"/>
      <c r="AQ102" s="965"/>
      <c r="AR102" s="410"/>
      <c r="AS102" s="966"/>
      <c r="AT102" s="967"/>
      <c r="AU102" s="802"/>
      <c r="AV102" s="967"/>
      <c r="AW102" s="968"/>
      <c r="AX102" s="945"/>
      <c r="AY102" s="955"/>
      <c r="AZ102" s="955"/>
      <c r="BA102" s="955"/>
      <c r="BB102" s="396"/>
      <c r="BC102" s="396"/>
      <c r="BD102" s="977"/>
      <c r="BE102" s="978"/>
      <c r="BF102" s="396"/>
      <c r="BG102" s="396"/>
      <c r="BH102" s="977"/>
      <c r="BI102" s="396"/>
      <c r="BJ102" s="977"/>
      <c r="BK102" s="396"/>
      <c r="BL102" s="396"/>
      <c r="BM102" s="396"/>
      <c r="BN102" s="396"/>
      <c r="BO102" s="396"/>
      <c r="BP102" s="396"/>
      <c r="BQ102" s="396"/>
      <c r="BR102" s="396"/>
      <c r="BS102" s="396"/>
      <c r="BT102" s="396"/>
    </row>
    <row r="103" spans="1:72" s="396" customFormat="1" ht="12" customHeight="1" x14ac:dyDescent="0.2">
      <c r="A103" s="402"/>
      <c r="B103" s="402"/>
      <c r="C103" s="403"/>
      <c r="D103" s="355"/>
      <c r="E103" s="356"/>
      <c r="F103" s="409"/>
      <c r="G103" s="355"/>
      <c r="H103" s="355"/>
      <c r="I103" s="452"/>
      <c r="J103" s="404"/>
      <c r="K103" s="404"/>
      <c r="L103" s="937"/>
      <c r="M103" s="495"/>
      <c r="N103" s="495"/>
      <c r="O103" s="495"/>
      <c r="P103" s="495"/>
      <c r="Q103" s="405"/>
      <c r="R103" s="406"/>
      <c r="S103" s="407"/>
      <c r="T103" s="410"/>
      <c r="U103" s="800"/>
      <c r="V103" s="409"/>
      <c r="W103" s="801"/>
      <c r="X103" s="410"/>
      <c r="Y103" s="429"/>
      <c r="Z103" s="802"/>
      <c r="AA103" s="802"/>
      <c r="AB103" s="802"/>
      <c r="AC103" s="429"/>
      <c r="AD103" s="944"/>
      <c r="AE103" s="410"/>
      <c r="AF103" s="410"/>
      <c r="AG103" s="802"/>
      <c r="AH103" s="501"/>
      <c r="AI103" s="501"/>
      <c r="AJ103" s="501"/>
      <c r="AK103" s="940"/>
      <c r="AL103" s="945"/>
      <c r="AM103" s="802"/>
      <c r="AN103" s="802"/>
      <c r="AO103" s="429"/>
      <c r="AP103" s="964"/>
      <c r="AQ103" s="965"/>
      <c r="AR103" s="967"/>
      <c r="AS103" s="966"/>
      <c r="AT103" s="967"/>
      <c r="AU103" s="802"/>
      <c r="AV103" s="967"/>
      <c r="AW103" s="968"/>
      <c r="AX103" s="945"/>
      <c r="AY103" s="955"/>
      <c r="AZ103" s="955"/>
      <c r="BA103" s="955"/>
      <c r="BD103" s="977"/>
      <c r="BE103" s="978"/>
      <c r="BH103" s="977"/>
      <c r="BJ103" s="977"/>
    </row>
    <row r="104" spans="1:72" s="396" customFormat="1" ht="12" customHeight="1" x14ac:dyDescent="0.2">
      <c r="A104" s="484"/>
      <c r="B104" s="484"/>
      <c r="C104" s="379"/>
      <c r="D104" s="347"/>
      <c r="E104" s="349"/>
      <c r="F104" s="384"/>
      <c r="G104" s="347"/>
      <c r="H104" s="347"/>
      <c r="I104" s="485"/>
      <c r="J104" s="380"/>
      <c r="K104" s="380"/>
      <c r="L104" s="706"/>
      <c r="M104" s="411"/>
      <c r="N104" s="411"/>
      <c r="O104" s="411"/>
      <c r="P104" s="411"/>
      <c r="Q104" s="381"/>
      <c r="R104" s="399"/>
      <c r="S104" s="382"/>
      <c r="T104" s="385"/>
      <c r="U104" s="761"/>
      <c r="V104" s="384"/>
      <c r="W104" s="771"/>
      <c r="X104" s="385"/>
      <c r="Y104" s="397"/>
      <c r="Z104" s="832"/>
      <c r="AA104" s="832"/>
      <c r="AB104" s="832"/>
      <c r="AC104" s="397"/>
      <c r="AD104" s="946"/>
      <c r="AE104" s="385"/>
      <c r="AF104" s="385"/>
      <c r="AG104" s="832"/>
      <c r="AH104" s="570"/>
      <c r="AI104" s="570"/>
      <c r="AJ104" s="570"/>
      <c r="AK104" s="716"/>
      <c r="AL104" s="947"/>
      <c r="AM104" s="832"/>
      <c r="AN104" s="832"/>
      <c r="AO104" s="397"/>
      <c r="AP104" s="950"/>
      <c r="AQ104" s="385"/>
      <c r="AR104" s="385"/>
      <c r="AS104" s="952"/>
      <c r="AT104" s="951"/>
      <c r="AU104" s="832"/>
      <c r="AV104" s="951"/>
      <c r="AW104" s="953"/>
      <c r="AX104" s="947"/>
      <c r="AY104" s="955"/>
      <c r="AZ104" s="955"/>
      <c r="BA104" s="955"/>
      <c r="BB104" s="387"/>
      <c r="BC104" s="387"/>
      <c r="BD104" s="464"/>
      <c r="BE104" s="551"/>
      <c r="BF104" s="387"/>
      <c r="BG104" s="387"/>
      <c r="BH104" s="464"/>
      <c r="BI104" s="387"/>
      <c r="BJ104" s="464"/>
      <c r="BK104" s="387"/>
      <c r="BL104" s="387"/>
      <c r="BM104" s="387"/>
      <c r="BN104" s="387"/>
      <c r="BO104" s="387"/>
      <c r="BP104" s="387"/>
      <c r="BQ104" s="387"/>
      <c r="BR104" s="387"/>
      <c r="BS104" s="387"/>
      <c r="BT104" s="387"/>
    </row>
    <row r="105" spans="1:72" s="374" customFormat="1" ht="12" customHeight="1" x14ac:dyDescent="0.2">
      <c r="A105" s="718"/>
      <c r="B105" s="718"/>
      <c r="C105" s="749"/>
      <c r="D105" s="702"/>
      <c r="E105" s="556"/>
      <c r="F105" s="608"/>
      <c r="G105" s="555"/>
      <c r="H105" s="555"/>
      <c r="I105" s="703"/>
      <c r="J105" s="704"/>
      <c r="K105" s="704"/>
      <c r="L105" s="707"/>
      <c r="M105" s="609"/>
      <c r="N105" s="609"/>
      <c r="O105" s="609"/>
      <c r="P105" s="609"/>
      <c r="Q105" s="609"/>
      <c r="R105" s="711"/>
      <c r="S105" s="557"/>
      <c r="T105" s="555"/>
      <c r="U105" s="558"/>
      <c r="V105" s="608"/>
      <c r="W105" s="608"/>
      <c r="X105" s="714"/>
      <c r="Y105" s="935"/>
      <c r="Z105" s="568"/>
      <c r="AA105" s="941"/>
      <c r="AB105" s="568"/>
      <c r="AC105" s="568"/>
      <c r="AD105" s="568"/>
      <c r="AE105" s="568"/>
      <c r="AF105" s="568"/>
      <c r="AG105" s="568"/>
      <c r="AH105" s="568"/>
      <c r="AI105" s="568"/>
      <c r="AJ105" s="568"/>
      <c r="AK105" s="568"/>
      <c r="AL105" s="568"/>
      <c r="AM105" s="568"/>
      <c r="AN105" s="568"/>
      <c r="AO105" s="935"/>
      <c r="AP105" s="948"/>
      <c r="AQ105" s="714"/>
      <c r="AR105" s="714"/>
      <c r="AS105" s="568"/>
      <c r="AT105" s="943"/>
      <c r="AU105" s="934"/>
      <c r="AV105" s="943"/>
      <c r="AW105" s="934"/>
      <c r="AX105" s="949"/>
      <c r="AY105" s="956"/>
      <c r="AZ105" s="956"/>
      <c r="BA105" s="956"/>
      <c r="BB105" s="561"/>
      <c r="BC105" s="556"/>
      <c r="BD105" s="563"/>
      <c r="BE105" s="564"/>
      <c r="BF105" s="561"/>
      <c r="BG105" s="556"/>
      <c r="BH105" s="563"/>
      <c r="BI105" s="565"/>
      <c r="BJ105" s="557"/>
      <c r="BK105" s="566"/>
      <c r="BL105" s="566"/>
      <c r="BM105" s="566"/>
      <c r="BN105" s="566"/>
      <c r="BO105" s="566"/>
      <c r="BP105" s="566"/>
      <c r="BQ105" s="566"/>
      <c r="BR105" s="566"/>
      <c r="BS105" s="566"/>
      <c r="BT105" s="566"/>
    </row>
    <row r="106" spans="1:72" s="396" customFormat="1" ht="12" customHeight="1" x14ac:dyDescent="0.2">
      <c r="A106" s="718"/>
      <c r="B106" s="718"/>
      <c r="C106" s="749"/>
      <c r="D106" s="702"/>
      <c r="E106" s="556"/>
      <c r="F106" s="608"/>
      <c r="G106" s="555"/>
      <c r="H106" s="555"/>
      <c r="I106" s="703"/>
      <c r="J106" s="704"/>
      <c r="K106" s="704"/>
      <c r="L106" s="707"/>
      <c r="M106" s="609"/>
      <c r="N106" s="609"/>
      <c r="O106" s="609"/>
      <c r="P106" s="609"/>
      <c r="Q106" s="609"/>
      <c r="R106" s="711"/>
      <c r="S106" s="557"/>
      <c r="T106" s="555"/>
      <c r="U106" s="558"/>
      <c r="V106" s="608"/>
      <c r="W106" s="608"/>
      <c r="X106" s="714"/>
      <c r="Y106" s="935"/>
      <c r="Z106" s="568"/>
      <c r="AA106" s="568"/>
      <c r="AB106" s="568"/>
      <c r="AC106" s="568"/>
      <c r="AD106" s="568"/>
      <c r="AE106" s="568"/>
      <c r="AF106" s="568"/>
      <c r="AG106" s="568"/>
      <c r="AH106" s="568"/>
      <c r="AI106" s="568"/>
      <c r="AJ106" s="568"/>
      <c r="AK106" s="568"/>
      <c r="AL106" s="568"/>
      <c r="AM106" s="568"/>
      <c r="AN106" s="568"/>
      <c r="AO106" s="935"/>
      <c r="AP106" s="948"/>
      <c r="AQ106" s="714"/>
      <c r="AR106" s="714"/>
      <c r="AS106" s="568"/>
      <c r="AT106" s="943"/>
      <c r="AU106" s="934"/>
      <c r="AV106" s="943"/>
      <c r="AW106" s="934"/>
      <c r="AX106" s="949"/>
      <c r="AY106" s="956"/>
      <c r="AZ106" s="956"/>
      <c r="BA106" s="956"/>
      <c r="BB106" s="561"/>
      <c r="BC106" s="556"/>
      <c r="BD106" s="557"/>
      <c r="BE106" s="564"/>
      <c r="BF106" s="561"/>
      <c r="BG106" s="556"/>
      <c r="BH106" s="557"/>
      <c r="BI106" s="565"/>
      <c r="BJ106" s="557"/>
      <c r="BK106" s="566"/>
      <c r="BL106" s="566"/>
      <c r="BM106" s="566"/>
      <c r="BN106" s="566"/>
      <c r="BO106" s="566"/>
      <c r="BP106" s="566"/>
      <c r="BQ106" s="566"/>
      <c r="BR106" s="566"/>
      <c r="BS106" s="566"/>
      <c r="BT106" s="566"/>
    </row>
    <row r="107" spans="1:72" s="387" customFormat="1" ht="13.15" customHeight="1" x14ac:dyDescent="0.2">
      <c r="A107" s="640"/>
      <c r="B107" s="484"/>
      <c r="C107" s="379"/>
      <c r="D107" s="347"/>
      <c r="E107" s="349"/>
      <c r="F107" s="384"/>
      <c r="G107" s="347"/>
      <c r="H107" s="347"/>
      <c r="I107" s="485"/>
      <c r="J107" s="380"/>
      <c r="K107" s="380"/>
      <c r="L107" s="706"/>
      <c r="M107" s="381"/>
      <c r="N107" s="381"/>
      <c r="O107" s="381"/>
      <c r="P107" s="381"/>
      <c r="Q107" s="381"/>
      <c r="R107" s="399"/>
      <c r="S107" s="382"/>
      <c r="T107" s="347"/>
      <c r="U107" s="383"/>
      <c r="V107" s="384"/>
      <c r="W107" s="384"/>
      <c r="X107" s="385"/>
      <c r="Y107" s="397"/>
      <c r="Z107" s="832"/>
      <c r="AA107" s="832"/>
      <c r="AB107" s="832"/>
      <c r="AC107" s="832"/>
      <c r="AD107" s="832"/>
      <c r="AE107" s="832"/>
      <c r="AF107" s="832"/>
      <c r="AG107" s="832"/>
      <c r="AH107" s="832"/>
      <c r="AI107" s="832"/>
      <c r="AJ107" s="832"/>
      <c r="AK107" s="832"/>
      <c r="AL107" s="832"/>
      <c r="AM107" s="832"/>
      <c r="AN107" s="832"/>
      <c r="AO107" s="397"/>
      <c r="AP107" s="946"/>
      <c r="AQ107" s="385"/>
      <c r="AR107" s="385"/>
      <c r="AS107" s="832"/>
      <c r="AT107" s="570"/>
      <c r="AU107" s="570"/>
      <c r="AV107" s="570"/>
      <c r="AW107" s="716"/>
      <c r="AX107" s="947"/>
      <c r="AY107" s="955"/>
      <c r="AZ107" s="955"/>
      <c r="BA107" s="955"/>
      <c r="BB107" s="462"/>
      <c r="BC107" s="349"/>
      <c r="BD107" s="462"/>
      <c r="BE107" s="491"/>
      <c r="BF107" s="459"/>
      <c r="BG107" s="322"/>
      <c r="BH107" s="382"/>
      <c r="BI107" s="488"/>
      <c r="BJ107" s="407"/>
      <c r="BK107" s="396"/>
      <c r="BL107" s="396"/>
      <c r="BM107" s="396"/>
      <c r="BN107" s="396"/>
      <c r="BO107" s="396"/>
      <c r="BP107" s="396"/>
      <c r="BQ107" s="396"/>
      <c r="BR107" s="396"/>
      <c r="BS107" s="396"/>
      <c r="BT107" s="396"/>
    </row>
    <row r="108" spans="1:72" s="387" customFormat="1" ht="13.15" customHeight="1" x14ac:dyDescent="0.2">
      <c r="A108" s="484"/>
      <c r="B108" s="484"/>
      <c r="C108" s="379"/>
      <c r="D108" s="347"/>
      <c r="E108" s="349"/>
      <c r="F108" s="384"/>
      <c r="G108" s="347"/>
      <c r="H108" s="347"/>
      <c r="I108" s="485"/>
      <c r="J108" s="380"/>
      <c r="K108" s="380"/>
      <c r="L108" s="706"/>
      <c r="M108" s="381"/>
      <c r="N108" s="456"/>
      <c r="O108" s="456"/>
      <c r="P108" s="456"/>
      <c r="Q108" s="381"/>
      <c r="R108" s="399"/>
      <c r="S108" s="382"/>
      <c r="T108" s="347"/>
      <c r="U108" s="383"/>
      <c r="V108" s="384"/>
      <c r="W108" s="384"/>
      <c r="X108" s="385"/>
      <c r="Y108" s="397"/>
      <c r="Z108" s="832"/>
      <c r="AA108" s="802"/>
      <c r="AB108" s="832"/>
      <c r="AC108" s="832"/>
      <c r="AD108" s="832"/>
      <c r="AE108" s="832"/>
      <c r="AF108" s="832"/>
      <c r="AG108" s="832"/>
      <c r="AH108" s="832"/>
      <c r="AI108" s="832"/>
      <c r="AJ108" s="832"/>
      <c r="AK108" s="832"/>
      <c r="AL108" s="832"/>
      <c r="AM108" s="832"/>
      <c r="AN108" s="832"/>
      <c r="AO108" s="397"/>
      <c r="AP108" s="946"/>
      <c r="AQ108" s="385"/>
      <c r="AR108" s="385"/>
      <c r="AS108" s="832"/>
      <c r="AT108" s="570"/>
      <c r="AU108" s="716"/>
      <c r="AV108" s="570"/>
      <c r="AW108" s="716"/>
      <c r="AX108" s="947"/>
      <c r="AY108" s="955"/>
      <c r="AZ108" s="955"/>
      <c r="BA108" s="955"/>
      <c r="BB108" s="462"/>
      <c r="BC108" s="469"/>
      <c r="BD108" s="465"/>
      <c r="BE108" s="491"/>
      <c r="BF108" s="460"/>
      <c r="BG108" s="349"/>
      <c r="BH108" s="465"/>
      <c r="BI108" s="349"/>
      <c r="BJ108" s="572"/>
    </row>
    <row r="109" spans="1:72" s="387" customFormat="1" ht="13.15" customHeight="1" x14ac:dyDescent="0.2">
      <c r="A109" s="484"/>
      <c r="B109" s="484"/>
      <c r="C109" s="379"/>
      <c r="D109" s="347"/>
      <c r="E109" s="349"/>
      <c r="F109" s="384"/>
      <c r="G109" s="347"/>
      <c r="H109" s="347"/>
      <c r="I109" s="485"/>
      <c r="J109" s="380"/>
      <c r="K109" s="380"/>
      <c r="L109" s="706"/>
      <c r="M109" s="381"/>
      <c r="N109" s="456"/>
      <c r="O109" s="456"/>
      <c r="P109" s="456"/>
      <c r="Q109" s="381"/>
      <c r="R109" s="399"/>
      <c r="S109" s="382"/>
      <c r="T109" s="347"/>
      <c r="U109" s="383"/>
      <c r="V109" s="384"/>
      <c r="W109" s="384"/>
      <c r="X109" s="385"/>
      <c r="Y109" s="397"/>
      <c r="Z109" s="832"/>
      <c r="AA109" s="802"/>
      <c r="AB109" s="832"/>
      <c r="AC109" s="832"/>
      <c r="AD109" s="832"/>
      <c r="AE109" s="832"/>
      <c r="AF109" s="832"/>
      <c r="AG109" s="832"/>
      <c r="AH109" s="832"/>
      <c r="AI109" s="832"/>
      <c r="AJ109" s="832"/>
      <c r="AK109" s="832"/>
      <c r="AL109" s="832"/>
      <c r="AM109" s="832"/>
      <c r="AN109" s="832"/>
      <c r="AO109" s="397"/>
      <c r="AP109" s="946"/>
      <c r="AQ109" s="385"/>
      <c r="AR109" s="385"/>
      <c r="AS109" s="832"/>
      <c r="AT109" s="570"/>
      <c r="AU109" s="716"/>
      <c r="AV109" s="570"/>
      <c r="AW109" s="716"/>
      <c r="AX109" s="947"/>
      <c r="AY109" s="955"/>
      <c r="AZ109" s="955"/>
      <c r="BA109" s="955"/>
      <c r="BB109" s="462"/>
      <c r="BC109" s="469"/>
      <c r="BD109" s="465"/>
      <c r="BE109" s="491"/>
      <c r="BF109" s="460"/>
      <c r="BG109" s="349"/>
      <c r="BH109" s="465"/>
      <c r="BI109" s="349"/>
      <c r="BJ109" s="572"/>
    </row>
    <row r="110" spans="1:72" s="387" customFormat="1" ht="13.15" customHeight="1" x14ac:dyDescent="0.2">
      <c r="A110" s="402"/>
      <c r="B110" s="402"/>
      <c r="C110" s="403"/>
      <c r="D110" s="355"/>
      <c r="E110" s="356"/>
      <c r="F110" s="409"/>
      <c r="G110" s="355"/>
      <c r="H110" s="355"/>
      <c r="I110" s="452"/>
      <c r="J110" s="404"/>
      <c r="K110" s="404"/>
      <c r="L110" s="454"/>
      <c r="M110" s="405"/>
      <c r="N110" s="463"/>
      <c r="O110" s="463"/>
      <c r="P110" s="463"/>
      <c r="Q110" s="405"/>
      <c r="R110" s="406"/>
      <c r="S110" s="407"/>
      <c r="T110" s="355"/>
      <c r="U110" s="408"/>
      <c r="V110" s="409"/>
      <c r="W110" s="409"/>
      <c r="X110" s="410"/>
      <c r="Y110" s="429"/>
      <c r="Z110" s="802"/>
      <c r="AA110" s="802"/>
      <c r="AB110" s="802"/>
      <c r="AC110" s="802"/>
      <c r="AD110" s="802"/>
      <c r="AE110" s="802"/>
      <c r="AF110" s="802"/>
      <c r="AG110" s="802"/>
      <c r="AH110" s="802"/>
      <c r="AI110" s="802"/>
      <c r="AJ110" s="802"/>
      <c r="AK110" s="802"/>
      <c r="AL110" s="802"/>
      <c r="AM110" s="802"/>
      <c r="AN110" s="802"/>
      <c r="AO110" s="429"/>
      <c r="AP110" s="944"/>
      <c r="AQ110" s="410"/>
      <c r="AR110" s="410"/>
      <c r="AS110" s="802"/>
      <c r="AT110" s="940"/>
      <c r="AU110" s="940"/>
      <c r="AV110" s="940"/>
      <c r="AW110" s="940"/>
      <c r="AX110" s="945"/>
      <c r="AY110" s="954"/>
      <c r="AZ110" s="954"/>
      <c r="BA110" s="954"/>
      <c r="BB110" s="539"/>
      <c r="BC110" s="356"/>
      <c r="BD110" s="407"/>
      <c r="BE110" s="492"/>
      <c r="BF110" s="511"/>
      <c r="BG110" s="356"/>
      <c r="BH110" s="407"/>
      <c r="BI110" s="488"/>
      <c r="BJ110" s="407"/>
      <c r="BK110" s="396"/>
      <c r="BL110" s="396"/>
      <c r="BM110" s="396"/>
      <c r="BN110" s="396"/>
      <c r="BO110" s="396"/>
      <c r="BP110" s="396"/>
      <c r="BQ110" s="396"/>
      <c r="BR110" s="396"/>
      <c r="BS110" s="396"/>
      <c r="BT110" s="396"/>
    </row>
    <row r="111" spans="1:72" s="387" customFormat="1" ht="12" customHeight="1" x14ac:dyDescent="0.2">
      <c r="A111" s="959"/>
      <c r="B111" s="960"/>
      <c r="C111" s="961"/>
      <c r="D111" s="355"/>
      <c r="E111" s="356"/>
      <c r="F111" s="409"/>
      <c r="G111" s="355"/>
      <c r="H111" s="355"/>
      <c r="I111" s="452"/>
      <c r="J111" s="404"/>
      <c r="K111" s="404"/>
      <c r="L111" s="454"/>
      <c r="M111" s="463"/>
      <c r="N111" s="584"/>
      <c r="O111" s="584"/>
      <c r="P111" s="584"/>
      <c r="Q111" s="405"/>
      <c r="R111" s="406"/>
      <c r="S111" s="407"/>
      <c r="T111" s="355"/>
      <c r="U111" s="408"/>
      <c r="V111" s="355"/>
      <c r="W111" s="356"/>
      <c r="X111" s="410"/>
      <c r="Y111" s="429"/>
      <c r="Z111" s="802"/>
      <c r="AA111" s="941"/>
      <c r="AB111" s="941"/>
      <c r="AC111" s="941"/>
      <c r="AD111" s="941"/>
      <c r="AE111" s="941"/>
      <c r="AF111" s="802"/>
      <c r="AG111" s="802"/>
      <c r="AH111" s="802"/>
      <c r="AI111" s="802"/>
      <c r="AJ111" s="802"/>
      <c r="AK111" s="802"/>
      <c r="AL111" s="802"/>
      <c r="AM111" s="802"/>
      <c r="AN111" s="802"/>
      <c r="AO111" s="429"/>
      <c r="AP111" s="944"/>
      <c r="AQ111" s="410"/>
      <c r="AR111" s="410"/>
      <c r="AS111" s="802"/>
      <c r="AT111" s="501"/>
      <c r="AU111" s="501"/>
      <c r="AV111" s="501"/>
      <c r="AW111" s="940"/>
      <c r="AX111" s="945"/>
      <c r="AY111" s="954"/>
      <c r="AZ111" s="954"/>
      <c r="BA111" s="954"/>
      <c r="BB111" s="511"/>
      <c r="BC111" s="553"/>
      <c r="BD111" s="511"/>
      <c r="BE111" s="510"/>
      <c r="BF111" s="511"/>
      <c r="BG111" s="356"/>
      <c r="BH111" s="511"/>
      <c r="BI111" s="488"/>
      <c r="BJ111" s="356"/>
      <c r="BK111" s="396"/>
      <c r="BL111" s="396"/>
      <c r="BM111" s="396"/>
      <c r="BN111" s="396"/>
      <c r="BO111" s="396"/>
      <c r="BP111" s="396"/>
      <c r="BQ111" s="396"/>
      <c r="BR111" s="396"/>
      <c r="BS111" s="396"/>
      <c r="BT111" s="396"/>
    </row>
    <row r="112" spans="1:72" s="396" customFormat="1" ht="12" customHeight="1" x14ac:dyDescent="0.2">
      <c r="A112" s="959"/>
      <c r="B112" s="960"/>
      <c r="C112" s="961"/>
      <c r="D112" s="355"/>
      <c r="E112" s="356"/>
      <c r="F112" s="409"/>
      <c r="G112" s="355"/>
      <c r="H112" s="355"/>
      <c r="I112" s="452"/>
      <c r="J112" s="404"/>
      <c r="K112" s="404"/>
      <c r="L112" s="454"/>
      <c r="M112" s="463"/>
      <c r="N112" s="584"/>
      <c r="O112" s="584"/>
      <c r="P112" s="584"/>
      <c r="Q112" s="405"/>
      <c r="R112" s="406"/>
      <c r="S112" s="407"/>
      <c r="T112" s="355"/>
      <c r="U112" s="408"/>
      <c r="V112" s="355"/>
      <c r="W112" s="356"/>
      <c r="X112" s="410"/>
      <c r="Y112" s="429"/>
      <c r="Z112" s="802"/>
      <c r="AA112" s="941"/>
      <c r="AB112" s="941"/>
      <c r="AC112" s="941"/>
      <c r="AD112" s="941"/>
      <c r="AE112" s="941"/>
      <c r="AF112" s="802"/>
      <c r="AG112" s="802"/>
      <c r="AH112" s="802"/>
      <c r="AI112" s="802"/>
      <c r="AJ112" s="802"/>
      <c r="AK112" s="802"/>
      <c r="AL112" s="802"/>
      <c r="AM112" s="802"/>
      <c r="AN112" s="802"/>
      <c r="AO112" s="429"/>
      <c r="AP112" s="944"/>
      <c r="AQ112" s="410"/>
      <c r="AR112" s="410"/>
      <c r="AS112" s="802"/>
      <c r="AT112" s="501"/>
      <c r="AU112" s="501"/>
      <c r="AV112" s="501"/>
      <c r="AW112" s="940"/>
      <c r="AX112" s="945"/>
      <c r="AY112" s="954"/>
      <c r="AZ112" s="954"/>
      <c r="BA112" s="954"/>
      <c r="BB112" s="511"/>
      <c r="BC112" s="553"/>
      <c r="BD112" s="511"/>
      <c r="BE112" s="510"/>
      <c r="BF112" s="511"/>
      <c r="BG112" s="356"/>
      <c r="BH112" s="511"/>
      <c r="BI112" s="488"/>
      <c r="BJ112" s="356"/>
    </row>
    <row r="113" spans="1:72" s="396" customFormat="1" ht="12" customHeight="1" x14ac:dyDescent="0.2">
      <c r="A113" s="957"/>
      <c r="B113" s="963"/>
      <c r="C113" s="958"/>
      <c r="D113" s="555"/>
      <c r="E113" s="556"/>
      <c r="F113" s="608"/>
      <c r="G113" s="555"/>
      <c r="H113" s="555"/>
      <c r="I113" s="703"/>
      <c r="J113" s="704"/>
      <c r="K113" s="704"/>
      <c r="L113" s="707"/>
      <c r="M113" s="747"/>
      <c r="N113" s="748"/>
      <c r="O113" s="748"/>
      <c r="P113" s="748"/>
      <c r="Q113" s="609"/>
      <c r="R113" s="711"/>
      <c r="S113" s="557"/>
      <c r="T113" s="555"/>
      <c r="U113" s="558"/>
      <c r="V113" s="555"/>
      <c r="W113" s="556"/>
      <c r="X113" s="714"/>
      <c r="Y113" s="935"/>
      <c r="Z113" s="568"/>
      <c r="AA113" s="939"/>
      <c r="AB113" s="939"/>
      <c r="AC113" s="939"/>
      <c r="AD113" s="939"/>
      <c r="AE113" s="939"/>
      <c r="AF113" s="568"/>
      <c r="AG113" s="568"/>
      <c r="AH113" s="568"/>
      <c r="AI113" s="568"/>
      <c r="AJ113" s="568"/>
      <c r="AK113" s="568"/>
      <c r="AL113" s="568"/>
      <c r="AM113" s="568"/>
      <c r="AN113" s="568"/>
      <c r="AO113" s="935"/>
      <c r="AP113" s="948"/>
      <c r="AQ113" s="714"/>
      <c r="AR113" s="714"/>
      <c r="AS113" s="568"/>
      <c r="AT113" s="943"/>
      <c r="AU113" s="943"/>
      <c r="AV113" s="943"/>
      <c r="AW113" s="934"/>
      <c r="AX113" s="949"/>
      <c r="AY113" s="956"/>
      <c r="AZ113" s="956"/>
      <c r="BA113" s="956"/>
      <c r="BB113" s="561"/>
      <c r="BC113" s="562"/>
      <c r="BD113" s="561"/>
      <c r="BE113" s="979"/>
      <c r="BF113" s="561"/>
      <c r="BG113" s="556"/>
      <c r="BH113" s="561"/>
      <c r="BI113" s="565"/>
      <c r="BJ113" s="556"/>
      <c r="BK113" s="566"/>
      <c r="BL113" s="566"/>
      <c r="BM113" s="566"/>
      <c r="BN113" s="566"/>
      <c r="BO113" s="566"/>
      <c r="BP113" s="566"/>
      <c r="BQ113" s="566"/>
      <c r="BR113" s="566"/>
      <c r="BS113" s="566"/>
      <c r="BT113" s="566"/>
    </row>
    <row r="114" spans="1:72" s="396" customFormat="1" ht="13.15" customHeight="1" x14ac:dyDescent="0.2">
      <c r="A114" s="695"/>
      <c r="B114" s="695"/>
      <c r="C114" s="698"/>
      <c r="D114" s="555"/>
      <c r="E114" s="556"/>
      <c r="F114" s="608"/>
      <c r="G114" s="555"/>
      <c r="H114" s="555"/>
      <c r="I114" s="703"/>
      <c r="J114" s="704"/>
      <c r="K114" s="704"/>
      <c r="L114" s="707"/>
      <c r="M114" s="609"/>
      <c r="N114" s="748"/>
      <c r="O114" s="748"/>
      <c r="P114" s="748"/>
      <c r="Q114" s="609"/>
      <c r="R114" s="711"/>
      <c r="S114" s="557"/>
      <c r="T114" s="555"/>
      <c r="U114" s="558"/>
      <c r="V114" s="608"/>
      <c r="W114" s="608"/>
      <c r="X114" s="714"/>
      <c r="Y114" s="935"/>
      <c r="Z114" s="568"/>
      <c r="AA114" s="980"/>
      <c r="AB114" s="939"/>
      <c r="AC114" s="939"/>
      <c r="AD114" s="939"/>
      <c r="AE114" s="939"/>
      <c r="AF114" s="568"/>
      <c r="AG114" s="981"/>
      <c r="AH114" s="981"/>
      <c r="AI114" s="981"/>
      <c r="AJ114" s="981"/>
      <c r="AK114" s="981"/>
      <c r="AL114" s="981"/>
      <c r="AM114" s="568"/>
      <c r="AN114" s="610"/>
      <c r="AO114" s="935"/>
      <c r="AP114" s="982"/>
      <c r="AQ114" s="714"/>
      <c r="AR114" s="983"/>
      <c r="AS114" s="568"/>
      <c r="AT114" s="943"/>
      <c r="AU114" s="943"/>
      <c r="AV114" s="943"/>
      <c r="AW114" s="984"/>
      <c r="AX114" s="985"/>
      <c r="AY114" s="720"/>
      <c r="AZ114" s="720"/>
      <c r="BA114" s="560"/>
      <c r="BB114" s="561"/>
      <c r="BC114" s="562"/>
      <c r="BD114" s="563"/>
      <c r="BE114" s="564"/>
      <c r="BF114" s="561"/>
      <c r="BG114" s="556"/>
      <c r="BH114" s="563"/>
      <c r="BI114" s="565"/>
      <c r="BJ114" s="557"/>
      <c r="BK114" s="566"/>
      <c r="BL114" s="566"/>
      <c r="BM114" s="566"/>
      <c r="BN114" s="566"/>
      <c r="BO114" s="566"/>
      <c r="BP114" s="566"/>
      <c r="BQ114" s="566"/>
      <c r="BR114" s="566"/>
      <c r="BS114" s="566"/>
      <c r="BT114" s="566"/>
    </row>
    <row r="115" spans="1:72" s="396" customFormat="1" ht="13.15" customHeight="1" x14ac:dyDescent="0.2">
      <c r="A115" s="484"/>
      <c r="B115" s="484"/>
      <c r="C115" s="379"/>
      <c r="D115" s="347"/>
      <c r="E115" s="349"/>
      <c r="F115" s="384"/>
      <c r="G115" s="347"/>
      <c r="H115" s="347"/>
      <c r="I115" s="485"/>
      <c r="J115" s="380"/>
      <c r="K115" s="380"/>
      <c r="L115" s="706"/>
      <c r="M115" s="381"/>
      <c r="N115" s="456"/>
      <c r="O115" s="456"/>
      <c r="P115" s="456"/>
      <c r="Q115" s="405"/>
      <c r="R115" s="399"/>
      <c r="S115" s="382"/>
      <c r="T115" s="355"/>
      <c r="U115" s="408"/>
      <c r="V115" s="409"/>
      <c r="W115" s="409"/>
      <c r="X115" s="410"/>
      <c r="Y115" s="429"/>
      <c r="Z115" s="802"/>
      <c r="AA115" s="969"/>
      <c r="AB115" s="802"/>
      <c r="AC115" s="802"/>
      <c r="AD115" s="802"/>
      <c r="AE115" s="802"/>
      <c r="AF115" s="802"/>
      <c r="AG115" s="969"/>
      <c r="AH115" s="969"/>
      <c r="AI115" s="969"/>
      <c r="AJ115" s="969"/>
      <c r="AK115" s="969"/>
      <c r="AL115" s="969"/>
      <c r="AM115" s="802"/>
      <c r="AN115" s="970"/>
      <c r="AO115" s="429"/>
      <c r="AP115" s="971"/>
      <c r="AQ115" s="410"/>
      <c r="AR115" s="500"/>
      <c r="AS115" s="802"/>
      <c r="AT115" s="501"/>
      <c r="AU115" s="501"/>
      <c r="AV115" s="501"/>
      <c r="AW115" s="972"/>
      <c r="AX115" s="976"/>
      <c r="AY115" s="496"/>
      <c r="AZ115" s="496"/>
      <c r="BA115" s="487"/>
      <c r="BB115" s="539"/>
      <c r="BC115" s="553"/>
      <c r="BD115" s="509"/>
      <c r="BE115" s="492"/>
      <c r="BF115" s="511"/>
      <c r="BG115" s="356"/>
      <c r="BH115" s="509"/>
      <c r="BI115" s="488"/>
      <c r="BJ115" s="407"/>
    </row>
    <row r="116" spans="1:72" s="396" customFormat="1" ht="13.15" customHeight="1" x14ac:dyDescent="0.2">
      <c r="A116" s="375"/>
      <c r="B116" s="375"/>
      <c r="C116" s="391"/>
      <c r="D116" s="366"/>
      <c r="E116" s="357"/>
      <c r="F116" s="394"/>
      <c r="G116" s="366"/>
      <c r="H116" s="366"/>
      <c r="I116" s="451"/>
      <c r="J116" s="372"/>
      <c r="K116" s="372"/>
      <c r="L116" s="616"/>
      <c r="M116" s="369"/>
      <c r="N116" s="579"/>
      <c r="O116" s="579"/>
      <c r="P116" s="579"/>
      <c r="Q116" s="369"/>
      <c r="R116" s="421"/>
      <c r="S116" s="392"/>
      <c r="T116" s="366"/>
      <c r="U116" s="369"/>
      <c r="V116" s="394"/>
      <c r="W116" s="394"/>
      <c r="X116" s="370"/>
      <c r="Y116" s="371"/>
      <c r="Z116" s="647"/>
      <c r="AA116" s="648"/>
      <c r="AB116" s="647"/>
      <c r="AC116" s="647"/>
      <c r="AD116" s="647"/>
      <c r="AE116" s="647"/>
      <c r="AF116" s="647"/>
      <c r="AG116" s="648"/>
      <c r="AH116" s="648"/>
      <c r="AI116" s="648"/>
      <c r="AJ116" s="648"/>
      <c r="AK116" s="648"/>
      <c r="AL116" s="648"/>
      <c r="AM116" s="647"/>
      <c r="AN116" s="930"/>
      <c r="AO116" s="371"/>
      <c r="AP116" s="973"/>
      <c r="AQ116" s="370"/>
      <c r="AR116" s="368"/>
      <c r="AS116" s="647"/>
      <c r="AT116" s="373"/>
      <c r="AU116" s="373"/>
      <c r="AV116" s="373"/>
      <c r="AW116" s="933"/>
      <c r="AX116" s="975"/>
      <c r="AY116" s="676"/>
      <c r="AZ116" s="676"/>
      <c r="BA116" s="481"/>
      <c r="BB116" s="624"/>
      <c r="BC116" s="620"/>
      <c r="BD116" s="482"/>
      <c r="BE116" s="493"/>
      <c r="BF116" s="483"/>
      <c r="BG116" s="357"/>
      <c r="BH116" s="482"/>
      <c r="BI116" s="400"/>
      <c r="BJ116" s="392"/>
      <c r="BK116" s="374"/>
      <c r="BL116" s="374"/>
      <c r="BM116" s="374"/>
      <c r="BN116" s="374"/>
      <c r="BO116" s="374"/>
      <c r="BP116" s="374"/>
      <c r="BQ116" s="374"/>
      <c r="BR116" s="374"/>
      <c r="BS116" s="374"/>
      <c r="BT116" s="374"/>
    </row>
    <row r="117" spans="1:72" s="387" customFormat="1" ht="13.15" customHeight="1" x14ac:dyDescent="0.2">
      <c r="A117" s="484"/>
      <c r="B117" s="484"/>
      <c r="C117" s="379"/>
      <c r="D117" s="347"/>
      <c r="E117" s="349"/>
      <c r="F117" s="384"/>
      <c r="G117" s="347"/>
      <c r="H117" s="347"/>
      <c r="I117" s="485"/>
      <c r="J117" s="380"/>
      <c r="K117" s="380"/>
      <c r="L117" s="706"/>
      <c r="M117" s="381"/>
      <c r="N117" s="381"/>
      <c r="O117" s="381"/>
      <c r="P117" s="381"/>
      <c r="Q117" s="405"/>
      <c r="R117" s="399"/>
      <c r="S117" s="382"/>
      <c r="T117" s="355"/>
      <c r="U117" s="408"/>
      <c r="V117" s="409"/>
      <c r="W117" s="409"/>
      <c r="X117" s="410"/>
      <c r="Y117" s="429"/>
      <c r="Z117" s="802"/>
      <c r="AA117" s="969"/>
      <c r="AB117" s="802"/>
      <c r="AC117" s="802"/>
      <c r="AD117" s="802"/>
      <c r="AE117" s="802"/>
      <c r="AF117" s="802"/>
      <c r="AG117" s="969"/>
      <c r="AH117" s="969"/>
      <c r="AI117" s="969"/>
      <c r="AJ117" s="969"/>
      <c r="AK117" s="969"/>
      <c r="AL117" s="969"/>
      <c r="AM117" s="802"/>
      <c r="AN117" s="970"/>
      <c r="AO117" s="429"/>
      <c r="AP117" s="971"/>
      <c r="AQ117" s="500"/>
      <c r="AR117" s="500"/>
      <c r="AS117" s="802"/>
      <c r="AT117" s="501"/>
      <c r="AU117" s="501"/>
      <c r="AV117" s="501"/>
      <c r="AW117" s="940"/>
      <c r="AX117" s="976"/>
      <c r="AY117" s="496"/>
      <c r="AZ117" s="496"/>
      <c r="BA117" s="487"/>
      <c r="BB117" s="539"/>
      <c r="BC117" s="553"/>
      <c r="BD117" s="511"/>
      <c r="BE117" s="492"/>
      <c r="BF117" s="511"/>
      <c r="BG117" s="356"/>
      <c r="BH117" s="509"/>
      <c r="BI117" s="488"/>
      <c r="BJ117" s="407"/>
      <c r="BK117" s="396"/>
      <c r="BL117" s="396"/>
      <c r="BM117" s="396"/>
      <c r="BN117" s="396"/>
      <c r="BO117" s="396"/>
      <c r="BP117" s="396"/>
      <c r="BQ117" s="396"/>
      <c r="BR117" s="396"/>
      <c r="BS117" s="396"/>
      <c r="BT117" s="396"/>
    </row>
    <row r="118" spans="1:72" s="396" customFormat="1" ht="13.15" customHeight="1" x14ac:dyDescent="0.2">
      <c r="A118" s="402"/>
      <c r="B118" s="402"/>
      <c r="C118" s="403"/>
      <c r="D118" s="355"/>
      <c r="E118" s="356"/>
      <c r="F118" s="409"/>
      <c r="G118" s="355"/>
      <c r="H118" s="355"/>
      <c r="I118" s="452"/>
      <c r="J118" s="404"/>
      <c r="K118" s="404"/>
      <c r="L118" s="937"/>
      <c r="M118" s="405"/>
      <c r="N118" s="463"/>
      <c r="O118" s="463"/>
      <c r="P118" s="463"/>
      <c r="Q118" s="405"/>
      <c r="R118" s="406"/>
      <c r="S118" s="407"/>
      <c r="T118" s="355"/>
      <c r="U118" s="408"/>
      <c r="V118" s="409"/>
      <c r="W118" s="409"/>
      <c r="X118" s="410"/>
      <c r="Y118" s="429"/>
      <c r="Z118" s="802"/>
      <c r="AA118" s="969"/>
      <c r="AB118" s="802"/>
      <c r="AC118" s="802"/>
      <c r="AD118" s="802"/>
      <c r="AE118" s="802"/>
      <c r="AF118" s="802"/>
      <c r="AG118" s="969"/>
      <c r="AH118" s="969"/>
      <c r="AI118" s="969"/>
      <c r="AJ118" s="969"/>
      <c r="AK118" s="969"/>
      <c r="AL118" s="969"/>
      <c r="AM118" s="802"/>
      <c r="AN118" s="970"/>
      <c r="AO118" s="429"/>
      <c r="AP118" s="971"/>
      <c r="AQ118" s="410"/>
      <c r="AR118" s="500"/>
      <c r="AS118" s="802"/>
      <c r="AT118" s="501"/>
      <c r="AU118" s="940"/>
      <c r="AV118" s="501"/>
      <c r="AW118" s="972"/>
      <c r="AX118" s="976"/>
      <c r="AY118" s="486"/>
      <c r="AZ118" s="486"/>
      <c r="BA118" s="487"/>
      <c r="BB118" s="539"/>
      <c r="BC118" s="553"/>
      <c r="BD118" s="509"/>
      <c r="BE118" s="492"/>
      <c r="BF118" s="511"/>
      <c r="BG118" s="356"/>
      <c r="BH118" s="509"/>
      <c r="BI118" s="356"/>
      <c r="BJ118" s="554"/>
    </row>
  </sheetData>
  <autoFilter ref="A1:BT91">
    <sortState ref="A2:BT117">
      <sortCondition ref="A1:A91"/>
    </sortState>
  </autoFilter>
  <dataValidations count="2">
    <dataValidation type="list" allowBlank="1" showInputMessage="1" showErrorMessage="1" sqref="BC87 BC93:BC94 BC99:BC100">
      <formula1>$B$8:$B$23</formula1>
    </dataValidation>
    <dataValidation type="list" allowBlank="1" showInputMessage="1" showErrorMessage="1" sqref="BC8 BC10 BC12 BC17 BC19">
      <formula1>$B$6:$B$18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Variables!$A$4:$A$10</xm:f>
          </x14:formula1>
          <xm:sqref>BG85:BG94 BG96:BG101 AU111:AU113 AU102 BG1:BG3 BG6:BG7 BG11 BG13:BG16 BG18 BG20:BG68</xm:sqref>
        </x14:dataValidation>
        <x14:dataValidation type="list" allowBlank="1" showInputMessage="1" showErrorMessage="1">
          <x14:formula1>
            <xm:f>Variables!$A$4:$A$11</xm:f>
          </x14:formula1>
          <xm:sqref>BC59:BC68 BC85:BC86 BC88:BC92 BC96:BC98 BC30:BC56 BC101 BG114:BG118 BC107:BC110 BG107:BG110 BC114:BC118 BC2 BC6:BC7 BC11 BC13:BC16 BC18 BC20:BC28</xm:sqref>
        </x14:dataValidation>
        <x14:dataValidation type="list" allowBlank="1" showInputMessage="1" showErrorMessage="1">
          <x14:formula1>
            <xm:f>'Z:\SECRETARIAT\ACTIVITE\2015\Activité 2015\Activité 2015\[ENFANTS 2015.xlsx]Variables'!#REF!</xm:f>
          </x14:formula1>
          <xm:sqref>AY6:AZ6 BG12 BG8:BG10 AY2:AZ3 BG4:BG5 BC4:BC5 BG17 BG19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I27"/>
  <sheetViews>
    <sheetView workbookViewId="0">
      <selection activeCell="C4" sqref="C4"/>
    </sheetView>
  </sheetViews>
  <sheetFormatPr baseColWidth="10" defaultRowHeight="12.75" x14ac:dyDescent="0.2"/>
  <cols>
    <col min="1" max="1" width="24.85546875" customWidth="1"/>
    <col min="2" max="2" width="3.85546875" style="5" customWidth="1"/>
    <col min="3" max="3" width="6.28515625" customWidth="1"/>
    <col min="4" max="4" width="9" customWidth="1"/>
    <col min="5" max="5" width="11.140625" style="5" customWidth="1"/>
    <col min="6" max="6" width="12.28515625" style="5" customWidth="1"/>
    <col min="7" max="7" width="7.42578125" style="5" customWidth="1"/>
    <col min="8" max="8" width="10.28515625" customWidth="1"/>
    <col min="9" max="9" width="6.42578125" customWidth="1"/>
    <col min="10" max="24" width="16.140625" customWidth="1"/>
    <col min="25" max="25" width="5" customWidth="1"/>
    <col min="26" max="29" width="16.140625" customWidth="1"/>
    <col min="30" max="30" width="5" customWidth="1"/>
    <col min="31" max="31" width="8" customWidth="1"/>
    <col min="32" max="32" width="9.140625" customWidth="1"/>
    <col min="33" max="33" width="2.5703125" customWidth="1"/>
    <col min="34" max="36" width="8" customWidth="1"/>
    <col min="37" max="37" width="9.5703125" customWidth="1"/>
    <col min="38" max="38" width="8" customWidth="1"/>
    <col min="39" max="39" width="2.5703125" customWidth="1"/>
    <col min="40" max="43" width="8" customWidth="1"/>
    <col min="44" max="44" width="9.5703125" customWidth="1"/>
    <col min="45" max="45" width="5" customWidth="1"/>
  </cols>
  <sheetData>
    <row r="1" spans="1:9" x14ac:dyDescent="0.2">
      <c r="A1" s="3" t="s">
        <v>53</v>
      </c>
      <c r="B1" s="4">
        <f>COUNTA(#REF!)</f>
        <v>1</v>
      </c>
      <c r="D1" s="89" t="s">
        <v>54</v>
      </c>
      <c r="E1" s="4"/>
      <c r="F1" s="3"/>
      <c r="G1" s="3"/>
      <c r="H1" s="35">
        <f>B1/'[3]Fam. Admises'!$I$1</f>
        <v>0.02</v>
      </c>
    </row>
    <row r="2" spans="1:9" x14ac:dyDescent="0.2">
      <c r="A2" s="3" t="s">
        <v>55</v>
      </c>
      <c r="B2" s="4">
        <f>COUNTA(#REF!)</f>
        <v>1</v>
      </c>
      <c r="D2" s="89"/>
      <c r="E2" s="4"/>
      <c r="F2" s="3"/>
      <c r="G2" s="3"/>
      <c r="H2" s="35"/>
    </row>
    <row r="3" spans="1:9" ht="13.5" thickBot="1" x14ac:dyDescent="0.25">
      <c r="A3" s="3" t="s">
        <v>56</v>
      </c>
      <c r="B3" s="4">
        <f>B1-B2:C2</f>
        <v>0</v>
      </c>
      <c r="C3" s="3"/>
      <c r="D3" s="89" t="s">
        <v>64</v>
      </c>
      <c r="F3"/>
      <c r="G3" s="3"/>
      <c r="H3" s="34">
        <f>$B$1/'calculs enfants présents'!$B$2</f>
        <v>9.5238095238095247E-3</v>
      </c>
    </row>
    <row r="4" spans="1:9" ht="13.5" thickTop="1" x14ac:dyDescent="0.2">
      <c r="A4" s="67" t="s">
        <v>19</v>
      </c>
      <c r="B4" s="68" t="e">
        <f>COUNTIF(#REF!,"V")</f>
        <v>#REF!</v>
      </c>
      <c r="C4" s="77" t="e">
        <f t="shared" ref="C4:C13" si="0">B4/$B$1</f>
        <v>#REF!</v>
      </c>
      <c r="E4" s="61" t="s">
        <v>5</v>
      </c>
      <c r="F4" s="62" t="s">
        <v>26</v>
      </c>
      <c r="G4" s="62" t="s">
        <v>27</v>
      </c>
      <c r="H4" s="62" t="s">
        <v>28</v>
      </c>
      <c r="I4" s="63"/>
    </row>
    <row r="5" spans="1:9" x14ac:dyDescent="0.2">
      <c r="A5" s="70" t="s">
        <v>15</v>
      </c>
      <c r="B5" s="71" t="e">
        <f>COUNTIF(#REF!,"D")</f>
        <v>#REF!</v>
      </c>
      <c r="C5" s="78" t="e">
        <f t="shared" si="0"/>
        <v>#REF!</v>
      </c>
      <c r="D5" s="49"/>
      <c r="E5" s="64" t="s">
        <v>101</v>
      </c>
      <c r="F5" s="12" t="e">
        <f>COUNTIF(#REF!,"M")</f>
        <v>#REF!</v>
      </c>
      <c r="G5" s="12" t="e">
        <f>COUNTIF(#REF!,"F")</f>
        <v>#REF!</v>
      </c>
      <c r="H5" s="13" t="e">
        <f>SUM(F5:G5)</f>
        <v>#REF!</v>
      </c>
      <c r="I5" s="65" t="e">
        <f>H5/$B$1</f>
        <v>#REF!</v>
      </c>
    </row>
    <row r="6" spans="1:9" x14ac:dyDescent="0.2">
      <c r="A6" s="70" t="s">
        <v>12</v>
      </c>
      <c r="B6" s="71" t="e">
        <f>COUNTIF(#REF!,"M")</f>
        <v>#REF!</v>
      </c>
      <c r="C6" s="78" t="e">
        <f t="shared" si="0"/>
        <v>#REF!</v>
      </c>
      <c r="D6" s="49"/>
      <c r="E6" s="64" t="s">
        <v>102</v>
      </c>
      <c r="F6" s="12" t="e">
        <f>COUNTIF(#REF!,"M")</f>
        <v>#REF!</v>
      </c>
      <c r="G6" s="12" t="e">
        <f>COUNTIF(#REF!,"F")</f>
        <v>#REF!</v>
      </c>
      <c r="H6" s="13" t="e">
        <f>SUM(F6:G6)</f>
        <v>#REF!</v>
      </c>
      <c r="I6" s="65" t="e">
        <f>H6/$B$1</f>
        <v>#REF!</v>
      </c>
    </row>
    <row r="7" spans="1:9" x14ac:dyDescent="0.2">
      <c r="A7" s="70" t="s">
        <v>85</v>
      </c>
      <c r="B7" s="71" t="e">
        <f>COUNTIF(#REF!,"B")</f>
        <v>#REF!</v>
      </c>
      <c r="C7" s="78" t="e">
        <f t="shared" si="0"/>
        <v>#REF!</v>
      </c>
      <c r="D7" s="49"/>
      <c r="E7" s="64" t="s">
        <v>103</v>
      </c>
      <c r="F7" s="12" t="e">
        <f>COUNTIF(#REF!,"M")</f>
        <v>#REF!</v>
      </c>
      <c r="G7" s="12" t="e">
        <f>COUNTIF(#REF!,"F")</f>
        <v>#REF!</v>
      </c>
      <c r="H7" s="13" t="e">
        <f>SUM(F7:G7)</f>
        <v>#REF!</v>
      </c>
      <c r="I7" s="65" t="e">
        <f>H7/$B$1</f>
        <v>#REF!</v>
      </c>
    </row>
    <row r="8" spans="1:9" x14ac:dyDescent="0.2">
      <c r="A8" s="70" t="s">
        <v>37</v>
      </c>
      <c r="B8" s="71" t="e">
        <f>COUNTIF(#REF!,"Y")</f>
        <v>#REF!</v>
      </c>
      <c r="C8" s="78" t="e">
        <f t="shared" si="0"/>
        <v>#REF!</v>
      </c>
      <c r="D8" s="49"/>
      <c r="E8" s="64" t="s">
        <v>32</v>
      </c>
      <c r="F8" s="12" t="e">
        <f>COUNTIF(#REF!,"M")</f>
        <v>#REF!</v>
      </c>
      <c r="G8" s="12" t="e">
        <f>COUNTIF(#REF!,"F")</f>
        <v>#REF!</v>
      </c>
      <c r="H8" s="13" t="e">
        <f>SUM(F8:G8)</f>
        <v>#REF!</v>
      </c>
      <c r="I8" s="65" t="e">
        <f>H8/$B$1</f>
        <v>#REF!</v>
      </c>
    </row>
    <row r="9" spans="1:9" x14ac:dyDescent="0.2">
      <c r="A9" s="70" t="s">
        <v>150</v>
      </c>
      <c r="B9" s="71" t="e">
        <f>COUNTIF(#REF!,"E")</f>
        <v>#REF!</v>
      </c>
      <c r="C9" s="78" t="e">
        <f t="shared" si="0"/>
        <v>#REF!</v>
      </c>
      <c r="D9" s="49"/>
      <c r="E9" s="139" t="s">
        <v>104</v>
      </c>
      <c r="F9" s="12" t="e">
        <f>COUNTIF(#REF!,"M")</f>
        <v>#REF!</v>
      </c>
      <c r="G9" s="12" t="e">
        <f>COUNTIF(#REF!,"F")</f>
        <v>#REF!</v>
      </c>
      <c r="H9" s="13" t="e">
        <f>SUM(F9:G9)</f>
        <v>#REF!</v>
      </c>
      <c r="I9" s="65" t="e">
        <f>H9/$B$1</f>
        <v>#REF!</v>
      </c>
    </row>
    <row r="10" spans="1:9" ht="13.5" thickBot="1" x14ac:dyDescent="0.25">
      <c r="A10" s="70" t="s">
        <v>151</v>
      </c>
      <c r="B10" s="71" t="e">
        <f>COUNTIF(#REF!,"Q")</f>
        <v>#REF!</v>
      </c>
      <c r="C10" s="78" t="e">
        <f t="shared" si="0"/>
        <v>#REF!</v>
      </c>
      <c r="D10" s="50"/>
      <c r="E10" s="66"/>
      <c r="F10" s="140" t="e">
        <f>SUM(F5:F9)</f>
        <v>#REF!</v>
      </c>
      <c r="G10" s="140" t="e">
        <f>SUM(G5:G9)</f>
        <v>#REF!</v>
      </c>
      <c r="H10" s="140" t="e">
        <f>SUM(H5:H9)</f>
        <v>#REF!</v>
      </c>
      <c r="I10" s="133" t="e">
        <f>SUM(I5:I9)</f>
        <v>#REF!</v>
      </c>
    </row>
    <row r="11" spans="1:9" ht="13.5" thickTop="1" x14ac:dyDescent="0.2">
      <c r="A11" s="70" t="s">
        <v>25</v>
      </c>
      <c r="B11" s="71" t="e">
        <f>COUNTIF(#REF!,"C")</f>
        <v>#REF!</v>
      </c>
      <c r="C11" s="78" t="e">
        <f t="shared" si="0"/>
        <v>#REF!</v>
      </c>
      <c r="D11" s="50"/>
      <c r="E11"/>
      <c r="F11"/>
      <c r="G11"/>
    </row>
    <row r="12" spans="1:9" x14ac:dyDescent="0.2">
      <c r="A12" s="70" t="s">
        <v>153</v>
      </c>
      <c r="B12" s="71" t="e">
        <f>COUNTIF(#REF!,"Bo")</f>
        <v>#REF!</v>
      </c>
      <c r="C12" s="78" t="e">
        <f t="shared" si="0"/>
        <v>#REF!</v>
      </c>
      <c r="D12" s="50"/>
      <c r="E12"/>
      <c r="F12"/>
      <c r="G12"/>
    </row>
    <row r="13" spans="1:9" x14ac:dyDescent="0.2">
      <c r="A13" s="70" t="s">
        <v>152</v>
      </c>
      <c r="B13" s="71" t="e">
        <f>COUNTIF(#REF!,"Va")</f>
        <v>#REF!</v>
      </c>
      <c r="C13" s="78" t="e">
        <f t="shared" si="0"/>
        <v>#REF!</v>
      </c>
      <c r="F13"/>
      <c r="G13"/>
    </row>
    <row r="14" spans="1:9" ht="13.5" thickBot="1" x14ac:dyDescent="0.25">
      <c r="A14" s="75" t="s">
        <v>28</v>
      </c>
      <c r="B14" s="76" t="e">
        <f>SUM(B4:B13)</f>
        <v>#REF!</v>
      </c>
      <c r="C14" s="55" t="e">
        <f>SUM(C4:C7)</f>
        <v>#REF!</v>
      </c>
      <c r="F14"/>
      <c r="G14"/>
    </row>
    <row r="15" spans="1:9" ht="13.5" thickTop="1" x14ac:dyDescent="0.2">
      <c r="A15" s="91"/>
      <c r="B15" s="74"/>
      <c r="C15" s="73"/>
      <c r="F15"/>
    </row>
    <row r="16" spans="1:9" x14ac:dyDescent="0.2">
      <c r="B16"/>
      <c r="D16" s="3"/>
      <c r="F16"/>
      <c r="G16"/>
    </row>
    <row r="17" spans="2:6" x14ac:dyDescent="0.2">
      <c r="B17"/>
      <c r="F17"/>
    </row>
    <row r="18" spans="2:6" x14ac:dyDescent="0.2">
      <c r="B18"/>
      <c r="F18"/>
    </row>
    <row r="19" spans="2:6" x14ac:dyDescent="0.2">
      <c r="B19"/>
      <c r="F19"/>
    </row>
    <row r="20" spans="2:6" x14ac:dyDescent="0.2">
      <c r="B20"/>
      <c r="F20"/>
    </row>
    <row r="21" spans="2:6" x14ac:dyDescent="0.2">
      <c r="B21"/>
      <c r="F21"/>
    </row>
    <row r="22" spans="2:6" x14ac:dyDescent="0.2">
      <c r="B22"/>
      <c r="F22"/>
    </row>
    <row r="23" spans="2:6" x14ac:dyDescent="0.2">
      <c r="B23"/>
      <c r="F23"/>
    </row>
    <row r="24" spans="2:6" x14ac:dyDescent="0.2">
      <c r="B24" s="4"/>
      <c r="C24" s="3"/>
      <c r="F24"/>
    </row>
    <row r="25" spans="2:6" x14ac:dyDescent="0.2">
      <c r="B25"/>
      <c r="F25"/>
    </row>
    <row r="26" spans="2:6" x14ac:dyDescent="0.2">
      <c r="B26" s="4"/>
      <c r="C26" s="3"/>
      <c r="F26"/>
    </row>
    <row r="27" spans="2:6" x14ac:dyDescent="0.2">
      <c r="F27"/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landscape" horizontalDpi="360" verticalDpi="36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BZ86"/>
  <sheetViews>
    <sheetView zoomScale="85" zoomScaleNormal="85" workbookViewId="0">
      <pane ySplit="1" topLeftCell="A2" activePane="bottomLeft" state="frozen"/>
      <selection pane="bottomLeft" activeCell="AP14" sqref="AP14"/>
    </sheetView>
  </sheetViews>
  <sheetFormatPr baseColWidth="10" defaultColWidth="11.42578125" defaultRowHeight="12.75" x14ac:dyDescent="0.2"/>
  <cols>
    <col min="1" max="2" width="27.7109375" style="378" bestFit="1" customWidth="1"/>
    <col min="3" max="3" width="14.85546875" style="379" customWidth="1"/>
    <col min="4" max="4" width="14.42578125" style="347" customWidth="1"/>
    <col min="5" max="5" width="14.42578125" style="349" customWidth="1"/>
    <col min="6" max="6" width="2.42578125" style="384" customWidth="1"/>
    <col min="7" max="8" width="2.42578125" style="347" customWidth="1"/>
    <col min="9" max="9" width="13.28515625" style="384" customWidth="1"/>
    <col min="10" max="10" width="9.85546875" style="380" customWidth="1"/>
    <col min="11" max="11" width="9.85546875" style="380" hidden="1" customWidth="1"/>
    <col min="12" max="16" width="9.85546875" style="380" customWidth="1"/>
    <col min="17" max="17" width="8.42578125" style="381" customWidth="1"/>
    <col min="18" max="18" width="5" style="399" customWidth="1"/>
    <col min="19" max="19" width="5.28515625" style="382" customWidth="1"/>
    <col min="20" max="20" width="11.7109375" style="347" hidden="1" customWidth="1"/>
    <col min="21" max="21" width="11.7109375" style="383" hidden="1" customWidth="1"/>
    <col min="22" max="23" width="11.7109375" style="384" hidden="1" customWidth="1"/>
    <col min="24" max="24" width="8.42578125" style="385" customWidth="1"/>
    <col min="25" max="25" width="6.85546875" style="353" customWidth="1"/>
    <col min="26" max="26" width="6" style="347" customWidth="1"/>
    <col min="27" max="27" width="4.7109375" style="382" customWidth="1"/>
    <col min="28" max="28" width="5.140625" style="347" customWidth="1"/>
    <col min="29" max="29" width="5.7109375" style="347" customWidth="1"/>
    <col min="30" max="30" width="5.42578125" style="347" customWidth="1"/>
    <col min="31" max="31" width="4.42578125" style="347" customWidth="1"/>
    <col min="32" max="32" width="5.5703125" style="347" hidden="1" customWidth="1"/>
    <col min="33" max="33" width="8.28515625" style="382" hidden="1" customWidth="1"/>
    <col min="34" max="34" width="5.85546875" style="382" hidden="1" customWidth="1"/>
    <col min="35" max="36" width="7.5703125" style="382" hidden="1" customWidth="1"/>
    <col min="37" max="37" width="9.42578125" style="382" hidden="1" customWidth="1"/>
    <col min="38" max="38" width="6.42578125" style="382" hidden="1" customWidth="1"/>
    <col min="39" max="39" width="5.7109375" style="347" hidden="1" customWidth="1"/>
    <col min="40" max="40" width="6.140625" style="384" customWidth="1"/>
    <col min="41" max="41" width="7.28515625" style="386" customWidth="1"/>
    <col min="42" max="42" width="20.42578125" style="345" customWidth="1"/>
    <col min="43" max="44" width="8.42578125" style="411" customWidth="1"/>
    <col min="45" max="45" width="9.42578125" style="347" customWidth="1"/>
    <col min="46" max="46" width="9.28515625" style="412" customWidth="1"/>
    <col min="47" max="47" width="11.7109375" style="412" customWidth="1"/>
    <col min="48" max="48" width="7.5703125" style="367" customWidth="1"/>
    <col min="49" max="49" width="8.5703125" style="348" customWidth="1"/>
    <col min="50" max="50" width="8.5703125" style="427" customWidth="1"/>
    <col min="51" max="51" width="10.85546875" style="473" customWidth="1"/>
    <col min="52" max="52" width="11.140625" style="473" customWidth="1"/>
    <col min="53" max="53" width="10.42578125" style="473" bestFit="1" customWidth="1"/>
    <col min="54" max="54" width="12.42578125" style="461" bestFit="1" customWidth="1"/>
    <col min="55" max="55" width="9.85546875" style="470" bestFit="1" customWidth="1"/>
    <col min="56" max="56" width="10.85546875" style="459" bestFit="1" customWidth="1"/>
    <col min="57" max="57" width="15.28515625" style="473" bestFit="1" customWidth="1"/>
    <col min="58" max="58" width="12.42578125" style="459" bestFit="1" customWidth="1"/>
    <col min="59" max="59" width="11.5703125" style="322" bestFit="1" customWidth="1"/>
    <col min="60" max="60" width="11.42578125" style="459" bestFit="1" customWidth="1"/>
    <col min="61" max="61" width="12.28515625" style="387" bestFit="1" customWidth="1"/>
    <col min="62" max="63" width="12.28515625" style="387" customWidth="1"/>
    <col min="64" max="64" width="10.28515625" style="387" customWidth="1"/>
    <col min="65" max="65" width="10.140625" style="387" customWidth="1"/>
    <col min="66" max="66" width="10" style="387" customWidth="1"/>
    <col min="67" max="67" width="10.28515625" style="387" customWidth="1"/>
    <col min="68" max="68" width="10" style="387" customWidth="1"/>
    <col min="69" max="69" width="4.85546875" style="387" customWidth="1"/>
    <col min="70" max="70" width="3.7109375" style="387" customWidth="1"/>
    <col min="71" max="71" width="4.85546875" style="387" customWidth="1"/>
    <col min="72" max="72" width="4.7109375" style="387" customWidth="1"/>
    <col min="73" max="73" width="5.7109375" style="387" customWidth="1"/>
    <col min="74" max="75" width="6.5703125" style="387" customWidth="1"/>
    <col min="76" max="76" width="4.5703125" style="387" customWidth="1"/>
    <col min="77" max="16384" width="11.42578125" style="374"/>
  </cols>
  <sheetData>
    <row r="1" spans="1:78" s="344" customFormat="1" ht="70.150000000000006" customHeight="1" thickBot="1" x14ac:dyDescent="0.25">
      <c r="A1" s="494" t="s">
        <v>410</v>
      </c>
      <c r="B1" s="494" t="s">
        <v>0</v>
      </c>
      <c r="C1" s="330" t="s">
        <v>1</v>
      </c>
      <c r="D1" s="330" t="s">
        <v>2</v>
      </c>
      <c r="E1" s="537" t="s">
        <v>363</v>
      </c>
      <c r="F1" s="329" t="s">
        <v>66</v>
      </c>
      <c r="G1" s="330" t="s">
        <v>67</v>
      </c>
      <c r="H1" s="330" t="s">
        <v>62</v>
      </c>
      <c r="I1" s="453" t="s">
        <v>263</v>
      </c>
      <c r="J1" s="331" t="s">
        <v>8</v>
      </c>
      <c r="K1" s="331"/>
      <c r="L1" s="453" t="s">
        <v>264</v>
      </c>
      <c r="M1" s="453" t="s">
        <v>419</v>
      </c>
      <c r="N1" s="453" t="s">
        <v>418</v>
      </c>
      <c r="O1" s="453"/>
      <c r="P1" s="453"/>
      <c r="Q1" s="332" t="s">
        <v>9</v>
      </c>
      <c r="R1" s="333" t="s">
        <v>148</v>
      </c>
      <c r="S1" s="334" t="s">
        <v>20</v>
      </c>
      <c r="T1" s="335" t="s">
        <v>123</v>
      </c>
      <c r="U1" s="335" t="s">
        <v>3</v>
      </c>
      <c r="V1" s="336" t="s">
        <v>124</v>
      </c>
      <c r="W1" s="336" t="s">
        <v>125</v>
      </c>
      <c r="X1" s="337" t="s">
        <v>4</v>
      </c>
      <c r="Y1" s="414" t="s">
        <v>5</v>
      </c>
      <c r="Z1" s="330" t="s">
        <v>6</v>
      </c>
      <c r="AA1" s="339" t="s">
        <v>114</v>
      </c>
      <c r="AB1" s="340" t="s">
        <v>109</v>
      </c>
      <c r="AC1" s="340" t="s">
        <v>110</v>
      </c>
      <c r="AD1" s="340" t="s">
        <v>111</v>
      </c>
      <c r="AE1" s="340" t="s">
        <v>112</v>
      </c>
      <c r="AF1" s="330" t="s">
        <v>7</v>
      </c>
      <c r="AG1" s="334" t="s">
        <v>126</v>
      </c>
      <c r="AH1" s="334" t="s">
        <v>127</v>
      </c>
      <c r="AI1" s="341" t="s">
        <v>128</v>
      </c>
      <c r="AJ1" s="341" t="s">
        <v>129</v>
      </c>
      <c r="AK1" s="341" t="s">
        <v>130</v>
      </c>
      <c r="AL1" s="341" t="s">
        <v>10</v>
      </c>
      <c r="AM1" s="330"/>
      <c r="AN1" s="342" t="s">
        <v>174</v>
      </c>
      <c r="AO1" s="338" t="s">
        <v>175</v>
      </c>
      <c r="AP1" s="334" t="s">
        <v>11</v>
      </c>
      <c r="AQ1" s="337" t="s">
        <v>68</v>
      </c>
      <c r="AR1" s="337" t="str">
        <f>Q1</f>
        <v>Sortie</v>
      </c>
      <c r="AS1" s="335" t="s">
        <v>69</v>
      </c>
      <c r="AT1" s="343" t="s">
        <v>176</v>
      </c>
      <c r="AU1" s="363" t="s">
        <v>177</v>
      </c>
      <c r="AV1" s="364">
        <v>42005</v>
      </c>
      <c r="AW1" s="343" t="s">
        <v>149</v>
      </c>
      <c r="AX1" s="428" t="s">
        <v>239</v>
      </c>
      <c r="AY1" s="474" t="s">
        <v>285</v>
      </c>
      <c r="AZ1" s="474" t="s">
        <v>286</v>
      </c>
      <c r="BA1" s="475" t="s">
        <v>287</v>
      </c>
      <c r="BB1" s="476" t="s">
        <v>283</v>
      </c>
      <c r="BC1" s="477" t="s">
        <v>284</v>
      </c>
      <c r="BD1" s="478" t="s">
        <v>277</v>
      </c>
      <c r="BE1" s="475" t="s">
        <v>288</v>
      </c>
      <c r="BF1" s="476" t="s">
        <v>281</v>
      </c>
      <c r="BG1" s="477" t="s">
        <v>282</v>
      </c>
      <c r="BH1" s="478" t="s">
        <v>277</v>
      </c>
      <c r="BI1" s="548" t="s">
        <v>324</v>
      </c>
      <c r="BJ1" s="548" t="s">
        <v>325</v>
      </c>
      <c r="BK1" s="548" t="s">
        <v>323</v>
      </c>
      <c r="BL1" s="549" t="s">
        <v>325</v>
      </c>
      <c r="BM1" s="548" t="s">
        <v>339</v>
      </c>
      <c r="BN1" s="548" t="s">
        <v>325</v>
      </c>
      <c r="BO1" s="548" t="s">
        <v>340</v>
      </c>
      <c r="BP1" s="548" t="s">
        <v>325</v>
      </c>
    </row>
    <row r="2" spans="1:78" ht="13.15" customHeight="1" x14ac:dyDescent="0.2">
      <c r="A2" s="375" t="s">
        <v>677</v>
      </c>
      <c r="B2" s="375" t="s">
        <v>638</v>
      </c>
      <c r="C2" s="391" t="s">
        <v>639</v>
      </c>
      <c r="D2" s="366" t="s">
        <v>179</v>
      </c>
      <c r="E2" s="357" t="s">
        <v>348</v>
      </c>
      <c r="F2" s="394" t="s">
        <v>66</v>
      </c>
      <c r="G2" s="366" t="s">
        <v>67</v>
      </c>
      <c r="H2" s="366"/>
      <c r="I2" s="451">
        <v>42268</v>
      </c>
      <c r="J2" s="372">
        <v>42286</v>
      </c>
      <c r="K2" s="372"/>
      <c r="L2" s="616">
        <f>IF(I2&lt;&gt;"",J2-I2,"")</f>
        <v>18</v>
      </c>
      <c r="M2" s="369">
        <v>42286</v>
      </c>
      <c r="N2" s="579">
        <v>42652</v>
      </c>
      <c r="O2" s="579" t="s">
        <v>730</v>
      </c>
      <c r="P2" s="579"/>
      <c r="Q2" s="369">
        <v>42375</v>
      </c>
      <c r="R2" s="421" t="s">
        <v>16</v>
      </c>
      <c r="S2" s="392" t="s">
        <v>62</v>
      </c>
      <c r="T2" s="366"/>
      <c r="U2" s="393"/>
      <c r="V2" s="394"/>
      <c r="W2" s="394"/>
      <c r="X2" s="370">
        <v>36714</v>
      </c>
      <c r="Y2" s="760">
        <f>(AX2-X2)/365</f>
        <v>16.495890410958904</v>
      </c>
      <c r="Z2" s="366" t="s">
        <v>21</v>
      </c>
      <c r="AA2" s="766" t="str">
        <f>IF(Y2&lt;6,IF(Z2="M","M","F"),"")</f>
        <v/>
      </c>
      <c r="AB2" s="767" t="str">
        <f>IF(AND(Y2&gt;=6,Y2&lt;11),IF(Z2="M","M","F"),"")</f>
        <v/>
      </c>
      <c r="AC2" s="767" t="str">
        <f>IF(AND(Y2&gt;=11,Y2&lt;15),IF(Z2="M","M","F"),"")</f>
        <v/>
      </c>
      <c r="AD2" s="767" t="str">
        <f>IF(AND(Y2&gt;=15,Y2&lt;18),IF(Z2="M","M","F"),"")</f>
        <v>F</v>
      </c>
      <c r="AE2" s="767" t="str">
        <f>IF(Y2&gt;18,IF(Z2="M","M","F"),"")</f>
        <v/>
      </c>
      <c r="AF2" s="767"/>
      <c r="AG2" s="766"/>
      <c r="AH2" s="766"/>
      <c r="AI2" s="766"/>
      <c r="AJ2" s="766"/>
      <c r="AK2" s="766"/>
      <c r="AL2" s="766">
        <f>Q2-J2</f>
        <v>89</v>
      </c>
      <c r="AM2" s="767">
        <f>AL2/365</f>
        <v>0.24383561643835616</v>
      </c>
      <c r="AN2" s="768">
        <f>INT(AM2)</f>
        <v>0</v>
      </c>
      <c r="AO2" s="760">
        <f>(AM2-AN2)*12</f>
        <v>2.9260273972602739</v>
      </c>
      <c r="AP2" s="365"/>
      <c r="AQ2" s="512">
        <v>42286</v>
      </c>
      <c r="AR2" s="783">
        <f>Q2</f>
        <v>42375</v>
      </c>
      <c r="AS2" s="767">
        <f>Q2-AQ2</f>
        <v>89</v>
      </c>
      <c r="AT2" s="788">
        <f>IF(AQ2&gt;'calculs enfants présents'!$A$56,0,IF(Q2&lt;'calculs enfants présents'!$A$56,Q2-AQ2,'calculs enfants présents'!$A$56-AQ2))</f>
        <v>84</v>
      </c>
      <c r="AU2" s="789">
        <f>IF($AQ2&gt;$AV$1,0,IF($Q2&lt;$AV$1,$Q2-$AQ2,$AV$1-$AQ2))</f>
        <v>0</v>
      </c>
      <c r="AV2" s="788">
        <f>AT2-AU2</f>
        <v>84</v>
      </c>
      <c r="AW2" s="367"/>
      <c r="AX2" s="430">
        <f>'calculs enfants présents'!$C$1</f>
        <v>42735</v>
      </c>
      <c r="AY2" s="480">
        <f>N2</f>
        <v>42652</v>
      </c>
      <c r="AZ2" s="480"/>
      <c r="BA2" s="481">
        <f>(N2-30)-(WEEKDAY(N2-30,2)-2)</f>
        <v>42619</v>
      </c>
      <c r="BB2" s="624"/>
      <c r="BC2" s="620"/>
      <c r="BD2" s="673"/>
      <c r="BE2" s="493">
        <f>(J2+90)-(WEEKDAY(J2+90,2)-2)</f>
        <v>42374</v>
      </c>
      <c r="BF2" s="684"/>
      <c r="BG2" s="357"/>
      <c r="BH2" s="482"/>
      <c r="BI2" s="400"/>
      <c r="BJ2" s="357"/>
      <c r="BK2" s="374"/>
      <c r="BL2" s="547"/>
      <c r="BM2" s="374"/>
      <c r="BN2" s="374"/>
      <c r="BO2" s="374"/>
      <c r="BP2" s="374"/>
      <c r="BQ2" s="374"/>
      <c r="BR2" s="374"/>
      <c r="BS2" s="374"/>
      <c r="BT2" s="374"/>
      <c r="BU2" s="374"/>
      <c r="BV2" s="374"/>
      <c r="BW2" s="374"/>
      <c r="BX2" s="374"/>
    </row>
    <row r="3" spans="1:78" ht="13.15" customHeight="1" x14ac:dyDescent="0.2">
      <c r="A3" s="375" t="s">
        <v>214</v>
      </c>
      <c r="B3" s="375" t="s">
        <v>214</v>
      </c>
      <c r="C3" s="391" t="s">
        <v>215</v>
      </c>
      <c r="D3" s="366" t="s">
        <v>179</v>
      </c>
      <c r="E3" s="366"/>
      <c r="F3" s="366" t="s">
        <v>66</v>
      </c>
      <c r="G3" s="366"/>
      <c r="H3" s="366"/>
      <c r="I3" s="366"/>
      <c r="J3" s="512">
        <v>41100</v>
      </c>
      <c r="K3" s="512"/>
      <c r="L3" s="1130" t="str">
        <f>IF(I3&lt;&gt;"",J3-I3,"")</f>
        <v/>
      </c>
      <c r="M3" s="369">
        <v>42195</v>
      </c>
      <c r="N3" s="621">
        <v>42379</v>
      </c>
      <c r="O3" s="621" t="s">
        <v>674</v>
      </c>
      <c r="P3" s="621" t="s">
        <v>674</v>
      </c>
      <c r="Q3" s="621">
        <v>42379</v>
      </c>
      <c r="R3" s="369" t="s">
        <v>156</v>
      </c>
      <c r="S3" s="366" t="s">
        <v>62</v>
      </c>
      <c r="T3" s="366"/>
      <c r="U3" s="393"/>
      <c r="V3" s="366"/>
      <c r="W3" s="366"/>
      <c r="X3" s="370">
        <v>39686</v>
      </c>
      <c r="Y3" s="760">
        <f>(AX3-X3)/365</f>
        <v>7.3506849315068497</v>
      </c>
      <c r="Z3" s="366" t="s">
        <v>13</v>
      </c>
      <c r="AA3" s="775" t="str">
        <f>IF(Y3&lt;6,IF(Z3="M","M","F"),"")</f>
        <v/>
      </c>
      <c r="AB3" s="775" t="str">
        <f>IF(AND(Y3&gt;=6,Y3&lt;11),IF(Z3="M","M","F"),"")</f>
        <v>M</v>
      </c>
      <c r="AC3" s="775" t="str">
        <f>IF(AND(Y3&gt;=11,Y3&lt;15),IF(Z3="M","M","F"),"")</f>
        <v/>
      </c>
      <c r="AD3" s="775" t="str">
        <f>IF(AND(Y3&gt;=15,Y3&lt;18),IF(Z3="M","M","F"),"")</f>
        <v/>
      </c>
      <c r="AE3" s="775" t="str">
        <f>IF(Y3&gt;18,IF(Z3="M","M","F"),"")</f>
        <v/>
      </c>
      <c r="AF3" s="767"/>
      <c r="AG3" s="767"/>
      <c r="AH3" s="767"/>
      <c r="AI3" s="767"/>
      <c r="AJ3" s="767"/>
      <c r="AK3" s="767"/>
      <c r="AL3" s="767">
        <f>Q3-J3</f>
        <v>1279</v>
      </c>
      <c r="AM3" s="767">
        <f>AL3/365</f>
        <v>3.504109589041096</v>
      </c>
      <c r="AN3" s="775">
        <f>INT(AM3)</f>
        <v>3</v>
      </c>
      <c r="AO3" s="760">
        <f>(AM3-AN3)*12</f>
        <v>6.0493150684931525</v>
      </c>
      <c r="AP3" s="1131"/>
      <c r="AQ3" s="1132">
        <f>IF(J3&lt;DATE(2016,1,1),DATE(2016,1,1),J3)</f>
        <v>42370</v>
      </c>
      <c r="AR3" s="1132">
        <f>Q3</f>
        <v>42379</v>
      </c>
      <c r="AS3" s="767">
        <f>Q3-AQ3</f>
        <v>9</v>
      </c>
      <c r="AT3" s="788">
        <f>IF(AQ3&gt;'[1]calculs enfants présents'!$A$56,0,IF(Q3&lt;'[1]calculs enfants présents'!$A$56,Q3-AQ3,'[1]calculs enfants présents'!$A$56-AQ3))</f>
        <v>0</v>
      </c>
      <c r="AU3" s="788">
        <f>IF($AQ3&gt;$AV$1,0,IF($Q3&lt;$AV$1,$Q3-$AQ3,$AV$1-$AQ3))</f>
        <v>0</v>
      </c>
      <c r="AV3" s="788">
        <f>AT3-AU3</f>
        <v>0</v>
      </c>
      <c r="AW3" s="367"/>
      <c r="AX3" s="369">
        <v>42369</v>
      </c>
      <c r="AY3" s="1133">
        <f>N3</f>
        <v>42379</v>
      </c>
      <c r="AZ3" s="1133">
        <f>AR3</f>
        <v>42379</v>
      </c>
      <c r="BA3" s="1133">
        <f>(N3-30)-(WEEKDAY(N3-30,2)-2)</f>
        <v>42346</v>
      </c>
      <c r="BB3" s="670">
        <v>42353</v>
      </c>
      <c r="BC3" s="1134" t="s">
        <v>276</v>
      </c>
      <c r="BD3" s="1129">
        <v>42353</v>
      </c>
      <c r="BE3" s="1135">
        <f>(J3+90)-(WEEKDAY(J3+90,2)-2)</f>
        <v>41191</v>
      </c>
      <c r="BF3" s="483"/>
      <c r="BG3" s="357"/>
      <c r="BH3" s="482"/>
      <c r="BI3" s="400"/>
      <c r="BJ3" s="392"/>
      <c r="BK3" s="1236"/>
      <c r="BL3" s="1236"/>
      <c r="BM3" s="1236"/>
      <c r="BN3" s="1236"/>
      <c r="BO3" s="1236"/>
      <c r="BP3" s="1236"/>
      <c r="BQ3" s="1236"/>
      <c r="BR3" s="1236"/>
      <c r="BS3" s="742"/>
      <c r="BT3" s="742"/>
      <c r="BU3" s="374"/>
      <c r="BV3" s="374"/>
      <c r="BW3" s="374"/>
      <c r="BX3" s="374"/>
    </row>
    <row r="4" spans="1:78" ht="13.15" customHeight="1" x14ac:dyDescent="0.2">
      <c r="A4" s="375" t="s">
        <v>214</v>
      </c>
      <c r="B4" s="375" t="s">
        <v>214</v>
      </c>
      <c r="C4" s="391" t="s">
        <v>188</v>
      </c>
      <c r="D4" s="366" t="s">
        <v>179</v>
      </c>
      <c r="E4" s="366"/>
      <c r="F4" s="366" t="s">
        <v>66</v>
      </c>
      <c r="G4" s="366"/>
      <c r="H4" s="366"/>
      <c r="I4" s="366"/>
      <c r="J4" s="512">
        <v>41100</v>
      </c>
      <c r="K4" s="512"/>
      <c r="L4" s="1130" t="str">
        <f>IF(I4&lt;&gt;"",J4-I4,"")</f>
        <v/>
      </c>
      <c r="M4" s="369">
        <v>42195</v>
      </c>
      <c r="N4" s="621">
        <v>42379</v>
      </c>
      <c r="O4" s="621" t="s">
        <v>674</v>
      </c>
      <c r="P4" s="621" t="s">
        <v>674</v>
      </c>
      <c r="Q4" s="621">
        <v>42379</v>
      </c>
      <c r="R4" s="369" t="s">
        <v>156</v>
      </c>
      <c r="S4" s="366" t="s">
        <v>62</v>
      </c>
      <c r="T4" s="366"/>
      <c r="U4" s="393"/>
      <c r="V4" s="366"/>
      <c r="W4" s="366"/>
      <c r="X4" s="370">
        <v>38415</v>
      </c>
      <c r="Y4" s="760">
        <f>(AX4-X4)/365</f>
        <v>10.832876712328767</v>
      </c>
      <c r="Z4" s="366" t="s">
        <v>13</v>
      </c>
      <c r="AA4" s="775" t="str">
        <f>IF(Y4&lt;6,IF(Z4="M","M","F"),"")</f>
        <v/>
      </c>
      <c r="AB4" s="775" t="str">
        <f>IF(AND(Y4&gt;=6,Y4&lt;11),IF(Z4="M","M","F"),"")</f>
        <v>M</v>
      </c>
      <c r="AC4" s="775" t="str">
        <f>IF(AND(Y4&gt;=11,Y4&lt;15),IF(Z4="M","M","F"),"")</f>
        <v/>
      </c>
      <c r="AD4" s="775" t="str">
        <f>IF(AND(Y4&gt;=15,Y4&lt;18),IF(Z4="M","M","F"),"")</f>
        <v/>
      </c>
      <c r="AE4" s="775" t="str">
        <f>IF(Y4&gt;18,IF(Z4="M","M","F"),"")</f>
        <v/>
      </c>
      <c r="AF4" s="767"/>
      <c r="AG4" s="767"/>
      <c r="AH4" s="767"/>
      <c r="AI4" s="767"/>
      <c r="AJ4" s="767"/>
      <c r="AK4" s="767"/>
      <c r="AL4" s="767">
        <f>Q4-J4</f>
        <v>1279</v>
      </c>
      <c r="AM4" s="767">
        <f>AL4/365</f>
        <v>3.504109589041096</v>
      </c>
      <c r="AN4" s="775">
        <f>INT(AM4)</f>
        <v>3</v>
      </c>
      <c r="AO4" s="760">
        <f>(AM4-AN4)*12</f>
        <v>6.0493150684931525</v>
      </c>
      <c r="AP4" s="1131"/>
      <c r="AQ4" s="1132">
        <f>IF(J4&lt;DATE(2016,1,1),DATE(2016,1,1),J4)</f>
        <v>42370</v>
      </c>
      <c r="AR4" s="1132">
        <f>Q4</f>
        <v>42379</v>
      </c>
      <c r="AS4" s="767">
        <f>Q4-AQ4</f>
        <v>9</v>
      </c>
      <c r="AT4" s="788">
        <f>IF(AQ4&gt;'[1]calculs enfants présents'!$A$56,0,IF(Q4&lt;'[1]calculs enfants présents'!$A$56,Q4-AQ4,'[1]calculs enfants présents'!$A$56-AQ4))</f>
        <v>0</v>
      </c>
      <c r="AU4" s="788">
        <f>IF($AQ4&gt;$AV$1,0,IF($Q4&lt;$AV$1,$Q4-$AQ4,$AV$1-$AQ4))</f>
        <v>0</v>
      </c>
      <c r="AV4" s="788">
        <f>AT4-AU4</f>
        <v>0</v>
      </c>
      <c r="AW4" s="367"/>
      <c r="AX4" s="369">
        <v>42369</v>
      </c>
      <c r="AY4" s="1133">
        <f>N4</f>
        <v>42379</v>
      </c>
      <c r="AZ4" s="1133">
        <f>AR4</f>
        <v>42379</v>
      </c>
      <c r="BA4" s="1133">
        <f>(N4-30)-(WEEKDAY(N4-30,2)-2)</f>
        <v>42346</v>
      </c>
      <c r="BB4" s="1129">
        <v>42353</v>
      </c>
      <c r="BC4" s="1134" t="s">
        <v>276</v>
      </c>
      <c r="BD4" s="1129"/>
      <c r="BE4" s="1135">
        <f>(J4+90)-(WEEKDAY(J4+90,2)-2)</f>
        <v>41191</v>
      </c>
      <c r="BF4" s="483"/>
      <c r="BG4" s="357"/>
      <c r="BH4" s="482"/>
      <c r="BI4" s="400"/>
      <c r="BJ4" s="392"/>
      <c r="BK4" s="582"/>
      <c r="BL4" s="582"/>
      <c r="BM4" s="582"/>
      <c r="BN4" s="582"/>
      <c r="BO4" s="582"/>
      <c r="BP4" s="582"/>
      <c r="BQ4" s="582"/>
      <c r="BR4" s="582"/>
      <c r="BS4" s="374"/>
      <c r="BT4" s="374"/>
      <c r="BU4" s="374"/>
      <c r="BV4" s="374"/>
      <c r="BW4" s="374"/>
      <c r="BX4" s="374"/>
    </row>
    <row r="5" spans="1:78" ht="13.15" customHeight="1" x14ac:dyDescent="0.2">
      <c r="A5" s="375" t="s">
        <v>557</v>
      </c>
      <c r="B5" s="375" t="s">
        <v>557</v>
      </c>
      <c r="C5" s="391" t="s">
        <v>228</v>
      </c>
      <c r="D5" s="366" t="s">
        <v>714</v>
      </c>
      <c r="E5" s="366" t="s">
        <v>138</v>
      </c>
      <c r="F5" s="366" t="s">
        <v>66</v>
      </c>
      <c r="G5" s="366"/>
      <c r="H5" s="366"/>
      <c r="I5" s="1129">
        <v>42177</v>
      </c>
      <c r="J5" s="512">
        <v>42286</v>
      </c>
      <c r="K5" s="512" t="s">
        <v>742</v>
      </c>
      <c r="L5" s="1314">
        <f t="shared" ref="L5:L7" si="0">IF(I5&lt;&gt;"",J5-I5,"")</f>
        <v>109</v>
      </c>
      <c r="M5" s="369">
        <v>42286</v>
      </c>
      <c r="N5" s="369">
        <v>42382</v>
      </c>
      <c r="O5" s="369" t="s">
        <v>674</v>
      </c>
      <c r="P5" s="369" t="s">
        <v>674</v>
      </c>
      <c r="Q5" s="369">
        <v>42382</v>
      </c>
      <c r="R5" s="369" t="s">
        <v>156</v>
      </c>
      <c r="S5" s="366" t="s">
        <v>160</v>
      </c>
      <c r="T5" s="366"/>
      <c r="U5" s="393"/>
      <c r="V5" s="366"/>
      <c r="W5" s="366"/>
      <c r="X5" s="370">
        <v>36594</v>
      </c>
      <c r="Y5" s="760">
        <f t="shared" ref="Y5:Y7" si="1">(AX5-X5)/365</f>
        <v>15.821917808219178</v>
      </c>
      <c r="Z5" s="366" t="s">
        <v>21</v>
      </c>
      <c r="AA5" s="767" t="str">
        <f t="shared" ref="AA5:AA7" si="2">IF(Y5&lt;6,IF(Z5="M","M","F"),"")</f>
        <v/>
      </c>
      <c r="AB5" s="767" t="str">
        <f t="shared" ref="AB5:AB7" si="3">IF(AND(Y5&gt;=6,Y5&lt;11),IF(Z5="M","M","F"),"")</f>
        <v/>
      </c>
      <c r="AC5" s="767" t="str">
        <f t="shared" ref="AC5:AC7" si="4">IF(AND(Y5&gt;=11,Y5&lt;15),IF(Z5="M","M","F"),"")</f>
        <v/>
      </c>
      <c r="AD5" s="767" t="str">
        <f t="shared" ref="AD5" si="5">IF(AND(Y5&gt;=15,Y5&lt;18),IF(Z5="M","M","F"),"")</f>
        <v>F</v>
      </c>
      <c r="AE5" s="767" t="str">
        <f t="shared" ref="AE5:AE7" si="6">IF(Y5&gt;18,IF(Z5="M","M","F"),"")</f>
        <v/>
      </c>
      <c r="AF5" s="767"/>
      <c r="AG5" s="767"/>
      <c r="AH5" s="767"/>
      <c r="AI5" s="767"/>
      <c r="AJ5" s="767"/>
      <c r="AK5" s="767"/>
      <c r="AL5" s="767">
        <f>Q5-J5</f>
        <v>96</v>
      </c>
      <c r="AM5" s="767">
        <f>AL5/365</f>
        <v>0.26301369863013696</v>
      </c>
      <c r="AN5" s="767">
        <f t="shared" ref="AN5:AN7" si="7">INT(AM5)</f>
        <v>0</v>
      </c>
      <c r="AO5" s="760">
        <f t="shared" ref="AO5:AO7" si="8">(AM5-AN5)*12</f>
        <v>3.1561643835616433</v>
      </c>
      <c r="AP5" s="1131"/>
      <c r="AQ5" s="1132">
        <f t="shared" ref="AQ5:AQ7" si="9">IF(J5&lt;DATE(2016,1,1),DATE(2016,1,1),J5)</f>
        <v>42370</v>
      </c>
      <c r="AR5" s="1132">
        <f t="shared" ref="AR5:AR7" si="10">Q5</f>
        <v>42382</v>
      </c>
      <c r="AS5" s="767">
        <f t="shared" ref="AS5:AS7" si="11">Q5-AQ5</f>
        <v>12</v>
      </c>
      <c r="AT5" s="788">
        <f>IF(AQ5&gt;'[1]calculs enfants présents'!$A$56,0,IF(Q5&lt;'[1]calculs enfants présents'!$A$56,Q5-AQ5,'[1]calculs enfants présents'!$A$56-AQ5))</f>
        <v>0</v>
      </c>
      <c r="AU5" s="789">
        <f t="shared" ref="AU5:AU7" si="12">IF($AQ5&gt;$AV$1,0,IF($Q5&lt;$AV$1,$Q5-$AQ5,$AV$1-$AQ5))</f>
        <v>0</v>
      </c>
      <c r="AV5" s="788">
        <f t="shared" ref="AV5:AV7" si="13">AT5-AU5</f>
        <v>0</v>
      </c>
      <c r="AW5" s="367"/>
      <c r="AX5" s="369">
        <v>42369</v>
      </c>
      <c r="AY5" s="1133">
        <f t="shared" ref="AY5:AY7" si="14">N5</f>
        <v>42382</v>
      </c>
      <c r="AZ5" s="1133">
        <f t="shared" ref="AZ5:AZ7" si="15">AR5</f>
        <v>42382</v>
      </c>
      <c r="BA5" s="1133">
        <f t="shared" ref="BA5:BA7" si="16">(N5-30)-(WEEKDAY(N5-30,2)-2)</f>
        <v>42353</v>
      </c>
      <c r="BB5" s="670"/>
      <c r="BC5" s="1134"/>
      <c r="BD5" s="1129"/>
      <c r="BE5" s="1135" t="e">
        <f>IF(K5&lt;&gt;"",(K5+90)-(WEEKDAY(K5+90,2)-2),"DIPC")</f>
        <v>#VALUE!</v>
      </c>
      <c r="BF5" s="483">
        <v>42467</v>
      </c>
      <c r="BG5" s="357" t="s">
        <v>276</v>
      </c>
      <c r="BH5" s="482">
        <v>42467</v>
      </c>
      <c r="BI5" s="357"/>
      <c r="BJ5" s="625"/>
      <c r="BK5" s="374"/>
      <c r="BL5" s="374"/>
      <c r="BM5" s="374"/>
      <c r="BN5" s="374"/>
      <c r="BO5" s="374"/>
      <c r="BP5" s="374"/>
      <c r="BQ5" s="374"/>
      <c r="BR5" s="374"/>
      <c r="BS5" s="374"/>
      <c r="BT5" s="374"/>
      <c r="BU5" s="374"/>
      <c r="BV5" s="374"/>
      <c r="BW5" s="374"/>
      <c r="BX5" s="374"/>
    </row>
    <row r="6" spans="1:78" ht="12.75" customHeight="1" x14ac:dyDescent="0.2">
      <c r="A6" s="375" t="s">
        <v>360</v>
      </c>
      <c r="B6" s="375" t="s">
        <v>360</v>
      </c>
      <c r="C6" s="391" t="s">
        <v>161</v>
      </c>
      <c r="D6" s="366" t="s">
        <v>138</v>
      </c>
      <c r="E6" s="366" t="s">
        <v>310</v>
      </c>
      <c r="F6" s="366" t="s">
        <v>66</v>
      </c>
      <c r="G6" s="366"/>
      <c r="H6" s="366"/>
      <c r="I6" s="1129">
        <v>41920</v>
      </c>
      <c r="J6" s="512">
        <v>42016</v>
      </c>
      <c r="K6" s="512"/>
      <c r="L6" s="1130">
        <f t="shared" si="0"/>
        <v>96</v>
      </c>
      <c r="M6" s="369">
        <v>42016</v>
      </c>
      <c r="N6" s="369">
        <v>42381</v>
      </c>
      <c r="O6" s="369" t="s">
        <v>674</v>
      </c>
      <c r="P6" s="369" t="s">
        <v>674</v>
      </c>
      <c r="Q6" s="369">
        <v>42381</v>
      </c>
      <c r="R6" s="369" t="s">
        <v>16</v>
      </c>
      <c r="S6" s="366" t="s">
        <v>16</v>
      </c>
      <c r="T6" s="366"/>
      <c r="U6" s="393"/>
      <c r="V6" s="366"/>
      <c r="W6" s="366"/>
      <c r="X6" s="370">
        <v>36270</v>
      </c>
      <c r="Y6" s="760">
        <f t="shared" si="1"/>
        <v>16.709589041095889</v>
      </c>
      <c r="Z6" s="366" t="s">
        <v>13</v>
      </c>
      <c r="AA6" s="775" t="str">
        <f t="shared" si="2"/>
        <v/>
      </c>
      <c r="AB6" s="775" t="str">
        <f t="shared" si="3"/>
        <v/>
      </c>
      <c r="AC6" s="775" t="str">
        <f t="shared" si="4"/>
        <v/>
      </c>
      <c r="AD6" s="775" t="str">
        <f>IF(AND(Y6&gt;=15,Y6&lt;18),IF(Z6="M","M","F"),"")</f>
        <v>M</v>
      </c>
      <c r="AE6" s="775" t="str">
        <f t="shared" si="6"/>
        <v/>
      </c>
      <c r="AF6" s="767"/>
      <c r="AG6" s="767"/>
      <c r="AH6" s="767"/>
      <c r="AI6" s="767"/>
      <c r="AJ6" s="767"/>
      <c r="AK6" s="767"/>
      <c r="AL6" s="767">
        <f t="shared" ref="AL6:AL7" si="17">Q6-J6</f>
        <v>365</v>
      </c>
      <c r="AM6" s="767">
        <f t="shared" ref="AM6:AM7" si="18">AL6/365</f>
        <v>1</v>
      </c>
      <c r="AN6" s="767">
        <f t="shared" si="7"/>
        <v>1</v>
      </c>
      <c r="AO6" s="760">
        <f t="shared" si="8"/>
        <v>0</v>
      </c>
      <c r="AP6" s="1131"/>
      <c r="AQ6" s="1132">
        <f t="shared" si="9"/>
        <v>42370</v>
      </c>
      <c r="AR6" s="1132">
        <f t="shared" si="10"/>
        <v>42381</v>
      </c>
      <c r="AS6" s="767">
        <f t="shared" si="11"/>
        <v>11</v>
      </c>
      <c r="AT6" s="788">
        <f>IF(AQ6&gt;'[1]calculs enfants présents'!$A$56,0,IF(Q6&lt;'[1]calculs enfants présents'!$A$56,Q6-AQ6,'[1]calculs enfants présents'!$A$56-AQ6))</f>
        <v>0</v>
      </c>
      <c r="AU6" s="788">
        <f t="shared" si="12"/>
        <v>0</v>
      </c>
      <c r="AV6" s="788">
        <f t="shared" si="13"/>
        <v>0</v>
      </c>
      <c r="AW6" s="367"/>
      <c r="AX6" s="369">
        <v>42369</v>
      </c>
      <c r="AY6" s="1133">
        <f t="shared" si="14"/>
        <v>42381</v>
      </c>
      <c r="AZ6" s="1133">
        <f t="shared" si="15"/>
        <v>42381</v>
      </c>
      <c r="BA6" s="1133">
        <f t="shared" si="16"/>
        <v>42346</v>
      </c>
      <c r="BB6" s="670">
        <v>42339</v>
      </c>
      <c r="BC6" s="1134" t="s">
        <v>276</v>
      </c>
      <c r="BD6" s="1129">
        <v>42339</v>
      </c>
      <c r="BE6" s="1135">
        <f>(J6+90)-(WEEKDAY(J6+90,2)-2)</f>
        <v>42101</v>
      </c>
      <c r="BF6" s="483"/>
      <c r="BG6" s="357"/>
      <c r="BH6" s="482"/>
      <c r="BI6" s="400"/>
      <c r="BJ6" s="625"/>
      <c r="BK6" s="374"/>
      <c r="BL6" s="374"/>
      <c r="BM6" s="374"/>
      <c r="BN6" s="374"/>
      <c r="BO6" s="374"/>
      <c r="BP6" s="374"/>
      <c r="BQ6" s="374"/>
      <c r="BR6" s="374"/>
      <c r="BS6" s="374"/>
      <c r="BT6" s="374"/>
      <c r="BU6" s="374"/>
      <c r="BV6" s="374"/>
      <c r="BW6" s="374"/>
      <c r="BX6" s="374"/>
    </row>
    <row r="7" spans="1:78" ht="12.75" customHeight="1" x14ac:dyDescent="0.2">
      <c r="A7" s="375" t="s">
        <v>360</v>
      </c>
      <c r="B7" s="375" t="s">
        <v>360</v>
      </c>
      <c r="C7" s="391" t="s">
        <v>218</v>
      </c>
      <c r="D7" s="366" t="s">
        <v>138</v>
      </c>
      <c r="E7" s="366" t="s">
        <v>310</v>
      </c>
      <c r="F7" s="366" t="s">
        <v>66</v>
      </c>
      <c r="G7" s="366"/>
      <c r="H7" s="366"/>
      <c r="I7" s="1129">
        <v>42039</v>
      </c>
      <c r="J7" s="512">
        <v>42039</v>
      </c>
      <c r="K7" s="512"/>
      <c r="L7" s="1130">
        <f t="shared" si="0"/>
        <v>0</v>
      </c>
      <c r="M7" s="369">
        <v>42039</v>
      </c>
      <c r="N7" s="369">
        <v>42381</v>
      </c>
      <c r="O7" s="369" t="s">
        <v>674</v>
      </c>
      <c r="P7" s="369" t="s">
        <v>674</v>
      </c>
      <c r="Q7" s="369">
        <v>42381</v>
      </c>
      <c r="R7" s="369" t="s">
        <v>16</v>
      </c>
      <c r="S7" s="366" t="s">
        <v>16</v>
      </c>
      <c r="T7" s="366"/>
      <c r="U7" s="393"/>
      <c r="V7" s="366"/>
      <c r="W7" s="366"/>
      <c r="X7" s="370">
        <v>38664</v>
      </c>
      <c r="Y7" s="760">
        <f t="shared" si="1"/>
        <v>10.150684931506849</v>
      </c>
      <c r="Z7" s="366" t="s">
        <v>13</v>
      </c>
      <c r="AA7" s="775" t="str">
        <f t="shared" si="2"/>
        <v/>
      </c>
      <c r="AB7" s="775" t="str">
        <f t="shared" si="3"/>
        <v>M</v>
      </c>
      <c r="AC7" s="775" t="str">
        <f t="shared" si="4"/>
        <v/>
      </c>
      <c r="AD7" s="775" t="str">
        <f>IF(AND(Y7&gt;=15,Y7&lt;18),IF(Z7="M","M","F"),"")</f>
        <v/>
      </c>
      <c r="AE7" s="775" t="str">
        <f t="shared" si="6"/>
        <v/>
      </c>
      <c r="AF7" s="767"/>
      <c r="AG7" s="767"/>
      <c r="AH7" s="767"/>
      <c r="AI7" s="767"/>
      <c r="AJ7" s="767"/>
      <c r="AK7" s="767"/>
      <c r="AL7" s="767">
        <f t="shared" si="17"/>
        <v>342</v>
      </c>
      <c r="AM7" s="767">
        <f t="shared" si="18"/>
        <v>0.93698630136986305</v>
      </c>
      <c r="AN7" s="767">
        <f t="shared" si="7"/>
        <v>0</v>
      </c>
      <c r="AO7" s="760">
        <f t="shared" si="8"/>
        <v>11.243835616438357</v>
      </c>
      <c r="AP7" s="1131"/>
      <c r="AQ7" s="1132">
        <f t="shared" si="9"/>
        <v>42370</v>
      </c>
      <c r="AR7" s="1132">
        <f t="shared" si="10"/>
        <v>42381</v>
      </c>
      <c r="AS7" s="767">
        <f t="shared" si="11"/>
        <v>11</v>
      </c>
      <c r="AT7" s="788">
        <f>IF(AQ7&gt;'[1]calculs enfants présents'!$A$56,0,IF(Q7&lt;'[1]calculs enfants présents'!$A$56,Q7-AQ7,'[1]calculs enfants présents'!$A$56-AQ7))</f>
        <v>0</v>
      </c>
      <c r="AU7" s="788">
        <f t="shared" si="12"/>
        <v>0</v>
      </c>
      <c r="AV7" s="788">
        <f t="shared" si="13"/>
        <v>0</v>
      </c>
      <c r="AW7" s="367"/>
      <c r="AX7" s="369">
        <v>42369</v>
      </c>
      <c r="AY7" s="1133">
        <f t="shared" si="14"/>
        <v>42381</v>
      </c>
      <c r="AZ7" s="1133">
        <f t="shared" si="15"/>
        <v>42381</v>
      </c>
      <c r="BA7" s="1133">
        <f t="shared" si="16"/>
        <v>42346</v>
      </c>
      <c r="BB7" s="670">
        <v>42339</v>
      </c>
      <c r="BC7" s="1134" t="s">
        <v>276</v>
      </c>
      <c r="BD7" s="366"/>
      <c r="BE7" s="1135">
        <f>(J7+90)-(WEEKDAY(J7+90,2)-2)</f>
        <v>42129</v>
      </c>
      <c r="BF7" s="483"/>
      <c r="BG7" s="357"/>
      <c r="BH7" s="482"/>
      <c r="BI7" s="400"/>
      <c r="BJ7" s="625"/>
      <c r="BK7" s="374"/>
      <c r="BL7" s="374"/>
      <c r="BM7" s="374"/>
      <c r="BN7" s="374"/>
      <c r="BO7" s="374"/>
      <c r="BP7" s="374"/>
      <c r="BQ7" s="374"/>
      <c r="BR7" s="374"/>
      <c r="BS7" s="374"/>
      <c r="BT7" s="374"/>
      <c r="BU7" s="374"/>
      <c r="BV7" s="374"/>
      <c r="BW7" s="374"/>
      <c r="BX7" s="374"/>
    </row>
    <row r="8" spans="1:78" ht="13.15" customHeight="1" x14ac:dyDescent="0.2">
      <c r="A8" s="375" t="s">
        <v>827</v>
      </c>
      <c r="B8" s="375" t="s">
        <v>267</v>
      </c>
      <c r="C8" s="391" t="s">
        <v>266</v>
      </c>
      <c r="D8" s="366" t="s">
        <v>310</v>
      </c>
      <c r="E8" s="357"/>
      <c r="F8" s="394" t="s">
        <v>66</v>
      </c>
      <c r="G8" s="366"/>
      <c r="H8" s="366"/>
      <c r="I8" s="451">
        <v>41528</v>
      </c>
      <c r="J8" s="372">
        <v>41726</v>
      </c>
      <c r="K8" s="372"/>
      <c r="L8" s="616">
        <v>198</v>
      </c>
      <c r="M8" s="369">
        <v>42091</v>
      </c>
      <c r="N8" s="617">
        <v>42388</v>
      </c>
      <c r="O8" s="617" t="s">
        <v>674</v>
      </c>
      <c r="P8" s="617" t="s">
        <v>674</v>
      </c>
      <c r="Q8" s="369">
        <v>42388</v>
      </c>
      <c r="R8" s="421" t="s">
        <v>16</v>
      </c>
      <c r="S8" s="392" t="s">
        <v>20</v>
      </c>
      <c r="T8" s="366"/>
      <c r="U8" s="393"/>
      <c r="V8" s="394"/>
      <c r="W8" s="394"/>
      <c r="X8" s="370">
        <v>36298</v>
      </c>
      <c r="Y8" s="371">
        <v>16.632876712328766</v>
      </c>
      <c r="Z8" s="366" t="s">
        <v>13</v>
      </c>
      <c r="AA8" s="618" t="s">
        <v>404</v>
      </c>
      <c r="AB8" s="619" t="s">
        <v>404</v>
      </c>
      <c r="AC8" s="619" t="s">
        <v>404</v>
      </c>
      <c r="AD8" s="619" t="s">
        <v>13</v>
      </c>
      <c r="AE8" s="619" t="s">
        <v>404</v>
      </c>
      <c r="AF8" s="366"/>
      <c r="AG8" s="392"/>
      <c r="AH8" s="392"/>
      <c r="AI8" s="392"/>
      <c r="AJ8" s="392"/>
      <c r="AK8" s="392"/>
      <c r="AL8" s="392">
        <v>662</v>
      </c>
      <c r="AM8" s="366">
        <v>1.8136986301369864</v>
      </c>
      <c r="AN8" s="394">
        <v>1</v>
      </c>
      <c r="AO8" s="395">
        <v>9.7643835616438359</v>
      </c>
      <c r="AP8" s="365"/>
      <c r="AQ8" s="372">
        <v>42370</v>
      </c>
      <c r="AR8" s="372">
        <v>42388</v>
      </c>
      <c r="AS8" s="366">
        <v>18</v>
      </c>
      <c r="AT8" s="373">
        <v>0</v>
      </c>
      <c r="AU8" s="367">
        <v>18</v>
      </c>
      <c r="AV8" s="354">
        <v>-18</v>
      </c>
      <c r="AW8" s="367"/>
      <c r="AX8" s="430">
        <v>42369</v>
      </c>
      <c r="AY8" s="480">
        <v>42388</v>
      </c>
      <c r="AZ8" s="480">
        <v>42388</v>
      </c>
      <c r="BA8" s="481">
        <v>42353</v>
      </c>
      <c r="BB8" s="624">
        <v>42437</v>
      </c>
      <c r="BC8" s="620" t="s">
        <v>276</v>
      </c>
      <c r="BD8" s="624">
        <v>42437</v>
      </c>
      <c r="BE8" s="493">
        <v>41814</v>
      </c>
      <c r="BF8" s="624"/>
      <c r="BG8" s="357"/>
      <c r="BH8" s="673"/>
      <c r="BI8" s="400"/>
      <c r="BJ8" s="400"/>
      <c r="BK8" s="400"/>
      <c r="BL8" s="392"/>
      <c r="BM8" s="374"/>
      <c r="BN8" s="374"/>
      <c r="BO8" s="374"/>
      <c r="BP8" s="374"/>
      <c r="BQ8" s="374"/>
      <c r="BR8" s="374"/>
      <c r="BS8" s="374"/>
      <c r="BT8" s="374"/>
      <c r="BU8" s="374"/>
      <c r="BV8" s="374"/>
      <c r="BW8" s="374"/>
      <c r="BX8" s="374"/>
      <c r="BY8" s="582"/>
      <c r="BZ8" s="582"/>
    </row>
    <row r="9" spans="1:78" x14ac:dyDescent="0.2">
      <c r="A9" s="375"/>
      <c r="B9" s="375"/>
      <c r="C9" s="391"/>
      <c r="D9" s="366"/>
      <c r="E9" s="357"/>
      <c r="F9" s="394"/>
      <c r="G9" s="366"/>
      <c r="H9" s="366"/>
      <c r="I9" s="394"/>
      <c r="J9" s="372"/>
      <c r="K9" s="372"/>
      <c r="L9" s="616"/>
      <c r="M9" s="369"/>
      <c r="N9" s="579"/>
      <c r="O9" s="579"/>
      <c r="P9" s="579"/>
      <c r="Q9" s="369"/>
      <c r="R9" s="421"/>
      <c r="S9" s="392"/>
      <c r="T9" s="366"/>
      <c r="U9" s="393"/>
      <c r="V9" s="394"/>
      <c r="W9" s="394"/>
      <c r="X9" s="370"/>
      <c r="Y9" s="371"/>
      <c r="Z9" s="366"/>
      <c r="AA9" s="618"/>
      <c r="AB9" s="619"/>
      <c r="AC9" s="619"/>
      <c r="AD9" s="619"/>
      <c r="AE9" s="619"/>
      <c r="AF9" s="394"/>
      <c r="AG9" s="366"/>
      <c r="AH9" s="392"/>
      <c r="AI9" s="392"/>
      <c r="AJ9" s="392"/>
      <c r="AK9" s="392"/>
      <c r="AL9" s="392"/>
      <c r="AM9" s="366"/>
      <c r="AN9" s="627"/>
      <c r="AO9" s="395"/>
      <c r="AP9" s="365"/>
      <c r="AQ9" s="372"/>
      <c r="AR9" s="368"/>
      <c r="AS9" s="366"/>
      <c r="AT9" s="354"/>
      <c r="AU9" s="354"/>
      <c r="AV9" s="354"/>
      <c r="AW9" s="354"/>
      <c r="AX9" s="430"/>
      <c r="AY9" s="480"/>
      <c r="AZ9" s="480"/>
      <c r="BA9" s="481"/>
      <c r="BB9" s="483"/>
      <c r="BC9" s="620"/>
      <c r="BD9" s="483"/>
      <c r="BE9" s="493"/>
      <c r="BF9" s="483"/>
      <c r="BG9" s="357"/>
      <c r="BH9" s="483"/>
      <c r="BI9" s="400"/>
      <c r="BJ9" s="400"/>
      <c r="BK9" s="483"/>
      <c r="BL9" s="927"/>
      <c r="BM9" s="374"/>
      <c r="BN9" s="374"/>
      <c r="BO9" s="374"/>
      <c r="BP9" s="374"/>
      <c r="BQ9" s="582"/>
      <c r="BR9" s="582"/>
      <c r="BS9" s="582"/>
      <c r="BT9" s="582"/>
      <c r="BU9" s="582"/>
      <c r="BV9" s="582"/>
      <c r="BW9" s="582"/>
      <c r="BX9" s="582"/>
      <c r="BY9" s="582"/>
      <c r="BZ9" s="582"/>
    </row>
    <row r="10" spans="1:78" ht="13.15" customHeight="1" x14ac:dyDescent="0.2">
      <c r="A10" s="626"/>
      <c r="B10" s="626"/>
      <c r="C10" s="391"/>
      <c r="D10" s="366"/>
      <c r="E10" s="357"/>
      <c r="F10" s="394"/>
      <c r="G10" s="366"/>
      <c r="H10" s="366"/>
      <c r="I10" s="451"/>
      <c r="J10" s="372"/>
      <c r="K10" s="372"/>
      <c r="L10" s="616"/>
      <c r="M10" s="369"/>
      <c r="N10" s="579"/>
      <c r="O10" s="579"/>
      <c r="P10" s="579"/>
      <c r="Q10" s="369"/>
      <c r="R10" s="421"/>
      <c r="S10" s="392"/>
      <c r="T10" s="366"/>
      <c r="U10" s="393"/>
      <c r="V10" s="394"/>
      <c r="W10" s="394"/>
      <c r="X10" s="370"/>
      <c r="Y10" s="371"/>
      <c r="Z10" s="366"/>
      <c r="AA10" s="392"/>
      <c r="AB10" s="366"/>
      <c r="AC10" s="366"/>
      <c r="AD10" s="366"/>
      <c r="AE10" s="366"/>
      <c r="AF10" s="366"/>
      <c r="AG10" s="392"/>
      <c r="AH10" s="392"/>
      <c r="AI10" s="392"/>
      <c r="AJ10" s="392"/>
      <c r="AK10" s="392"/>
      <c r="AL10" s="392"/>
      <c r="AM10" s="366"/>
      <c r="AN10" s="394"/>
      <c r="AO10" s="395"/>
      <c r="AP10" s="365"/>
      <c r="AQ10" s="512"/>
      <c r="AR10" s="368"/>
      <c r="AS10" s="366"/>
      <c r="AT10" s="373"/>
      <c r="AU10" s="367"/>
      <c r="AV10" s="354"/>
      <c r="AW10" s="628"/>
      <c r="AX10" s="430"/>
      <c r="AY10" s="480"/>
      <c r="AZ10" s="480"/>
      <c r="BA10" s="481"/>
      <c r="BB10" s="624"/>
      <c r="BC10" s="357"/>
      <c r="BD10" s="673"/>
      <c r="BE10" s="493"/>
      <c r="BF10" s="483"/>
      <c r="BG10" s="357"/>
      <c r="BH10" s="483"/>
      <c r="BI10" s="400"/>
      <c r="BJ10" s="400"/>
      <c r="BK10" s="400"/>
      <c r="BL10" s="392"/>
      <c r="BM10" s="374"/>
      <c r="BN10" s="374"/>
      <c r="BO10" s="374"/>
      <c r="BP10" s="374"/>
      <c r="BQ10" s="582"/>
      <c r="BR10" s="582"/>
      <c r="BS10" s="582"/>
      <c r="BT10" s="582"/>
      <c r="BU10" s="582"/>
      <c r="BV10" s="582"/>
      <c r="BW10" s="582"/>
      <c r="BX10" s="582"/>
      <c r="BY10" s="582"/>
      <c r="BZ10" s="582"/>
    </row>
    <row r="11" spans="1:78" ht="12.75" customHeight="1" x14ac:dyDescent="0.2">
      <c r="A11" s="375"/>
      <c r="B11" s="375"/>
      <c r="C11" s="391"/>
      <c r="D11" s="366"/>
      <c r="E11" s="357"/>
      <c r="F11" s="394"/>
      <c r="G11" s="366"/>
      <c r="H11" s="366"/>
      <c r="I11" s="451"/>
      <c r="J11" s="372"/>
      <c r="K11" s="372"/>
      <c r="L11" s="616"/>
      <c r="M11" s="369"/>
      <c r="N11" s="579"/>
      <c r="O11" s="579"/>
      <c r="P11" s="579"/>
      <c r="Q11" s="369"/>
      <c r="R11" s="421"/>
      <c r="S11" s="392"/>
      <c r="T11" s="366"/>
      <c r="U11" s="393"/>
      <c r="V11" s="394"/>
      <c r="W11" s="394"/>
      <c r="X11" s="370"/>
      <c r="Y11" s="371"/>
      <c r="Z11" s="366"/>
      <c r="AA11" s="618"/>
      <c r="AB11" s="619"/>
      <c r="AC11" s="619"/>
      <c r="AD11" s="619"/>
      <c r="AE11" s="619"/>
      <c r="AF11" s="366"/>
      <c r="AG11" s="392"/>
      <c r="AH11" s="392"/>
      <c r="AI11" s="392"/>
      <c r="AJ11" s="392"/>
      <c r="AK11" s="392"/>
      <c r="AL11" s="392"/>
      <c r="AM11" s="366"/>
      <c r="AN11" s="394"/>
      <c r="AO11" s="395"/>
      <c r="AP11" s="365"/>
      <c r="AQ11" s="512"/>
      <c r="AR11" s="372"/>
      <c r="AS11" s="366"/>
      <c r="AT11" s="354"/>
      <c r="AU11" s="354"/>
      <c r="AV11" s="354"/>
      <c r="AW11" s="367"/>
      <c r="AX11" s="430"/>
      <c r="AY11" s="480"/>
      <c r="AZ11" s="480"/>
      <c r="BA11" s="481"/>
      <c r="BB11" s="624"/>
      <c r="BC11" s="357"/>
      <c r="BD11" s="673"/>
      <c r="BE11" s="493"/>
      <c r="BF11" s="684"/>
      <c r="BG11" s="357"/>
      <c r="BH11" s="392"/>
      <c r="BI11" s="400"/>
      <c r="BJ11" s="400"/>
      <c r="BK11" s="400"/>
      <c r="BL11" s="392"/>
      <c r="BM11" s="374"/>
      <c r="BN11" s="374"/>
      <c r="BO11" s="374"/>
      <c r="BP11" s="374"/>
      <c r="BQ11" s="582"/>
      <c r="BR11" s="582"/>
      <c r="BS11" s="582"/>
      <c r="BT11" s="582"/>
      <c r="BU11" s="582"/>
      <c r="BV11" s="582"/>
      <c r="BW11" s="582"/>
      <c r="BX11" s="582"/>
      <c r="BY11" s="582"/>
      <c r="BZ11" s="582"/>
    </row>
    <row r="12" spans="1:78" x14ac:dyDescent="0.2">
      <c r="A12" s="375"/>
      <c r="B12" s="375"/>
      <c r="C12" s="391"/>
      <c r="D12" s="366"/>
      <c r="E12" s="357"/>
      <c r="F12" s="394"/>
      <c r="G12" s="366"/>
      <c r="H12" s="366"/>
      <c r="I12" s="451"/>
      <c r="J12" s="372"/>
      <c r="K12" s="372"/>
      <c r="L12" s="616"/>
      <c r="M12" s="369"/>
      <c r="N12" s="621"/>
      <c r="O12" s="621"/>
      <c r="P12" s="621"/>
      <c r="Q12" s="369"/>
      <c r="R12" s="421"/>
      <c r="S12" s="392"/>
      <c r="T12" s="366"/>
      <c r="U12" s="393"/>
      <c r="V12" s="394"/>
      <c r="W12" s="394"/>
      <c r="X12" s="370"/>
      <c r="Y12" s="371"/>
      <c r="Z12" s="366"/>
      <c r="AA12" s="618"/>
      <c r="AB12" s="619"/>
      <c r="AC12" s="619"/>
      <c r="AD12" s="619"/>
      <c r="AE12" s="619"/>
      <c r="AF12" s="366"/>
      <c r="AG12" s="392"/>
      <c r="AH12" s="392"/>
      <c r="AI12" s="392"/>
      <c r="AJ12" s="392"/>
      <c r="AK12" s="392"/>
      <c r="AL12" s="392"/>
      <c r="AM12" s="366"/>
      <c r="AN12" s="627"/>
      <c r="AO12" s="395"/>
      <c r="AP12" s="365"/>
      <c r="AQ12" s="372"/>
      <c r="AR12" s="368"/>
      <c r="AS12" s="366"/>
      <c r="AT12" s="354"/>
      <c r="AU12" s="354"/>
      <c r="AV12" s="354"/>
      <c r="AW12" s="354"/>
      <c r="AX12" s="430"/>
      <c r="AY12" s="480"/>
      <c r="AZ12" s="480"/>
      <c r="BA12" s="481"/>
      <c r="BB12" s="483"/>
      <c r="BC12" s="620"/>
      <c r="BD12" s="483"/>
      <c r="BE12" s="493"/>
      <c r="BF12" s="357"/>
      <c r="BG12" s="357"/>
      <c r="BH12" s="482"/>
      <c r="BI12" s="400"/>
      <c r="BJ12" s="400"/>
      <c r="BK12" s="400"/>
      <c r="BL12" s="392"/>
      <c r="BM12" s="374"/>
      <c r="BN12" s="374"/>
      <c r="BO12" s="374"/>
      <c r="BP12" s="374"/>
      <c r="BQ12" s="582"/>
      <c r="BR12" s="582"/>
      <c r="BS12" s="582"/>
      <c r="BT12" s="582"/>
      <c r="BU12" s="582"/>
      <c r="BV12" s="582"/>
      <c r="BW12" s="582"/>
      <c r="BX12" s="582"/>
    </row>
    <row r="13" spans="1:78" x14ac:dyDescent="0.2">
      <c r="A13" s="375"/>
      <c r="B13" s="375"/>
      <c r="C13" s="391"/>
      <c r="D13" s="366"/>
      <c r="E13" s="357"/>
      <c r="F13" s="394"/>
      <c r="G13" s="366"/>
      <c r="H13" s="366"/>
      <c r="I13" s="451"/>
      <c r="J13" s="372"/>
      <c r="K13" s="372"/>
      <c r="L13" s="616"/>
      <c r="M13" s="369"/>
      <c r="N13" s="621"/>
      <c r="O13" s="621"/>
      <c r="P13" s="621"/>
      <c r="Q13" s="369"/>
      <c r="R13" s="421"/>
      <c r="S13" s="392"/>
      <c r="T13" s="366"/>
      <c r="U13" s="393"/>
      <c r="V13" s="394"/>
      <c r="W13" s="394"/>
      <c r="X13" s="370"/>
      <c r="Y13" s="371"/>
      <c r="Z13" s="366"/>
      <c r="AA13" s="618"/>
      <c r="AB13" s="619"/>
      <c r="AC13" s="619"/>
      <c r="AD13" s="619"/>
      <c r="AE13" s="619"/>
      <c r="AF13" s="366"/>
      <c r="AG13" s="392"/>
      <c r="AH13" s="392"/>
      <c r="AI13" s="392"/>
      <c r="AJ13" s="392"/>
      <c r="AK13" s="392"/>
      <c r="AL13" s="392"/>
      <c r="AM13" s="366"/>
      <c r="AN13" s="627"/>
      <c r="AO13" s="395"/>
      <c r="AP13" s="365"/>
      <c r="AQ13" s="372"/>
      <c r="AR13" s="368"/>
      <c r="AS13" s="366"/>
      <c r="AT13" s="354"/>
      <c r="AU13" s="354"/>
      <c r="AV13" s="354"/>
      <c r="AW13" s="367"/>
      <c r="AX13" s="430"/>
      <c r="AY13" s="480"/>
      <c r="AZ13" s="480"/>
      <c r="BA13" s="481"/>
      <c r="BB13" s="483"/>
      <c r="BC13" s="620"/>
      <c r="BD13" s="483"/>
      <c r="BE13" s="493"/>
      <c r="BF13" s="357"/>
      <c r="BG13" s="357"/>
      <c r="BH13" s="482"/>
      <c r="BI13" s="400"/>
      <c r="BJ13" s="400"/>
      <c r="BK13" s="400"/>
      <c r="BL13" s="392"/>
      <c r="BM13" s="374"/>
      <c r="BN13" s="374"/>
      <c r="BO13" s="374"/>
      <c r="BP13" s="374"/>
      <c r="BQ13" s="582"/>
      <c r="BR13" s="582"/>
      <c r="BS13" s="582"/>
      <c r="BT13" s="582"/>
      <c r="BU13" s="582"/>
      <c r="BV13" s="582"/>
      <c r="BW13" s="582"/>
      <c r="BX13" s="582"/>
    </row>
    <row r="14" spans="1:78" ht="12.75" customHeight="1" x14ac:dyDescent="0.2">
      <c r="A14" s="626"/>
      <c r="B14" s="626"/>
      <c r="C14" s="391"/>
      <c r="D14" s="366"/>
      <c r="E14" s="357"/>
      <c r="F14" s="394"/>
      <c r="G14" s="366"/>
      <c r="H14" s="366"/>
      <c r="I14" s="451"/>
      <c r="J14" s="372"/>
      <c r="K14" s="372"/>
      <c r="L14" s="616"/>
      <c r="M14" s="369"/>
      <c r="N14" s="369"/>
      <c r="O14" s="369"/>
      <c r="P14" s="369"/>
      <c r="Q14" s="369"/>
      <c r="R14" s="421"/>
      <c r="S14" s="392"/>
      <c r="T14" s="366"/>
      <c r="U14" s="393"/>
      <c r="V14" s="394"/>
      <c r="W14" s="394"/>
      <c r="X14" s="370"/>
      <c r="Y14" s="371"/>
      <c r="Z14" s="366"/>
      <c r="AA14" s="618"/>
      <c r="AB14" s="619"/>
      <c r="AC14" s="619"/>
      <c r="AD14" s="619"/>
      <c r="AE14" s="619"/>
      <c r="AF14" s="366"/>
      <c r="AG14" s="392"/>
      <c r="AH14" s="392"/>
      <c r="AI14" s="392"/>
      <c r="AJ14" s="392"/>
      <c r="AK14" s="392"/>
      <c r="AL14" s="392"/>
      <c r="AM14" s="366"/>
      <c r="AN14" s="394"/>
      <c r="AO14" s="395"/>
      <c r="AP14" s="365"/>
      <c r="AQ14" s="372"/>
      <c r="AR14" s="368"/>
      <c r="AS14" s="366"/>
      <c r="AT14" s="354"/>
      <c r="AU14" s="354"/>
      <c r="AV14" s="354"/>
      <c r="AW14" s="367"/>
      <c r="AX14" s="430"/>
      <c r="AY14" s="480"/>
      <c r="AZ14" s="480"/>
      <c r="BA14" s="481"/>
      <c r="BB14" s="483"/>
      <c r="BC14" s="357"/>
      <c r="BD14" s="624"/>
      <c r="BE14" s="493"/>
      <c r="BF14" s="684"/>
      <c r="BG14" s="357"/>
      <c r="BH14" s="392"/>
      <c r="BI14" s="400"/>
      <c r="BJ14" s="400"/>
      <c r="BK14" s="400"/>
      <c r="BL14" s="392"/>
      <c r="BM14" s="374"/>
      <c r="BN14" s="374"/>
      <c r="BO14" s="374"/>
      <c r="BP14" s="374"/>
      <c r="BQ14" s="374"/>
      <c r="BR14" s="374"/>
      <c r="BS14" s="374"/>
      <c r="BT14" s="374"/>
      <c r="BU14" s="374"/>
      <c r="BV14" s="374"/>
      <c r="BW14" s="374"/>
      <c r="BX14" s="374"/>
      <c r="BY14" s="400"/>
      <c r="BZ14" s="400"/>
    </row>
    <row r="15" spans="1:78" ht="12.75" customHeight="1" x14ac:dyDescent="0.2">
      <c r="A15" s="656"/>
      <c r="B15" s="656"/>
      <c r="C15" s="391"/>
      <c r="D15" s="366"/>
      <c r="E15" s="357"/>
      <c r="F15" s="394"/>
      <c r="G15" s="366"/>
      <c r="H15" s="392"/>
      <c r="I15" s="483"/>
      <c r="J15" s="372"/>
      <c r="K15" s="372"/>
      <c r="L15" s="616"/>
      <c r="M15" s="369"/>
      <c r="N15" s="579"/>
      <c r="O15" s="579"/>
      <c r="P15" s="579"/>
      <c r="Q15" s="369"/>
      <c r="R15" s="421"/>
      <c r="S15" s="392"/>
      <c r="T15" s="366"/>
      <c r="U15" s="393"/>
      <c r="V15" s="394"/>
      <c r="W15" s="394"/>
      <c r="X15" s="370"/>
      <c r="Y15" s="371"/>
      <c r="Z15" s="366"/>
      <c r="AA15" s="648"/>
      <c r="AB15" s="647"/>
      <c r="AC15" s="647"/>
      <c r="AD15" s="647"/>
      <c r="AE15" s="647"/>
      <c r="AF15" s="647"/>
      <c r="AG15" s="648"/>
      <c r="AH15" s="648"/>
      <c r="AI15" s="648"/>
      <c r="AJ15" s="648"/>
      <c r="AK15" s="648"/>
      <c r="AL15" s="648"/>
      <c r="AM15" s="647"/>
      <c r="AN15" s="930"/>
      <c r="AO15" s="371"/>
      <c r="AP15" s="365"/>
      <c r="AQ15" s="512"/>
      <c r="AR15" s="368"/>
      <c r="AS15" s="647"/>
      <c r="AT15" s="373"/>
      <c r="AU15" s="933"/>
      <c r="AV15" s="373"/>
      <c r="AW15" s="367"/>
      <c r="AX15" s="430"/>
      <c r="AY15" s="480"/>
      <c r="AZ15" s="480"/>
      <c r="BA15" s="481"/>
      <c r="BB15" s="624"/>
      <c r="BC15" s="620"/>
      <c r="BD15" s="483"/>
      <c r="BE15" s="493"/>
      <c r="BF15" s="483"/>
      <c r="BG15" s="357"/>
      <c r="BH15" s="482"/>
      <c r="BI15" s="357"/>
      <c r="BJ15" s="927"/>
      <c r="BK15" s="374"/>
      <c r="BL15" s="547"/>
      <c r="BM15" s="374"/>
      <c r="BN15" s="374"/>
      <c r="BO15" s="374"/>
      <c r="BP15" s="374"/>
      <c r="BQ15" s="374"/>
      <c r="BR15" s="374"/>
      <c r="BS15" s="374"/>
      <c r="BT15" s="374"/>
      <c r="BU15" s="652"/>
      <c r="BV15" s="652"/>
      <c r="BW15" s="652"/>
      <c r="BX15" s="652"/>
      <c r="BY15" s="652"/>
      <c r="BZ15" s="652"/>
    </row>
    <row r="16" spans="1:78" ht="12.75" customHeight="1" x14ac:dyDescent="0.2">
      <c r="A16" s="656"/>
      <c r="B16" s="656"/>
      <c r="C16" s="391"/>
      <c r="D16" s="366"/>
      <c r="E16" s="357"/>
      <c r="F16" s="394"/>
      <c r="G16" s="366"/>
      <c r="H16" s="366"/>
      <c r="I16" s="451"/>
      <c r="J16" s="372"/>
      <c r="K16" s="372"/>
      <c r="L16" s="616"/>
      <c r="M16" s="369"/>
      <c r="N16" s="579"/>
      <c r="O16" s="579"/>
      <c r="P16" s="579"/>
      <c r="Q16" s="369"/>
      <c r="R16" s="421"/>
      <c r="S16" s="392"/>
      <c r="T16" s="366"/>
      <c r="U16" s="393"/>
      <c r="V16" s="394"/>
      <c r="W16" s="394"/>
      <c r="X16" s="370"/>
      <c r="Y16" s="371"/>
      <c r="Z16" s="366"/>
      <c r="AA16" s="648"/>
      <c r="AB16" s="647"/>
      <c r="AC16" s="647"/>
      <c r="AD16" s="647"/>
      <c r="AE16" s="647"/>
      <c r="AF16" s="647"/>
      <c r="AG16" s="648"/>
      <c r="AH16" s="648"/>
      <c r="AI16" s="648"/>
      <c r="AJ16" s="648"/>
      <c r="AK16" s="648"/>
      <c r="AL16" s="648"/>
      <c r="AM16" s="647"/>
      <c r="AN16" s="930"/>
      <c r="AO16" s="371"/>
      <c r="AP16" s="365"/>
      <c r="AQ16" s="512"/>
      <c r="AR16" s="368"/>
      <c r="AS16" s="647"/>
      <c r="AT16" s="373"/>
      <c r="AU16" s="918"/>
      <c r="AV16" s="373"/>
      <c r="AW16" s="367"/>
      <c r="AX16" s="430"/>
      <c r="AY16" s="480"/>
      <c r="AZ16" s="480"/>
      <c r="BA16" s="481"/>
      <c r="BB16" s="624"/>
      <c r="BC16" s="620"/>
      <c r="BD16" s="483"/>
      <c r="BE16" s="493"/>
      <c r="BF16" s="483"/>
      <c r="BG16" s="357"/>
      <c r="BH16" s="483"/>
      <c r="BI16" s="357"/>
      <c r="BJ16" s="927"/>
      <c r="BK16" s="374"/>
      <c r="BL16" s="547"/>
      <c r="BM16" s="374"/>
      <c r="BN16" s="374"/>
      <c r="BO16" s="374"/>
      <c r="BP16" s="374"/>
      <c r="BQ16" s="374"/>
      <c r="BR16" s="374"/>
      <c r="BS16" s="374"/>
      <c r="BT16" s="374"/>
      <c r="BU16" s="374"/>
      <c r="BV16" s="374"/>
      <c r="BW16" s="374"/>
      <c r="BX16" s="374"/>
    </row>
    <row r="17" spans="1:78" ht="13.15" customHeight="1" x14ac:dyDescent="0.2">
      <c r="A17" s="375"/>
      <c r="B17" s="375"/>
      <c r="C17" s="391"/>
      <c r="D17" s="366"/>
      <c r="E17" s="357"/>
      <c r="F17" s="394"/>
      <c r="G17" s="366"/>
      <c r="H17" s="366"/>
      <c r="I17" s="451"/>
      <c r="J17" s="372"/>
      <c r="K17" s="372"/>
      <c r="L17" s="616"/>
      <c r="M17" s="369"/>
      <c r="N17" s="617"/>
      <c r="O17" s="617"/>
      <c r="P17" s="617"/>
      <c r="Q17" s="369"/>
      <c r="R17" s="421"/>
      <c r="S17" s="392"/>
      <c r="T17" s="366"/>
      <c r="U17" s="393"/>
      <c r="V17" s="394"/>
      <c r="W17" s="394"/>
      <c r="X17" s="370"/>
      <c r="Y17" s="371"/>
      <c r="Z17" s="366"/>
      <c r="AA17" s="618"/>
      <c r="AB17" s="619"/>
      <c r="AC17" s="619"/>
      <c r="AD17" s="619"/>
      <c r="AE17" s="619"/>
      <c r="AF17" s="366"/>
      <c r="AG17" s="392"/>
      <c r="AH17" s="392"/>
      <c r="AI17" s="392"/>
      <c r="AJ17" s="392"/>
      <c r="AK17" s="392"/>
      <c r="AL17" s="392"/>
      <c r="AM17" s="366"/>
      <c r="AN17" s="394"/>
      <c r="AO17" s="395"/>
      <c r="AP17" s="365"/>
      <c r="AQ17" s="512"/>
      <c r="AR17" s="372"/>
      <c r="AS17" s="366"/>
      <c r="AT17" s="354"/>
      <c r="AU17" s="354"/>
      <c r="AV17" s="354"/>
      <c r="AW17" s="367"/>
      <c r="AX17" s="430"/>
      <c r="AY17" s="676"/>
      <c r="AZ17" s="676"/>
      <c r="BA17" s="481"/>
      <c r="BB17" s="624"/>
      <c r="BC17" s="620"/>
      <c r="BD17" s="483"/>
      <c r="BE17" s="493"/>
      <c r="BF17" s="357"/>
      <c r="BG17" s="357"/>
      <c r="BH17" s="483"/>
      <c r="BI17" s="400"/>
      <c r="BJ17" s="400"/>
      <c r="BK17" s="357"/>
      <c r="BL17" s="625"/>
      <c r="BM17" s="374"/>
      <c r="BN17" s="374"/>
      <c r="BO17" s="374"/>
      <c r="BP17" s="374"/>
      <c r="BQ17" s="374"/>
      <c r="BR17" s="374"/>
      <c r="BS17" s="374"/>
      <c r="BT17" s="374"/>
      <c r="BU17" s="374"/>
      <c r="BV17" s="374"/>
      <c r="BW17" s="374"/>
      <c r="BX17" s="374"/>
    </row>
    <row r="18" spans="1:78" ht="12" customHeight="1" x14ac:dyDescent="0.2">
      <c r="A18" s="375"/>
      <c r="B18" s="375"/>
      <c r="C18" s="391"/>
      <c r="D18" s="366"/>
      <c r="E18" s="357"/>
      <c r="F18" s="394"/>
      <c r="G18" s="366"/>
      <c r="H18" s="366"/>
      <c r="I18" s="451"/>
      <c r="J18" s="372"/>
      <c r="K18" s="372"/>
      <c r="L18" s="616"/>
      <c r="M18" s="369"/>
      <c r="N18" s="621"/>
      <c r="O18" s="621"/>
      <c r="P18" s="621"/>
      <c r="Q18" s="369"/>
      <c r="R18" s="421"/>
      <c r="S18" s="392"/>
      <c r="T18" s="366"/>
      <c r="U18" s="393"/>
      <c r="V18" s="394"/>
      <c r="W18" s="394"/>
      <c r="X18" s="370"/>
      <c r="Y18" s="371"/>
      <c r="Z18" s="366"/>
      <c r="AA18" s="618"/>
      <c r="AB18" s="619"/>
      <c r="AC18" s="619"/>
      <c r="AD18" s="619"/>
      <c r="AE18" s="619"/>
      <c r="AF18" s="366"/>
      <c r="AG18" s="392"/>
      <c r="AH18" s="392"/>
      <c r="AI18" s="392"/>
      <c r="AJ18" s="392"/>
      <c r="AK18" s="392"/>
      <c r="AL18" s="392"/>
      <c r="AM18" s="366"/>
      <c r="AN18" s="394"/>
      <c r="AO18" s="395"/>
      <c r="AP18" s="365"/>
      <c r="AQ18" s="372"/>
      <c r="AR18" s="368"/>
      <c r="AS18" s="366"/>
      <c r="AT18" s="354"/>
      <c r="AU18" s="354"/>
      <c r="AV18" s="354"/>
      <c r="AW18" s="367"/>
      <c r="AX18" s="430"/>
      <c r="AY18" s="480"/>
      <c r="AZ18" s="480"/>
      <c r="BA18" s="481"/>
      <c r="BB18" s="483"/>
      <c r="BC18" s="620"/>
      <c r="BD18" s="483"/>
      <c r="BE18" s="493"/>
      <c r="BF18" s="483"/>
      <c r="BG18" s="357"/>
      <c r="BH18" s="482"/>
      <c r="BI18" s="400"/>
      <c r="BJ18" s="400"/>
      <c r="BK18" s="400"/>
      <c r="BL18" s="392"/>
      <c r="BM18" s="374"/>
      <c r="BN18" s="374"/>
      <c r="BO18" s="374"/>
      <c r="BP18" s="374"/>
      <c r="BQ18" s="374"/>
      <c r="BR18" s="374"/>
      <c r="BS18" s="374"/>
      <c r="BT18" s="374"/>
      <c r="BU18" s="374"/>
      <c r="BV18" s="374"/>
      <c r="BW18" s="374"/>
      <c r="BX18" s="374"/>
    </row>
    <row r="19" spans="1:78" ht="12.6" customHeight="1" x14ac:dyDescent="0.2">
      <c r="A19" s="375"/>
      <c r="B19" s="375"/>
      <c r="C19" s="391"/>
      <c r="D19" s="366"/>
      <c r="E19" s="357"/>
      <c r="F19" s="394"/>
      <c r="G19" s="366"/>
      <c r="H19" s="366"/>
      <c r="I19" s="451"/>
      <c r="J19" s="372"/>
      <c r="K19" s="372"/>
      <c r="L19" s="616"/>
      <c r="M19" s="369"/>
      <c r="N19" s="617"/>
      <c r="O19" s="617"/>
      <c r="P19" s="617"/>
      <c r="Q19" s="369"/>
      <c r="R19" s="421"/>
      <c r="S19" s="392"/>
      <c r="T19" s="366"/>
      <c r="U19" s="393"/>
      <c r="V19" s="394"/>
      <c r="W19" s="394"/>
      <c r="X19" s="370"/>
      <c r="Y19" s="371"/>
      <c r="Z19" s="366"/>
      <c r="AA19" s="618"/>
      <c r="AB19" s="619"/>
      <c r="AC19" s="619"/>
      <c r="AD19" s="619"/>
      <c r="AE19" s="619"/>
      <c r="AF19" s="366"/>
      <c r="AG19" s="392"/>
      <c r="AH19" s="392"/>
      <c r="AI19" s="392"/>
      <c r="AJ19" s="392"/>
      <c r="AK19" s="392"/>
      <c r="AL19" s="392"/>
      <c r="AM19" s="366"/>
      <c r="AN19" s="394"/>
      <c r="AO19" s="395"/>
      <c r="AP19" s="365"/>
      <c r="AQ19" s="512"/>
      <c r="AR19" s="368"/>
      <c r="AS19" s="366"/>
      <c r="AT19" s="354"/>
      <c r="AU19" s="354"/>
      <c r="AV19" s="354"/>
      <c r="AW19" s="354"/>
      <c r="AX19" s="430"/>
      <c r="AY19" s="480"/>
      <c r="AZ19" s="480"/>
      <c r="BA19" s="481"/>
      <c r="BB19" s="483"/>
      <c r="BC19" s="620"/>
      <c r="BD19" s="482"/>
      <c r="BE19" s="493"/>
      <c r="BF19" s="483"/>
      <c r="BG19" s="357"/>
      <c r="BH19" s="482"/>
      <c r="BI19" s="400"/>
      <c r="BJ19" s="400"/>
      <c r="BK19" s="400"/>
      <c r="BL19" s="392"/>
      <c r="BM19" s="374"/>
      <c r="BN19" s="374"/>
      <c r="BO19" s="374"/>
      <c r="BP19" s="374"/>
      <c r="BQ19" s="374"/>
      <c r="BR19" s="374"/>
      <c r="BS19" s="374"/>
      <c r="BT19" s="374"/>
      <c r="BU19" s="374"/>
      <c r="BV19" s="374"/>
      <c r="BW19" s="374"/>
      <c r="BX19" s="374"/>
    </row>
    <row r="20" spans="1:78" ht="13.15" customHeight="1" x14ac:dyDescent="0.2">
      <c r="A20" s="375"/>
      <c r="B20" s="375"/>
      <c r="C20" s="391"/>
      <c r="D20" s="366"/>
      <c r="E20" s="357"/>
      <c r="F20" s="394"/>
      <c r="G20" s="366"/>
      <c r="H20" s="366"/>
      <c r="I20" s="451"/>
      <c r="J20" s="372"/>
      <c r="K20" s="372"/>
      <c r="L20" s="616"/>
      <c r="M20" s="369"/>
      <c r="N20" s="579"/>
      <c r="O20" s="579"/>
      <c r="P20" s="579"/>
      <c r="Q20" s="369"/>
      <c r="R20" s="421"/>
      <c r="S20" s="392"/>
      <c r="T20" s="366"/>
      <c r="U20" s="393"/>
      <c r="V20" s="394"/>
      <c r="W20" s="394"/>
      <c r="X20" s="370"/>
      <c r="Y20" s="760"/>
      <c r="Z20" s="366"/>
      <c r="AA20" s="774"/>
      <c r="AB20" s="775"/>
      <c r="AC20" s="775"/>
      <c r="AD20" s="775"/>
      <c r="AE20" s="775"/>
      <c r="AF20" s="767"/>
      <c r="AG20" s="766"/>
      <c r="AH20" s="766"/>
      <c r="AI20" s="766"/>
      <c r="AJ20" s="766"/>
      <c r="AK20" s="766"/>
      <c r="AL20" s="766"/>
      <c r="AM20" s="767"/>
      <c r="AN20" s="768"/>
      <c r="AO20" s="760"/>
      <c r="AP20" s="365"/>
      <c r="AQ20" s="512"/>
      <c r="AR20" s="783"/>
      <c r="AS20" s="767"/>
      <c r="AT20" s="788"/>
      <c r="AU20" s="788"/>
      <c r="AV20" s="788"/>
      <c r="AW20" s="367"/>
      <c r="AX20" s="430"/>
      <c r="AY20" s="480"/>
      <c r="AZ20" s="480"/>
      <c r="BA20" s="481"/>
      <c r="BB20" s="624"/>
      <c r="BC20" s="620"/>
      <c r="BD20" s="673"/>
      <c r="BE20" s="493"/>
      <c r="BF20" s="483"/>
      <c r="BG20" s="357"/>
      <c r="BH20" s="482"/>
      <c r="BI20" s="483"/>
      <c r="BJ20" s="357"/>
      <c r="BK20" s="742"/>
      <c r="BL20" s="926"/>
      <c r="BM20" s="742"/>
      <c r="BN20" s="742"/>
      <c r="BO20" s="742"/>
      <c r="BP20" s="742"/>
      <c r="BQ20" s="742"/>
      <c r="BR20" s="742"/>
      <c r="BS20" s="742"/>
      <c r="BT20" s="742"/>
      <c r="BU20" s="374"/>
      <c r="BV20" s="374"/>
      <c r="BW20" s="374"/>
      <c r="BX20" s="374"/>
    </row>
    <row r="21" spans="1:78" ht="15" customHeight="1" x14ac:dyDescent="0.2">
      <c r="A21" s="375"/>
      <c r="B21" s="375"/>
      <c r="C21" s="391"/>
      <c r="D21" s="366"/>
      <c r="E21" s="357"/>
      <c r="F21" s="394"/>
      <c r="G21" s="366"/>
      <c r="H21" s="366"/>
      <c r="I21" s="451"/>
      <c r="J21" s="372"/>
      <c r="K21" s="372"/>
      <c r="L21" s="616"/>
      <c r="M21" s="369"/>
      <c r="N21" s="579"/>
      <c r="O21" s="579"/>
      <c r="P21" s="579"/>
      <c r="Q21" s="369"/>
      <c r="R21" s="421"/>
      <c r="S21" s="392"/>
      <c r="T21" s="366"/>
      <c r="U21" s="393"/>
      <c r="V21" s="394"/>
      <c r="W21" s="394"/>
      <c r="X21" s="370"/>
      <c r="Y21" s="371"/>
      <c r="Z21" s="366"/>
      <c r="AA21" s="392"/>
      <c r="AB21" s="366"/>
      <c r="AC21" s="366"/>
      <c r="AD21" s="366"/>
      <c r="AE21" s="366"/>
      <c r="AF21" s="366"/>
      <c r="AG21" s="392"/>
      <c r="AH21" s="392"/>
      <c r="AI21" s="392"/>
      <c r="AJ21" s="392"/>
      <c r="AK21" s="392"/>
      <c r="AL21" s="392"/>
      <c r="AM21" s="366"/>
      <c r="AN21" s="394"/>
      <c r="AO21" s="395"/>
      <c r="AP21" s="365"/>
      <c r="AQ21" s="512"/>
      <c r="AR21" s="368"/>
      <c r="AS21" s="366"/>
      <c r="AT21" s="367"/>
      <c r="AU21" s="367"/>
      <c r="AV21" s="354"/>
      <c r="AW21" s="367"/>
      <c r="AX21" s="430"/>
      <c r="AY21" s="480"/>
      <c r="AZ21" s="480"/>
      <c r="BA21" s="481"/>
      <c r="BB21" s="624"/>
      <c r="BC21" s="357"/>
      <c r="BD21" s="624"/>
      <c r="BE21" s="493"/>
      <c r="BF21" s="483"/>
      <c r="BG21" s="357"/>
      <c r="BH21" s="482"/>
      <c r="BI21" s="400"/>
      <c r="BJ21" s="400"/>
      <c r="BK21" s="400"/>
      <c r="BL21" s="392"/>
      <c r="BM21" s="374"/>
      <c r="BN21" s="374"/>
      <c r="BO21" s="374"/>
      <c r="BP21" s="374"/>
      <c r="BQ21" s="374"/>
      <c r="BR21" s="374"/>
      <c r="BS21" s="374"/>
      <c r="BT21" s="374"/>
      <c r="BU21" s="374"/>
      <c r="BV21" s="374"/>
      <c r="BW21" s="374"/>
      <c r="BX21" s="374"/>
    </row>
    <row r="22" spans="1:78" x14ac:dyDescent="0.2">
      <c r="A22" s="375"/>
      <c r="B22" s="375"/>
      <c r="C22" s="391"/>
      <c r="D22" s="366"/>
      <c r="E22" s="357"/>
      <c r="F22" s="394"/>
      <c r="G22" s="366"/>
      <c r="H22" s="366"/>
      <c r="I22" s="451"/>
      <c r="J22" s="372"/>
      <c r="K22" s="372"/>
      <c r="L22" s="616"/>
      <c r="M22" s="369"/>
      <c r="N22" s="621"/>
      <c r="O22" s="621"/>
      <c r="P22" s="621"/>
      <c r="Q22" s="621"/>
      <c r="R22" s="421"/>
      <c r="S22" s="392"/>
      <c r="T22" s="366"/>
      <c r="U22" s="393"/>
      <c r="V22" s="394"/>
      <c r="W22" s="394"/>
      <c r="X22" s="370"/>
      <c r="Y22" s="371"/>
      <c r="Z22" s="366"/>
      <c r="AA22" s="618"/>
      <c r="AB22" s="619"/>
      <c r="AC22" s="619"/>
      <c r="AD22" s="619"/>
      <c r="AE22" s="619"/>
      <c r="AF22" s="366"/>
      <c r="AG22" s="392"/>
      <c r="AH22" s="392"/>
      <c r="AI22" s="392"/>
      <c r="AJ22" s="392"/>
      <c r="AK22" s="392"/>
      <c r="AL22" s="392"/>
      <c r="AM22" s="366"/>
      <c r="AN22" s="394"/>
      <c r="AO22" s="395"/>
      <c r="AP22" s="365"/>
      <c r="AQ22" s="372"/>
      <c r="AR22" s="372"/>
      <c r="AS22" s="366"/>
      <c r="AT22" s="354"/>
      <c r="AU22" s="646"/>
      <c r="AV22" s="354"/>
      <c r="AW22" s="367"/>
      <c r="AX22" s="430"/>
      <c r="AY22" s="480"/>
      <c r="AZ22" s="480"/>
      <c r="BA22" s="481"/>
      <c r="BB22" s="483"/>
      <c r="BC22" s="620"/>
      <c r="BD22" s="482"/>
      <c r="BE22" s="493"/>
      <c r="BF22" s="483"/>
      <c r="BG22" s="357"/>
      <c r="BH22" s="482"/>
      <c r="BI22" s="400"/>
      <c r="BJ22" s="400"/>
      <c r="BK22" s="400"/>
      <c r="BL22" s="392"/>
      <c r="BM22" s="374"/>
      <c r="BN22" s="374"/>
      <c r="BO22" s="374"/>
      <c r="BP22" s="374"/>
      <c r="BQ22" s="374"/>
      <c r="BR22" s="374"/>
      <c r="BS22" s="374"/>
      <c r="BT22" s="374"/>
      <c r="BU22" s="374"/>
      <c r="BV22" s="374"/>
      <c r="BW22" s="374"/>
      <c r="BX22" s="374"/>
    </row>
    <row r="23" spans="1:78" ht="13.15" customHeight="1" x14ac:dyDescent="0.2">
      <c r="A23" s="626"/>
      <c r="B23" s="626"/>
      <c r="C23" s="391"/>
      <c r="D23" s="366"/>
      <c r="E23" s="357"/>
      <c r="F23" s="394"/>
      <c r="G23" s="366"/>
      <c r="H23" s="366"/>
      <c r="I23" s="451"/>
      <c r="J23" s="372"/>
      <c r="K23" s="372"/>
      <c r="L23" s="616"/>
      <c r="M23" s="369"/>
      <c r="N23" s="369"/>
      <c r="O23" s="411"/>
      <c r="P23" s="411"/>
      <c r="Q23" s="369"/>
      <c r="R23" s="421"/>
      <c r="S23" s="392"/>
      <c r="T23" s="366"/>
      <c r="U23" s="393"/>
      <c r="V23" s="394"/>
      <c r="W23" s="394"/>
      <c r="X23" s="370"/>
      <c r="Y23" s="760"/>
      <c r="Z23" s="366"/>
      <c r="AA23" s="766"/>
      <c r="AB23" s="767"/>
      <c r="AC23" s="767"/>
      <c r="AD23" s="767"/>
      <c r="AE23" s="767"/>
      <c r="AF23" s="767"/>
      <c r="AG23" s="766"/>
      <c r="AH23" s="766"/>
      <c r="AI23" s="766"/>
      <c r="AJ23" s="766"/>
      <c r="AK23" s="766"/>
      <c r="AL23" s="766"/>
      <c r="AM23" s="767"/>
      <c r="AN23" s="768"/>
      <c r="AO23" s="760"/>
      <c r="AP23" s="365"/>
      <c r="AQ23" s="372"/>
      <c r="AR23" s="783"/>
      <c r="AS23" s="767"/>
      <c r="AT23" s="788"/>
      <c r="AU23" s="789"/>
      <c r="AV23" s="788"/>
      <c r="AW23" s="367"/>
      <c r="AX23" s="430"/>
      <c r="BA23" s="914"/>
      <c r="BD23" s="465"/>
      <c r="BE23" s="914"/>
      <c r="BH23" s="465"/>
      <c r="BL23" s="464"/>
    </row>
    <row r="24" spans="1:78" ht="12.75" customHeight="1" x14ac:dyDescent="0.2">
      <c r="A24" s="375"/>
      <c r="B24" s="375"/>
      <c r="C24" s="391"/>
      <c r="D24" s="366"/>
      <c r="E24" s="357"/>
      <c r="F24" s="394"/>
      <c r="G24" s="366"/>
      <c r="H24" s="366"/>
      <c r="I24" s="451"/>
      <c r="J24" s="372"/>
      <c r="K24" s="372"/>
      <c r="L24" s="616"/>
      <c r="M24" s="369"/>
      <c r="N24" s="369"/>
      <c r="O24" s="369"/>
      <c r="P24" s="369"/>
      <c r="Q24" s="369"/>
      <c r="R24" s="421"/>
      <c r="S24" s="392"/>
      <c r="T24" s="366"/>
      <c r="U24" s="393"/>
      <c r="V24" s="394"/>
      <c r="W24" s="394"/>
      <c r="X24" s="370"/>
      <c r="Y24" s="371"/>
      <c r="Z24" s="366"/>
      <c r="AA24" s="392"/>
      <c r="AB24" s="366"/>
      <c r="AC24" s="366"/>
      <c r="AD24" s="366"/>
      <c r="AE24" s="366"/>
      <c r="AF24" s="366"/>
      <c r="AG24" s="392"/>
      <c r="AH24" s="392"/>
      <c r="AI24" s="392"/>
      <c r="AJ24" s="392"/>
      <c r="AK24" s="392"/>
      <c r="AL24" s="392"/>
      <c r="AM24" s="366"/>
      <c r="AN24" s="394"/>
      <c r="AO24" s="395"/>
      <c r="AP24" s="365"/>
      <c r="AQ24" s="372"/>
      <c r="AR24" s="368"/>
      <c r="AS24" s="366"/>
      <c r="AT24" s="373"/>
      <c r="AU24" s="367"/>
      <c r="AV24" s="354"/>
      <c r="AW24" s="367"/>
      <c r="AX24" s="430"/>
      <c r="AY24" s="480"/>
      <c r="AZ24" s="480"/>
      <c r="BA24" s="481"/>
      <c r="BB24" s="624"/>
      <c r="BC24" s="620"/>
      <c r="BD24" s="624"/>
      <c r="BE24" s="493"/>
      <c r="BF24" s="483"/>
      <c r="BG24" s="357"/>
      <c r="BH24" s="482"/>
      <c r="BI24" s="400"/>
      <c r="BJ24" s="400"/>
      <c r="BK24" s="400"/>
      <c r="BL24" s="392"/>
      <c r="BM24" s="374"/>
      <c r="BN24" s="374"/>
      <c r="BO24" s="374"/>
      <c r="BP24" s="374"/>
      <c r="BQ24" s="374"/>
      <c r="BR24" s="374"/>
      <c r="BS24" s="374"/>
      <c r="BT24" s="374"/>
      <c r="BU24" s="374"/>
      <c r="BV24" s="374"/>
      <c r="BW24" s="374"/>
      <c r="BX24" s="374"/>
      <c r="BY24" s="400"/>
      <c r="BZ24" s="400"/>
    </row>
    <row r="25" spans="1:78" ht="12.75" customHeight="1" x14ac:dyDescent="0.2">
      <c r="A25" s="932"/>
      <c r="B25" s="932"/>
      <c r="C25" s="391"/>
      <c r="D25" s="366"/>
      <c r="E25" s="357"/>
      <c r="F25" s="394"/>
      <c r="G25" s="366"/>
      <c r="H25" s="366"/>
      <c r="I25" s="451"/>
      <c r="J25" s="372"/>
      <c r="K25" s="372"/>
      <c r="L25" s="616"/>
      <c r="M25" s="369"/>
      <c r="N25" s="579"/>
      <c r="O25" s="579"/>
      <c r="P25" s="579"/>
      <c r="Q25" s="369"/>
      <c r="R25" s="421"/>
      <c r="S25" s="392"/>
      <c r="T25" s="366"/>
      <c r="U25" s="393"/>
      <c r="V25" s="394"/>
      <c r="W25" s="394"/>
      <c r="X25" s="370"/>
      <c r="Y25" s="371"/>
      <c r="Z25" s="366"/>
      <c r="AA25" s="618"/>
      <c r="AB25" s="619"/>
      <c r="AC25" s="619"/>
      <c r="AD25" s="619"/>
      <c r="AE25" s="619"/>
      <c r="AF25" s="366"/>
      <c r="AG25" s="392"/>
      <c r="AH25" s="392"/>
      <c r="AI25" s="392"/>
      <c r="AJ25" s="392"/>
      <c r="AK25" s="392"/>
      <c r="AL25" s="392"/>
      <c r="AM25" s="366"/>
      <c r="AN25" s="394"/>
      <c r="AO25" s="395"/>
      <c r="AP25" s="365"/>
      <c r="AQ25" s="372"/>
      <c r="AR25" s="372"/>
      <c r="AS25" s="366"/>
      <c r="AT25" s="354"/>
      <c r="AU25" s="354"/>
      <c r="AV25" s="354"/>
      <c r="AW25" s="367"/>
      <c r="AX25" s="430"/>
      <c r="AY25" s="480"/>
      <c r="AZ25" s="480"/>
      <c r="BA25" s="481"/>
      <c r="BB25" s="669"/>
      <c r="BC25" s="620"/>
      <c r="BD25" s="673"/>
      <c r="BE25" s="493"/>
      <c r="BF25" s="483"/>
      <c r="BG25" s="357"/>
      <c r="BH25" s="482"/>
      <c r="BI25" s="400"/>
      <c r="BJ25" s="400"/>
      <c r="BK25" s="400"/>
      <c r="BL25" s="392"/>
      <c r="BM25" s="374"/>
      <c r="BN25" s="374"/>
      <c r="BO25" s="374"/>
      <c r="BP25" s="374"/>
      <c r="BQ25" s="374"/>
      <c r="BR25" s="374"/>
      <c r="BS25" s="374"/>
      <c r="BT25" s="374"/>
      <c r="BU25" s="374"/>
      <c r="BV25" s="374"/>
      <c r="BW25" s="374"/>
      <c r="BX25" s="374"/>
    </row>
    <row r="26" spans="1:78" ht="12.75" customHeight="1" x14ac:dyDescent="0.2">
      <c r="A26" s="675"/>
      <c r="B26" s="375"/>
      <c r="C26" s="391"/>
      <c r="D26" s="366"/>
      <c r="E26" s="357"/>
      <c r="F26" s="394"/>
      <c r="G26" s="366"/>
      <c r="H26" s="366"/>
      <c r="I26" s="451"/>
      <c r="J26" s="372"/>
      <c r="K26" s="372"/>
      <c r="L26" s="616"/>
      <c r="M26" s="369"/>
      <c r="N26" s="369"/>
      <c r="O26" s="369"/>
      <c r="P26" s="369"/>
      <c r="Q26" s="369"/>
      <c r="R26" s="421"/>
      <c r="S26" s="392"/>
      <c r="T26" s="366"/>
      <c r="U26" s="393"/>
      <c r="V26" s="394"/>
      <c r="W26" s="394"/>
      <c r="X26" s="370"/>
      <c r="Y26" s="371"/>
      <c r="Z26" s="366"/>
      <c r="AA26" s="618"/>
      <c r="AB26" s="619"/>
      <c r="AC26" s="619"/>
      <c r="AD26" s="619"/>
      <c r="AE26" s="619"/>
      <c r="AF26" s="366"/>
      <c r="AG26" s="392"/>
      <c r="AH26" s="392"/>
      <c r="AI26" s="392"/>
      <c r="AJ26" s="392"/>
      <c r="AK26" s="392"/>
      <c r="AL26" s="392"/>
      <c r="AM26" s="366"/>
      <c r="AN26" s="394"/>
      <c r="AO26" s="395"/>
      <c r="AP26" s="365"/>
      <c r="AQ26" s="372"/>
      <c r="AR26" s="372"/>
      <c r="AS26" s="366"/>
      <c r="AT26" s="354"/>
      <c r="AU26" s="354"/>
      <c r="AV26" s="354"/>
      <c r="AW26" s="367"/>
      <c r="AX26" s="430"/>
      <c r="AY26" s="480"/>
      <c r="AZ26" s="480"/>
      <c r="BA26" s="481"/>
      <c r="BB26" s="624"/>
      <c r="BC26" s="620"/>
      <c r="BD26" s="624"/>
      <c r="BE26" s="493"/>
      <c r="BF26" s="483"/>
      <c r="BG26" s="357"/>
      <c r="BH26" s="482"/>
      <c r="BI26" s="400"/>
      <c r="BJ26" s="400"/>
      <c r="BK26" s="400"/>
      <c r="BL26" s="392"/>
      <c r="BM26" s="374"/>
      <c r="BN26" s="374"/>
      <c r="BO26" s="374"/>
      <c r="BP26" s="374"/>
      <c r="BQ26" s="374"/>
      <c r="BR26" s="374"/>
      <c r="BS26" s="374"/>
      <c r="BT26" s="374"/>
      <c r="BU26" s="374"/>
      <c r="BV26" s="374"/>
      <c r="BW26" s="374"/>
      <c r="BX26" s="374"/>
    </row>
    <row r="27" spans="1:78" ht="13.5" customHeight="1" x14ac:dyDescent="0.2">
      <c r="A27" s="375"/>
      <c r="B27" s="375"/>
      <c r="C27" s="391"/>
      <c r="D27" s="366"/>
      <c r="E27" s="357"/>
      <c r="F27" s="394"/>
      <c r="G27" s="366"/>
      <c r="H27" s="366"/>
      <c r="I27" s="394"/>
      <c r="J27" s="372"/>
      <c r="K27" s="372"/>
      <c r="L27" s="616"/>
      <c r="M27" s="369"/>
      <c r="N27" s="621"/>
      <c r="O27" s="621"/>
      <c r="P27" s="621"/>
      <c r="Q27" s="369"/>
      <c r="R27" s="421"/>
      <c r="S27" s="392"/>
      <c r="T27" s="366"/>
      <c r="U27" s="393"/>
      <c r="V27" s="622"/>
      <c r="W27" s="622"/>
      <c r="X27" s="370"/>
      <c r="Y27" s="371"/>
      <c r="Z27" s="366"/>
      <c r="AA27" s="618"/>
      <c r="AB27" s="619"/>
      <c r="AC27" s="619"/>
      <c r="AD27" s="619"/>
      <c r="AE27" s="619"/>
      <c r="AF27" s="366"/>
      <c r="AG27" s="392"/>
      <c r="AH27" s="392"/>
      <c r="AI27" s="392"/>
      <c r="AJ27" s="392"/>
      <c r="AK27" s="392"/>
      <c r="AL27" s="392"/>
      <c r="AM27" s="366"/>
      <c r="AN27" s="394"/>
      <c r="AO27" s="395"/>
      <c r="AP27" s="365"/>
      <c r="AQ27" s="372"/>
      <c r="AR27" s="372"/>
      <c r="AS27" s="366"/>
      <c r="AT27" s="354"/>
      <c r="AU27" s="354"/>
      <c r="AV27" s="354"/>
      <c r="AW27" s="367"/>
      <c r="AX27" s="430"/>
      <c r="AY27" s="480"/>
      <c r="AZ27" s="480"/>
      <c r="BA27" s="481"/>
      <c r="BB27" s="483"/>
      <c r="BC27" s="357"/>
      <c r="BD27" s="483"/>
      <c r="BE27" s="493"/>
      <c r="BF27" s="483"/>
      <c r="BG27" s="357"/>
      <c r="BH27" s="482"/>
      <c r="BI27" s="400"/>
      <c r="BJ27" s="400"/>
      <c r="BK27" s="400"/>
      <c r="BL27" s="392"/>
      <c r="BM27" s="374"/>
      <c r="BN27" s="374"/>
      <c r="BO27" s="374"/>
      <c r="BP27" s="374"/>
      <c r="BQ27" s="374"/>
      <c r="BR27" s="374"/>
      <c r="BS27" s="374"/>
      <c r="BT27" s="374"/>
      <c r="BU27" s="374"/>
      <c r="BV27" s="374"/>
      <c r="BW27" s="374"/>
      <c r="BX27" s="374"/>
    </row>
    <row r="28" spans="1:78" ht="13.15" customHeight="1" x14ac:dyDescent="0.2">
      <c r="A28" s="656"/>
      <c r="B28" s="656"/>
      <c r="C28" s="657"/>
      <c r="D28" s="658"/>
      <c r="E28" s="659"/>
      <c r="F28" s="660"/>
      <c r="G28" s="658"/>
      <c r="H28" s="658"/>
      <c r="I28" s="661"/>
      <c r="J28" s="662"/>
      <c r="K28" s="662"/>
      <c r="L28" s="616"/>
      <c r="M28" s="369"/>
      <c r="N28" s="617"/>
      <c r="O28" s="617"/>
      <c r="P28" s="617"/>
      <c r="Q28" s="369"/>
      <c r="R28" s="663"/>
      <c r="S28" s="663"/>
      <c r="T28" s="658"/>
      <c r="U28" s="658"/>
      <c r="V28" s="660"/>
      <c r="W28" s="660"/>
      <c r="X28" s="664"/>
      <c r="Y28" s="371"/>
      <c r="Z28" s="366"/>
      <c r="AA28" s="618"/>
      <c r="AB28" s="619"/>
      <c r="AC28" s="619"/>
      <c r="AD28" s="619"/>
      <c r="AE28" s="619"/>
      <c r="AF28" s="366"/>
      <c r="AG28" s="392"/>
      <c r="AH28" s="392"/>
      <c r="AI28" s="392"/>
      <c r="AJ28" s="392"/>
      <c r="AK28" s="392"/>
      <c r="AL28" s="392"/>
      <c r="AM28" s="366"/>
      <c r="AN28" s="394"/>
      <c r="AO28" s="395"/>
      <c r="AP28" s="365"/>
      <c r="AQ28" s="372"/>
      <c r="AR28" s="368"/>
      <c r="AS28" s="366"/>
      <c r="AT28" s="366"/>
      <c r="AU28" s="366"/>
      <c r="AV28" s="354"/>
      <c r="AW28" s="366"/>
      <c r="AX28" s="430"/>
      <c r="AY28" s="480"/>
      <c r="AZ28" s="480"/>
      <c r="BA28" s="481"/>
      <c r="BB28" s="665"/>
      <c r="BC28" s="666"/>
      <c r="BD28" s="663"/>
      <c r="BE28" s="493"/>
      <c r="BF28" s="667"/>
      <c r="BG28" s="357"/>
      <c r="BH28" s="663"/>
      <c r="BI28" s="659"/>
      <c r="BJ28" s="659"/>
      <c r="BK28" s="659"/>
      <c r="BL28" s="392"/>
      <c r="BM28" s="374"/>
      <c r="BN28" s="374"/>
      <c r="BO28" s="374"/>
      <c r="BP28" s="374"/>
      <c r="BQ28" s="374"/>
      <c r="BR28" s="374"/>
      <c r="BS28" s="374"/>
      <c r="BT28" s="374"/>
      <c r="BU28" s="374"/>
      <c r="BV28" s="374"/>
      <c r="BW28" s="374"/>
      <c r="BX28" s="374"/>
    </row>
    <row r="29" spans="1:78" ht="13.15" customHeight="1" x14ac:dyDescent="0.2">
      <c r="A29" s="656"/>
      <c r="B29" s="656"/>
      <c r="C29" s="1071"/>
      <c r="D29" s="658"/>
      <c r="E29" s="659"/>
      <c r="F29" s="660"/>
      <c r="G29" s="658"/>
      <c r="H29" s="658"/>
      <c r="I29" s="661"/>
      <c r="J29" s="662"/>
      <c r="K29" s="662"/>
      <c r="L29" s="616"/>
      <c r="M29" s="369"/>
      <c r="N29" s="621"/>
      <c r="O29" s="621"/>
      <c r="P29" s="621"/>
      <c r="Q29" s="369"/>
      <c r="R29" s="663"/>
      <c r="S29" s="663"/>
      <c r="T29" s="658"/>
      <c r="U29" s="658"/>
      <c r="V29" s="660"/>
      <c r="W29" s="660"/>
      <c r="X29" s="370"/>
      <c r="Y29" s="371"/>
      <c r="Z29" s="366"/>
      <c r="AA29" s="618"/>
      <c r="AB29" s="619"/>
      <c r="AC29" s="619"/>
      <c r="AD29" s="619"/>
      <c r="AE29" s="619"/>
      <c r="AF29" s="366"/>
      <c r="AG29" s="392"/>
      <c r="AH29" s="392"/>
      <c r="AI29" s="392"/>
      <c r="AJ29" s="392"/>
      <c r="AK29" s="392"/>
      <c r="AL29" s="392"/>
      <c r="AM29" s="366"/>
      <c r="AN29" s="394"/>
      <c r="AO29" s="395"/>
      <c r="AP29" s="365"/>
      <c r="AQ29" s="372"/>
      <c r="AR29" s="368"/>
      <c r="AS29" s="366"/>
      <c r="AT29" s="366"/>
      <c r="AU29" s="366"/>
      <c r="AV29" s="354"/>
      <c r="AW29" s="366"/>
      <c r="AX29" s="430"/>
      <c r="AY29" s="480"/>
      <c r="AZ29" s="480"/>
      <c r="BA29" s="481"/>
      <c r="BB29" s="667"/>
      <c r="BC29" s="666"/>
      <c r="BD29" s="668"/>
      <c r="BE29" s="493"/>
      <c r="BF29" s="667"/>
      <c r="BG29" s="357"/>
      <c r="BH29" s="668"/>
      <c r="BI29" s="659"/>
      <c r="BJ29" s="659"/>
      <c r="BK29" s="659"/>
      <c r="BL29" s="392"/>
      <c r="BM29" s="374"/>
      <c r="BN29" s="374"/>
      <c r="BO29" s="374"/>
      <c r="BP29" s="374"/>
      <c r="BQ29" s="374"/>
      <c r="BR29" s="374"/>
      <c r="BS29" s="374"/>
      <c r="BT29" s="374"/>
      <c r="BU29" s="374"/>
      <c r="BV29" s="374"/>
      <c r="BW29" s="374"/>
      <c r="BX29" s="374"/>
    </row>
    <row r="30" spans="1:78" ht="13.15" customHeight="1" x14ac:dyDescent="0.2">
      <c r="A30" s="375"/>
      <c r="B30" s="375"/>
      <c r="C30" s="391"/>
      <c r="D30" s="366"/>
      <c r="E30" s="357"/>
      <c r="F30" s="394"/>
      <c r="G30" s="366"/>
      <c r="H30" s="366"/>
      <c r="I30" s="451"/>
      <c r="J30" s="372"/>
      <c r="K30" s="372"/>
      <c r="L30" s="616"/>
      <c r="M30" s="369"/>
      <c r="N30" s="621"/>
      <c r="O30" s="621"/>
      <c r="P30" s="621"/>
      <c r="Q30" s="369"/>
      <c r="R30" s="421"/>
      <c r="S30" s="392"/>
      <c r="T30" s="366"/>
      <c r="U30" s="393"/>
      <c r="V30" s="394"/>
      <c r="W30" s="394"/>
      <c r="X30" s="370"/>
      <c r="Y30" s="371"/>
      <c r="Z30" s="366"/>
      <c r="AA30" s="618"/>
      <c r="AB30" s="619"/>
      <c r="AC30" s="619"/>
      <c r="AD30" s="619"/>
      <c r="AE30" s="619"/>
      <c r="AF30" s="366"/>
      <c r="AG30" s="392"/>
      <c r="AH30" s="392"/>
      <c r="AI30" s="392"/>
      <c r="AJ30" s="392"/>
      <c r="AK30" s="392"/>
      <c r="AL30" s="392"/>
      <c r="AM30" s="366"/>
      <c r="AN30" s="394"/>
      <c r="AO30" s="395"/>
      <c r="AP30" s="365"/>
      <c r="AQ30" s="372"/>
      <c r="AR30" s="368"/>
      <c r="AS30" s="366"/>
      <c r="AT30" s="354"/>
      <c r="AU30" s="646"/>
      <c r="AV30" s="354"/>
      <c r="AW30" s="367"/>
      <c r="AX30" s="430"/>
      <c r="AY30" s="480"/>
      <c r="AZ30" s="480"/>
      <c r="BA30" s="481"/>
      <c r="BB30" s="624"/>
      <c r="BC30" s="620"/>
      <c r="BD30" s="483"/>
      <c r="BE30" s="493"/>
      <c r="BF30" s="483"/>
      <c r="BG30" s="357"/>
      <c r="BH30" s="482"/>
      <c r="BI30" s="400"/>
      <c r="BJ30" s="400"/>
      <c r="BK30" s="357"/>
      <c r="BL30" s="625"/>
      <c r="BM30" s="374"/>
      <c r="BN30" s="374"/>
      <c r="BO30" s="374"/>
      <c r="BP30" s="374"/>
      <c r="BQ30" s="374"/>
      <c r="BR30" s="374"/>
      <c r="BS30" s="374"/>
      <c r="BT30" s="374"/>
      <c r="BU30" s="374"/>
      <c r="BV30" s="374"/>
      <c r="BW30" s="374"/>
      <c r="BX30" s="374"/>
    </row>
    <row r="31" spans="1:78" ht="13.15" customHeight="1" x14ac:dyDescent="0.2">
      <c r="A31" s="923"/>
      <c r="B31" s="923"/>
      <c r="C31" s="682"/>
      <c r="D31" s="366"/>
      <c r="E31" s="357"/>
      <c r="F31" s="394"/>
      <c r="G31" s="366"/>
      <c r="H31" s="366"/>
      <c r="I31" s="451"/>
      <c r="J31" s="372"/>
      <c r="K31" s="372"/>
      <c r="L31" s="616"/>
      <c r="M31" s="369"/>
      <c r="N31" s="369"/>
      <c r="O31" s="369"/>
      <c r="P31" s="369"/>
      <c r="Q31" s="369"/>
      <c r="R31" s="421"/>
      <c r="S31" s="392"/>
      <c r="T31" s="366"/>
      <c r="U31" s="393"/>
      <c r="V31" s="394"/>
      <c r="W31" s="394"/>
      <c r="X31" s="681"/>
      <c r="Y31" s="371"/>
      <c r="Z31" s="366"/>
      <c r="AA31" s="618"/>
      <c r="AB31" s="619"/>
      <c r="AC31" s="619"/>
      <c r="AD31" s="619"/>
      <c r="AE31" s="619"/>
      <c r="AF31" s="366"/>
      <c r="AG31" s="392"/>
      <c r="AH31" s="392"/>
      <c r="AI31" s="392"/>
      <c r="AJ31" s="392"/>
      <c r="AK31" s="392"/>
      <c r="AL31" s="392"/>
      <c r="AM31" s="366"/>
      <c r="AN31" s="394"/>
      <c r="AO31" s="395"/>
      <c r="AP31" s="365"/>
      <c r="AQ31" s="372"/>
      <c r="AR31" s="372"/>
      <c r="AS31" s="366"/>
      <c r="AT31" s="373"/>
      <c r="AU31" s="354"/>
      <c r="AV31" s="354"/>
      <c r="AW31" s="367"/>
      <c r="AX31" s="430"/>
      <c r="AY31" s="480"/>
      <c r="AZ31" s="480"/>
      <c r="BA31" s="481"/>
      <c r="BB31" s="483"/>
      <c r="BC31" s="620"/>
      <c r="BD31" s="482"/>
      <c r="BE31" s="493"/>
      <c r="BF31" s="483"/>
      <c r="BG31" s="357"/>
      <c r="BH31" s="482"/>
      <c r="BI31" s="400"/>
      <c r="BJ31" s="400"/>
      <c r="BK31" s="400"/>
      <c r="BL31" s="392"/>
      <c r="BM31" s="374"/>
      <c r="BN31" s="374"/>
      <c r="BO31" s="374"/>
      <c r="BP31" s="374"/>
      <c r="BQ31" s="374"/>
      <c r="BR31" s="374"/>
      <c r="BS31" s="374"/>
      <c r="BT31" s="374"/>
      <c r="BU31" s="374"/>
      <c r="BV31" s="374"/>
      <c r="BW31" s="374"/>
      <c r="BX31" s="374"/>
    </row>
    <row r="32" spans="1:78" ht="13.15" customHeight="1" x14ac:dyDescent="0.2">
      <c r="A32" s="680"/>
      <c r="B32" s="680"/>
      <c r="C32" s="682"/>
      <c r="D32" s="366"/>
      <c r="E32" s="357"/>
      <c r="F32" s="394"/>
      <c r="G32" s="366"/>
      <c r="H32" s="366"/>
      <c r="I32" s="451"/>
      <c r="J32" s="372"/>
      <c r="K32" s="372"/>
      <c r="L32" s="616"/>
      <c r="M32" s="369"/>
      <c r="N32" s="579"/>
      <c r="O32" s="579"/>
      <c r="P32" s="579"/>
      <c r="Q32" s="369"/>
      <c r="R32" s="421"/>
      <c r="S32" s="392"/>
      <c r="T32" s="366"/>
      <c r="U32" s="393"/>
      <c r="V32" s="394"/>
      <c r="W32" s="394"/>
      <c r="X32" s="681"/>
      <c r="Y32" s="371"/>
      <c r="Z32" s="366"/>
      <c r="AA32" s="618"/>
      <c r="AB32" s="619"/>
      <c r="AC32" s="619"/>
      <c r="AD32" s="619"/>
      <c r="AE32" s="619"/>
      <c r="AF32" s="366"/>
      <c r="AG32" s="392"/>
      <c r="AH32" s="392"/>
      <c r="AI32" s="392"/>
      <c r="AJ32" s="392"/>
      <c r="AK32" s="392"/>
      <c r="AL32" s="392"/>
      <c r="AM32" s="366"/>
      <c r="AN32" s="394"/>
      <c r="AO32" s="395"/>
      <c r="AP32" s="365"/>
      <c r="AQ32" s="512"/>
      <c r="AR32" s="372"/>
      <c r="AS32" s="366"/>
      <c r="AT32" s="373"/>
      <c r="AU32" s="354"/>
      <c r="AV32" s="354"/>
      <c r="AW32" s="367"/>
      <c r="AX32" s="430"/>
      <c r="AY32" s="480"/>
      <c r="AZ32" s="480"/>
      <c r="BA32" s="481"/>
      <c r="BB32" s="483"/>
      <c r="BC32" s="620"/>
      <c r="BD32" s="482"/>
      <c r="BE32" s="493"/>
      <c r="BF32" s="483"/>
      <c r="BG32" s="357"/>
      <c r="BH32" s="482"/>
      <c r="BI32" s="400"/>
      <c r="BJ32" s="400"/>
      <c r="BK32" s="400"/>
      <c r="BL32" s="392"/>
      <c r="BM32" s="374"/>
      <c r="BN32" s="374"/>
      <c r="BO32" s="374"/>
      <c r="BP32" s="374"/>
      <c r="BQ32" s="374"/>
      <c r="BR32" s="374"/>
      <c r="BS32" s="374"/>
      <c r="BT32" s="374"/>
      <c r="BU32" s="374"/>
      <c r="BV32" s="374"/>
      <c r="BW32" s="374"/>
      <c r="BX32" s="374"/>
    </row>
    <row r="33" spans="1:78" ht="12" customHeight="1" x14ac:dyDescent="0.2">
      <c r="A33" s="680"/>
      <c r="B33" s="680"/>
      <c r="C33" s="682"/>
      <c r="D33" s="658"/>
      <c r="E33" s="357"/>
      <c r="F33" s="394"/>
      <c r="G33" s="366"/>
      <c r="H33" s="366"/>
      <c r="I33" s="451"/>
      <c r="J33" s="372"/>
      <c r="K33" s="372"/>
      <c r="L33" s="616"/>
      <c r="M33" s="369"/>
      <c r="N33" s="621"/>
      <c r="O33" s="411"/>
      <c r="P33" s="411"/>
      <c r="Q33" s="369"/>
      <c r="R33" s="421"/>
      <c r="S33" s="392"/>
      <c r="T33" s="366"/>
      <c r="U33" s="393"/>
      <c r="V33" s="394"/>
      <c r="W33" s="394"/>
      <c r="X33" s="370"/>
      <c r="Y33" s="760"/>
      <c r="Z33" s="366"/>
      <c r="AA33" s="774"/>
      <c r="AB33" s="775"/>
      <c r="AC33" s="775"/>
      <c r="AD33" s="775"/>
      <c r="AE33" s="775"/>
      <c r="AF33" s="767"/>
      <c r="AG33" s="766"/>
      <c r="AH33" s="766"/>
      <c r="AI33" s="766"/>
      <c r="AJ33" s="766"/>
      <c r="AK33" s="766"/>
      <c r="AL33" s="766"/>
      <c r="AM33" s="767"/>
      <c r="AN33" s="768"/>
      <c r="AO33" s="760"/>
      <c r="AP33" s="365"/>
      <c r="AQ33" s="372"/>
      <c r="AR33" s="783"/>
      <c r="AS33" s="366"/>
      <c r="AT33" s="354"/>
      <c r="AU33" s="367"/>
      <c r="AV33" s="354"/>
      <c r="AW33" s="367"/>
      <c r="AX33" s="430"/>
      <c r="BA33" s="914"/>
      <c r="BD33" s="465"/>
      <c r="BE33" s="914"/>
      <c r="BH33" s="465"/>
      <c r="BL33" s="464"/>
    </row>
    <row r="34" spans="1:78" ht="13.15" customHeight="1" x14ac:dyDescent="0.2">
      <c r="A34" s="923"/>
      <c r="B34" s="923"/>
      <c r="C34" s="682"/>
      <c r="D34" s="658"/>
      <c r="E34" s="357"/>
      <c r="F34" s="394"/>
      <c r="G34" s="366"/>
      <c r="H34" s="366"/>
      <c r="I34" s="451"/>
      <c r="J34" s="372"/>
      <c r="K34" s="372"/>
      <c r="L34" s="616"/>
      <c r="M34" s="369"/>
      <c r="N34" s="621"/>
      <c r="O34" s="621"/>
      <c r="P34" s="621"/>
      <c r="Q34" s="369"/>
      <c r="R34" s="421"/>
      <c r="S34" s="392"/>
      <c r="T34" s="366"/>
      <c r="U34" s="393"/>
      <c r="V34" s="394"/>
      <c r="W34" s="394"/>
      <c r="X34" s="370"/>
      <c r="Y34" s="371"/>
      <c r="Z34" s="366"/>
      <c r="AA34" s="618"/>
      <c r="AB34" s="619"/>
      <c r="AC34" s="619"/>
      <c r="AD34" s="619"/>
      <c r="AE34" s="619"/>
      <c r="AF34" s="366"/>
      <c r="AG34" s="392"/>
      <c r="AH34" s="392"/>
      <c r="AI34" s="392"/>
      <c r="AJ34" s="392"/>
      <c r="AK34" s="392"/>
      <c r="AL34" s="392"/>
      <c r="AM34" s="366"/>
      <c r="AN34" s="394"/>
      <c r="AO34" s="395"/>
      <c r="AP34" s="365"/>
      <c r="AQ34" s="372"/>
      <c r="AR34" s="368"/>
      <c r="AS34" s="619"/>
      <c r="AT34" s="354"/>
      <c r="AU34" s="354"/>
      <c r="AV34" s="354"/>
      <c r="AW34" s="367"/>
      <c r="AX34" s="430"/>
      <c r="AY34" s="480"/>
      <c r="AZ34" s="480"/>
      <c r="BA34" s="481"/>
      <c r="BB34" s="624"/>
      <c r="BC34" s="620"/>
      <c r="BD34" s="483"/>
      <c r="BE34" s="493"/>
      <c r="BF34" s="483"/>
      <c r="BG34" s="357"/>
      <c r="BH34" s="482"/>
      <c r="BI34" s="400"/>
      <c r="BJ34" s="400"/>
      <c r="BK34" s="357"/>
      <c r="BL34" s="625"/>
      <c r="BM34" s="374"/>
      <c r="BN34" s="374"/>
      <c r="BO34" s="374"/>
      <c r="BP34" s="374"/>
      <c r="BQ34" s="374"/>
      <c r="BR34" s="374"/>
      <c r="BS34" s="374"/>
      <c r="BT34" s="374"/>
      <c r="BU34" s="374"/>
      <c r="BV34" s="374"/>
      <c r="BW34" s="374"/>
      <c r="BX34" s="374"/>
    </row>
    <row r="35" spans="1:78" ht="13.15" customHeight="1" x14ac:dyDescent="0.2">
      <c r="A35" s="375"/>
      <c r="B35" s="375"/>
      <c r="C35" s="391"/>
      <c r="D35" s="366"/>
      <c r="E35" s="357"/>
      <c r="F35" s="394"/>
      <c r="G35" s="366"/>
      <c r="H35" s="366"/>
      <c r="I35" s="451"/>
      <c r="J35" s="372"/>
      <c r="K35" s="372"/>
      <c r="L35" s="616"/>
      <c r="M35" s="369"/>
      <c r="N35" s="369"/>
      <c r="O35" s="369"/>
      <c r="P35" s="369"/>
      <c r="Q35" s="369"/>
      <c r="R35" s="421"/>
      <c r="S35" s="392"/>
      <c r="T35" s="366"/>
      <c r="U35" s="393"/>
      <c r="V35" s="394"/>
      <c r="W35" s="394"/>
      <c r="X35" s="370"/>
      <c r="Y35" s="371"/>
      <c r="Z35" s="366"/>
      <c r="AA35" s="928"/>
      <c r="AB35" s="929"/>
      <c r="AC35" s="929"/>
      <c r="AD35" s="929"/>
      <c r="AE35" s="929"/>
      <c r="AF35" s="647"/>
      <c r="AG35" s="648"/>
      <c r="AH35" s="648"/>
      <c r="AI35" s="648"/>
      <c r="AJ35" s="648"/>
      <c r="AK35" s="648"/>
      <c r="AL35" s="648"/>
      <c r="AM35" s="647"/>
      <c r="AN35" s="930"/>
      <c r="AO35" s="371"/>
      <c r="AP35" s="365"/>
      <c r="AQ35" s="372"/>
      <c r="AR35" s="368"/>
      <c r="AS35" s="647"/>
      <c r="AT35" s="373"/>
      <c r="AU35" s="373"/>
      <c r="AV35" s="373"/>
      <c r="AW35" s="367"/>
      <c r="AX35" s="430"/>
      <c r="AY35" s="480"/>
      <c r="AZ35" s="480"/>
      <c r="BA35" s="481"/>
      <c r="BB35" s="624"/>
      <c r="BC35" s="620"/>
      <c r="BD35" s="357"/>
      <c r="BE35" s="493"/>
      <c r="BF35" s="483"/>
      <c r="BG35" s="357"/>
      <c r="BH35" s="482"/>
      <c r="BI35" s="624"/>
      <c r="BJ35" s="927"/>
      <c r="BK35" s="374"/>
      <c r="BL35" s="547"/>
      <c r="BM35" s="374"/>
      <c r="BN35" s="374"/>
      <c r="BO35" s="374"/>
      <c r="BP35" s="374"/>
      <c r="BQ35" s="374"/>
      <c r="BR35" s="374"/>
      <c r="BS35" s="374"/>
      <c r="BT35" s="374"/>
      <c r="BY35" s="387"/>
      <c r="BZ35" s="387"/>
    </row>
    <row r="36" spans="1:78" ht="14.25" customHeight="1" x14ac:dyDescent="0.2">
      <c r="A36" s="375"/>
      <c r="B36" s="375"/>
      <c r="C36" s="391"/>
      <c r="D36" s="366"/>
      <c r="E36" s="357"/>
      <c r="F36" s="394"/>
      <c r="G36" s="366"/>
      <c r="H36" s="366"/>
      <c r="I36" s="451"/>
      <c r="J36" s="372"/>
      <c r="K36" s="372"/>
      <c r="L36" s="616"/>
      <c r="M36" s="369"/>
      <c r="N36" s="369"/>
      <c r="O36" s="369"/>
      <c r="P36" s="369"/>
      <c r="Q36" s="369"/>
      <c r="R36" s="421"/>
      <c r="S36" s="392"/>
      <c r="T36" s="366"/>
      <c r="U36" s="393"/>
      <c r="V36" s="394"/>
      <c r="W36" s="394"/>
      <c r="X36" s="370"/>
      <c r="Y36" s="371"/>
      <c r="Z36" s="366"/>
      <c r="AA36" s="618"/>
      <c r="AB36" s="619"/>
      <c r="AC36" s="619"/>
      <c r="AD36" s="619"/>
      <c r="AE36" s="619"/>
      <c r="AF36" s="366"/>
      <c r="AG36" s="392"/>
      <c r="AH36" s="392"/>
      <c r="AI36" s="392"/>
      <c r="AJ36" s="392"/>
      <c r="AK36" s="392"/>
      <c r="AL36" s="392"/>
      <c r="AM36" s="366"/>
      <c r="AN36" s="394"/>
      <c r="AO36" s="395"/>
      <c r="AP36" s="365"/>
      <c r="AQ36" s="372"/>
      <c r="AR36" s="368"/>
      <c r="AS36" s="366"/>
      <c r="AT36" s="354"/>
      <c r="AU36" s="354"/>
      <c r="AV36" s="354"/>
      <c r="AW36" s="367"/>
      <c r="AX36" s="430"/>
      <c r="AY36" s="480"/>
      <c r="AZ36" s="480"/>
      <c r="BA36" s="481"/>
      <c r="BB36" s="624"/>
      <c r="BC36" s="357"/>
      <c r="BD36" s="482"/>
      <c r="BE36" s="493"/>
      <c r="BF36" s="483"/>
      <c r="BG36" s="357"/>
      <c r="BH36" s="482"/>
      <c r="BI36" s="400"/>
      <c r="BJ36" s="400"/>
      <c r="BK36" s="400"/>
      <c r="BL36" s="625"/>
      <c r="BM36" s="374"/>
      <c r="BN36" s="374"/>
      <c r="BO36" s="374"/>
      <c r="BP36" s="374"/>
      <c r="BQ36" s="374"/>
      <c r="BR36" s="374"/>
      <c r="BS36" s="374"/>
      <c r="BT36" s="374"/>
      <c r="BU36" s="374"/>
      <c r="BV36" s="374"/>
      <c r="BW36" s="374"/>
      <c r="BX36" s="374"/>
      <c r="BY36" s="652"/>
      <c r="BZ36" s="652"/>
    </row>
    <row r="37" spans="1:78" ht="13.15" customHeight="1" x14ac:dyDescent="0.2">
      <c r="A37" s="375"/>
      <c r="B37" s="375"/>
      <c r="C37" s="391"/>
      <c r="D37" s="366"/>
      <c r="E37" s="357"/>
      <c r="F37" s="394"/>
      <c r="G37" s="366"/>
      <c r="H37" s="366"/>
      <c r="I37" s="451"/>
      <c r="J37" s="372"/>
      <c r="K37" s="372"/>
      <c r="L37" s="616"/>
      <c r="M37" s="369"/>
      <c r="N37" s="579"/>
      <c r="O37" s="579"/>
      <c r="P37" s="579"/>
      <c r="Q37" s="369"/>
      <c r="R37" s="421"/>
      <c r="S37" s="392"/>
      <c r="T37" s="366"/>
      <c r="U37" s="393"/>
      <c r="V37" s="394"/>
      <c r="W37" s="394"/>
      <c r="X37" s="370"/>
      <c r="Y37" s="371"/>
      <c r="Z37" s="366"/>
      <c r="AA37" s="618"/>
      <c r="AB37" s="619"/>
      <c r="AC37" s="619"/>
      <c r="AD37" s="619"/>
      <c r="AE37" s="619"/>
      <c r="AF37" s="366"/>
      <c r="AG37" s="392"/>
      <c r="AH37" s="392"/>
      <c r="AI37" s="392"/>
      <c r="AJ37" s="392"/>
      <c r="AK37" s="392"/>
      <c r="AL37" s="392"/>
      <c r="AM37" s="366"/>
      <c r="AN37" s="394"/>
      <c r="AO37" s="395"/>
      <c r="AP37" s="365"/>
      <c r="AQ37" s="512"/>
      <c r="AR37" s="368"/>
      <c r="AS37" s="366"/>
      <c r="AT37" s="354"/>
      <c r="AU37" s="354"/>
      <c r="AV37" s="354"/>
      <c r="AW37" s="628"/>
      <c r="AX37" s="579"/>
      <c r="AY37" s="480"/>
      <c r="AZ37" s="480"/>
      <c r="BA37" s="481"/>
      <c r="BB37" s="624"/>
      <c r="BC37" s="357"/>
      <c r="BD37" s="482"/>
      <c r="BE37" s="493"/>
      <c r="BF37" s="483"/>
      <c r="BG37" s="357"/>
      <c r="BH37" s="483"/>
      <c r="BI37" s="400"/>
      <c r="BJ37" s="400"/>
      <c r="BK37" s="400"/>
      <c r="BL37" s="625"/>
      <c r="BM37" s="374"/>
      <c r="BN37" s="374"/>
      <c r="BO37" s="374"/>
      <c r="BP37" s="374"/>
      <c r="BQ37" s="374"/>
      <c r="BR37" s="374"/>
      <c r="BS37" s="374"/>
      <c r="BT37" s="374"/>
      <c r="BU37" s="374"/>
      <c r="BV37" s="374"/>
      <c r="BW37" s="374"/>
      <c r="BX37" s="374"/>
      <c r="BY37" s="652"/>
      <c r="BZ37" s="652"/>
    </row>
    <row r="38" spans="1:78" ht="12.75" customHeight="1" x14ac:dyDescent="0.2">
      <c r="A38" s="375"/>
      <c r="B38" s="375"/>
      <c r="C38" s="391"/>
      <c r="D38" s="366"/>
      <c r="E38" s="357"/>
      <c r="F38" s="394"/>
      <c r="G38" s="366"/>
      <c r="H38" s="366"/>
      <c r="I38" s="451"/>
      <c r="J38" s="372"/>
      <c r="K38" s="372"/>
      <c r="L38" s="616"/>
      <c r="M38" s="369"/>
      <c r="N38" s="369"/>
      <c r="O38" s="369"/>
      <c r="P38" s="369"/>
      <c r="Q38" s="369"/>
      <c r="R38" s="421"/>
      <c r="S38" s="392"/>
      <c r="T38" s="366"/>
      <c r="U38" s="393"/>
      <c r="V38" s="394"/>
      <c r="W38" s="394"/>
      <c r="X38" s="370"/>
      <c r="Y38" s="371"/>
      <c r="Z38" s="366"/>
      <c r="AA38" s="392"/>
      <c r="AB38" s="366"/>
      <c r="AC38" s="366"/>
      <c r="AD38" s="366"/>
      <c r="AE38" s="366"/>
      <c r="AF38" s="366"/>
      <c r="AG38" s="392"/>
      <c r="AH38" s="392"/>
      <c r="AI38" s="392"/>
      <c r="AJ38" s="392"/>
      <c r="AK38" s="392"/>
      <c r="AL38" s="392"/>
      <c r="AM38" s="366"/>
      <c r="AN38" s="394"/>
      <c r="AO38" s="395"/>
      <c r="AP38" s="365"/>
      <c r="AQ38" s="372"/>
      <c r="AR38" s="368"/>
      <c r="AS38" s="366"/>
      <c r="AT38" s="373"/>
      <c r="AU38" s="367"/>
      <c r="AV38" s="354"/>
      <c r="AW38" s="367"/>
      <c r="AX38" s="430"/>
      <c r="AY38" s="480"/>
      <c r="AZ38" s="480"/>
      <c r="BA38" s="481"/>
      <c r="BB38" s="624"/>
      <c r="BC38" s="357"/>
      <c r="BD38" s="624"/>
      <c r="BE38" s="493"/>
      <c r="BF38" s="684"/>
      <c r="BG38" s="357"/>
      <c r="BH38" s="483"/>
      <c r="BI38" s="400"/>
      <c r="BJ38" s="400"/>
      <c r="BK38" s="400"/>
      <c r="BL38" s="392"/>
      <c r="BM38" s="374"/>
      <c r="BN38" s="374"/>
      <c r="BO38" s="374"/>
      <c r="BP38" s="374"/>
      <c r="BQ38" s="374"/>
      <c r="BR38" s="374"/>
      <c r="BS38" s="374"/>
      <c r="BT38" s="374"/>
      <c r="BU38" s="374"/>
      <c r="BV38" s="374"/>
      <c r="BW38" s="374"/>
      <c r="BX38" s="374"/>
    </row>
    <row r="39" spans="1:78" ht="12.75" customHeight="1" x14ac:dyDescent="0.2">
      <c r="A39" s="375"/>
      <c r="B39" s="375"/>
      <c r="C39" s="391"/>
      <c r="D39" s="366"/>
      <c r="E39" s="357"/>
      <c r="F39" s="394"/>
      <c r="G39" s="366"/>
      <c r="H39" s="366"/>
      <c r="I39" s="451"/>
      <c r="J39" s="372"/>
      <c r="K39" s="372"/>
      <c r="L39" s="616"/>
      <c r="M39" s="369"/>
      <c r="N39" s="369"/>
      <c r="O39" s="369"/>
      <c r="P39" s="369"/>
      <c r="Q39" s="369"/>
      <c r="R39" s="421"/>
      <c r="S39" s="392"/>
      <c r="T39" s="366"/>
      <c r="U39" s="393"/>
      <c r="V39" s="394"/>
      <c r="W39" s="394"/>
      <c r="X39" s="370"/>
      <c r="Y39" s="371"/>
      <c r="Z39" s="366"/>
      <c r="AA39" s="392"/>
      <c r="AB39" s="366"/>
      <c r="AC39" s="366"/>
      <c r="AD39" s="366"/>
      <c r="AE39" s="366"/>
      <c r="AF39" s="366"/>
      <c r="AG39" s="392"/>
      <c r="AH39" s="392"/>
      <c r="AI39" s="392"/>
      <c r="AJ39" s="392"/>
      <c r="AK39" s="392"/>
      <c r="AL39" s="392"/>
      <c r="AM39" s="366"/>
      <c r="AN39" s="394"/>
      <c r="AO39" s="395"/>
      <c r="AP39" s="365"/>
      <c r="AQ39" s="372"/>
      <c r="AR39" s="368"/>
      <c r="AS39" s="366"/>
      <c r="AT39" s="373"/>
      <c r="AU39" s="367"/>
      <c r="AV39" s="354"/>
      <c r="AW39" s="367"/>
      <c r="AX39" s="430"/>
      <c r="AY39" s="480"/>
      <c r="AZ39" s="480"/>
      <c r="BA39" s="481"/>
      <c r="BB39" s="624"/>
      <c r="BC39" s="357"/>
      <c r="BD39" s="624"/>
      <c r="BE39" s="493"/>
      <c r="BF39" s="684"/>
      <c r="BG39" s="357"/>
      <c r="BH39" s="482"/>
      <c r="BI39" s="400"/>
      <c r="BJ39" s="400"/>
      <c r="BK39" s="400"/>
      <c r="BL39" s="392"/>
      <c r="BM39" s="374"/>
      <c r="BN39" s="374"/>
      <c r="BO39" s="374"/>
      <c r="BP39" s="374"/>
      <c r="BQ39" s="374"/>
      <c r="BR39" s="374"/>
      <c r="BS39" s="374"/>
      <c r="BT39" s="374"/>
      <c r="BU39" s="374"/>
      <c r="BV39" s="374"/>
      <c r="BW39" s="374"/>
      <c r="BX39" s="374"/>
    </row>
    <row r="40" spans="1:78" ht="12.75" customHeight="1" x14ac:dyDescent="0.2">
      <c r="A40" s="626"/>
      <c r="B40" s="626"/>
      <c r="C40" s="391"/>
      <c r="D40" s="366"/>
      <c r="E40" s="357"/>
      <c r="F40" s="394"/>
      <c r="G40" s="366"/>
      <c r="H40" s="366"/>
      <c r="I40" s="451"/>
      <c r="J40" s="372"/>
      <c r="K40" s="372"/>
      <c r="L40" s="616"/>
      <c r="M40" s="369"/>
      <c r="N40" s="369"/>
      <c r="O40" s="369"/>
      <c r="P40" s="369"/>
      <c r="Q40" s="369"/>
      <c r="R40" s="421"/>
      <c r="S40" s="392"/>
      <c r="T40" s="366"/>
      <c r="U40" s="393"/>
      <c r="V40" s="394"/>
      <c r="W40" s="394"/>
      <c r="X40" s="370"/>
      <c r="Y40" s="371"/>
      <c r="Z40" s="366"/>
      <c r="AA40" s="618"/>
      <c r="AB40" s="619"/>
      <c r="AC40" s="619"/>
      <c r="AD40" s="619"/>
      <c r="AE40" s="619"/>
      <c r="AF40" s="366"/>
      <c r="AG40" s="392"/>
      <c r="AH40" s="392"/>
      <c r="AI40" s="392"/>
      <c r="AJ40" s="392"/>
      <c r="AK40" s="392"/>
      <c r="AL40" s="392"/>
      <c r="AM40" s="366"/>
      <c r="AN40" s="394"/>
      <c r="AO40" s="395"/>
      <c r="AP40" s="365"/>
      <c r="AQ40" s="372"/>
      <c r="AR40" s="368"/>
      <c r="AS40" s="366"/>
      <c r="AT40" s="373"/>
      <c r="AU40" s="367"/>
      <c r="AV40" s="354"/>
      <c r="AW40" s="367"/>
      <c r="AX40" s="430"/>
      <c r="AY40" s="480"/>
      <c r="AZ40" s="480"/>
      <c r="BA40" s="481"/>
      <c r="BB40" s="624"/>
      <c r="BC40" s="357"/>
      <c r="BD40" s="624"/>
      <c r="BE40" s="493"/>
      <c r="BF40" s="719"/>
      <c r="BG40" s="357"/>
      <c r="BH40" s="482"/>
      <c r="BI40" s="400"/>
      <c r="BJ40" s="400"/>
      <c r="BK40" s="400"/>
      <c r="BL40" s="392"/>
      <c r="BM40" s="374"/>
      <c r="BN40" s="374"/>
      <c r="BO40" s="374"/>
      <c r="BP40" s="374"/>
      <c r="BQ40" s="374"/>
      <c r="BR40" s="374"/>
      <c r="BS40" s="374"/>
      <c r="BT40" s="374"/>
      <c r="BU40" s="374"/>
      <c r="BV40" s="374"/>
      <c r="BW40" s="374"/>
      <c r="BX40" s="374"/>
    </row>
    <row r="41" spans="1:78" s="742" customFormat="1" ht="13.15" customHeight="1" x14ac:dyDescent="0.2">
      <c r="A41" s="375"/>
      <c r="B41" s="375"/>
      <c r="C41" s="391"/>
      <c r="D41" s="366"/>
      <c r="E41" s="357"/>
      <c r="F41" s="394"/>
      <c r="G41" s="366"/>
      <c r="H41" s="366"/>
      <c r="I41" s="394"/>
      <c r="J41" s="372"/>
      <c r="K41" s="372"/>
      <c r="L41" s="616"/>
      <c r="M41" s="369"/>
      <c r="N41" s="621"/>
      <c r="O41" s="621"/>
      <c r="P41" s="621"/>
      <c r="Q41" s="369"/>
      <c r="R41" s="421"/>
      <c r="S41" s="392"/>
      <c r="T41" s="366"/>
      <c r="U41" s="393"/>
      <c r="V41" s="394"/>
      <c r="W41" s="394"/>
      <c r="X41" s="370"/>
      <c r="Y41" s="371"/>
      <c r="Z41" s="366"/>
      <c r="AA41" s="928"/>
      <c r="AB41" s="929"/>
      <c r="AC41" s="929"/>
      <c r="AD41" s="929"/>
      <c r="AE41" s="929"/>
      <c r="AF41" s="647"/>
      <c r="AG41" s="648"/>
      <c r="AH41" s="648"/>
      <c r="AI41" s="648"/>
      <c r="AJ41" s="648"/>
      <c r="AK41" s="648"/>
      <c r="AL41" s="648"/>
      <c r="AM41" s="647"/>
      <c r="AN41" s="623"/>
      <c r="AO41" s="371"/>
      <c r="AP41" s="365"/>
      <c r="AQ41" s="372"/>
      <c r="AR41" s="368"/>
      <c r="AS41" s="647"/>
      <c r="AT41" s="373"/>
      <c r="AU41" s="373"/>
      <c r="AV41" s="373"/>
      <c r="AW41" s="354"/>
      <c r="AX41" s="430"/>
      <c r="AY41" s="480"/>
      <c r="AZ41" s="480"/>
      <c r="BA41" s="481"/>
      <c r="BB41" s="483"/>
      <c r="BC41" s="620"/>
      <c r="BD41" s="482"/>
      <c r="BE41" s="493"/>
      <c r="BF41" s="483"/>
      <c r="BG41" s="357"/>
      <c r="BH41" s="482"/>
      <c r="BI41" s="357"/>
      <c r="BJ41" s="927"/>
      <c r="BK41" s="374"/>
      <c r="BL41" s="547"/>
      <c r="BM41" s="374"/>
      <c r="BN41" s="374"/>
      <c r="BO41" s="374"/>
      <c r="BP41" s="374"/>
      <c r="BQ41" s="374"/>
      <c r="BR41" s="374"/>
      <c r="BS41" s="652"/>
      <c r="BT41" s="652"/>
      <c r="BU41" s="374"/>
      <c r="BV41" s="374"/>
      <c r="BW41" s="374"/>
      <c r="BX41" s="374"/>
      <c r="BY41" s="374"/>
      <c r="BZ41" s="374"/>
    </row>
    <row r="42" spans="1:78" ht="12.75" customHeight="1" x14ac:dyDescent="0.2">
      <c r="A42" s="375"/>
      <c r="B42" s="375"/>
      <c r="C42" s="391"/>
      <c r="D42" s="366"/>
      <c r="E42" s="357"/>
      <c r="F42" s="394"/>
      <c r="G42" s="366"/>
      <c r="H42" s="366"/>
      <c r="I42" s="394"/>
      <c r="J42" s="372"/>
      <c r="K42" s="372"/>
      <c r="L42" s="616"/>
      <c r="M42" s="369"/>
      <c r="N42" s="621"/>
      <c r="O42" s="621"/>
      <c r="P42" s="621"/>
      <c r="Q42" s="369"/>
      <c r="R42" s="421"/>
      <c r="S42" s="392"/>
      <c r="T42" s="366"/>
      <c r="U42" s="393"/>
      <c r="V42" s="394"/>
      <c r="W42" s="394"/>
      <c r="X42" s="370"/>
      <c r="Y42" s="371"/>
      <c r="Z42" s="366"/>
      <c r="AA42" s="928"/>
      <c r="AB42" s="929"/>
      <c r="AC42" s="929"/>
      <c r="AD42" s="929"/>
      <c r="AE42" s="929"/>
      <c r="AF42" s="647"/>
      <c r="AG42" s="648"/>
      <c r="AH42" s="648"/>
      <c r="AI42" s="648"/>
      <c r="AJ42" s="648"/>
      <c r="AK42" s="648"/>
      <c r="AL42" s="648"/>
      <c r="AM42" s="647"/>
      <c r="AN42" s="623"/>
      <c r="AO42" s="371"/>
      <c r="AP42" s="365"/>
      <c r="AQ42" s="372"/>
      <c r="AR42" s="368"/>
      <c r="AS42" s="647"/>
      <c r="AT42" s="373"/>
      <c r="AU42" s="373"/>
      <c r="AV42" s="373"/>
      <c r="AW42" s="367"/>
      <c r="AX42" s="430"/>
      <c r="AY42" s="480"/>
      <c r="AZ42" s="480"/>
      <c r="BA42" s="481"/>
      <c r="BB42" s="483"/>
      <c r="BC42" s="620"/>
      <c r="BD42" s="483"/>
      <c r="BE42" s="493"/>
      <c r="BF42" s="483"/>
      <c r="BG42" s="357"/>
      <c r="BH42" s="482"/>
      <c r="BI42" s="357"/>
      <c r="BJ42" s="927"/>
      <c r="BK42" s="374"/>
      <c r="BL42" s="547"/>
      <c r="BM42" s="374"/>
      <c r="BN42" s="374"/>
      <c r="BO42" s="374"/>
      <c r="BP42" s="374"/>
      <c r="BQ42" s="374"/>
      <c r="BR42" s="374"/>
      <c r="BS42" s="374"/>
      <c r="BT42" s="374"/>
      <c r="BU42" s="374"/>
      <c r="BV42" s="374"/>
      <c r="BW42" s="374"/>
      <c r="BX42" s="374"/>
    </row>
    <row r="43" spans="1:78" ht="12.75" customHeight="1" x14ac:dyDescent="0.2">
      <c r="A43" s="375"/>
      <c r="B43" s="375"/>
      <c r="C43" s="391"/>
      <c r="D43" s="366"/>
      <c r="E43" s="357"/>
      <c r="F43" s="394"/>
      <c r="G43" s="366"/>
      <c r="H43" s="366"/>
      <c r="I43" s="394"/>
      <c r="J43" s="372"/>
      <c r="K43" s="372"/>
      <c r="L43" s="616"/>
      <c r="M43" s="369"/>
      <c r="N43" s="621"/>
      <c r="O43" s="621"/>
      <c r="P43" s="621"/>
      <c r="Q43" s="369"/>
      <c r="R43" s="421"/>
      <c r="S43" s="392"/>
      <c r="T43" s="366"/>
      <c r="U43" s="393"/>
      <c r="V43" s="394"/>
      <c r="W43" s="394"/>
      <c r="X43" s="370"/>
      <c r="Y43" s="371"/>
      <c r="Z43" s="366"/>
      <c r="AA43" s="928"/>
      <c r="AB43" s="929"/>
      <c r="AC43" s="929"/>
      <c r="AD43" s="929"/>
      <c r="AE43" s="929"/>
      <c r="AF43" s="647"/>
      <c r="AG43" s="648"/>
      <c r="AH43" s="648"/>
      <c r="AI43" s="648"/>
      <c r="AJ43" s="648"/>
      <c r="AK43" s="648"/>
      <c r="AL43" s="648"/>
      <c r="AM43" s="647"/>
      <c r="AN43" s="623"/>
      <c r="AO43" s="371"/>
      <c r="AP43" s="365"/>
      <c r="AQ43" s="372"/>
      <c r="AR43" s="368"/>
      <c r="AS43" s="647"/>
      <c r="AT43" s="373"/>
      <c r="AU43" s="373"/>
      <c r="AV43" s="373"/>
      <c r="AW43" s="367"/>
      <c r="AX43" s="430"/>
      <c r="AY43" s="480"/>
      <c r="AZ43" s="480"/>
      <c r="BA43" s="481"/>
      <c r="BB43" s="483"/>
      <c r="BC43" s="620"/>
      <c r="BD43" s="482"/>
      <c r="BE43" s="493"/>
      <c r="BF43" s="483"/>
      <c r="BG43" s="357"/>
      <c r="BH43" s="482"/>
      <c r="BI43" s="357"/>
      <c r="BJ43" s="927"/>
      <c r="BK43" s="374"/>
      <c r="BL43" s="547"/>
      <c r="BM43" s="374"/>
      <c r="BN43" s="374"/>
      <c r="BO43" s="374"/>
      <c r="BP43" s="374"/>
      <c r="BQ43" s="374"/>
      <c r="BR43" s="374"/>
      <c r="BS43" s="374"/>
      <c r="BT43" s="374"/>
      <c r="BU43" s="374"/>
      <c r="BV43" s="374"/>
      <c r="BW43" s="374"/>
      <c r="BX43" s="374"/>
    </row>
    <row r="44" spans="1:78" x14ac:dyDescent="0.2">
      <c r="A44" s="375"/>
      <c r="B44" s="375"/>
      <c r="C44" s="391"/>
      <c r="D44" s="366"/>
      <c r="E44" s="357"/>
      <c r="F44" s="394"/>
      <c r="G44" s="366"/>
      <c r="H44" s="366"/>
      <c r="I44" s="451"/>
      <c r="J44" s="372"/>
      <c r="K44" s="372"/>
      <c r="L44" s="616"/>
      <c r="M44" s="369"/>
      <c r="N44" s="617"/>
      <c r="O44" s="617"/>
      <c r="P44" s="617"/>
      <c r="Q44" s="369"/>
      <c r="R44" s="421"/>
      <c r="S44" s="392"/>
      <c r="T44" s="366"/>
      <c r="U44" s="393"/>
      <c r="V44" s="394"/>
      <c r="W44" s="394"/>
      <c r="X44" s="370"/>
      <c r="Y44" s="371"/>
      <c r="Z44" s="366"/>
      <c r="AA44" s="618"/>
      <c r="AB44" s="619"/>
      <c r="AC44" s="619"/>
      <c r="AD44" s="619"/>
      <c r="AE44" s="619"/>
      <c r="AF44" s="366"/>
      <c r="AG44" s="392"/>
      <c r="AH44" s="392"/>
      <c r="AI44" s="392"/>
      <c r="AJ44" s="392"/>
      <c r="AK44" s="392"/>
      <c r="AL44" s="392"/>
      <c r="AM44" s="366"/>
      <c r="AN44" s="627"/>
      <c r="AO44" s="395"/>
      <c r="AP44" s="365"/>
      <c r="AQ44" s="512"/>
      <c r="AR44" s="372"/>
      <c r="AS44" s="366"/>
      <c r="AT44" s="354"/>
      <c r="AU44" s="354"/>
      <c r="AV44" s="354"/>
      <c r="AW44" s="367"/>
      <c r="AX44" s="430"/>
      <c r="AY44" s="480"/>
      <c r="AZ44" s="480"/>
      <c r="BA44" s="481"/>
      <c r="BB44" s="483"/>
      <c r="BC44" s="357"/>
      <c r="BD44" s="483"/>
      <c r="BE44" s="493"/>
      <c r="BF44" s="483"/>
      <c r="BG44" s="357"/>
      <c r="BH44" s="482"/>
      <c r="BI44" s="400"/>
      <c r="BJ44" s="400"/>
      <c r="BK44" s="400"/>
      <c r="BL44" s="392"/>
      <c r="BM44" s="374"/>
      <c r="BN44" s="374"/>
      <c r="BO44" s="374"/>
      <c r="BP44" s="374"/>
      <c r="BQ44" s="374"/>
      <c r="BR44" s="374"/>
      <c r="BS44" s="374"/>
      <c r="BT44" s="374"/>
      <c r="BU44" s="374"/>
      <c r="BV44" s="374"/>
      <c r="BW44" s="374"/>
      <c r="BX44" s="374"/>
    </row>
    <row r="45" spans="1:78" ht="13.15" customHeight="1" x14ac:dyDescent="0.2">
      <c r="A45" s="375"/>
      <c r="B45" s="375"/>
      <c r="C45" s="391"/>
      <c r="D45" s="366"/>
      <c r="E45" s="357"/>
      <c r="F45" s="394"/>
      <c r="G45" s="366"/>
      <c r="H45" s="366"/>
      <c r="I45" s="451"/>
      <c r="J45" s="372"/>
      <c r="K45" s="372"/>
      <c r="L45" s="616"/>
      <c r="M45" s="369"/>
      <c r="N45" s="617"/>
      <c r="O45" s="617"/>
      <c r="P45" s="617"/>
      <c r="Q45" s="369"/>
      <c r="R45" s="421"/>
      <c r="S45" s="392"/>
      <c r="T45" s="366"/>
      <c r="U45" s="393"/>
      <c r="V45" s="394"/>
      <c r="W45" s="394"/>
      <c r="X45" s="370"/>
      <c r="Y45" s="371"/>
      <c r="Z45" s="366"/>
      <c r="AA45" s="618"/>
      <c r="AB45" s="619"/>
      <c r="AC45" s="619"/>
      <c r="AD45" s="619"/>
      <c r="AE45" s="619"/>
      <c r="AF45" s="366"/>
      <c r="AG45" s="392"/>
      <c r="AH45" s="392"/>
      <c r="AI45" s="392"/>
      <c r="AJ45" s="392"/>
      <c r="AK45" s="392"/>
      <c r="AL45" s="392"/>
      <c r="AM45" s="366"/>
      <c r="AN45" s="627"/>
      <c r="AO45" s="395"/>
      <c r="AP45" s="365"/>
      <c r="AQ45" s="512"/>
      <c r="AR45" s="372"/>
      <c r="AS45" s="366"/>
      <c r="AT45" s="354"/>
      <c r="AU45" s="354"/>
      <c r="AV45" s="354"/>
      <c r="AW45" s="367"/>
      <c r="AX45" s="430"/>
      <c r="AY45" s="480"/>
      <c r="AZ45" s="480"/>
      <c r="BA45" s="481"/>
      <c r="BB45" s="483"/>
      <c r="BC45" s="357"/>
      <c r="BD45" s="483"/>
      <c r="BE45" s="493"/>
      <c r="BF45" s="483"/>
      <c r="BG45" s="357"/>
      <c r="BH45" s="482"/>
      <c r="BI45" s="400"/>
      <c r="BJ45" s="400"/>
      <c r="BK45" s="400"/>
      <c r="BL45" s="392"/>
      <c r="BM45" s="374"/>
      <c r="BN45" s="374"/>
      <c r="BO45" s="374"/>
      <c r="BP45" s="374"/>
      <c r="BQ45" s="374"/>
      <c r="BR45" s="374"/>
      <c r="BS45" s="374"/>
      <c r="BT45" s="374"/>
      <c r="BU45" s="374"/>
      <c r="BV45" s="374"/>
      <c r="BW45" s="374"/>
      <c r="BX45" s="374"/>
    </row>
    <row r="46" spans="1:78" ht="15.75" customHeight="1" x14ac:dyDescent="0.2">
      <c r="A46" s="375"/>
      <c r="B46" s="375"/>
      <c r="C46" s="391"/>
      <c r="D46" s="366"/>
      <c r="E46" s="357"/>
      <c r="F46" s="394"/>
      <c r="G46" s="366"/>
      <c r="H46" s="366"/>
      <c r="I46" s="451"/>
      <c r="J46" s="372"/>
      <c r="K46" s="372"/>
      <c r="L46" s="616"/>
      <c r="M46" s="369"/>
      <c r="N46" s="621"/>
      <c r="O46" s="621"/>
      <c r="P46" s="621"/>
      <c r="Q46" s="369"/>
      <c r="R46" s="421"/>
      <c r="S46" s="392"/>
      <c r="T46" s="737"/>
      <c r="U46" s="738"/>
      <c r="V46" s="739"/>
      <c r="W46" s="739"/>
      <c r="X46" s="370"/>
      <c r="Y46" s="371"/>
      <c r="Z46" s="366"/>
      <c r="AA46" s="618"/>
      <c r="AB46" s="619"/>
      <c r="AC46" s="619"/>
      <c r="AD46" s="619"/>
      <c r="AE46" s="619"/>
      <c r="AF46" s="737"/>
      <c r="AG46" s="740"/>
      <c r="AH46" s="740"/>
      <c r="AI46" s="740"/>
      <c r="AJ46" s="740"/>
      <c r="AK46" s="740"/>
      <c r="AL46" s="740"/>
      <c r="AM46" s="737"/>
      <c r="AN46" s="394"/>
      <c r="AO46" s="395"/>
      <c r="AP46" s="365"/>
      <c r="AQ46" s="372"/>
      <c r="AR46" s="368"/>
      <c r="AS46" s="366"/>
      <c r="AT46" s="354"/>
      <c r="AU46" s="354"/>
      <c r="AV46" s="354"/>
      <c r="AW46" s="367"/>
      <c r="AX46" s="430"/>
      <c r="AY46" s="480"/>
      <c r="AZ46" s="480"/>
      <c r="BA46" s="481"/>
      <c r="BB46" s="483"/>
      <c r="BC46" s="620"/>
      <c r="BD46" s="482"/>
      <c r="BE46" s="493"/>
      <c r="BF46" s="483"/>
      <c r="BG46" s="357"/>
      <c r="BH46" s="482"/>
      <c r="BI46" s="400"/>
      <c r="BJ46" s="400"/>
      <c r="BK46" s="357"/>
      <c r="BL46" s="625"/>
      <c r="BM46" s="374"/>
      <c r="BN46" s="374"/>
      <c r="BO46" s="374"/>
      <c r="BP46" s="374"/>
      <c r="BQ46" s="374"/>
      <c r="BR46" s="374"/>
      <c r="BS46" s="374"/>
      <c r="BT46" s="374"/>
      <c r="BU46" s="374"/>
      <c r="BV46" s="374"/>
      <c r="BW46" s="374"/>
      <c r="BX46" s="374"/>
    </row>
    <row r="47" spans="1:78" ht="13.15" customHeight="1" x14ac:dyDescent="0.2">
      <c r="A47" s="803"/>
      <c r="B47" s="375"/>
      <c r="C47" s="391"/>
      <c r="D47" s="366"/>
      <c r="E47" s="357"/>
      <c r="F47" s="394"/>
      <c r="G47" s="366"/>
      <c r="H47" s="366"/>
      <c r="I47" s="451"/>
      <c r="J47" s="372"/>
      <c r="K47" s="372"/>
      <c r="L47" s="616"/>
      <c r="M47" s="369"/>
      <c r="N47" s="621"/>
      <c r="O47" s="621"/>
      <c r="P47" s="621"/>
      <c r="Q47" s="369"/>
      <c r="R47" s="421"/>
      <c r="S47" s="392"/>
      <c r="T47" s="366"/>
      <c r="U47" s="393"/>
      <c r="V47" s="394"/>
      <c r="W47" s="394"/>
      <c r="X47" s="370"/>
      <c r="Y47" s="371"/>
      <c r="Z47" s="366"/>
      <c r="AA47" s="618"/>
      <c r="AB47" s="619"/>
      <c r="AC47" s="619"/>
      <c r="AD47" s="619"/>
      <c r="AE47" s="619"/>
      <c r="AF47" s="366"/>
      <c r="AG47" s="392"/>
      <c r="AH47" s="392"/>
      <c r="AI47" s="392"/>
      <c r="AJ47" s="392"/>
      <c r="AK47" s="392"/>
      <c r="AL47" s="392"/>
      <c r="AM47" s="366"/>
      <c r="AN47" s="394"/>
      <c r="AO47" s="395"/>
      <c r="AP47" s="365"/>
      <c r="AQ47" s="372"/>
      <c r="AR47" s="372"/>
      <c r="AS47" s="366"/>
      <c r="AT47" s="354"/>
      <c r="AU47" s="646"/>
      <c r="AV47" s="354"/>
      <c r="AW47" s="367"/>
      <c r="AX47" s="430"/>
      <c r="AY47" s="480"/>
      <c r="AZ47" s="480"/>
      <c r="BA47" s="481"/>
      <c r="BB47" s="624"/>
      <c r="BC47" s="620"/>
      <c r="BD47" s="483"/>
      <c r="BE47" s="493"/>
      <c r="BF47" s="483"/>
      <c r="BG47" s="357"/>
      <c r="BH47" s="482"/>
      <c r="BI47" s="400"/>
      <c r="BJ47" s="400"/>
      <c r="BK47" s="357"/>
      <c r="BL47" s="625"/>
      <c r="BM47" s="374"/>
      <c r="BN47" s="374"/>
      <c r="BO47" s="374"/>
      <c r="BP47" s="374"/>
      <c r="BQ47" s="374"/>
      <c r="BR47" s="374"/>
      <c r="BS47" s="374"/>
      <c r="BT47" s="374"/>
      <c r="BU47" s="374"/>
      <c r="BV47" s="374"/>
      <c r="BW47" s="374"/>
      <c r="BX47" s="374"/>
    </row>
    <row r="48" spans="1:78" ht="13.15" customHeight="1" x14ac:dyDescent="0.2">
      <c r="A48" s="375"/>
      <c r="B48" s="375"/>
      <c r="C48" s="391"/>
      <c r="D48" s="366"/>
      <c r="E48" s="357"/>
      <c r="F48" s="394"/>
      <c r="G48" s="366"/>
      <c r="H48" s="366"/>
      <c r="I48" s="394"/>
      <c r="J48" s="372"/>
      <c r="K48" s="372"/>
      <c r="L48" s="616"/>
      <c r="M48" s="369"/>
      <c r="N48" s="621"/>
      <c r="O48" s="621"/>
      <c r="P48" s="621"/>
      <c r="Q48" s="369"/>
      <c r="R48" s="421"/>
      <c r="S48" s="392"/>
      <c r="T48" s="366"/>
      <c r="U48" s="393"/>
      <c r="V48" s="622"/>
      <c r="W48" s="622"/>
      <c r="X48" s="370"/>
      <c r="Y48" s="371"/>
      <c r="Z48" s="366"/>
      <c r="AA48" s="618"/>
      <c r="AB48" s="619"/>
      <c r="AC48" s="619"/>
      <c r="AD48" s="619"/>
      <c r="AE48" s="619"/>
      <c r="AF48" s="366"/>
      <c r="AG48" s="392"/>
      <c r="AH48" s="392"/>
      <c r="AI48" s="392"/>
      <c r="AJ48" s="392"/>
      <c r="AK48" s="392"/>
      <c r="AL48" s="392"/>
      <c r="AM48" s="366"/>
      <c r="AN48" s="623"/>
      <c r="AO48" s="371"/>
      <c r="AP48" s="365"/>
      <c r="AQ48" s="372"/>
      <c r="AR48" s="372"/>
      <c r="AS48" s="366"/>
      <c r="AT48" s="354"/>
      <c r="AU48" s="354"/>
      <c r="AV48" s="354"/>
      <c r="AW48" s="367"/>
      <c r="AX48" s="430"/>
      <c r="AY48" s="480"/>
      <c r="AZ48" s="480"/>
      <c r="BA48" s="481"/>
      <c r="BB48" s="624"/>
      <c r="BC48" s="620"/>
      <c r="BD48" s="624"/>
      <c r="BE48" s="493"/>
      <c r="BF48" s="483"/>
      <c r="BG48" s="357"/>
      <c r="BH48" s="482"/>
      <c r="BI48" s="400"/>
      <c r="BJ48" s="400"/>
      <c r="BK48" s="357"/>
      <c r="BL48" s="625"/>
      <c r="BM48" s="374"/>
      <c r="BN48" s="374"/>
      <c r="BO48" s="374"/>
      <c r="BP48" s="374"/>
      <c r="BQ48" s="374"/>
      <c r="BR48" s="374"/>
      <c r="BS48" s="374"/>
      <c r="BT48" s="374"/>
      <c r="BU48" s="374"/>
      <c r="BV48" s="374"/>
      <c r="BW48" s="374"/>
      <c r="BX48" s="374"/>
    </row>
    <row r="49" spans="1:78" ht="12.75" customHeight="1" x14ac:dyDescent="0.2">
      <c r="A49" s="375"/>
      <c r="B49" s="375"/>
      <c r="C49" s="622"/>
      <c r="D49" s="366"/>
      <c r="E49" s="357"/>
      <c r="F49" s="394"/>
      <c r="G49" s="366"/>
      <c r="H49" s="366"/>
      <c r="I49" s="394"/>
      <c r="J49" s="372"/>
      <c r="K49" s="372"/>
      <c r="L49" s="616"/>
      <c r="M49" s="369"/>
      <c r="N49" s="621"/>
      <c r="O49" s="621"/>
      <c r="P49" s="621"/>
      <c r="Q49" s="369"/>
      <c r="R49" s="421"/>
      <c r="S49" s="392"/>
      <c r="T49" s="366"/>
      <c r="U49" s="393"/>
      <c r="V49" s="394"/>
      <c r="W49" s="394"/>
      <c r="X49" s="370"/>
      <c r="Y49" s="371"/>
      <c r="Z49" s="366"/>
      <c r="AA49" s="618"/>
      <c r="AB49" s="619"/>
      <c r="AC49" s="619"/>
      <c r="AD49" s="619"/>
      <c r="AE49" s="619"/>
      <c r="AF49" s="366"/>
      <c r="AG49" s="392"/>
      <c r="AH49" s="392"/>
      <c r="AI49" s="392"/>
      <c r="AJ49" s="392"/>
      <c r="AK49" s="392"/>
      <c r="AL49" s="392"/>
      <c r="AM49" s="366"/>
      <c r="AN49" s="627"/>
      <c r="AO49" s="395"/>
      <c r="AP49" s="365"/>
      <c r="AQ49" s="372"/>
      <c r="AR49" s="372"/>
      <c r="AS49" s="366"/>
      <c r="AT49" s="354"/>
      <c r="AU49" s="354"/>
      <c r="AV49" s="354"/>
      <c r="AW49" s="367"/>
      <c r="AX49" s="430"/>
      <c r="AY49" s="480"/>
      <c r="AZ49" s="480"/>
      <c r="BA49" s="481"/>
      <c r="BB49" s="624"/>
      <c r="BC49" s="620"/>
      <c r="BD49" s="482"/>
      <c r="BE49" s="493"/>
      <c r="BF49" s="483"/>
      <c r="BG49" s="357"/>
      <c r="BH49" s="482"/>
      <c r="BI49" s="400"/>
      <c r="BJ49" s="400"/>
      <c r="BK49" s="357"/>
      <c r="BL49" s="625"/>
      <c r="BM49" s="374"/>
      <c r="BN49" s="374"/>
      <c r="BO49" s="374"/>
      <c r="BP49" s="374"/>
      <c r="BQ49" s="374"/>
      <c r="BR49" s="374"/>
      <c r="BS49" s="374"/>
      <c r="BT49" s="374"/>
      <c r="BU49" s="374"/>
      <c r="BV49" s="374"/>
      <c r="BW49" s="374"/>
      <c r="BX49" s="374"/>
    </row>
    <row r="50" spans="1:78" ht="12.75" customHeight="1" x14ac:dyDescent="0.2">
      <c r="A50" s="375"/>
      <c r="B50" s="375"/>
      <c r="C50" s="622"/>
      <c r="D50" s="366"/>
      <c r="E50" s="357"/>
      <c r="F50" s="394"/>
      <c r="G50" s="366"/>
      <c r="H50" s="366"/>
      <c r="I50" s="394"/>
      <c r="J50" s="372"/>
      <c r="K50" s="372"/>
      <c r="L50" s="616"/>
      <c r="M50" s="369"/>
      <c r="N50" s="621"/>
      <c r="O50" s="621"/>
      <c r="P50" s="621"/>
      <c r="Q50" s="369"/>
      <c r="R50" s="421"/>
      <c r="S50" s="392"/>
      <c r="T50" s="366"/>
      <c r="U50" s="393"/>
      <c r="V50" s="394"/>
      <c r="W50" s="394"/>
      <c r="X50" s="370"/>
      <c r="Y50" s="371"/>
      <c r="Z50" s="366"/>
      <c r="AA50" s="618"/>
      <c r="AB50" s="619"/>
      <c r="AC50" s="619"/>
      <c r="AD50" s="619"/>
      <c r="AE50" s="619"/>
      <c r="AF50" s="366"/>
      <c r="AG50" s="392"/>
      <c r="AH50" s="392"/>
      <c r="AI50" s="392"/>
      <c r="AJ50" s="392"/>
      <c r="AK50" s="392"/>
      <c r="AL50" s="392"/>
      <c r="AM50" s="366"/>
      <c r="AN50" s="627"/>
      <c r="AO50" s="395"/>
      <c r="AP50" s="365"/>
      <c r="AQ50" s="372"/>
      <c r="AR50" s="372"/>
      <c r="AS50" s="366"/>
      <c r="AT50" s="354"/>
      <c r="AU50" s="354"/>
      <c r="AV50" s="354"/>
      <c r="AW50" s="367"/>
      <c r="AX50" s="430"/>
      <c r="AY50" s="480"/>
      <c r="AZ50" s="480"/>
      <c r="BA50" s="481"/>
      <c r="BB50" s="624"/>
      <c r="BC50" s="620"/>
      <c r="BD50" s="482"/>
      <c r="BE50" s="493"/>
      <c r="BF50" s="483"/>
      <c r="BG50" s="357"/>
      <c r="BH50" s="482"/>
      <c r="BI50" s="400"/>
      <c r="BJ50" s="400"/>
      <c r="BK50" s="357"/>
      <c r="BL50" s="625"/>
      <c r="BM50" s="374"/>
      <c r="BN50" s="374"/>
      <c r="BO50" s="374"/>
      <c r="BP50" s="374"/>
      <c r="BQ50" s="374"/>
      <c r="BR50" s="374"/>
      <c r="BS50" s="374"/>
      <c r="BT50" s="374"/>
      <c r="BU50" s="374"/>
      <c r="BV50" s="374"/>
      <c r="BW50" s="374"/>
      <c r="BX50" s="374"/>
    </row>
    <row r="51" spans="1:78" ht="13.5" customHeight="1" x14ac:dyDescent="0.2">
      <c r="A51" s="675"/>
      <c r="B51" s="375"/>
      <c r="C51" s="391"/>
      <c r="D51" s="366"/>
      <c r="E51" s="357"/>
      <c r="F51" s="394"/>
      <c r="G51" s="366"/>
      <c r="H51" s="366"/>
      <c r="I51" s="451"/>
      <c r="J51" s="372"/>
      <c r="K51" s="372"/>
      <c r="L51" s="616"/>
      <c r="M51" s="369"/>
      <c r="N51" s="579"/>
      <c r="O51" s="579"/>
      <c r="P51" s="579"/>
      <c r="Q51" s="369"/>
      <c r="R51" s="421"/>
      <c r="S51" s="392"/>
      <c r="T51" s="366"/>
      <c r="U51" s="393"/>
      <c r="V51" s="394"/>
      <c r="W51" s="394"/>
      <c r="X51" s="370"/>
      <c r="Y51" s="371"/>
      <c r="Z51" s="366"/>
      <c r="AA51" s="618"/>
      <c r="AB51" s="619"/>
      <c r="AC51" s="619"/>
      <c r="AD51" s="619"/>
      <c r="AE51" s="619"/>
      <c r="AF51" s="366"/>
      <c r="AG51" s="392"/>
      <c r="AH51" s="392"/>
      <c r="AI51" s="392"/>
      <c r="AJ51" s="392"/>
      <c r="AK51" s="392"/>
      <c r="AL51" s="392"/>
      <c r="AM51" s="366"/>
      <c r="AN51" s="394"/>
      <c r="AO51" s="395"/>
      <c r="AP51" s="365"/>
      <c r="AQ51" s="372"/>
      <c r="AR51" s="368"/>
      <c r="AS51" s="366"/>
      <c r="AT51" s="354"/>
      <c r="AU51" s="354"/>
      <c r="AV51" s="354"/>
      <c r="AW51" s="367"/>
      <c r="AX51" s="430"/>
      <c r="AY51" s="480"/>
      <c r="AZ51" s="480"/>
      <c r="BA51" s="481"/>
      <c r="BB51" s="624"/>
      <c r="BC51" s="357"/>
      <c r="BD51" s="624"/>
      <c r="BE51" s="493"/>
      <c r="BF51" s="483"/>
      <c r="BG51" s="357"/>
      <c r="BH51" s="482"/>
      <c r="BI51" s="400"/>
      <c r="BJ51" s="400"/>
      <c r="BK51" s="483"/>
      <c r="BL51" s="392"/>
      <c r="BM51" s="374"/>
      <c r="BN51" s="374"/>
      <c r="BO51" s="374"/>
      <c r="BP51" s="374"/>
      <c r="BQ51" s="374"/>
      <c r="BR51" s="374"/>
      <c r="BS51" s="374"/>
      <c r="BT51" s="374"/>
      <c r="BU51" s="374"/>
      <c r="BV51" s="374"/>
      <c r="BW51" s="374"/>
      <c r="BX51" s="374"/>
    </row>
    <row r="52" spans="1:78" ht="13.15" customHeight="1" x14ac:dyDescent="0.2">
      <c r="A52" s="626"/>
      <c r="B52" s="626"/>
      <c r="C52" s="391"/>
      <c r="D52" s="366"/>
      <c r="E52" s="357"/>
      <c r="F52" s="394"/>
      <c r="G52" s="366"/>
      <c r="H52" s="366"/>
      <c r="I52" s="394"/>
      <c r="J52" s="372"/>
      <c r="K52" s="372"/>
      <c r="L52" s="616"/>
      <c r="M52" s="369"/>
      <c r="N52" s="617"/>
      <c r="O52" s="617"/>
      <c r="P52" s="617"/>
      <c r="Q52" s="369"/>
      <c r="R52" s="421"/>
      <c r="S52" s="392"/>
      <c r="T52" s="370"/>
      <c r="U52" s="371"/>
      <c r="X52" s="370"/>
      <c r="Y52" s="371"/>
      <c r="Z52" s="366"/>
      <c r="AA52" s="618"/>
      <c r="AB52" s="619"/>
      <c r="AC52" s="619"/>
      <c r="AD52" s="619"/>
      <c r="AE52" s="619"/>
      <c r="AF52" s="619"/>
      <c r="AG52" s="804"/>
      <c r="AN52" s="627"/>
      <c r="AO52" s="395"/>
      <c r="AP52" s="365"/>
      <c r="AQ52" s="372"/>
      <c r="AR52" s="372"/>
      <c r="AS52" s="366"/>
      <c r="AT52" s="354"/>
      <c r="AU52" s="354"/>
      <c r="AV52" s="354"/>
      <c r="AW52" s="367"/>
      <c r="AX52" s="430"/>
      <c r="AY52" s="480"/>
      <c r="AZ52" s="480"/>
      <c r="BA52" s="481"/>
      <c r="BD52" s="460"/>
      <c r="BE52" s="493"/>
      <c r="BH52" s="465"/>
      <c r="BL52" s="464"/>
    </row>
    <row r="53" spans="1:78" ht="13.15" customHeight="1" x14ac:dyDescent="0.2">
      <c r="A53" s="375"/>
      <c r="B53" s="375"/>
      <c r="C53" s="391"/>
      <c r="D53" s="366"/>
      <c r="E53" s="357"/>
      <c r="F53" s="394"/>
      <c r="G53" s="366"/>
      <c r="H53" s="366"/>
      <c r="I53" s="451"/>
      <c r="J53" s="372"/>
      <c r="K53" s="372"/>
      <c r="L53" s="616"/>
      <c r="M53" s="369"/>
      <c r="N53" s="369"/>
      <c r="O53" s="369"/>
      <c r="P53" s="369"/>
      <c r="Q53" s="369"/>
      <c r="R53" s="421"/>
      <c r="S53" s="392"/>
      <c r="T53" s="366"/>
      <c r="U53" s="393"/>
      <c r="V53" s="394"/>
      <c r="W53" s="394"/>
      <c r="X53" s="370"/>
      <c r="Y53" s="371"/>
      <c r="Z53" s="366"/>
      <c r="AA53" s="618"/>
      <c r="AB53" s="619"/>
      <c r="AC53" s="619"/>
      <c r="AD53" s="619"/>
      <c r="AE53" s="619"/>
      <c r="AF53" s="366"/>
      <c r="AG53" s="392"/>
      <c r="AH53" s="392"/>
      <c r="AI53" s="392"/>
      <c r="AJ53" s="392"/>
      <c r="AK53" s="392"/>
      <c r="AL53" s="392"/>
      <c r="AM53" s="366"/>
      <c r="AN53" s="394"/>
      <c r="AO53" s="395"/>
      <c r="AP53" s="365"/>
      <c r="AQ53" s="372"/>
      <c r="AR53" s="372"/>
      <c r="AS53" s="366"/>
      <c r="AT53" s="354"/>
      <c r="AU53" s="354"/>
      <c r="AV53" s="354"/>
      <c r="AW53" s="367"/>
      <c r="AX53" s="430"/>
      <c r="AY53" s="480"/>
      <c r="AZ53" s="480"/>
      <c r="BA53" s="481"/>
      <c r="BB53" s="624"/>
      <c r="BC53" s="357"/>
      <c r="BD53" s="624"/>
      <c r="BE53" s="493"/>
      <c r="BF53" s="483"/>
      <c r="BG53" s="357"/>
      <c r="BH53" s="482"/>
      <c r="BI53" s="400"/>
      <c r="BJ53" s="400"/>
      <c r="BK53" s="400"/>
      <c r="BL53" s="392"/>
      <c r="BM53" s="374"/>
      <c r="BN53" s="374"/>
      <c r="BO53" s="374"/>
      <c r="BP53" s="374"/>
      <c r="BQ53" s="374"/>
      <c r="BR53" s="374"/>
      <c r="BS53" s="374"/>
      <c r="BT53" s="374"/>
      <c r="BU53" s="374"/>
      <c r="BV53" s="374"/>
      <c r="BW53" s="374"/>
      <c r="BX53" s="374"/>
    </row>
    <row r="54" spans="1:78" x14ac:dyDescent="0.2">
      <c r="A54" s="375"/>
      <c r="B54" s="375"/>
      <c r="C54" s="391"/>
      <c r="D54" s="366"/>
      <c r="E54" s="357"/>
      <c r="F54" s="394"/>
      <c r="G54" s="366"/>
      <c r="H54" s="366"/>
      <c r="I54" s="451"/>
      <c r="J54" s="372"/>
      <c r="K54" s="372"/>
      <c r="L54" s="616"/>
      <c r="M54" s="369"/>
      <c r="N54" s="369"/>
      <c r="O54" s="369"/>
      <c r="P54" s="369"/>
      <c r="Q54" s="369"/>
      <c r="R54" s="421"/>
      <c r="S54" s="392"/>
      <c r="T54" s="366"/>
      <c r="U54" s="393"/>
      <c r="V54" s="366"/>
      <c r="W54" s="392"/>
      <c r="X54" s="370"/>
      <c r="Y54" s="371"/>
      <c r="Z54" s="366"/>
      <c r="AA54" s="392"/>
      <c r="AB54" s="366"/>
      <c r="AC54" s="366"/>
      <c r="AD54" s="366"/>
      <c r="AE54" s="366"/>
      <c r="AF54" s="366"/>
      <c r="AG54" s="392"/>
      <c r="AH54" s="392"/>
      <c r="AI54" s="392"/>
      <c r="AJ54" s="392"/>
      <c r="AK54" s="392"/>
      <c r="AL54" s="392"/>
      <c r="AM54" s="366"/>
      <c r="AN54" s="394"/>
      <c r="AO54" s="395"/>
      <c r="AP54" s="365"/>
      <c r="AQ54" s="372"/>
      <c r="AR54" s="368"/>
      <c r="AS54" s="366"/>
      <c r="AT54" s="373"/>
      <c r="AU54" s="367"/>
      <c r="AV54" s="354"/>
      <c r="AW54" s="367"/>
      <c r="AX54" s="430"/>
      <c r="AY54" s="729"/>
      <c r="AZ54" s="729"/>
      <c r="BA54" s="730"/>
      <c r="BB54" s="483"/>
      <c r="BC54" s="620"/>
      <c r="BD54" s="483"/>
      <c r="BE54" s="731"/>
      <c r="BF54" s="483"/>
      <c r="BG54" s="357"/>
      <c r="BH54" s="357"/>
      <c r="BI54" s="400"/>
      <c r="BJ54" s="400"/>
      <c r="BK54" s="400"/>
      <c r="BL54" s="357"/>
      <c r="BM54" s="374"/>
      <c r="BN54" s="374"/>
      <c r="BO54" s="374"/>
      <c r="BP54" s="374"/>
      <c r="BQ54" s="374"/>
      <c r="BR54" s="374"/>
      <c r="BS54" s="374"/>
      <c r="BT54" s="374"/>
      <c r="BU54" s="374"/>
      <c r="BV54" s="374"/>
      <c r="BW54" s="374"/>
      <c r="BX54" s="374"/>
    </row>
    <row r="55" spans="1:78" ht="12.75" customHeight="1" x14ac:dyDescent="0.2">
      <c r="A55" s="375"/>
      <c r="B55" s="375"/>
      <c r="C55" s="391"/>
      <c r="D55" s="366"/>
      <c r="E55" s="357"/>
      <c r="F55" s="394"/>
      <c r="G55" s="366"/>
      <c r="H55" s="366"/>
      <c r="I55" s="451"/>
      <c r="J55" s="372"/>
      <c r="K55" s="372"/>
      <c r="L55" s="616"/>
      <c r="M55" s="369"/>
      <c r="N55" s="369"/>
      <c r="O55" s="369"/>
      <c r="P55" s="369"/>
      <c r="Q55" s="369"/>
      <c r="R55" s="421"/>
      <c r="S55" s="392"/>
      <c r="T55" s="366"/>
      <c r="U55" s="393"/>
      <c r="V55" s="394"/>
      <c r="W55" s="394"/>
      <c r="X55" s="370"/>
      <c r="Y55" s="371"/>
      <c r="Z55" s="366"/>
      <c r="AA55" s="392"/>
      <c r="AB55" s="366"/>
      <c r="AC55" s="366"/>
      <c r="AD55" s="366"/>
      <c r="AE55" s="366"/>
      <c r="AF55" s="366"/>
      <c r="AG55" s="392"/>
      <c r="AH55" s="392"/>
      <c r="AI55" s="392"/>
      <c r="AJ55" s="392"/>
      <c r="AK55" s="392"/>
      <c r="AL55" s="392"/>
      <c r="AM55" s="366"/>
      <c r="AN55" s="394"/>
      <c r="AO55" s="395"/>
      <c r="AP55" s="365"/>
      <c r="AQ55" s="372"/>
      <c r="AR55" s="368"/>
      <c r="AS55" s="366"/>
      <c r="AT55" s="373"/>
      <c r="AU55" s="367"/>
      <c r="AV55" s="354"/>
      <c r="AW55" s="367"/>
      <c r="AX55" s="430"/>
      <c r="AY55" s="729"/>
      <c r="AZ55" s="729"/>
      <c r="BA55" s="730"/>
      <c r="BB55" s="483"/>
      <c r="BC55" s="620"/>
      <c r="BD55" s="357"/>
      <c r="BE55" s="731"/>
      <c r="BF55" s="483"/>
      <c r="BG55" s="357"/>
      <c r="BH55" s="482"/>
      <c r="BI55" s="400"/>
      <c r="BJ55" s="400"/>
      <c r="BK55" s="400"/>
      <c r="BL55" s="392"/>
      <c r="BM55" s="374"/>
      <c r="BN55" s="374"/>
      <c r="BO55" s="374"/>
      <c r="BP55" s="374"/>
      <c r="BQ55" s="374"/>
      <c r="BR55" s="374"/>
      <c r="BS55" s="374"/>
      <c r="BT55" s="374"/>
      <c r="BU55" s="374"/>
      <c r="BV55" s="374"/>
      <c r="BW55" s="374"/>
      <c r="BX55" s="374"/>
    </row>
    <row r="56" spans="1:78" s="652" customFormat="1" ht="13.15" customHeight="1" x14ac:dyDescent="0.2">
      <c r="A56" s="375"/>
      <c r="B56" s="375"/>
      <c r="C56" s="391"/>
      <c r="D56" s="366"/>
      <c r="E56" s="357"/>
      <c r="F56" s="394"/>
      <c r="G56" s="366"/>
      <c r="H56" s="366"/>
      <c r="I56" s="451"/>
      <c r="J56" s="372"/>
      <c r="K56" s="372"/>
      <c r="L56" s="616"/>
      <c r="M56" s="369"/>
      <c r="N56" s="369"/>
      <c r="O56" s="369"/>
      <c r="P56" s="369"/>
      <c r="Q56" s="369"/>
      <c r="R56" s="421"/>
      <c r="S56" s="392"/>
      <c r="T56" s="366"/>
      <c r="U56" s="393"/>
      <c r="V56" s="394"/>
      <c r="W56" s="394"/>
      <c r="X56" s="370"/>
      <c r="Y56" s="371"/>
      <c r="Z56" s="366"/>
      <c r="AA56" s="392"/>
      <c r="AB56" s="366"/>
      <c r="AC56" s="366"/>
      <c r="AD56" s="366"/>
      <c r="AE56" s="366"/>
      <c r="AF56" s="366"/>
      <c r="AG56" s="392"/>
      <c r="AH56" s="392"/>
      <c r="AI56" s="392"/>
      <c r="AJ56" s="392"/>
      <c r="AK56" s="392"/>
      <c r="AL56" s="392"/>
      <c r="AM56" s="366"/>
      <c r="AN56" s="394"/>
      <c r="AO56" s="395"/>
      <c r="AP56" s="365"/>
      <c r="AQ56" s="372"/>
      <c r="AR56" s="368"/>
      <c r="AS56" s="366"/>
      <c r="AT56" s="373"/>
      <c r="AU56" s="367"/>
      <c r="AV56" s="354"/>
      <c r="AW56" s="367"/>
      <c r="AX56" s="430"/>
      <c r="AY56" s="729"/>
      <c r="AZ56" s="729"/>
      <c r="BA56" s="730"/>
      <c r="BB56" s="483"/>
      <c r="BC56" s="620"/>
      <c r="BD56" s="392"/>
      <c r="BE56" s="731"/>
      <c r="BF56" s="483"/>
      <c r="BG56" s="357"/>
      <c r="BH56" s="392"/>
      <c r="BI56" s="400"/>
      <c r="BJ56" s="400"/>
      <c r="BK56" s="400"/>
      <c r="BL56" s="392"/>
      <c r="BM56" s="374"/>
      <c r="BN56" s="374"/>
      <c r="BO56" s="374"/>
      <c r="BP56" s="374"/>
      <c r="BQ56" s="374"/>
      <c r="BR56" s="374"/>
      <c r="BS56" s="374"/>
      <c r="BT56" s="374"/>
      <c r="BU56" s="374"/>
      <c r="BV56" s="374"/>
      <c r="BW56" s="374"/>
      <c r="BX56" s="374"/>
      <c r="BY56" s="374"/>
      <c r="BZ56" s="374"/>
    </row>
    <row r="57" spans="1:78" ht="12.75" customHeight="1" x14ac:dyDescent="0.2">
      <c r="A57" s="375"/>
      <c r="B57" s="375"/>
      <c r="C57" s="622"/>
      <c r="D57" s="366"/>
      <c r="E57" s="357"/>
      <c r="F57" s="394"/>
      <c r="G57" s="366"/>
      <c r="H57" s="366"/>
      <c r="I57" s="451"/>
      <c r="J57" s="372"/>
      <c r="K57" s="372"/>
      <c r="L57" s="616"/>
      <c r="M57" s="369"/>
      <c r="N57" s="369"/>
      <c r="O57" s="369"/>
      <c r="P57" s="369"/>
      <c r="Q57" s="369"/>
      <c r="R57" s="421"/>
      <c r="S57" s="392"/>
      <c r="T57" s="366"/>
      <c r="U57" s="393"/>
      <c r="V57" s="394"/>
      <c r="W57" s="394"/>
      <c r="X57" s="370"/>
      <c r="Y57" s="371"/>
      <c r="Z57" s="366"/>
      <c r="AA57" s="392"/>
      <c r="AB57" s="366"/>
      <c r="AC57" s="366"/>
      <c r="AD57" s="366"/>
      <c r="AE57" s="366"/>
      <c r="AF57" s="366"/>
      <c r="AG57" s="392"/>
      <c r="AH57" s="392"/>
      <c r="AI57" s="392"/>
      <c r="AJ57" s="392"/>
      <c r="AK57" s="392"/>
      <c r="AL57" s="392"/>
      <c r="AM57" s="366"/>
      <c r="AN57" s="394"/>
      <c r="AO57" s="395"/>
      <c r="AP57" s="365"/>
      <c r="AQ57" s="372"/>
      <c r="AR57" s="368"/>
      <c r="AS57" s="366"/>
      <c r="AT57" s="373"/>
      <c r="AU57" s="367"/>
      <c r="AV57" s="354"/>
      <c r="AW57" s="367"/>
      <c r="AX57" s="430"/>
      <c r="AY57" s="729"/>
      <c r="AZ57" s="729"/>
      <c r="BA57" s="730"/>
      <c r="BB57" s="483"/>
      <c r="BC57" s="620"/>
      <c r="BD57" s="392"/>
      <c r="BE57" s="731"/>
      <c r="BF57" s="483"/>
      <c r="BG57" s="357"/>
      <c r="BH57" s="392"/>
      <c r="BI57" s="400"/>
      <c r="BJ57" s="547"/>
      <c r="BK57" s="400"/>
      <c r="BL57" s="357"/>
      <c r="BM57" s="374"/>
      <c r="BN57" s="374"/>
      <c r="BO57" s="374"/>
      <c r="BP57" s="374"/>
      <c r="BQ57" s="374"/>
      <c r="BR57" s="374"/>
      <c r="BS57" s="374"/>
      <c r="BT57" s="374"/>
      <c r="BU57" s="374"/>
      <c r="BV57" s="374"/>
      <c r="BW57" s="374"/>
      <c r="BX57" s="374"/>
    </row>
    <row r="58" spans="1:78" s="683" customFormat="1" ht="12.75" customHeight="1" x14ac:dyDescent="0.2">
      <c r="A58" s="375"/>
      <c r="B58" s="375"/>
      <c r="C58" s="622"/>
      <c r="D58" s="366"/>
      <c r="E58" s="357"/>
      <c r="F58" s="394"/>
      <c r="G58" s="366"/>
      <c r="H58" s="366"/>
      <c r="I58" s="451"/>
      <c r="J58" s="372"/>
      <c r="K58" s="372"/>
      <c r="L58" s="616"/>
      <c r="M58" s="369"/>
      <c r="N58" s="617"/>
      <c r="O58" s="617"/>
      <c r="P58" s="617"/>
      <c r="Q58" s="369"/>
      <c r="R58" s="421"/>
      <c r="S58" s="392"/>
      <c r="T58" s="366"/>
      <c r="U58" s="393"/>
      <c r="V58" s="394"/>
      <c r="W58" s="394"/>
      <c r="X58" s="370"/>
      <c r="Y58" s="371"/>
      <c r="Z58" s="366"/>
      <c r="AA58" s="618"/>
      <c r="AB58" s="619"/>
      <c r="AC58" s="619"/>
      <c r="AD58" s="619"/>
      <c r="AE58" s="619"/>
      <c r="AF58" s="366"/>
      <c r="AG58" s="392"/>
      <c r="AH58" s="392"/>
      <c r="AI58" s="392"/>
      <c r="AJ58" s="392"/>
      <c r="AK58" s="392"/>
      <c r="AL58" s="392"/>
      <c r="AM58" s="366"/>
      <c r="AN58" s="394"/>
      <c r="AO58" s="395"/>
      <c r="AP58" s="365"/>
      <c r="AQ58" s="372"/>
      <c r="AR58" s="372"/>
      <c r="AS58" s="366"/>
      <c r="AT58" s="354"/>
      <c r="AU58" s="646"/>
      <c r="AV58" s="354"/>
      <c r="AW58" s="367"/>
      <c r="AX58" s="430"/>
      <c r="AY58" s="480"/>
      <c r="AZ58" s="480"/>
      <c r="BA58" s="481"/>
      <c r="BB58" s="483"/>
      <c r="BC58" s="620"/>
      <c r="BD58" s="624"/>
      <c r="BE58" s="493"/>
      <c r="BF58" s="483"/>
      <c r="BG58" s="357"/>
      <c r="BH58" s="482"/>
      <c r="BI58" s="400"/>
      <c r="BJ58" s="400"/>
      <c r="BK58" s="400"/>
      <c r="BL58" s="392"/>
      <c r="BM58" s="374"/>
      <c r="BN58" s="374"/>
      <c r="BO58" s="374"/>
      <c r="BP58" s="374"/>
      <c r="BQ58" s="374"/>
      <c r="BR58" s="374"/>
      <c r="BS58" s="374"/>
      <c r="BT58" s="374"/>
      <c r="BU58" s="374"/>
      <c r="BV58" s="374"/>
      <c r="BW58" s="374"/>
      <c r="BX58" s="374"/>
      <c r="BY58" s="374"/>
      <c r="BZ58" s="374"/>
    </row>
    <row r="59" spans="1:78" ht="12.75" customHeight="1" x14ac:dyDescent="0.2">
      <c r="A59" s="375"/>
      <c r="B59" s="375"/>
      <c r="C59" s="391"/>
      <c r="D59" s="366"/>
      <c r="E59" s="357"/>
      <c r="F59" s="394"/>
      <c r="G59" s="366"/>
      <c r="H59" s="366"/>
      <c r="I59" s="451"/>
      <c r="J59" s="372"/>
      <c r="K59" s="372"/>
      <c r="L59" s="616"/>
      <c r="M59" s="369"/>
      <c r="N59" s="617"/>
      <c r="O59" s="617"/>
      <c r="P59" s="617"/>
      <c r="Q59" s="369"/>
      <c r="R59" s="421"/>
      <c r="S59" s="392"/>
      <c r="T59" s="366"/>
      <c r="U59" s="393"/>
      <c r="V59" s="394"/>
      <c r="W59" s="394"/>
      <c r="X59" s="370"/>
      <c r="Y59" s="371"/>
      <c r="Z59" s="366"/>
      <c r="AA59" s="618"/>
      <c r="AB59" s="619"/>
      <c r="AC59" s="619"/>
      <c r="AD59" s="619"/>
      <c r="AE59" s="619"/>
      <c r="AF59" s="366"/>
      <c r="AG59" s="392"/>
      <c r="AH59" s="392"/>
      <c r="AI59" s="392"/>
      <c r="AJ59" s="392"/>
      <c r="AK59" s="392"/>
      <c r="AL59" s="392"/>
      <c r="AM59" s="366"/>
      <c r="AN59" s="627"/>
      <c r="AO59" s="395"/>
      <c r="AP59" s="365"/>
      <c r="AQ59" s="512"/>
      <c r="AR59" s="368"/>
      <c r="AS59" s="366"/>
      <c r="AT59" s="354"/>
      <c r="AU59" s="354"/>
      <c r="AV59" s="354"/>
      <c r="AW59" s="367"/>
      <c r="AX59" s="430"/>
      <c r="AY59" s="480"/>
      <c r="AZ59" s="480"/>
      <c r="BA59" s="481"/>
      <c r="BB59" s="624"/>
      <c r="BC59" s="620"/>
      <c r="BD59" s="482"/>
      <c r="BE59" s="493"/>
      <c r="BF59" s="483"/>
      <c r="BG59" s="357"/>
      <c r="BH59" s="482"/>
      <c r="BI59" s="400"/>
      <c r="BJ59" s="400"/>
      <c r="BK59" s="357"/>
      <c r="BL59" s="625"/>
      <c r="BM59" s="374"/>
      <c r="BN59" s="374"/>
      <c r="BO59" s="374"/>
      <c r="BP59" s="374"/>
      <c r="BQ59" s="374"/>
      <c r="BR59" s="374"/>
      <c r="BS59" s="374"/>
      <c r="BT59" s="374"/>
      <c r="BU59" s="374"/>
      <c r="BV59" s="374"/>
      <c r="BW59" s="374"/>
      <c r="BX59" s="374"/>
    </row>
    <row r="60" spans="1:78" ht="12.75" customHeight="1" x14ac:dyDescent="0.2">
      <c r="A60" s="626"/>
      <c r="B60" s="626"/>
      <c r="C60" s="391"/>
      <c r="D60" s="366"/>
      <c r="E60" s="357"/>
      <c r="F60" s="394"/>
      <c r="G60" s="366"/>
      <c r="H60" s="366"/>
      <c r="I60" s="451"/>
      <c r="J60" s="372"/>
      <c r="K60" s="372"/>
      <c r="L60" s="616"/>
      <c r="M60" s="369"/>
      <c r="N60" s="621"/>
      <c r="O60" s="621"/>
      <c r="P60" s="621"/>
      <c r="Q60" s="369"/>
      <c r="R60" s="421"/>
      <c r="S60" s="392"/>
      <c r="T60" s="366"/>
      <c r="U60" s="393"/>
      <c r="V60" s="394"/>
      <c r="W60" s="394"/>
      <c r="X60" s="370"/>
      <c r="Y60" s="371"/>
      <c r="Z60" s="366"/>
      <c r="AA60" s="928"/>
      <c r="AB60" s="929"/>
      <c r="AC60" s="929"/>
      <c r="AD60" s="929"/>
      <c r="AE60" s="929"/>
      <c r="AF60" s="647"/>
      <c r="AG60" s="648"/>
      <c r="AH60" s="648"/>
      <c r="AI60" s="648"/>
      <c r="AJ60" s="648"/>
      <c r="AK60" s="648"/>
      <c r="AL60" s="648"/>
      <c r="AM60" s="647"/>
      <c r="AN60" s="930"/>
      <c r="AO60" s="371"/>
      <c r="AP60" s="365"/>
      <c r="AQ60" s="372"/>
      <c r="AR60" s="368"/>
      <c r="AS60" s="647"/>
      <c r="AT60" s="373"/>
      <c r="AU60" s="931"/>
      <c r="AV60" s="373"/>
      <c r="AW60" s="367"/>
      <c r="AX60" s="430"/>
      <c r="AY60" s="480"/>
      <c r="AZ60" s="480"/>
      <c r="BA60" s="481"/>
      <c r="BB60" s="624"/>
      <c r="BC60" s="620"/>
      <c r="BD60" s="673"/>
      <c r="BE60" s="493"/>
      <c r="BF60" s="483"/>
      <c r="BG60" s="357"/>
      <c r="BH60" s="482"/>
      <c r="BI60" s="400"/>
      <c r="BJ60" s="357"/>
      <c r="BK60" s="374"/>
      <c r="BL60" s="547"/>
      <c r="BM60" s="374"/>
      <c r="BN60" s="374"/>
      <c r="BO60" s="374"/>
      <c r="BP60" s="374"/>
      <c r="BQ60" s="374"/>
      <c r="BR60" s="374"/>
      <c r="BS60" s="374"/>
      <c r="BT60" s="374"/>
      <c r="BY60" s="387"/>
      <c r="BZ60" s="387"/>
    </row>
    <row r="61" spans="1:78" ht="12.75" customHeight="1" x14ac:dyDescent="0.2">
      <c r="A61" s="375"/>
      <c r="B61" s="375"/>
      <c r="C61" s="391"/>
      <c r="D61" s="366"/>
      <c r="E61" s="357"/>
      <c r="F61" s="394"/>
      <c r="G61" s="366"/>
      <c r="H61" s="366"/>
      <c r="I61" s="451"/>
      <c r="J61" s="372"/>
      <c r="K61" s="372"/>
      <c r="L61" s="616"/>
      <c r="M61" s="369"/>
      <c r="N61" s="617"/>
      <c r="O61" s="617"/>
      <c r="P61" s="617"/>
      <c r="Q61" s="369"/>
      <c r="R61" s="421"/>
      <c r="S61" s="392"/>
      <c r="T61" s="366"/>
      <c r="U61" s="393"/>
      <c r="V61" s="394"/>
      <c r="W61" s="394"/>
      <c r="X61" s="370"/>
      <c r="Y61" s="371"/>
      <c r="Z61" s="366"/>
      <c r="AA61" s="928"/>
      <c r="AB61" s="929"/>
      <c r="AC61" s="929"/>
      <c r="AD61" s="929"/>
      <c r="AE61" s="929"/>
      <c r="AF61" s="647"/>
      <c r="AG61" s="648"/>
      <c r="AH61" s="648"/>
      <c r="AI61" s="648"/>
      <c r="AJ61" s="648"/>
      <c r="AK61" s="648"/>
      <c r="AL61" s="648"/>
      <c r="AM61" s="647"/>
      <c r="AN61" s="930"/>
      <c r="AO61" s="371"/>
      <c r="AP61" s="365"/>
      <c r="AQ61" s="372"/>
      <c r="AR61" s="368"/>
      <c r="AS61" s="647"/>
      <c r="AT61" s="373"/>
      <c r="AU61" s="931"/>
      <c r="AV61" s="373"/>
      <c r="AW61" s="367"/>
      <c r="AX61" s="430"/>
      <c r="AY61" s="480"/>
      <c r="AZ61" s="480"/>
      <c r="BA61" s="481"/>
      <c r="BB61" s="624"/>
      <c r="BC61" s="620"/>
      <c r="BD61" s="483"/>
      <c r="BE61" s="493"/>
      <c r="BF61" s="483"/>
      <c r="BG61" s="357"/>
      <c r="BH61" s="482"/>
      <c r="BI61" s="400"/>
      <c r="BJ61" s="357"/>
      <c r="BK61" s="374"/>
      <c r="BL61" s="547"/>
      <c r="BM61" s="374"/>
      <c r="BN61" s="374"/>
      <c r="BO61" s="374"/>
      <c r="BP61" s="374"/>
      <c r="BQ61" s="374"/>
      <c r="BR61" s="374"/>
      <c r="BS61" s="374"/>
      <c r="BT61" s="374"/>
      <c r="BY61" s="387"/>
      <c r="BZ61" s="387"/>
    </row>
    <row r="62" spans="1:78" ht="13.15" customHeight="1" x14ac:dyDescent="0.2">
      <c r="A62" s="375"/>
      <c r="B62" s="375"/>
      <c r="C62" s="391"/>
      <c r="D62" s="366"/>
      <c r="E62" s="357"/>
      <c r="F62" s="394"/>
      <c r="G62" s="366"/>
      <c r="H62" s="366"/>
      <c r="I62" s="451"/>
      <c r="J62" s="372"/>
      <c r="K62" s="372"/>
      <c r="L62" s="616"/>
      <c r="M62" s="369"/>
      <c r="N62" s="617"/>
      <c r="O62" s="617"/>
      <c r="P62" s="617"/>
      <c r="Q62" s="369"/>
      <c r="R62" s="421"/>
      <c r="S62" s="392"/>
      <c r="T62" s="366"/>
      <c r="U62" s="393"/>
      <c r="V62" s="394"/>
      <c r="W62" s="394"/>
      <c r="X62" s="370"/>
      <c r="Y62" s="371"/>
      <c r="Z62" s="366"/>
      <c r="AA62" s="928"/>
      <c r="AB62" s="929"/>
      <c r="AC62" s="929"/>
      <c r="AD62" s="929"/>
      <c r="AE62" s="929"/>
      <c r="AF62" s="647"/>
      <c r="AG62" s="648"/>
      <c r="AH62" s="648"/>
      <c r="AI62" s="648"/>
      <c r="AJ62" s="648"/>
      <c r="AK62" s="648"/>
      <c r="AL62" s="648"/>
      <c r="AM62" s="647"/>
      <c r="AN62" s="930"/>
      <c r="AO62" s="371"/>
      <c r="AP62" s="365"/>
      <c r="AQ62" s="372"/>
      <c r="AR62" s="368"/>
      <c r="AS62" s="647"/>
      <c r="AT62" s="373"/>
      <c r="AU62" s="931"/>
      <c r="AV62" s="373"/>
      <c r="AW62" s="367"/>
      <c r="AX62" s="430"/>
      <c r="AY62" s="480"/>
      <c r="AZ62" s="480"/>
      <c r="BA62" s="481"/>
      <c r="BB62" s="624"/>
      <c r="BC62" s="620"/>
      <c r="BD62" s="624"/>
      <c r="BE62" s="493"/>
      <c r="BF62" s="483"/>
      <c r="BG62" s="357"/>
      <c r="BH62" s="482"/>
      <c r="BI62" s="400"/>
      <c r="BJ62" s="357"/>
      <c r="BK62" s="374"/>
      <c r="BL62" s="547"/>
      <c r="BM62" s="374"/>
      <c r="BN62" s="374"/>
      <c r="BO62" s="374"/>
      <c r="BP62" s="374"/>
      <c r="BQ62" s="374"/>
      <c r="BR62" s="374"/>
      <c r="BS62" s="374"/>
      <c r="BT62" s="374"/>
      <c r="BU62" s="374"/>
      <c r="BV62" s="374"/>
      <c r="BW62" s="374"/>
      <c r="BX62" s="374"/>
    </row>
    <row r="63" spans="1:78" ht="13.15" customHeight="1" x14ac:dyDescent="0.2">
      <c r="A63" s="375"/>
      <c r="B63" s="375"/>
      <c r="C63" s="391"/>
      <c r="D63" s="366"/>
      <c r="E63" s="357"/>
      <c r="F63" s="394"/>
      <c r="G63" s="366"/>
      <c r="H63" s="366"/>
      <c r="I63" s="451"/>
      <c r="J63" s="372"/>
      <c r="K63" s="372"/>
      <c r="L63" s="616"/>
      <c r="M63" s="369"/>
      <c r="N63" s="579"/>
      <c r="O63" s="579"/>
      <c r="P63" s="579"/>
      <c r="Q63" s="369"/>
      <c r="R63" s="421"/>
      <c r="S63" s="392"/>
      <c r="T63" s="366"/>
      <c r="U63" s="393"/>
      <c r="V63" s="394"/>
      <c r="W63" s="394"/>
      <c r="X63" s="370"/>
      <c r="Y63" s="371"/>
      <c r="Z63" s="366"/>
      <c r="AA63" s="392"/>
      <c r="AB63" s="366"/>
      <c r="AC63" s="366"/>
      <c r="AD63" s="366"/>
      <c r="AE63" s="366"/>
      <c r="AF63" s="366"/>
      <c r="AG63" s="392"/>
      <c r="AH63" s="392"/>
      <c r="AI63" s="392"/>
      <c r="AJ63" s="392"/>
      <c r="AK63" s="392"/>
      <c r="AL63" s="392"/>
      <c r="AM63" s="366"/>
      <c r="AN63" s="394"/>
      <c r="AO63" s="395"/>
      <c r="AP63" s="365"/>
      <c r="AQ63" s="372"/>
      <c r="AR63" s="368"/>
      <c r="AS63" s="366"/>
      <c r="AT63" s="354"/>
      <c r="AU63" s="367"/>
      <c r="AV63" s="354"/>
      <c r="AW63" s="367"/>
      <c r="AX63" s="430"/>
      <c r="AY63" s="480"/>
      <c r="AZ63" s="480"/>
      <c r="BA63" s="481"/>
      <c r="BB63" s="483"/>
      <c r="BC63" s="357"/>
      <c r="BD63" s="483"/>
      <c r="BE63" s="493"/>
      <c r="BF63" s="483"/>
      <c r="BG63" s="357"/>
      <c r="BH63" s="482"/>
      <c r="BI63" s="400"/>
      <c r="BJ63" s="400"/>
      <c r="BK63" s="400"/>
      <c r="BL63" s="392"/>
      <c r="BM63" s="374"/>
      <c r="BN63" s="374"/>
      <c r="BO63" s="374"/>
      <c r="BP63" s="374"/>
      <c r="BQ63" s="374"/>
      <c r="BR63" s="374"/>
      <c r="BS63" s="374"/>
      <c r="BT63" s="374"/>
      <c r="BU63" s="374"/>
      <c r="BV63" s="374"/>
      <c r="BW63" s="374"/>
      <c r="BX63" s="374"/>
    </row>
    <row r="64" spans="1:78" ht="12.75" customHeight="1" x14ac:dyDescent="0.2">
      <c r="A64" s="375"/>
      <c r="B64" s="375"/>
      <c r="C64" s="391"/>
      <c r="D64" s="366"/>
      <c r="E64" s="357"/>
      <c r="F64" s="394"/>
      <c r="G64" s="366"/>
      <c r="H64" s="366"/>
      <c r="I64" s="451"/>
      <c r="J64" s="372"/>
      <c r="K64" s="372"/>
      <c r="L64" s="616"/>
      <c r="M64" s="369"/>
      <c r="N64" s="617"/>
      <c r="O64" s="617"/>
      <c r="P64" s="617"/>
      <c r="Q64" s="369"/>
      <c r="R64" s="421"/>
      <c r="S64" s="392"/>
      <c r="T64" s="366"/>
      <c r="U64" s="393"/>
      <c r="V64" s="394"/>
      <c r="W64" s="394"/>
      <c r="X64" s="370"/>
      <c r="Y64" s="371"/>
      <c r="Z64" s="366"/>
      <c r="AA64" s="618"/>
      <c r="AB64" s="619"/>
      <c r="AC64" s="619"/>
      <c r="AD64" s="619"/>
      <c r="AE64" s="619"/>
      <c r="AF64" s="366"/>
      <c r="AG64" s="392"/>
      <c r="AH64" s="392"/>
      <c r="AI64" s="392"/>
      <c r="AJ64" s="392"/>
      <c r="AK64" s="392"/>
      <c r="AL64" s="392"/>
      <c r="AM64" s="366"/>
      <c r="AN64" s="627"/>
      <c r="AO64" s="395"/>
      <c r="AP64" s="365"/>
      <c r="AQ64" s="372"/>
      <c r="AR64" s="368"/>
      <c r="AS64" s="366"/>
      <c r="AT64" s="354"/>
      <c r="AU64" s="354"/>
      <c r="AV64" s="354"/>
      <c r="AW64" s="367"/>
      <c r="AX64" s="430"/>
      <c r="AY64" s="676"/>
      <c r="AZ64" s="676"/>
      <c r="BA64" s="481"/>
      <c r="BB64" s="624"/>
      <c r="BC64" s="357"/>
      <c r="BD64" s="673"/>
      <c r="BE64" s="493"/>
      <c r="BF64" s="483"/>
      <c r="BG64" s="357"/>
      <c r="BH64" s="482"/>
      <c r="BI64" s="400"/>
      <c r="BJ64" s="400"/>
      <c r="BK64" s="400"/>
      <c r="BL64" s="392"/>
      <c r="BM64" s="374"/>
      <c r="BN64" s="374"/>
      <c r="BO64" s="374"/>
      <c r="BP64" s="374"/>
      <c r="BQ64" s="374"/>
      <c r="BR64" s="374"/>
      <c r="BS64" s="374"/>
      <c r="BT64" s="374"/>
      <c r="BU64" s="374"/>
      <c r="BV64" s="374"/>
      <c r="BW64" s="374"/>
      <c r="BX64" s="374"/>
      <c r="BY64" s="582"/>
      <c r="BZ64" s="582"/>
    </row>
    <row r="65" spans="1:78" ht="12" customHeight="1" x14ac:dyDescent="0.2">
      <c r="A65" s="375"/>
      <c r="B65" s="375"/>
      <c r="C65" s="391"/>
      <c r="D65" s="366"/>
      <c r="E65" s="357"/>
      <c r="F65" s="394"/>
      <c r="G65" s="366"/>
      <c r="H65" s="366"/>
      <c r="I65" s="451"/>
      <c r="J65" s="372"/>
      <c r="K65" s="372"/>
      <c r="L65" s="616"/>
      <c r="M65" s="369"/>
      <c r="N65" s="617"/>
      <c r="O65" s="617"/>
      <c r="P65" s="617"/>
      <c r="Q65" s="369"/>
      <c r="R65" s="421"/>
      <c r="S65" s="392"/>
      <c r="T65" s="366"/>
      <c r="U65" s="393"/>
      <c r="V65" s="394"/>
      <c r="W65" s="394"/>
      <c r="X65" s="370"/>
      <c r="Y65" s="371"/>
      <c r="Z65" s="366"/>
      <c r="AA65" s="618"/>
      <c r="AB65" s="619"/>
      <c r="AC65" s="619"/>
      <c r="AD65" s="619"/>
      <c r="AE65" s="619"/>
      <c r="AF65" s="366"/>
      <c r="AG65" s="392"/>
      <c r="AH65" s="392"/>
      <c r="AI65" s="392"/>
      <c r="AJ65" s="392"/>
      <c r="AK65" s="392"/>
      <c r="AL65" s="392"/>
      <c r="AM65" s="366"/>
      <c r="AN65" s="627"/>
      <c r="AO65" s="395"/>
      <c r="AP65" s="365"/>
      <c r="AQ65" s="372"/>
      <c r="AR65" s="368"/>
      <c r="AS65" s="366"/>
      <c r="AT65" s="354"/>
      <c r="AU65" s="354"/>
      <c r="AV65" s="354"/>
      <c r="AW65" s="367"/>
      <c r="AX65" s="430"/>
      <c r="AY65" s="676"/>
      <c r="AZ65" s="676"/>
      <c r="BA65" s="481"/>
      <c r="BB65" s="624"/>
      <c r="BC65" s="357"/>
      <c r="BD65" s="673"/>
      <c r="BE65" s="493"/>
      <c r="BF65" s="483"/>
      <c r="BG65" s="357"/>
      <c r="BH65" s="482"/>
      <c r="BI65" s="400"/>
      <c r="BJ65" s="400"/>
      <c r="BK65" s="400"/>
      <c r="BL65" s="392"/>
      <c r="BM65" s="374"/>
      <c r="BN65" s="374"/>
      <c r="BO65" s="374"/>
      <c r="BP65" s="374"/>
      <c r="BQ65" s="374"/>
      <c r="BR65" s="374"/>
      <c r="BS65" s="374"/>
      <c r="BT65" s="374"/>
      <c r="BU65" s="374"/>
      <c r="BV65" s="374"/>
      <c r="BW65" s="374"/>
      <c r="BX65" s="374"/>
      <c r="BY65" s="582"/>
      <c r="BZ65" s="582"/>
    </row>
    <row r="66" spans="1:78" ht="13.15" customHeight="1" x14ac:dyDescent="0.2">
      <c r="A66" s="375"/>
      <c r="B66" s="375"/>
      <c r="C66" s="391"/>
      <c r="D66" s="366"/>
      <c r="E66" s="357"/>
      <c r="F66" s="394"/>
      <c r="G66" s="366"/>
      <c r="H66" s="366"/>
      <c r="I66" s="451"/>
      <c r="J66" s="372"/>
      <c r="K66" s="372"/>
      <c r="L66" s="616"/>
      <c r="M66" s="369"/>
      <c r="N66" s="579"/>
      <c r="O66" s="579"/>
      <c r="P66" s="579"/>
      <c r="Q66" s="369"/>
      <c r="R66" s="421"/>
      <c r="S66" s="392"/>
      <c r="T66" s="366"/>
      <c r="U66" s="393"/>
      <c r="V66" s="394"/>
      <c r="W66" s="394"/>
      <c r="X66" s="370"/>
      <c r="Y66" s="371"/>
      <c r="Z66" s="366"/>
      <c r="AA66" s="618"/>
      <c r="AB66" s="619"/>
      <c r="AC66" s="619"/>
      <c r="AD66" s="619"/>
      <c r="AE66" s="619"/>
      <c r="AF66" s="366"/>
      <c r="AG66" s="392"/>
      <c r="AH66" s="392"/>
      <c r="AI66" s="392"/>
      <c r="AJ66" s="392"/>
      <c r="AK66" s="392"/>
      <c r="AL66" s="392"/>
      <c r="AM66" s="366"/>
      <c r="AN66" s="394"/>
      <c r="AO66" s="395"/>
      <c r="AP66" s="365"/>
      <c r="AQ66" s="512"/>
      <c r="AR66" s="368"/>
      <c r="AS66" s="366"/>
      <c r="AT66" s="354"/>
      <c r="AU66" s="354"/>
      <c r="AV66" s="354"/>
      <c r="AW66" s="628"/>
      <c r="AX66" s="430"/>
      <c r="AY66" s="480"/>
      <c r="AZ66" s="480"/>
      <c r="BA66" s="481"/>
      <c r="BB66" s="624"/>
      <c r="BC66" s="357"/>
      <c r="BD66" s="673"/>
      <c r="BE66" s="493"/>
      <c r="BF66" s="483"/>
      <c r="BG66" s="357"/>
      <c r="BH66" s="482"/>
      <c r="BI66" s="400"/>
      <c r="BJ66" s="400"/>
      <c r="BK66" s="400"/>
      <c r="BL66" s="392"/>
      <c r="BM66" s="374"/>
      <c r="BN66" s="374"/>
      <c r="BO66" s="374"/>
      <c r="BP66" s="374"/>
      <c r="BQ66" s="374"/>
      <c r="BR66" s="374"/>
      <c r="BS66" s="374"/>
      <c r="BT66" s="374"/>
      <c r="BU66" s="374"/>
      <c r="BV66" s="374"/>
      <c r="BW66" s="374"/>
      <c r="BX66" s="374"/>
    </row>
    <row r="67" spans="1:78" ht="13.15" customHeight="1" x14ac:dyDescent="0.2">
      <c r="A67" s="375"/>
      <c r="B67" s="375"/>
      <c r="C67" s="391"/>
      <c r="D67" s="366"/>
      <c r="E67" s="357"/>
      <c r="F67" s="394"/>
      <c r="G67" s="366"/>
      <c r="H67" s="366"/>
      <c r="I67" s="451"/>
      <c r="J67" s="372"/>
      <c r="K67" s="372"/>
      <c r="L67" s="616"/>
      <c r="M67" s="369"/>
      <c r="N67" s="617"/>
      <c r="O67" s="617"/>
      <c r="P67" s="617"/>
      <c r="Q67" s="369"/>
      <c r="R67" s="421"/>
      <c r="S67" s="392"/>
      <c r="T67" s="366"/>
      <c r="U67" s="393"/>
      <c r="V67" s="394"/>
      <c r="W67" s="394"/>
      <c r="X67" s="370"/>
      <c r="Y67" s="371"/>
      <c r="Z67" s="366"/>
      <c r="AA67" s="618"/>
      <c r="AB67" s="619"/>
      <c r="AC67" s="619"/>
      <c r="AD67" s="619"/>
      <c r="AE67" s="619"/>
      <c r="AF67" s="366"/>
      <c r="AG67" s="392"/>
      <c r="AH67" s="392"/>
      <c r="AI67" s="392"/>
      <c r="AJ67" s="392"/>
      <c r="AK67" s="392"/>
      <c r="AL67" s="392"/>
      <c r="AM67" s="366"/>
      <c r="AN67" s="394"/>
      <c r="AO67" s="395"/>
      <c r="AP67" s="365"/>
      <c r="AQ67" s="512"/>
      <c r="AR67" s="372"/>
      <c r="AS67" s="366"/>
      <c r="AT67" s="354"/>
      <c r="AU67" s="354"/>
      <c r="AV67" s="354"/>
      <c r="AW67" s="628"/>
      <c r="AX67" s="430"/>
      <c r="AY67" s="480"/>
      <c r="AZ67" s="480"/>
      <c r="BA67" s="481"/>
      <c r="BB67" s="483"/>
      <c r="BC67" s="620"/>
      <c r="BD67" s="482"/>
      <c r="BE67" s="493"/>
      <c r="BF67" s="483"/>
      <c r="BG67" s="357"/>
      <c r="BH67" s="483"/>
      <c r="BI67" s="400"/>
      <c r="BJ67" s="400"/>
      <c r="BK67" s="400"/>
      <c r="BL67" s="547"/>
      <c r="BM67" s="374"/>
      <c r="BN67" s="374"/>
      <c r="BO67" s="374"/>
      <c r="BP67" s="374"/>
      <c r="BQ67" s="374"/>
      <c r="BR67" s="374"/>
      <c r="BS67" s="374"/>
      <c r="BT67" s="374"/>
      <c r="BU67" s="374"/>
      <c r="BV67" s="374"/>
      <c r="BW67" s="374"/>
      <c r="BX67" s="374"/>
    </row>
    <row r="68" spans="1:78" ht="13.15" customHeight="1" x14ac:dyDescent="0.2">
      <c r="A68" s="375"/>
      <c r="B68" s="375"/>
      <c r="C68" s="391"/>
      <c r="D68" s="366"/>
      <c r="E68" s="357"/>
      <c r="F68" s="394"/>
      <c r="G68" s="366"/>
      <c r="H68" s="366"/>
      <c r="I68" s="394"/>
      <c r="J68" s="372"/>
      <c r="K68" s="372"/>
      <c r="L68" s="616"/>
      <c r="M68" s="369"/>
      <c r="N68" s="617"/>
      <c r="O68" s="617"/>
      <c r="P68" s="617"/>
      <c r="Q68" s="369"/>
      <c r="R68" s="650"/>
      <c r="S68" s="392"/>
      <c r="T68" s="647"/>
      <c r="U68" s="393"/>
      <c r="V68" s="394"/>
      <c r="W68" s="741"/>
      <c r="X68" s="681"/>
      <c r="Y68" s="371"/>
      <c r="Z68" s="366"/>
      <c r="AA68" s="618"/>
      <c r="AB68" s="619"/>
      <c r="AC68" s="619"/>
      <c r="AD68" s="619"/>
      <c r="AE68" s="619"/>
      <c r="AF68" s="366"/>
      <c r="AG68" s="392"/>
      <c r="AH68" s="392"/>
      <c r="AI68" s="392"/>
      <c r="AJ68" s="392"/>
      <c r="AK68" s="392"/>
      <c r="AL68" s="392"/>
      <c r="AM68" s="366"/>
      <c r="AN68" s="627"/>
      <c r="AO68" s="395"/>
      <c r="AP68" s="365"/>
      <c r="AQ68" s="512"/>
      <c r="AR68" s="368"/>
      <c r="AS68" s="366"/>
      <c r="AT68" s="354"/>
      <c r="AU68" s="354"/>
      <c r="AV68" s="354"/>
      <c r="AW68" s="354"/>
      <c r="AX68" s="430"/>
      <c r="AY68" s="480"/>
      <c r="AZ68" s="480"/>
      <c r="BA68" s="481"/>
      <c r="BB68" s="483"/>
      <c r="BC68" s="620"/>
      <c r="BD68" s="482"/>
      <c r="BE68" s="493"/>
      <c r="BF68" s="483"/>
      <c r="BG68" s="357"/>
      <c r="BH68" s="482"/>
      <c r="BI68" s="400"/>
      <c r="BJ68" s="400"/>
      <c r="BK68" s="400"/>
      <c r="BL68" s="392"/>
      <c r="BM68" s="374"/>
      <c r="BN68" s="374"/>
      <c r="BO68" s="374"/>
      <c r="BP68" s="374"/>
      <c r="BQ68" s="374"/>
      <c r="BR68" s="374"/>
      <c r="BS68" s="374"/>
      <c r="BT68" s="374"/>
      <c r="BU68" s="374"/>
      <c r="BV68" s="374"/>
      <c r="BW68" s="374"/>
      <c r="BX68" s="374"/>
    </row>
    <row r="69" spans="1:78" ht="13.15" customHeight="1" x14ac:dyDescent="0.2">
      <c r="A69" s="375"/>
      <c r="B69" s="375"/>
      <c r="C69" s="391"/>
      <c r="D69" s="366"/>
      <c r="E69" s="357"/>
      <c r="F69" s="394"/>
      <c r="G69" s="366"/>
      <c r="H69" s="366"/>
      <c r="I69" s="451"/>
      <c r="J69" s="372"/>
      <c r="K69" s="372"/>
      <c r="L69" s="616"/>
      <c r="M69" s="369"/>
      <c r="N69" s="621"/>
      <c r="O69" s="512"/>
      <c r="P69" s="512"/>
      <c r="Q69" s="369"/>
      <c r="R69" s="421"/>
      <c r="S69" s="392"/>
      <c r="T69" s="366"/>
      <c r="U69" s="393"/>
      <c r="V69" s="394"/>
      <c r="W69" s="394"/>
      <c r="X69" s="370"/>
      <c r="Y69" s="760"/>
      <c r="Z69" s="366"/>
      <c r="AA69" s="774"/>
      <c r="AB69" s="775"/>
      <c r="AC69" s="775"/>
      <c r="AD69" s="775"/>
      <c r="AE69" s="775"/>
      <c r="AF69" s="767"/>
      <c r="AG69" s="766"/>
      <c r="AH69" s="766"/>
      <c r="AI69" s="766"/>
      <c r="AJ69" s="766"/>
      <c r="AK69" s="766"/>
      <c r="AL69" s="766"/>
      <c r="AM69" s="767"/>
      <c r="AN69" s="776"/>
      <c r="AO69" s="395"/>
      <c r="AP69" s="365"/>
      <c r="AQ69" s="372"/>
      <c r="AR69" s="372"/>
      <c r="AS69" s="366"/>
      <c r="AT69" s="354"/>
      <c r="AU69" s="367"/>
      <c r="AV69" s="354"/>
      <c r="AW69" s="367"/>
      <c r="AX69" s="430"/>
      <c r="AY69" s="915"/>
      <c r="AZ69" s="915"/>
      <c r="BA69" s="924"/>
      <c r="BB69" s="669"/>
      <c r="BC69" s="916"/>
      <c r="BD69" s="483"/>
      <c r="BE69" s="924"/>
      <c r="BF69" s="719"/>
      <c r="BG69" s="917"/>
      <c r="BH69" s="482"/>
      <c r="BI69" s="374"/>
      <c r="BJ69" s="374"/>
      <c r="BK69" s="374"/>
      <c r="BL69" s="547"/>
      <c r="BM69" s="374"/>
      <c r="BN69" s="374"/>
      <c r="BO69" s="374"/>
      <c r="BP69" s="374"/>
      <c r="BQ69" s="374"/>
      <c r="BR69" s="374"/>
      <c r="BS69" s="374"/>
      <c r="BT69" s="374"/>
      <c r="BU69" s="374"/>
      <c r="BV69" s="374"/>
      <c r="BW69" s="374"/>
      <c r="BX69" s="374"/>
    </row>
    <row r="70" spans="1:78" ht="12.75" customHeight="1" x14ac:dyDescent="0.2">
      <c r="A70" s="375"/>
      <c r="B70" s="375"/>
      <c r="C70" s="391"/>
      <c r="D70" s="366"/>
      <c r="E70" s="357"/>
      <c r="F70" s="394"/>
      <c r="G70" s="366"/>
      <c r="H70" s="392"/>
      <c r="I70" s="357"/>
      <c r="J70" s="372"/>
      <c r="K70" s="372"/>
      <c r="L70" s="616"/>
      <c r="M70" s="369"/>
      <c r="N70" s="617"/>
      <c r="O70" s="617"/>
      <c r="P70" s="617"/>
      <c r="Q70" s="369"/>
      <c r="R70" s="421"/>
      <c r="S70" s="392"/>
      <c r="T70" s="366"/>
      <c r="U70" s="393"/>
      <c r="V70" s="394"/>
      <c r="W70" s="394"/>
      <c r="X70" s="370"/>
      <c r="Y70" s="371"/>
      <c r="Z70" s="366"/>
      <c r="AA70" s="618"/>
      <c r="AB70" s="619"/>
      <c r="AC70" s="619"/>
      <c r="AD70" s="619"/>
      <c r="AE70" s="619"/>
      <c r="AF70" s="366"/>
      <c r="AG70" s="392"/>
      <c r="AH70" s="392"/>
      <c r="AI70" s="392"/>
      <c r="AJ70" s="392"/>
      <c r="AK70" s="392"/>
      <c r="AL70" s="392"/>
      <c r="AM70" s="366"/>
      <c r="AN70" s="627"/>
      <c r="AO70" s="395"/>
      <c r="AP70" s="365"/>
      <c r="AQ70" s="512"/>
      <c r="AR70" s="372"/>
      <c r="AS70" s="366"/>
      <c r="AT70" s="354"/>
      <c r="AU70" s="354"/>
      <c r="AV70" s="354"/>
      <c r="AW70" s="367"/>
      <c r="AX70" s="430"/>
      <c r="AY70" s="480"/>
      <c r="AZ70" s="480"/>
      <c r="BA70" s="481"/>
      <c r="BB70" s="483"/>
      <c r="BC70" s="357"/>
      <c r="BD70" s="483"/>
      <c r="BE70" s="493"/>
      <c r="BF70" s="357"/>
      <c r="BG70" s="357"/>
      <c r="BH70" s="482"/>
      <c r="BI70" s="400"/>
      <c r="BJ70" s="400"/>
      <c r="BK70" s="400"/>
      <c r="BL70" s="392"/>
      <c r="BM70" s="374"/>
      <c r="BN70" s="374"/>
      <c r="BO70" s="374"/>
      <c r="BP70" s="374"/>
      <c r="BQ70" s="374"/>
      <c r="BR70" s="374"/>
      <c r="BS70" s="374"/>
      <c r="BT70" s="374"/>
      <c r="BU70" s="374"/>
      <c r="BV70" s="374"/>
      <c r="BW70" s="374"/>
      <c r="BX70" s="374"/>
      <c r="BY70" s="582"/>
      <c r="BZ70" s="582"/>
    </row>
    <row r="71" spans="1:78" ht="12.75" customHeight="1" x14ac:dyDescent="0.2">
      <c r="A71" s="375"/>
      <c r="B71" s="375"/>
      <c r="C71" s="391"/>
      <c r="D71" s="366"/>
      <c r="E71" s="357"/>
      <c r="F71" s="394"/>
      <c r="G71" s="366"/>
      <c r="H71" s="392"/>
      <c r="I71" s="357"/>
      <c r="J71" s="372"/>
      <c r="K71" s="372"/>
      <c r="L71" s="616"/>
      <c r="M71" s="369"/>
      <c r="N71" s="617"/>
      <c r="O71" s="617"/>
      <c r="P71" s="617"/>
      <c r="Q71" s="369"/>
      <c r="R71" s="421"/>
      <c r="S71" s="392"/>
      <c r="T71" s="366"/>
      <c r="U71" s="393"/>
      <c r="V71" s="394"/>
      <c r="W71" s="394"/>
      <c r="X71" s="370"/>
      <c r="Y71" s="371"/>
      <c r="Z71" s="366"/>
      <c r="AA71" s="618"/>
      <c r="AB71" s="619"/>
      <c r="AC71" s="619"/>
      <c r="AD71" s="619"/>
      <c r="AE71" s="619"/>
      <c r="AF71" s="366"/>
      <c r="AG71" s="392"/>
      <c r="AH71" s="392"/>
      <c r="AI71" s="392"/>
      <c r="AJ71" s="392"/>
      <c r="AK71" s="392"/>
      <c r="AL71" s="392"/>
      <c r="AM71" s="366"/>
      <c r="AN71" s="627"/>
      <c r="AO71" s="395"/>
      <c r="AP71" s="365"/>
      <c r="AQ71" s="512"/>
      <c r="AR71" s="372"/>
      <c r="AS71" s="366"/>
      <c r="AT71" s="354"/>
      <c r="AU71" s="354"/>
      <c r="AV71" s="354"/>
      <c r="AW71" s="367"/>
      <c r="AX71" s="430"/>
      <c r="AY71" s="480"/>
      <c r="AZ71" s="480"/>
      <c r="BA71" s="481"/>
      <c r="BB71" s="483"/>
      <c r="BC71" s="357"/>
      <c r="BD71" s="483"/>
      <c r="BE71" s="493"/>
      <c r="BF71" s="357"/>
      <c r="BG71" s="357"/>
      <c r="BH71" s="482"/>
      <c r="BI71" s="400"/>
      <c r="BJ71" s="400"/>
      <c r="BK71" s="400"/>
      <c r="BL71" s="392"/>
      <c r="BM71" s="374"/>
      <c r="BN71" s="374"/>
      <c r="BO71" s="374"/>
      <c r="BP71" s="374"/>
      <c r="BQ71" s="374"/>
      <c r="BR71" s="374"/>
      <c r="BS71" s="374"/>
      <c r="BT71" s="374"/>
      <c r="BU71" s="374"/>
      <c r="BV71" s="374"/>
      <c r="BW71" s="374"/>
      <c r="BX71" s="374"/>
      <c r="BY71" s="582"/>
      <c r="BZ71" s="582"/>
    </row>
    <row r="72" spans="1:78" x14ac:dyDescent="0.2">
      <c r="A72" s="375"/>
      <c r="B72" s="375"/>
      <c r="C72" s="391"/>
      <c r="D72" s="366"/>
      <c r="E72" s="357"/>
      <c r="F72" s="394"/>
      <c r="G72" s="366"/>
      <c r="H72" s="366"/>
      <c r="I72" s="394"/>
      <c r="J72" s="372"/>
      <c r="K72" s="372"/>
      <c r="L72" s="616"/>
      <c r="M72" s="369"/>
      <c r="N72" s="617"/>
      <c r="O72" s="617"/>
      <c r="P72" s="617"/>
      <c r="Q72" s="369"/>
      <c r="R72" s="650"/>
      <c r="S72" s="392"/>
      <c r="T72" s="366"/>
      <c r="U72" s="393"/>
      <c r="V72" s="394"/>
      <c r="W72" s="394"/>
      <c r="X72" s="370"/>
      <c r="Y72" s="371"/>
      <c r="Z72" s="366"/>
      <c r="AA72" s="618"/>
      <c r="AB72" s="619"/>
      <c r="AC72" s="619"/>
      <c r="AD72" s="619"/>
      <c r="AE72" s="619"/>
      <c r="AF72" s="366"/>
      <c r="AG72" s="392"/>
      <c r="AH72" s="392"/>
      <c r="AI72" s="392"/>
      <c r="AJ72" s="392"/>
      <c r="AK72" s="392"/>
      <c r="AL72" s="392"/>
      <c r="AM72" s="366"/>
      <c r="AN72" s="627"/>
      <c r="AO72" s="395"/>
      <c r="AP72" s="365"/>
      <c r="AQ72" s="512"/>
      <c r="AR72" s="512"/>
      <c r="AS72" s="366"/>
      <c r="AT72" s="354"/>
      <c r="AU72" s="354"/>
      <c r="AV72" s="354"/>
      <c r="AW72" s="628"/>
      <c r="AX72" s="430"/>
      <c r="AY72" s="480"/>
      <c r="AZ72" s="480"/>
      <c r="BA72" s="676"/>
      <c r="BB72" s="483"/>
      <c r="BC72" s="357"/>
      <c r="BD72" s="483"/>
      <c r="BE72" s="925"/>
      <c r="BF72" s="483"/>
      <c r="BG72" s="357"/>
      <c r="BH72" s="483"/>
      <c r="BI72" s="400"/>
      <c r="BJ72" s="400"/>
      <c r="BK72" s="400"/>
      <c r="BL72" s="357"/>
      <c r="BM72" s="374"/>
      <c r="BN72" s="374"/>
      <c r="BO72" s="374"/>
      <c r="BP72" s="374"/>
      <c r="BQ72" s="374"/>
      <c r="BR72" s="374"/>
      <c r="BS72" s="374"/>
      <c r="BT72" s="374"/>
      <c r="BU72" s="374"/>
      <c r="BV72" s="374"/>
      <c r="BW72" s="374"/>
      <c r="BX72" s="374"/>
    </row>
    <row r="73" spans="1:78" x14ac:dyDescent="0.2">
      <c r="A73" s="375"/>
      <c r="B73" s="375"/>
      <c r="C73" s="622"/>
      <c r="D73" s="366"/>
      <c r="E73" s="357"/>
      <c r="F73" s="394"/>
      <c r="G73" s="366"/>
      <c r="H73" s="366"/>
      <c r="I73" s="451"/>
      <c r="J73" s="372"/>
      <c r="K73" s="372"/>
      <c r="L73" s="616"/>
      <c r="M73" s="369"/>
      <c r="N73" s="369"/>
      <c r="O73" s="579"/>
      <c r="P73" s="579"/>
      <c r="Q73" s="369"/>
      <c r="R73" s="421"/>
      <c r="S73" s="392"/>
      <c r="T73" s="366"/>
      <c r="U73" s="393"/>
      <c r="V73" s="394"/>
      <c r="W73" s="394"/>
      <c r="X73" s="370"/>
      <c r="Y73" s="371"/>
      <c r="Z73" s="366"/>
      <c r="AA73" s="392"/>
      <c r="AB73" s="366"/>
      <c r="AC73" s="366"/>
      <c r="AD73" s="366"/>
      <c r="AE73" s="366"/>
      <c r="AF73" s="366"/>
      <c r="AG73" s="392"/>
      <c r="AH73" s="392"/>
      <c r="AI73" s="392"/>
      <c r="AJ73" s="392"/>
      <c r="AK73" s="392"/>
      <c r="AL73" s="392"/>
      <c r="AM73" s="366"/>
      <c r="AN73" s="394"/>
      <c r="AO73" s="395"/>
      <c r="AP73" s="365"/>
      <c r="AQ73" s="372"/>
      <c r="AR73" s="368"/>
      <c r="AS73" s="366"/>
      <c r="AT73" s="373"/>
      <c r="AU73" s="367"/>
      <c r="AV73" s="354"/>
      <c r="AW73" s="367"/>
      <c r="AX73" s="430"/>
      <c r="AY73" s="480"/>
      <c r="AZ73" s="480"/>
      <c r="BA73" s="676"/>
      <c r="BB73" s="400"/>
      <c r="BC73" s="357"/>
      <c r="BD73" s="357"/>
      <c r="BE73" s="925"/>
      <c r="BF73" s="483"/>
      <c r="BG73" s="357"/>
      <c r="BH73" s="483"/>
      <c r="BI73" s="400"/>
      <c r="BJ73" s="400"/>
      <c r="BK73" s="400"/>
      <c r="BL73" s="400"/>
      <c r="BM73" s="374"/>
      <c r="BN73" s="374"/>
      <c r="BO73" s="374"/>
      <c r="BP73" s="374"/>
      <c r="BQ73" s="374"/>
      <c r="BR73" s="374"/>
      <c r="BS73" s="374"/>
      <c r="BT73" s="374"/>
      <c r="BU73" s="374"/>
      <c r="BV73" s="374"/>
      <c r="BW73" s="374"/>
      <c r="BX73" s="374"/>
    </row>
    <row r="74" spans="1:78" x14ac:dyDescent="0.2">
      <c r="A74" s="375"/>
      <c r="B74" s="375"/>
      <c r="C74" s="391"/>
      <c r="D74" s="366"/>
      <c r="E74" s="357"/>
      <c r="F74" s="394"/>
      <c r="G74" s="366"/>
      <c r="H74" s="366"/>
      <c r="I74" s="451"/>
      <c r="J74" s="372"/>
      <c r="K74" s="372"/>
      <c r="L74" s="616"/>
      <c r="M74" s="369"/>
      <c r="N74" s="369"/>
      <c r="O74" s="579"/>
      <c r="P74" s="579"/>
      <c r="Q74" s="369"/>
      <c r="R74" s="421"/>
      <c r="S74" s="392"/>
      <c r="T74" s="366"/>
      <c r="U74" s="393"/>
      <c r="V74" s="394"/>
      <c r="W74" s="394"/>
      <c r="X74" s="370"/>
      <c r="Y74" s="371"/>
      <c r="Z74" s="366"/>
      <c r="AA74" s="392"/>
      <c r="AB74" s="366"/>
      <c r="AC74" s="366"/>
      <c r="AD74" s="366"/>
      <c r="AE74" s="366"/>
      <c r="AF74" s="366"/>
      <c r="AG74" s="392"/>
      <c r="AH74" s="392"/>
      <c r="AI74" s="392"/>
      <c r="AJ74" s="392"/>
      <c r="AK74" s="392"/>
      <c r="AL74" s="392"/>
      <c r="AM74" s="366"/>
      <c r="AN74" s="394"/>
      <c r="AO74" s="395"/>
      <c r="AP74" s="365"/>
      <c r="AQ74" s="372"/>
      <c r="AR74" s="368"/>
      <c r="AS74" s="366"/>
      <c r="AT74" s="373"/>
      <c r="AU74" s="367"/>
      <c r="AV74" s="354"/>
      <c r="AW74" s="628"/>
      <c r="AX74" s="430"/>
      <c r="AY74" s="480"/>
      <c r="AZ74" s="480"/>
      <c r="BA74" s="676"/>
      <c r="BB74" s="400"/>
      <c r="BC74" s="357"/>
      <c r="BD74" s="357"/>
      <c r="BE74" s="925"/>
      <c r="BF74" s="483"/>
      <c r="BG74" s="357"/>
      <c r="BH74" s="357"/>
      <c r="BI74" s="400"/>
      <c r="BJ74" s="400"/>
      <c r="BK74" s="400"/>
      <c r="BL74" s="400"/>
      <c r="BM74" s="374"/>
      <c r="BN74" s="374"/>
      <c r="BO74" s="374"/>
      <c r="BP74" s="374"/>
      <c r="BQ74" s="374"/>
      <c r="BR74" s="374"/>
      <c r="BS74" s="374"/>
      <c r="BT74" s="374"/>
      <c r="BU74" s="374"/>
      <c r="BV74" s="374"/>
      <c r="BW74" s="374"/>
      <c r="BX74" s="374"/>
    </row>
    <row r="75" spans="1:78" x14ac:dyDescent="0.2">
      <c r="A75" s="375"/>
      <c r="B75" s="375"/>
      <c r="C75" s="391"/>
      <c r="D75" s="366"/>
      <c r="E75" s="357"/>
      <c r="F75" s="394"/>
      <c r="G75" s="366"/>
      <c r="H75" s="366"/>
      <c r="I75" s="451"/>
      <c r="J75" s="372"/>
      <c r="K75" s="372"/>
      <c r="L75" s="616"/>
      <c r="M75" s="369"/>
      <c r="N75" s="369"/>
      <c r="O75" s="579"/>
      <c r="P75" s="579"/>
      <c r="Q75" s="369"/>
      <c r="R75" s="421"/>
      <c r="S75" s="392"/>
      <c r="T75" s="366"/>
      <c r="U75" s="393"/>
      <c r="V75" s="394"/>
      <c r="W75" s="394"/>
      <c r="X75" s="370"/>
      <c r="Y75" s="371"/>
      <c r="Z75" s="366"/>
      <c r="AA75" s="392"/>
      <c r="AB75" s="366"/>
      <c r="AC75" s="366"/>
      <c r="AD75" s="366"/>
      <c r="AE75" s="366"/>
      <c r="AF75" s="366"/>
      <c r="AG75" s="392"/>
      <c r="AH75" s="392"/>
      <c r="AI75" s="392"/>
      <c r="AJ75" s="392"/>
      <c r="AK75" s="392"/>
      <c r="AL75" s="392"/>
      <c r="AM75" s="366"/>
      <c r="AN75" s="394"/>
      <c r="AO75" s="395"/>
      <c r="AP75" s="365"/>
      <c r="AQ75" s="372"/>
      <c r="AR75" s="368"/>
      <c r="AS75" s="366"/>
      <c r="AT75" s="373"/>
      <c r="AU75" s="367"/>
      <c r="AV75" s="354"/>
      <c r="AW75" s="367"/>
      <c r="AX75" s="430"/>
      <c r="AY75" s="480"/>
      <c r="AZ75" s="480"/>
      <c r="BA75" s="676"/>
      <c r="BB75" s="400"/>
      <c r="BC75" s="357"/>
      <c r="BD75" s="357"/>
      <c r="BE75" s="925"/>
      <c r="BF75" s="483"/>
      <c r="BG75" s="357"/>
      <c r="BH75" s="357"/>
      <c r="BI75" s="400"/>
      <c r="BJ75" s="400"/>
      <c r="BK75" s="400"/>
      <c r="BL75" s="400"/>
      <c r="BM75" s="374"/>
      <c r="BN75" s="374"/>
      <c r="BO75" s="374"/>
      <c r="BP75" s="374"/>
      <c r="BQ75" s="374"/>
      <c r="BR75" s="374"/>
      <c r="BS75" s="374"/>
      <c r="BT75" s="374"/>
      <c r="BU75" s="374"/>
      <c r="BV75" s="374"/>
      <c r="BW75" s="374"/>
      <c r="BX75" s="374"/>
    </row>
    <row r="76" spans="1:78" ht="13.15" customHeight="1" x14ac:dyDescent="0.2">
      <c r="A76" s="375"/>
      <c r="B76" s="375"/>
      <c r="C76" s="391"/>
      <c r="D76" s="366"/>
      <c r="E76" s="357"/>
      <c r="F76" s="394"/>
      <c r="G76" s="366"/>
      <c r="H76" s="366"/>
      <c r="I76" s="394"/>
      <c r="J76" s="372"/>
      <c r="K76" s="372"/>
      <c r="L76" s="616"/>
      <c r="M76" s="369"/>
      <c r="N76" s="621"/>
      <c r="O76" s="621"/>
      <c r="P76" s="621"/>
      <c r="Q76" s="369"/>
      <c r="R76" s="421"/>
      <c r="S76" s="392"/>
      <c r="T76" s="366"/>
      <c r="U76" s="393"/>
      <c r="V76" s="394"/>
      <c r="W76" s="622"/>
      <c r="X76" s="370"/>
      <c r="Y76" s="371"/>
      <c r="Z76" s="366"/>
      <c r="AA76" s="618"/>
      <c r="AB76" s="619"/>
      <c r="AC76" s="619"/>
      <c r="AD76" s="619"/>
      <c r="AE76" s="619"/>
      <c r="AF76" s="366"/>
      <c r="AG76" s="392"/>
      <c r="AH76" s="392"/>
      <c r="AI76" s="392"/>
      <c r="AJ76" s="392"/>
      <c r="AK76" s="392"/>
      <c r="AL76" s="392"/>
      <c r="AM76" s="366"/>
      <c r="AN76" s="627"/>
      <c r="AO76" s="395"/>
      <c r="AP76" s="365"/>
      <c r="AQ76" s="372"/>
      <c r="AR76" s="368"/>
      <c r="AS76" s="366"/>
      <c r="AT76" s="354"/>
      <c r="AU76" s="367"/>
      <c r="AV76" s="354"/>
      <c r="AW76" s="354"/>
      <c r="AX76" s="430"/>
      <c r="AY76" s="480"/>
      <c r="AZ76" s="480"/>
      <c r="BA76" s="481"/>
      <c r="BB76" s="483"/>
      <c r="BC76" s="620"/>
      <c r="BD76" s="483"/>
      <c r="BE76" s="493"/>
      <c r="BF76" s="357"/>
      <c r="BG76" s="357"/>
      <c r="BH76" s="482"/>
      <c r="BI76" s="400"/>
      <c r="BJ76" s="547"/>
      <c r="BK76" s="400"/>
      <c r="BL76" s="357"/>
      <c r="BM76" s="374"/>
      <c r="BN76" s="374"/>
      <c r="BO76" s="374"/>
      <c r="BP76" s="374"/>
      <c r="BQ76" s="374"/>
      <c r="BR76" s="374"/>
      <c r="BS76" s="374"/>
      <c r="BT76" s="374"/>
      <c r="BU76" s="374"/>
      <c r="BV76" s="374"/>
      <c r="BW76" s="374"/>
      <c r="BX76" s="374"/>
      <c r="BY76" s="582"/>
      <c r="BZ76" s="582"/>
    </row>
    <row r="77" spans="1:78" s="387" customFormat="1" ht="13.15" customHeight="1" x14ac:dyDescent="0.2">
      <c r="A77" s="675"/>
      <c r="B77" s="375"/>
      <c r="C77" s="391"/>
      <c r="D77" s="366"/>
      <c r="E77" s="357"/>
      <c r="F77" s="394"/>
      <c r="G77" s="366"/>
      <c r="H77" s="366"/>
      <c r="I77" s="394"/>
      <c r="J77" s="372"/>
      <c r="K77" s="372"/>
      <c r="L77" s="616"/>
      <c r="M77" s="369"/>
      <c r="N77" s="621"/>
      <c r="O77" s="621"/>
      <c r="P77" s="621"/>
      <c r="Q77" s="369"/>
      <c r="R77" s="421"/>
      <c r="S77" s="392"/>
      <c r="T77" s="366"/>
      <c r="U77" s="393"/>
      <c r="V77" s="622"/>
      <c r="W77" s="622"/>
      <c r="X77" s="370"/>
      <c r="Y77" s="371"/>
      <c r="Z77" s="366"/>
      <c r="AA77" s="618"/>
      <c r="AB77" s="619"/>
      <c r="AC77" s="619"/>
      <c r="AD77" s="619"/>
      <c r="AE77" s="619"/>
      <c r="AF77" s="366"/>
      <c r="AG77" s="392"/>
      <c r="AH77" s="392"/>
      <c r="AI77" s="392"/>
      <c r="AJ77" s="392"/>
      <c r="AK77" s="392"/>
      <c r="AL77" s="392"/>
      <c r="AM77" s="366"/>
      <c r="AN77" s="394"/>
      <c r="AO77" s="395"/>
      <c r="AP77" s="365"/>
      <c r="AQ77" s="372"/>
      <c r="AR77" s="368"/>
      <c r="AS77" s="366"/>
      <c r="AT77" s="354"/>
      <c r="AU77" s="367"/>
      <c r="AV77" s="354"/>
      <c r="AW77" s="367"/>
      <c r="AX77" s="430"/>
      <c r="AY77" s="480"/>
      <c r="AZ77" s="480"/>
      <c r="BA77" s="481"/>
      <c r="BB77" s="483"/>
      <c r="BC77" s="620"/>
      <c r="BD77" s="483"/>
      <c r="BE77" s="493"/>
      <c r="BF77" s="357"/>
      <c r="BG77" s="357"/>
      <c r="BH77" s="482"/>
      <c r="BI77" s="400"/>
      <c r="BJ77" s="547"/>
      <c r="BK77" s="400"/>
      <c r="BL77" s="357"/>
      <c r="BM77" s="374"/>
      <c r="BN77" s="374"/>
      <c r="BO77" s="374"/>
      <c r="BP77" s="374"/>
      <c r="BQ77" s="374"/>
      <c r="BR77" s="374"/>
      <c r="BS77" s="374"/>
      <c r="BT77" s="374"/>
      <c r="BU77" s="374"/>
      <c r="BV77" s="374"/>
      <c r="BW77" s="374"/>
      <c r="BX77" s="374"/>
      <c r="BY77" s="582"/>
      <c r="BZ77" s="582"/>
    </row>
    <row r="78" spans="1:78" ht="12.75" customHeight="1" x14ac:dyDescent="0.2">
      <c r="A78" s="375"/>
      <c r="B78" s="375"/>
      <c r="C78" s="391"/>
      <c r="D78" s="647"/>
      <c r="E78" s="649"/>
      <c r="F78" s="394"/>
      <c r="G78" s="366"/>
      <c r="H78" s="366"/>
      <c r="I78" s="394"/>
      <c r="J78" s="372"/>
      <c r="K78" s="372"/>
      <c r="L78" s="616"/>
      <c r="M78" s="369"/>
      <c r="N78" s="621"/>
      <c r="O78" s="621"/>
      <c r="P78" s="621"/>
      <c r="Q78" s="369"/>
      <c r="R78" s="650"/>
      <c r="S78" s="648"/>
      <c r="T78" s="366"/>
      <c r="U78" s="393"/>
      <c r="V78" s="394"/>
      <c r="W78" s="394"/>
      <c r="X78" s="370"/>
      <c r="Y78" s="371"/>
      <c r="Z78" s="366"/>
      <c r="AA78" s="618"/>
      <c r="AB78" s="619"/>
      <c r="AC78" s="619"/>
      <c r="AD78" s="619"/>
      <c r="AE78" s="619"/>
      <c r="AF78" s="366"/>
      <c r="AG78" s="392"/>
      <c r="AH78" s="392"/>
      <c r="AI78" s="392"/>
      <c r="AJ78" s="392"/>
      <c r="AK78" s="392"/>
      <c r="AL78" s="392"/>
      <c r="AM78" s="366"/>
      <c r="AN78" s="623"/>
      <c r="AO78" s="371"/>
      <c r="AP78" s="365"/>
      <c r="AQ78" s="372"/>
      <c r="AR78" s="372"/>
      <c r="AS78" s="366"/>
      <c r="AT78" s="354"/>
      <c r="AU78" s="367"/>
      <c r="AV78" s="354"/>
      <c r="AW78" s="367"/>
      <c r="AX78" s="430"/>
      <c r="AY78" s="480"/>
      <c r="AZ78" s="480"/>
      <c r="BA78" s="481"/>
      <c r="BB78" s="651"/>
      <c r="BC78" s="357"/>
      <c r="BD78" s="483"/>
      <c r="BE78" s="493"/>
      <c r="BF78" s="483"/>
      <c r="BG78" s="357"/>
      <c r="BH78" s="482"/>
      <c r="BI78" s="400"/>
      <c r="BJ78" s="547"/>
      <c r="BK78" s="400"/>
      <c r="BL78" s="357"/>
      <c r="BM78" s="374"/>
      <c r="BN78" s="374"/>
      <c r="BO78" s="374"/>
      <c r="BP78" s="374"/>
      <c r="BQ78" s="374"/>
      <c r="BR78" s="374"/>
      <c r="BS78" s="374"/>
      <c r="BT78" s="374"/>
      <c r="BU78" s="374"/>
      <c r="BV78" s="374"/>
      <c r="BW78" s="374"/>
      <c r="BX78" s="374"/>
    </row>
    <row r="79" spans="1:78" ht="12" customHeight="1" x14ac:dyDescent="0.2">
      <c r="A79" s="626"/>
      <c r="B79" s="626"/>
      <c r="C79" s="391"/>
      <c r="D79" s="647"/>
      <c r="E79" s="649"/>
      <c r="F79" s="394"/>
      <c r="G79" s="366"/>
      <c r="H79" s="366"/>
      <c r="I79" s="394"/>
      <c r="J79" s="372"/>
      <c r="K79" s="372"/>
      <c r="L79" s="616"/>
      <c r="M79" s="369"/>
      <c r="N79" s="621"/>
      <c r="O79" s="621"/>
      <c r="P79" s="621"/>
      <c r="Q79" s="369"/>
      <c r="R79" s="650"/>
      <c r="S79" s="648"/>
      <c r="T79" s="366"/>
      <c r="U79" s="393"/>
      <c r="V79" s="622"/>
      <c r="W79" s="622"/>
      <c r="X79" s="370"/>
      <c r="Y79" s="371"/>
      <c r="Z79" s="366"/>
      <c r="AA79" s="618"/>
      <c r="AB79" s="619"/>
      <c r="AC79" s="619"/>
      <c r="AD79" s="619"/>
      <c r="AE79" s="619"/>
      <c r="AF79" s="647"/>
      <c r="AG79" s="648"/>
      <c r="AH79" s="648"/>
      <c r="AI79" s="648"/>
      <c r="AJ79" s="648"/>
      <c r="AK79" s="648"/>
      <c r="AL79" s="392"/>
      <c r="AM79" s="366"/>
      <c r="AN79" s="627"/>
      <c r="AO79" s="395"/>
      <c r="AP79" s="365"/>
      <c r="AQ79" s="372"/>
      <c r="AR79" s="372"/>
      <c r="AS79" s="366"/>
      <c r="AT79" s="354"/>
      <c r="AU79" s="367"/>
      <c r="AV79" s="354"/>
      <c r="AW79" s="367"/>
      <c r="AX79" s="430"/>
      <c r="AY79" s="480"/>
      <c r="AZ79" s="480"/>
      <c r="BA79" s="481"/>
      <c r="BB79" s="651"/>
      <c r="BC79" s="357"/>
      <c r="BD79" s="483"/>
      <c r="BE79" s="493"/>
      <c r="BF79" s="483"/>
      <c r="BG79" s="357"/>
      <c r="BH79" s="482"/>
      <c r="BI79" s="400"/>
      <c r="BJ79" s="547"/>
      <c r="BK79" s="400"/>
      <c r="BL79" s="357"/>
      <c r="BM79" s="374"/>
      <c r="BN79" s="374"/>
      <c r="BO79" s="374"/>
      <c r="BP79" s="374"/>
      <c r="BQ79" s="374"/>
      <c r="BR79" s="374"/>
      <c r="BS79" s="374"/>
      <c r="BT79" s="374"/>
      <c r="BU79" s="374"/>
      <c r="BV79" s="374"/>
      <c r="BW79" s="374"/>
      <c r="BX79" s="374"/>
      <c r="BY79" s="652"/>
      <c r="BZ79" s="652"/>
    </row>
    <row r="80" spans="1:78" ht="12.75" customHeight="1" x14ac:dyDescent="0.2">
      <c r="A80" s="375"/>
      <c r="B80" s="375"/>
      <c r="C80" s="391"/>
      <c r="D80" s="366"/>
      <c r="E80" s="357"/>
      <c r="F80" s="394"/>
      <c r="G80" s="366"/>
      <c r="H80" s="366"/>
      <c r="I80" s="451"/>
      <c r="J80" s="372"/>
      <c r="K80" s="372"/>
      <c r="L80" s="616"/>
      <c r="M80" s="369"/>
      <c r="N80" s="621"/>
      <c r="O80" s="621"/>
      <c r="P80" s="621"/>
      <c r="Q80" s="369"/>
      <c r="R80" s="421"/>
      <c r="S80" s="392"/>
      <c r="T80" s="366"/>
      <c r="U80" s="393"/>
      <c r="V80" s="394"/>
      <c r="W80" s="394"/>
      <c r="X80" s="370"/>
      <c r="Y80" s="371"/>
      <c r="Z80" s="366"/>
      <c r="AA80" s="618"/>
      <c r="AB80" s="619"/>
      <c r="AC80" s="619"/>
      <c r="AD80" s="619"/>
      <c r="AE80" s="619"/>
      <c r="AF80" s="366"/>
      <c r="AG80" s="392"/>
      <c r="AH80" s="392"/>
      <c r="AI80" s="392"/>
      <c r="AJ80" s="392"/>
      <c r="AK80" s="392"/>
      <c r="AL80" s="392"/>
      <c r="AM80" s="366"/>
      <c r="AN80" s="394"/>
      <c r="AO80" s="395"/>
      <c r="AP80" s="365"/>
      <c r="AQ80" s="372"/>
      <c r="AR80" s="368"/>
      <c r="AS80" s="366"/>
      <c r="AT80" s="354"/>
      <c r="AU80" s="367"/>
      <c r="AV80" s="354"/>
      <c r="AW80" s="367"/>
      <c r="AX80" s="430"/>
      <c r="AY80" s="480"/>
      <c r="AZ80" s="480"/>
      <c r="BA80" s="481"/>
      <c r="BB80" s="483"/>
      <c r="BC80" s="620"/>
      <c r="BD80" s="482"/>
      <c r="BE80" s="493"/>
      <c r="BF80" s="483"/>
      <c r="BG80" s="357"/>
      <c r="BH80" s="482"/>
      <c r="BI80" s="400"/>
      <c r="BJ80" s="547"/>
      <c r="BK80" s="400"/>
      <c r="BL80" s="357"/>
      <c r="BM80" s="374"/>
      <c r="BN80" s="374"/>
      <c r="BO80" s="374"/>
      <c r="BP80" s="374"/>
      <c r="BQ80" s="374"/>
      <c r="BR80" s="374"/>
      <c r="BS80" s="374"/>
      <c r="BT80" s="374"/>
      <c r="BU80" s="374"/>
      <c r="BV80" s="374"/>
      <c r="BW80" s="374"/>
      <c r="BX80" s="374"/>
    </row>
    <row r="81" spans="1:78" s="387" customFormat="1" ht="12.75" customHeight="1" x14ac:dyDescent="0.2">
      <c r="A81" s="375"/>
      <c r="B81" s="375"/>
      <c r="C81" s="391"/>
      <c r="D81" s="366"/>
      <c r="E81" s="357"/>
      <c r="F81" s="394"/>
      <c r="G81" s="366"/>
      <c r="H81" s="366"/>
      <c r="I81" s="451"/>
      <c r="J81" s="372"/>
      <c r="K81" s="372"/>
      <c r="L81" s="616"/>
      <c r="M81" s="369"/>
      <c r="N81" s="579"/>
      <c r="O81" s="579"/>
      <c r="P81" s="579"/>
      <c r="Q81" s="369"/>
      <c r="R81" s="421"/>
      <c r="S81" s="392"/>
      <c r="T81" s="366"/>
      <c r="U81" s="393"/>
      <c r="V81" s="394"/>
      <c r="W81" s="394"/>
      <c r="X81" s="370"/>
      <c r="Y81" s="371"/>
      <c r="Z81" s="366"/>
      <c r="AA81" s="618"/>
      <c r="AB81" s="619"/>
      <c r="AC81" s="619"/>
      <c r="AD81" s="619"/>
      <c r="AE81" s="619"/>
      <c r="AF81" s="366"/>
      <c r="AG81" s="392"/>
      <c r="AH81" s="392"/>
      <c r="AI81" s="392"/>
      <c r="AJ81" s="392"/>
      <c r="AK81" s="392"/>
      <c r="AL81" s="392"/>
      <c r="AM81" s="366"/>
      <c r="AN81" s="394"/>
      <c r="AO81" s="395"/>
      <c r="AP81" s="365"/>
      <c r="AQ81" s="512"/>
      <c r="AR81" s="368"/>
      <c r="AS81" s="366"/>
      <c r="AT81" s="354"/>
      <c r="AU81" s="367"/>
      <c r="AV81" s="354"/>
      <c r="AW81" s="367"/>
      <c r="AX81" s="430"/>
      <c r="AY81" s="480"/>
      <c r="AZ81" s="480"/>
      <c r="BA81" s="481"/>
      <c r="BB81" s="624"/>
      <c r="BC81" s="357"/>
      <c r="BD81" s="357"/>
      <c r="BE81" s="493"/>
      <c r="BF81" s="483"/>
      <c r="BG81" s="357"/>
      <c r="BH81" s="482"/>
      <c r="BI81" s="400"/>
      <c r="BJ81" s="547"/>
      <c r="BK81" s="400"/>
      <c r="BL81" s="357"/>
      <c r="BM81" s="374"/>
      <c r="BN81" s="374"/>
      <c r="BO81" s="374"/>
      <c r="BP81" s="374"/>
      <c r="BQ81" s="374"/>
      <c r="BR81" s="374"/>
      <c r="BS81" s="374"/>
      <c r="BT81" s="374"/>
      <c r="BU81" s="374"/>
      <c r="BV81" s="374"/>
      <c r="BW81" s="374"/>
      <c r="BX81" s="374"/>
      <c r="BY81" s="666"/>
      <c r="BZ81" s="666"/>
    </row>
    <row r="82" spans="1:78" s="387" customFormat="1" ht="12.75" customHeight="1" x14ac:dyDescent="0.2">
      <c r="A82" s="375"/>
      <c r="B82" s="375"/>
      <c r="C82" s="391"/>
      <c r="D82" s="366"/>
      <c r="E82" s="357"/>
      <c r="F82" s="394"/>
      <c r="G82" s="366"/>
      <c r="H82" s="366"/>
      <c r="I82" s="451"/>
      <c r="J82" s="372"/>
      <c r="K82" s="372"/>
      <c r="L82" s="616"/>
      <c r="M82" s="369"/>
      <c r="N82" s="579"/>
      <c r="O82" s="579"/>
      <c r="P82" s="579"/>
      <c r="Q82" s="369"/>
      <c r="R82" s="421"/>
      <c r="S82" s="392"/>
      <c r="T82" s="366"/>
      <c r="U82" s="369"/>
      <c r="V82" s="394"/>
      <c r="W82" s="394"/>
      <c r="X82" s="370"/>
      <c r="Y82" s="371"/>
      <c r="Z82" s="366"/>
      <c r="AA82" s="392"/>
      <c r="AB82" s="366"/>
      <c r="AC82" s="366"/>
      <c r="AD82" s="366"/>
      <c r="AE82" s="366"/>
      <c r="AF82" s="366"/>
      <c r="AG82" s="392"/>
      <c r="AH82" s="392"/>
      <c r="AI82" s="392"/>
      <c r="AJ82" s="392"/>
      <c r="AK82" s="392"/>
      <c r="AL82" s="392"/>
      <c r="AM82" s="366"/>
      <c r="AN82" s="394"/>
      <c r="AO82" s="395"/>
      <c r="AP82" s="365"/>
      <c r="AQ82" s="512"/>
      <c r="AR82" s="368"/>
      <c r="AS82" s="366"/>
      <c r="AT82" s="354"/>
      <c r="AU82" s="367"/>
      <c r="AV82" s="354"/>
      <c r="AW82" s="367"/>
      <c r="AX82" s="430"/>
      <c r="AY82" s="676"/>
      <c r="AZ82" s="480"/>
      <c r="BA82" s="481"/>
      <c r="BB82" s="624"/>
      <c r="BC82" s="620"/>
      <c r="BD82" s="483"/>
      <c r="BE82" s="493"/>
      <c r="BF82" s="483"/>
      <c r="BG82" s="357"/>
      <c r="BH82" s="482"/>
      <c r="BI82" s="400"/>
      <c r="BJ82" s="392"/>
      <c r="BK82" s="374"/>
      <c r="BL82" s="374"/>
      <c r="BM82" s="374"/>
      <c r="BN82" s="374"/>
      <c r="BO82" s="374"/>
      <c r="BP82" s="374"/>
      <c r="BQ82" s="374"/>
      <c r="BR82" s="374"/>
      <c r="BS82" s="374"/>
      <c r="BT82" s="374"/>
      <c r="BU82" s="374"/>
      <c r="BV82" s="374"/>
      <c r="BW82" s="374"/>
      <c r="BX82" s="374"/>
      <c r="BY82" s="374"/>
      <c r="BZ82" s="374"/>
    </row>
    <row r="83" spans="1:78" ht="12.6" customHeight="1" x14ac:dyDescent="0.2">
      <c r="A83" s="375"/>
      <c r="B83" s="375"/>
      <c r="C83" s="391"/>
      <c r="D83" s="366"/>
      <c r="E83" s="357"/>
      <c r="F83" s="394"/>
      <c r="G83" s="366"/>
      <c r="H83" s="366"/>
      <c r="I83" s="451"/>
      <c r="J83" s="372"/>
      <c r="K83" s="372"/>
      <c r="L83" s="616"/>
      <c r="M83" s="369"/>
      <c r="N83" s="579"/>
      <c r="O83" s="579"/>
      <c r="P83" s="579"/>
      <c r="Q83" s="369"/>
      <c r="R83" s="421"/>
      <c r="S83" s="392"/>
      <c r="T83" s="366"/>
      <c r="U83" s="393"/>
      <c r="V83" s="394"/>
      <c r="W83" s="394"/>
      <c r="X83" s="370"/>
      <c r="Y83" s="371"/>
      <c r="Z83" s="366"/>
      <c r="AA83" s="392"/>
      <c r="AB83" s="366"/>
      <c r="AC83" s="366"/>
      <c r="AD83" s="366"/>
      <c r="AE83" s="366"/>
      <c r="AF83" s="366"/>
      <c r="AG83" s="392"/>
      <c r="AH83" s="392"/>
      <c r="AI83" s="392"/>
      <c r="AJ83" s="392"/>
      <c r="AK83" s="392"/>
      <c r="AL83" s="392"/>
      <c r="AM83" s="366"/>
      <c r="AN83" s="394"/>
      <c r="AO83" s="395"/>
      <c r="AP83" s="365"/>
      <c r="AQ83" s="512"/>
      <c r="AR83" s="368"/>
      <c r="AS83" s="366"/>
      <c r="AT83" s="354"/>
      <c r="AU83" s="367"/>
      <c r="AV83" s="354"/>
      <c r="AW83" s="367"/>
      <c r="AX83" s="430"/>
      <c r="AY83" s="480"/>
      <c r="AZ83" s="480"/>
      <c r="BA83" s="481"/>
      <c r="BB83" s="624"/>
      <c r="BC83" s="629"/>
      <c r="BD83" s="482"/>
      <c r="BE83" s="493"/>
      <c r="BF83" s="483"/>
      <c r="BG83" s="357"/>
      <c r="BH83" s="392"/>
      <c r="BI83" s="400"/>
      <c r="BJ83" s="547"/>
      <c r="BK83" s="400"/>
      <c r="BL83" s="400"/>
      <c r="BM83" s="374"/>
      <c r="BN83" s="374"/>
      <c r="BO83" s="374"/>
      <c r="BP83" s="374"/>
      <c r="BQ83" s="374"/>
      <c r="BR83" s="374"/>
      <c r="BS83" s="374"/>
      <c r="BT83" s="374"/>
      <c r="BU83" s="374"/>
      <c r="BV83" s="374"/>
      <c r="BW83" s="374"/>
      <c r="BX83" s="374"/>
    </row>
    <row r="84" spans="1:78" s="652" customFormat="1" ht="13.15" customHeight="1" x14ac:dyDescent="0.2">
      <c r="A84" s="375"/>
      <c r="B84" s="375"/>
      <c r="C84" s="391"/>
      <c r="D84" s="366"/>
      <c r="E84" s="357"/>
      <c r="F84" s="394"/>
      <c r="G84" s="366"/>
      <c r="H84" s="366"/>
      <c r="I84" s="451"/>
      <c r="J84" s="372"/>
      <c r="K84" s="372"/>
      <c r="L84" s="616"/>
      <c r="M84" s="369"/>
      <c r="N84" s="369"/>
      <c r="O84" s="369"/>
      <c r="P84" s="369"/>
      <c r="Q84" s="369"/>
      <c r="R84" s="421"/>
      <c r="S84" s="392"/>
      <c r="T84" s="366"/>
      <c r="U84" s="393"/>
      <c r="V84" s="394"/>
      <c r="W84" s="394"/>
      <c r="X84" s="370"/>
      <c r="Y84" s="371"/>
      <c r="Z84" s="366"/>
      <c r="AA84" s="392"/>
      <c r="AB84" s="366"/>
      <c r="AC84" s="366"/>
      <c r="AD84" s="366"/>
      <c r="AE84" s="366"/>
      <c r="AF84" s="366"/>
      <c r="AG84" s="392"/>
      <c r="AH84" s="392"/>
      <c r="AI84" s="392"/>
      <c r="AJ84" s="392"/>
      <c r="AK84" s="392"/>
      <c r="AL84" s="392"/>
      <c r="AM84" s="366"/>
      <c r="AN84" s="394"/>
      <c r="AO84" s="395"/>
      <c r="AP84" s="365"/>
      <c r="AQ84" s="372"/>
      <c r="AR84" s="368"/>
      <c r="AS84" s="366"/>
      <c r="AT84" s="354"/>
      <c r="AU84" s="367"/>
      <c r="AV84" s="354"/>
      <c r="AW84" s="367"/>
      <c r="AX84" s="430"/>
      <c r="AY84" s="480"/>
      <c r="AZ84" s="480"/>
      <c r="BA84" s="481"/>
      <c r="BB84" s="624"/>
      <c r="BC84" s="629"/>
      <c r="BD84" s="357"/>
      <c r="BE84" s="493"/>
      <c r="BF84" s="483"/>
      <c r="BG84" s="357"/>
      <c r="BH84" s="392"/>
      <c r="BI84" s="400"/>
      <c r="BJ84" s="547"/>
      <c r="BK84" s="400"/>
      <c r="BL84" s="357"/>
      <c r="BM84" s="374"/>
      <c r="BN84" s="374"/>
      <c r="BO84" s="374"/>
      <c r="BP84" s="374"/>
      <c r="BQ84" s="374"/>
      <c r="BR84" s="374"/>
      <c r="BS84" s="374"/>
      <c r="BT84" s="374"/>
      <c r="BU84" s="374"/>
      <c r="BV84" s="374"/>
      <c r="BW84" s="374"/>
      <c r="BX84" s="374"/>
      <c r="BY84" s="374"/>
      <c r="BZ84" s="374"/>
    </row>
    <row r="85" spans="1:78" ht="12.75" customHeight="1" x14ac:dyDescent="0.2">
      <c r="A85" s="375"/>
      <c r="B85" s="375"/>
      <c r="C85" s="391"/>
      <c r="D85" s="366"/>
      <c r="E85" s="357"/>
      <c r="F85" s="394"/>
      <c r="G85" s="366"/>
      <c r="H85" s="366"/>
      <c r="I85" s="451"/>
      <c r="J85" s="372"/>
      <c r="K85" s="372"/>
      <c r="L85" s="616"/>
      <c r="M85" s="369"/>
      <c r="N85" s="369"/>
      <c r="O85" s="369"/>
      <c r="P85" s="369"/>
      <c r="Q85" s="369"/>
      <c r="R85" s="421"/>
      <c r="S85" s="392"/>
      <c r="T85" s="366"/>
      <c r="U85" s="393"/>
      <c r="V85" s="394"/>
      <c r="W85" s="394"/>
      <c r="X85" s="370"/>
      <c r="Y85" s="371"/>
      <c r="Z85" s="366"/>
      <c r="AA85" s="392"/>
      <c r="AB85" s="366"/>
      <c r="AC85" s="366"/>
      <c r="AD85" s="366"/>
      <c r="AE85" s="366"/>
      <c r="AF85" s="366"/>
      <c r="AG85" s="392"/>
      <c r="AH85" s="392"/>
      <c r="AI85" s="392"/>
      <c r="AJ85" s="392"/>
      <c r="AK85" s="392"/>
      <c r="AL85" s="392"/>
      <c r="AM85" s="366"/>
      <c r="AN85" s="394"/>
      <c r="AO85" s="395"/>
      <c r="AP85" s="365"/>
      <c r="AQ85" s="372"/>
      <c r="AR85" s="368"/>
      <c r="AS85" s="366"/>
      <c r="AT85" s="354"/>
      <c r="AU85" s="367"/>
      <c r="AV85" s="354"/>
      <c r="AW85" s="367"/>
      <c r="AX85" s="430"/>
      <c r="AY85" s="480"/>
      <c r="AZ85" s="480"/>
      <c r="BA85" s="481"/>
      <c r="BB85" s="624"/>
      <c r="BC85" s="629"/>
      <c r="BD85" s="357"/>
      <c r="BE85" s="493"/>
      <c r="BF85" s="483"/>
      <c r="BG85" s="357"/>
      <c r="BH85" s="392"/>
      <c r="BI85" s="400"/>
      <c r="BJ85" s="547"/>
      <c r="BK85" s="400"/>
      <c r="BL85" s="357"/>
      <c r="BM85" s="374"/>
      <c r="BN85" s="374"/>
      <c r="BO85" s="374"/>
      <c r="BP85" s="374"/>
      <c r="BQ85" s="374"/>
      <c r="BR85" s="374"/>
      <c r="BS85" s="374"/>
      <c r="BT85" s="374"/>
      <c r="BU85" s="374"/>
      <c r="BV85" s="374"/>
      <c r="BW85" s="374"/>
      <c r="BX85" s="374"/>
    </row>
    <row r="86" spans="1:78" ht="12" customHeight="1" x14ac:dyDescent="0.2">
      <c r="A86" s="375"/>
      <c r="B86" s="375"/>
      <c r="C86" s="391"/>
      <c r="D86" s="366"/>
      <c r="E86" s="357"/>
      <c r="F86" s="394"/>
      <c r="G86" s="366"/>
      <c r="H86" s="366"/>
      <c r="I86" s="451"/>
      <c r="J86" s="372"/>
      <c r="K86" s="372"/>
      <c r="L86" s="616"/>
      <c r="M86" s="369"/>
      <c r="N86" s="369"/>
      <c r="O86" s="369"/>
      <c r="P86" s="369"/>
      <c r="Q86" s="369"/>
      <c r="R86" s="421"/>
      <c r="S86" s="392"/>
      <c r="T86" s="366"/>
      <c r="U86" s="393"/>
      <c r="V86" s="394"/>
      <c r="W86" s="394"/>
      <c r="X86" s="370"/>
      <c r="Y86" s="371"/>
      <c r="Z86" s="366"/>
      <c r="AA86" s="392"/>
      <c r="AB86" s="366"/>
      <c r="AC86" s="366"/>
      <c r="AD86" s="366"/>
      <c r="AE86" s="366"/>
      <c r="AF86" s="366"/>
      <c r="AG86" s="392"/>
      <c r="AH86" s="392"/>
      <c r="AI86" s="392"/>
      <c r="AJ86" s="392"/>
      <c r="AK86" s="392"/>
      <c r="AL86" s="392"/>
      <c r="AM86" s="366"/>
      <c r="AN86" s="394"/>
      <c r="AO86" s="395"/>
      <c r="AP86" s="365"/>
      <c r="AQ86" s="372"/>
      <c r="AR86" s="368"/>
      <c r="AS86" s="366"/>
      <c r="AT86" s="354"/>
      <c r="AU86" s="367"/>
      <c r="AV86" s="354"/>
      <c r="AW86" s="367"/>
      <c r="AX86" s="430"/>
      <c r="AY86" s="676"/>
      <c r="AZ86" s="480"/>
      <c r="BA86" s="481"/>
      <c r="BB86" s="624"/>
      <c r="BC86" s="357"/>
      <c r="BD86" s="482"/>
      <c r="BE86" s="493"/>
      <c r="BF86" s="483"/>
      <c r="BG86" s="357"/>
      <c r="BH86" s="482"/>
      <c r="BI86" s="400"/>
      <c r="BJ86" s="547"/>
      <c r="BK86" s="357"/>
      <c r="BL86" s="927"/>
      <c r="BM86" s="374"/>
      <c r="BN86" s="400"/>
      <c r="BO86" s="374"/>
      <c r="BP86" s="374"/>
      <c r="BQ86" s="374"/>
      <c r="BR86" s="374"/>
      <c r="BS86" s="374"/>
      <c r="BT86" s="374"/>
      <c r="BU86" s="374"/>
      <c r="BV86" s="374"/>
      <c r="BW86" s="374"/>
      <c r="BX86" s="374"/>
    </row>
  </sheetData>
  <autoFilter ref="A1:BZ71">
    <sortState ref="A2:BZ71">
      <sortCondition ref="A1:A71"/>
    </sortState>
  </autoFilter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&amp;A</oddHeader>
    <oddFooter>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Variables!$A$4:$A$11</xm:f>
          </x14:formula1>
          <xm:sqref>BG57 BC10:BC25 BC27:BC53 BG76:BG85 BC76:BC85 BC55:BC71 BC2 BC8</xm:sqref>
        </x14:dataValidation>
        <x14:dataValidation type="list" allowBlank="1" showInputMessage="1" showErrorMessage="1">
          <x14:formula1>
            <xm:f>Variables!$A$4:$A$10</xm:f>
          </x14:formula1>
          <xm:sqref>BG58:BG75 BG87:BG1048576 BG55:BG56 BG1:BG2 BG8:BG53</xm:sqref>
        </x14:dataValidation>
        <x14:dataValidation type="list" allowBlank="1" showInputMessage="1" showErrorMessage="1">
          <x14:formula1>
            <xm:f>'Z:\SECRETARIAT\ACTIVITE\2015\Activité 2015\Activité 2015\[ENFANTS 2015.xlsx]Variables'!#REF!</xm:f>
          </x14:formula1>
          <xm:sqref>BG3:BG7 BC3:BC7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26"/>
  <sheetViews>
    <sheetView workbookViewId="0">
      <selection activeCell="L2" sqref="L2"/>
    </sheetView>
  </sheetViews>
  <sheetFormatPr baseColWidth="10" defaultRowHeight="12.75" x14ac:dyDescent="0.2"/>
  <cols>
    <col min="1" max="1" width="18.7109375" customWidth="1"/>
    <col min="2" max="2" width="7.140625" style="5" customWidth="1"/>
    <col min="3" max="3" width="5.85546875" customWidth="1"/>
    <col min="4" max="4" width="3.140625" customWidth="1"/>
    <col min="5" max="5" width="14.28515625" customWidth="1"/>
    <col min="6" max="6" width="8.85546875" style="5" customWidth="1"/>
    <col min="7" max="7" width="6.42578125" style="5" customWidth="1"/>
    <col min="8" max="8" width="5.7109375" style="5" customWidth="1"/>
    <col min="9" max="9" width="7" style="5" customWidth="1"/>
    <col min="10" max="10" width="2" customWidth="1"/>
    <col min="11" max="11" width="19" style="5" bestFit="1" customWidth="1"/>
    <col min="12" max="12" width="7.42578125" customWidth="1"/>
    <col min="13" max="13" width="5.85546875" customWidth="1"/>
    <col min="18" max="19" width="14.7109375" customWidth="1"/>
    <col min="23" max="23" width="13.7109375" customWidth="1"/>
  </cols>
  <sheetData>
    <row r="1" spans="1:14" ht="13.5" thickTop="1" x14ac:dyDescent="0.2">
      <c r="A1" s="3" t="s">
        <v>57</v>
      </c>
      <c r="B1" s="4">
        <f>COUNTA(Sortis!#REF!)</f>
        <v>1</v>
      </c>
      <c r="E1" s="61" t="s">
        <v>5</v>
      </c>
      <c r="F1" s="62" t="s">
        <v>26</v>
      </c>
      <c r="G1" s="62" t="s">
        <v>27</v>
      </c>
      <c r="H1" s="62" t="s">
        <v>28</v>
      </c>
      <c r="I1" s="63"/>
      <c r="J1" s="29"/>
      <c r="K1" s="23" t="s">
        <v>58</v>
      </c>
      <c r="L1" s="30"/>
      <c r="M1" s="31"/>
    </row>
    <row r="2" spans="1:14" x14ac:dyDescent="0.2">
      <c r="A2" s="262" t="s">
        <v>59</v>
      </c>
      <c r="B2" s="36">
        <f>$B$1/'calculs enfants présents'!$B$2</f>
        <v>9.5238095238095247E-3</v>
      </c>
      <c r="D2" s="27"/>
      <c r="E2" s="64" t="s">
        <v>101</v>
      </c>
      <c r="F2" s="12" t="e">
        <f>COUNTIF(Sortis!#REF!,"M")</f>
        <v>#REF!</v>
      </c>
      <c r="G2" s="12" t="e">
        <f>COUNTIF(Sortis!#REF!,"F")</f>
        <v>#REF!</v>
      </c>
      <c r="H2" s="13" t="e">
        <f>SUM(F2:G2)</f>
        <v>#REF!</v>
      </c>
      <c r="I2" s="65" t="e">
        <f>H2/$B$1</f>
        <v>#REF!</v>
      </c>
      <c r="J2" s="13"/>
      <c r="K2" s="24" t="s">
        <v>139</v>
      </c>
      <c r="L2" s="6" t="e">
        <f>COUNTIF(Sortis!#REF!,"Résolutive")</f>
        <v>#REF!</v>
      </c>
      <c r="M2" s="25" t="e">
        <f t="shared" ref="M2:M7" si="0">L2/$B$1</f>
        <v>#REF!</v>
      </c>
    </row>
    <row r="3" spans="1:14" ht="13.5" thickBot="1" x14ac:dyDescent="0.25">
      <c r="A3" s="3"/>
      <c r="B3" s="4"/>
      <c r="D3" s="27"/>
      <c r="E3" s="64" t="s">
        <v>102</v>
      </c>
      <c r="F3" s="12" t="e">
        <f>COUNTIF(Sortis!#REF!,"M")</f>
        <v>#REF!</v>
      </c>
      <c r="G3" s="12" t="e">
        <f>COUNTIF(Sortis!#REF!,"F")</f>
        <v>#REF!</v>
      </c>
      <c r="H3" s="13" t="e">
        <f>SUM(F3:G3)</f>
        <v>#REF!</v>
      </c>
      <c r="I3" s="65" t="e">
        <f>H3/$B$1</f>
        <v>#REF!</v>
      </c>
      <c r="J3" s="13"/>
      <c r="K3" s="24" t="s">
        <v>24</v>
      </c>
      <c r="L3" s="6" t="e">
        <f>COUNTIF(Sortis!#REF!,"Juge")</f>
        <v>#REF!</v>
      </c>
      <c r="M3" s="25" t="e">
        <f t="shared" si="0"/>
        <v>#REF!</v>
      </c>
    </row>
    <row r="4" spans="1:14" ht="13.5" thickTop="1" x14ac:dyDescent="0.2">
      <c r="A4" s="67" t="s">
        <v>15</v>
      </c>
      <c r="B4" s="68" t="e">
        <f>COUNTIF(Sortis!#REF!,"D")</f>
        <v>#REF!</v>
      </c>
      <c r="C4" s="69" t="e">
        <f t="shared" ref="C4:C13" si="1">B4/$B$1</f>
        <v>#REF!</v>
      </c>
      <c r="D4" s="27"/>
      <c r="E4" s="64" t="s">
        <v>103</v>
      </c>
      <c r="F4" s="12" t="e">
        <f>COUNTIF(Sortis!#REF!,"M")</f>
        <v>#REF!</v>
      </c>
      <c r="G4" s="12" t="e">
        <f>COUNTIF(Sortis!#REF!,"F")</f>
        <v>#REF!</v>
      </c>
      <c r="H4" s="13" t="e">
        <f>SUM(F4:G4)</f>
        <v>#REF!</v>
      </c>
      <c r="I4" s="65" t="e">
        <f>H4/$B$1</f>
        <v>#REF!</v>
      </c>
      <c r="J4" s="13"/>
      <c r="K4" s="24" t="s">
        <v>60</v>
      </c>
      <c r="L4" s="6" t="e">
        <f>COUNTIF(Sortis!#REF!,"Absence adhésion")</f>
        <v>#REF!</v>
      </c>
      <c r="M4" s="25" t="e">
        <f t="shared" si="0"/>
        <v>#REF!</v>
      </c>
      <c r="N4" s="6"/>
    </row>
    <row r="5" spans="1:14" x14ac:dyDescent="0.2">
      <c r="A5" s="70" t="s">
        <v>19</v>
      </c>
      <c r="B5" s="71" t="e">
        <f>COUNTIF(Sortis!#REF!,"V")</f>
        <v>#REF!</v>
      </c>
      <c r="C5" s="72" t="e">
        <f t="shared" si="1"/>
        <v>#REF!</v>
      </c>
      <c r="D5" s="27"/>
      <c r="E5" s="64" t="s">
        <v>32</v>
      </c>
      <c r="F5" s="12" t="e">
        <f>COUNTIF(Sortis!#REF!,"M")</f>
        <v>#REF!</v>
      </c>
      <c r="G5" s="12" t="e">
        <f>COUNTIF(Sortis!#REF!,"F")</f>
        <v>#REF!</v>
      </c>
      <c r="H5" s="13" t="e">
        <f>SUM(F5:G5)</f>
        <v>#REF!</v>
      </c>
      <c r="I5" s="65" t="e">
        <f>H5/$B$1</f>
        <v>#REF!</v>
      </c>
      <c r="J5" s="13"/>
      <c r="K5" s="24" t="s">
        <v>22</v>
      </c>
      <c r="L5" s="6" t="e">
        <f>COUNTIF(Sortis!#REF!,"Déménagement")</f>
        <v>#REF!</v>
      </c>
      <c r="M5" s="25" t="e">
        <f t="shared" si="0"/>
        <v>#REF!</v>
      </c>
    </row>
    <row r="6" spans="1:14" x14ac:dyDescent="0.2">
      <c r="A6" s="70" t="s">
        <v>37</v>
      </c>
      <c r="B6" s="71" t="e">
        <f>COUNTIF(Sortis!#REF!,"Y")</f>
        <v>#REF!</v>
      </c>
      <c r="C6" s="72" t="e">
        <f t="shared" si="1"/>
        <v>#REF!</v>
      </c>
      <c r="D6" s="28"/>
      <c r="E6" s="139" t="s">
        <v>104</v>
      </c>
      <c r="F6" s="12" t="e">
        <f>COUNTIF(Sortis!#REF!,"M")</f>
        <v>#REF!</v>
      </c>
      <c r="G6" s="12" t="e">
        <f>COUNTIF(Sortis!#REF!,"F")</f>
        <v>#REF!</v>
      </c>
      <c r="H6" s="13" t="e">
        <f>SUM(F6:G6)</f>
        <v>#REF!</v>
      </c>
      <c r="I6" s="65" t="e">
        <f>H6/$B$1</f>
        <v>#REF!</v>
      </c>
      <c r="J6" s="13"/>
      <c r="K6" s="24" t="s">
        <v>23</v>
      </c>
      <c r="L6" s="6" t="e">
        <f>COUNTIF(Sortis!#REF!,"Placement")</f>
        <v>#REF!</v>
      </c>
      <c r="M6" s="25" t="e">
        <f t="shared" si="0"/>
        <v>#REF!</v>
      </c>
    </row>
    <row r="7" spans="1:14" ht="13.5" thickBot="1" x14ac:dyDescent="0.25">
      <c r="A7" s="70" t="s">
        <v>12</v>
      </c>
      <c r="B7" s="71" t="e">
        <f>COUNTIF(Sortis!#REF!,"M")</f>
        <v>#REF!</v>
      </c>
      <c r="C7" s="72" t="e">
        <f t="shared" si="1"/>
        <v>#REF!</v>
      </c>
      <c r="D7" s="28"/>
      <c r="E7" s="66"/>
      <c r="F7" s="140" t="e">
        <f>SUM(F2:F6)</f>
        <v>#REF!</v>
      </c>
      <c r="G7" s="140" t="e">
        <f>SUM(G2:G6)</f>
        <v>#REF!</v>
      </c>
      <c r="H7" s="140" t="e">
        <f>SUM(H2:H6)</f>
        <v>#REF!</v>
      </c>
      <c r="I7" s="133" t="e">
        <f>SUM(I2:I6)</f>
        <v>#REF!</v>
      </c>
      <c r="K7" s="24" t="s">
        <v>159</v>
      </c>
      <c r="L7" s="6" t="e">
        <f>COUNTIF(Sortis!#REF!,"Majorité")</f>
        <v>#REF!</v>
      </c>
      <c r="M7" s="25" t="e">
        <f t="shared" si="0"/>
        <v>#REF!</v>
      </c>
    </row>
    <row r="8" spans="1:14" ht="14.25" thickTop="1" thickBot="1" x14ac:dyDescent="0.25">
      <c r="A8" s="70" t="s">
        <v>25</v>
      </c>
      <c r="B8" s="71" t="e">
        <f>COUNTIF(Sortis!#REF!,"C")</f>
        <v>#REF!</v>
      </c>
      <c r="C8" s="72" t="e">
        <f t="shared" si="1"/>
        <v>#REF!</v>
      </c>
      <c r="D8" s="28"/>
      <c r="K8" s="90" t="s">
        <v>28</v>
      </c>
      <c r="L8" s="76" t="e">
        <f>SUM(L2:L7)</f>
        <v>#REF!</v>
      </c>
      <c r="M8" s="55" t="e">
        <f>SUM(M2:M7)</f>
        <v>#REF!</v>
      </c>
    </row>
    <row r="9" spans="1:14" ht="13.5" thickTop="1" x14ac:dyDescent="0.2">
      <c r="A9" s="70" t="s">
        <v>150</v>
      </c>
      <c r="B9" s="71" t="e">
        <f>COUNTIF(Sortis!#REF!,"E")</f>
        <v>#REF!</v>
      </c>
      <c r="C9" s="72" t="e">
        <f t="shared" si="1"/>
        <v>#REF!</v>
      </c>
      <c r="D9" s="28"/>
      <c r="E9" s="15" t="s">
        <v>61</v>
      </c>
      <c r="F9" s="16"/>
      <c r="G9" s="33"/>
      <c r="H9"/>
      <c r="I9" s="32"/>
      <c r="K9"/>
    </row>
    <row r="10" spans="1:14" x14ac:dyDescent="0.2">
      <c r="A10" s="70" t="s">
        <v>151</v>
      </c>
      <c r="B10" s="71" t="e">
        <f>COUNTIF(Sortis!#REF!,"Q")</f>
        <v>#REF!</v>
      </c>
      <c r="C10" s="72" t="e">
        <f t="shared" si="1"/>
        <v>#REF!</v>
      </c>
      <c r="D10" s="28"/>
      <c r="E10" s="415" t="s">
        <v>229</v>
      </c>
      <c r="F10" s="194" t="e">
        <f>COUNTIF(Sortis!#REF!,"=0")</f>
        <v>#REF!</v>
      </c>
      <c r="G10" s="143" t="e">
        <f>F10/$B$1</f>
        <v>#REF!</v>
      </c>
      <c r="H10"/>
      <c r="I10" s="14"/>
      <c r="J10" s="1"/>
    </row>
    <row r="11" spans="1:14" x14ac:dyDescent="0.2">
      <c r="A11" s="70" t="s">
        <v>153</v>
      </c>
      <c r="B11" s="71" t="e">
        <f>COUNTIF(Sortis!#REF!,"Bo")</f>
        <v>#REF!</v>
      </c>
      <c r="C11" s="72" t="e">
        <f t="shared" si="1"/>
        <v>#REF!</v>
      </c>
      <c r="D11" s="28"/>
      <c r="E11" s="142" t="s">
        <v>230</v>
      </c>
      <c r="F11" s="194" t="e">
        <f>COUNTIF(Sortis!#REF!,"=1")</f>
        <v>#REF!</v>
      </c>
      <c r="G11" s="143" t="e">
        <f>F11/$B$1</f>
        <v>#REF!</v>
      </c>
      <c r="H11"/>
      <c r="I11" s="14"/>
    </row>
    <row r="12" spans="1:14" x14ac:dyDescent="0.2">
      <c r="A12" s="70" t="s">
        <v>152</v>
      </c>
      <c r="B12" s="71" t="e">
        <f>COUNTIF(Sortis!#REF!,"Va")</f>
        <v>#REF!</v>
      </c>
      <c r="C12" s="72" t="e">
        <f t="shared" si="1"/>
        <v>#REF!</v>
      </c>
      <c r="E12" s="142" t="s">
        <v>231</v>
      </c>
      <c r="F12" s="194" t="e">
        <f>B1-(F10+F11+F13)</f>
        <v>#REF!</v>
      </c>
      <c r="G12" s="143" t="e">
        <f>F12/$B$1</f>
        <v>#REF!</v>
      </c>
      <c r="H12"/>
      <c r="I12" s="14"/>
      <c r="J12" s="32"/>
      <c r="K12" s="10"/>
    </row>
    <row r="13" spans="1:14" x14ac:dyDescent="0.2">
      <c r="A13" s="70" t="s">
        <v>85</v>
      </c>
      <c r="B13" s="71" t="e">
        <f>COUNTIF(Sortis!#REF!,"B")</f>
        <v>#REF!</v>
      </c>
      <c r="C13" s="72" t="e">
        <f t="shared" si="1"/>
        <v>#REF!</v>
      </c>
      <c r="E13" s="142" t="s">
        <v>108</v>
      </c>
      <c r="F13" s="194" t="e">
        <f>COUNTIF(Sortis!#REF!,"&gt;=4")</f>
        <v>#REF!</v>
      </c>
      <c r="G13" s="143" t="e">
        <f>F13/$B$1</f>
        <v>#REF!</v>
      </c>
      <c r="H13"/>
      <c r="I13" s="14"/>
      <c r="J13" s="14"/>
    </row>
    <row r="14" spans="1:14" ht="13.5" thickBot="1" x14ac:dyDescent="0.25">
      <c r="A14" s="52" t="s">
        <v>28</v>
      </c>
      <c r="B14" s="53" t="e">
        <f>SUM(B4:B13)</f>
        <v>#REF!</v>
      </c>
      <c r="C14" s="54" t="e">
        <f>SUM(C4:C7)</f>
        <v>#REF!</v>
      </c>
      <c r="E14" s="141" t="s">
        <v>38</v>
      </c>
      <c r="F14" s="193" t="e">
        <f>SUM(F10:F13)</f>
        <v>#REF!</v>
      </c>
      <c r="G14" s="144" t="e">
        <f>SUM(G10:G13)</f>
        <v>#REF!</v>
      </c>
      <c r="H14" s="12"/>
      <c r="I14" s="32"/>
      <c r="J14" s="14"/>
    </row>
    <row r="15" spans="1:14" ht="14.25" thickTop="1" thickBot="1" x14ac:dyDescent="0.25">
      <c r="A15" s="57"/>
      <c r="B15" s="51"/>
      <c r="C15" s="58"/>
      <c r="E15" s="2"/>
      <c r="F15" s="12"/>
      <c r="G15" s="12"/>
      <c r="I15" s="32"/>
      <c r="J15" s="14"/>
    </row>
    <row r="16" spans="1:14" ht="14.25" thickTop="1" thickBot="1" x14ac:dyDescent="0.25">
      <c r="A16" s="20" t="s">
        <v>40</v>
      </c>
      <c r="B16" s="17"/>
      <c r="I16" s="12"/>
      <c r="J16" s="14"/>
    </row>
    <row r="17" spans="1:13" ht="13.5" thickTop="1" x14ac:dyDescent="0.2">
      <c r="A17" s="292" t="e">
        <f>SUM(Sortis!#REF!)</f>
        <v>#REF!</v>
      </c>
      <c r="B17" s="18"/>
      <c r="E17" s="40" t="s">
        <v>166</v>
      </c>
      <c r="F17" s="277" t="e">
        <f>COUNTIF(Sortis!#REF!,"D")</f>
        <v>#REF!</v>
      </c>
      <c r="J17" s="32"/>
    </row>
    <row r="18" spans="1:13" x14ac:dyDescent="0.2">
      <c r="A18" s="21" t="e">
        <f>A17/B1</f>
        <v>#REF!</v>
      </c>
      <c r="B18" s="18"/>
      <c r="E18" s="43" t="s">
        <v>164</v>
      </c>
      <c r="F18" s="278" t="e">
        <f>COUNTIF(Sortis!#REF!,"M")</f>
        <v>#REF!</v>
      </c>
      <c r="J18" s="32"/>
    </row>
    <row r="19" spans="1:13" x14ac:dyDescent="0.2">
      <c r="A19" s="290" t="e">
        <f>A18/365.25</f>
        <v>#REF!</v>
      </c>
      <c r="B19" s="19"/>
      <c r="E19" s="285" t="s">
        <v>165</v>
      </c>
      <c r="F19" s="286" t="e">
        <f>COUNTIF(Sortis!#REF!,"B")</f>
        <v>#REF!</v>
      </c>
      <c r="M19" s="5"/>
    </row>
    <row r="20" spans="1:13" ht="13.5" thickBot="1" x14ac:dyDescent="0.25">
      <c r="A20" s="22" t="e">
        <f>INT(A19)</f>
        <v>#REF!</v>
      </c>
      <c r="B20" s="19" t="s">
        <v>41</v>
      </c>
      <c r="E20" s="287" t="s">
        <v>38</v>
      </c>
      <c r="F20" s="288" t="e">
        <f>F17+F18+F19</f>
        <v>#REF!</v>
      </c>
      <c r="K20"/>
    </row>
    <row r="21" spans="1:13" ht="13.5" thickTop="1" x14ac:dyDescent="0.2">
      <c r="A21" s="289" t="e">
        <f>A18-(365*A20)</f>
        <v>#REF!</v>
      </c>
      <c r="B21" s="19"/>
    </row>
    <row r="22" spans="1:13" ht="13.5" thickBot="1" x14ac:dyDescent="0.25">
      <c r="A22" s="109" t="e">
        <f>A21/30.42</f>
        <v>#REF!</v>
      </c>
      <c r="B22" s="38" t="s">
        <v>42</v>
      </c>
    </row>
    <row r="23" spans="1:13" ht="13.5" thickTop="1" x14ac:dyDescent="0.2">
      <c r="K23"/>
    </row>
    <row r="25" spans="1:13" x14ac:dyDescent="0.2">
      <c r="B25" s="293"/>
    </row>
    <row r="26" spans="1:13" x14ac:dyDescent="0.2">
      <c r="B26" s="293"/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landscape" horizontalDpi="360" verticalDpi="36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AG5" sqref="AG5"/>
    </sheetView>
  </sheetViews>
  <sheetFormatPr baseColWidth="10" defaultRowHeight="12.75" x14ac:dyDescent="0.2"/>
  <cols>
    <col min="2" max="2" width="7.28515625" bestFit="1" customWidth="1"/>
    <col min="3" max="3" width="3.5703125" bestFit="1" customWidth="1"/>
    <col min="4" max="4" width="3.42578125" bestFit="1" customWidth="1"/>
    <col min="5" max="5" width="7.85546875" bestFit="1" customWidth="1"/>
    <col min="6" max="6" width="5.28515625" bestFit="1" customWidth="1"/>
    <col min="7" max="7" width="3.5703125" bestFit="1" customWidth="1"/>
    <col min="8" max="8" width="7" bestFit="1" customWidth="1"/>
    <col min="9" max="9" width="4.42578125" bestFit="1" customWidth="1"/>
    <col min="10" max="10" width="3.42578125" bestFit="1" customWidth="1"/>
    <col min="11" max="11" width="4.28515625" bestFit="1" customWidth="1"/>
    <col min="12" max="12" width="4.42578125" bestFit="1" customWidth="1"/>
    <col min="13" max="13" width="3.42578125" bestFit="1" customWidth="1"/>
    <col min="14" max="14" width="4.28515625" bestFit="1" customWidth="1"/>
    <col min="15" max="15" width="4.42578125" bestFit="1" customWidth="1"/>
    <col min="16" max="16" width="3.42578125" bestFit="1" customWidth="1"/>
    <col min="17" max="17" width="4.28515625" bestFit="1" customWidth="1"/>
    <col min="18" max="19" width="3.5703125" bestFit="1" customWidth="1"/>
    <col min="20" max="20" width="4.28515625" bestFit="1" customWidth="1"/>
    <col min="21" max="21" width="4.42578125" bestFit="1" customWidth="1"/>
    <col min="22" max="22" width="3.42578125" bestFit="1" customWidth="1"/>
    <col min="23" max="23" width="4.28515625" bestFit="1" customWidth="1"/>
    <col min="24" max="24" width="5.28515625" bestFit="1" customWidth="1"/>
    <col min="25" max="25" width="3.5703125" bestFit="1" customWidth="1"/>
    <col min="26" max="26" width="4.28515625" bestFit="1" customWidth="1"/>
    <col min="27" max="27" width="4.42578125" bestFit="1" customWidth="1"/>
    <col min="28" max="28" width="3.5703125" bestFit="1" customWidth="1"/>
    <col min="29" max="29" width="4.28515625" bestFit="1" customWidth="1"/>
    <col min="30" max="30" width="3.5703125" bestFit="1" customWidth="1"/>
    <col min="31" max="31" width="3.42578125" bestFit="1" customWidth="1"/>
  </cols>
  <sheetData>
    <row r="1" spans="1:34" x14ac:dyDescent="0.2">
      <c r="A1" s="321"/>
      <c r="B1" s="1336" t="s">
        <v>388</v>
      </c>
      <c r="C1" s="1337"/>
      <c r="D1" s="1338"/>
      <c r="E1" s="1339" t="s">
        <v>387</v>
      </c>
      <c r="F1" s="1340"/>
      <c r="G1" s="1341"/>
      <c r="H1" s="1339" t="s">
        <v>37</v>
      </c>
      <c r="I1" s="1340"/>
      <c r="J1" s="1341"/>
      <c r="K1" s="1339" t="s">
        <v>386</v>
      </c>
      <c r="L1" s="1340"/>
      <c r="M1" s="1341"/>
      <c r="N1" s="1339" t="s">
        <v>12</v>
      </c>
      <c r="O1" s="1340"/>
      <c r="P1" s="1341"/>
      <c r="Q1" s="1339" t="s">
        <v>15</v>
      </c>
      <c r="R1" s="1340"/>
      <c r="S1" s="1341"/>
      <c r="T1" s="1339" t="s">
        <v>19</v>
      </c>
      <c r="U1" s="1340"/>
      <c r="V1" s="1341"/>
      <c r="W1" s="1339" t="s">
        <v>85</v>
      </c>
      <c r="X1" s="1340"/>
      <c r="Y1" s="1341"/>
      <c r="Z1" s="1339" t="s">
        <v>385</v>
      </c>
      <c r="AA1" s="1340"/>
      <c r="AB1" s="1341"/>
      <c r="AC1" s="1339" t="s">
        <v>392</v>
      </c>
      <c r="AD1" s="1340"/>
      <c r="AE1" s="1341"/>
    </row>
    <row r="2" spans="1:34" x14ac:dyDescent="0.2">
      <c r="A2" s="321"/>
      <c r="B2" s="586" t="s">
        <v>157</v>
      </c>
      <c r="C2" s="587"/>
      <c r="D2" s="588"/>
      <c r="E2" s="586" t="s">
        <v>62</v>
      </c>
      <c r="F2" s="587"/>
      <c r="G2" s="588"/>
      <c r="H2" s="586" t="s">
        <v>160</v>
      </c>
      <c r="I2" s="587"/>
      <c r="J2" s="588"/>
      <c r="K2" s="586" t="s">
        <v>162</v>
      </c>
      <c r="L2" s="587"/>
      <c r="M2" s="588"/>
      <c r="N2" s="586" t="s">
        <v>13</v>
      </c>
      <c r="O2" s="587"/>
      <c r="P2" s="588"/>
      <c r="Q2" s="586" t="s">
        <v>16</v>
      </c>
      <c r="R2" s="587"/>
      <c r="S2" s="588"/>
      <c r="T2" s="586" t="s">
        <v>20</v>
      </c>
      <c r="U2" s="587"/>
      <c r="V2" s="588"/>
      <c r="W2" s="586" t="s">
        <v>156</v>
      </c>
      <c r="X2" s="587"/>
      <c r="Y2" s="588"/>
      <c r="Z2" s="586" t="s">
        <v>225</v>
      </c>
      <c r="AA2" s="587"/>
      <c r="AB2" s="588"/>
      <c r="AC2" s="586" t="s">
        <v>391</v>
      </c>
      <c r="AD2" s="589"/>
      <c r="AE2" s="444"/>
    </row>
    <row r="3" spans="1:34" x14ac:dyDescent="0.2">
      <c r="A3" s="321"/>
      <c r="B3" s="586" t="s">
        <v>393</v>
      </c>
      <c r="C3" s="587" t="s">
        <v>394</v>
      </c>
      <c r="D3" s="588" t="s">
        <v>395</v>
      </c>
      <c r="E3" s="586" t="s">
        <v>393</v>
      </c>
      <c r="F3" s="587" t="s">
        <v>394</v>
      </c>
      <c r="G3" s="588" t="s">
        <v>395</v>
      </c>
      <c r="H3" s="586" t="s">
        <v>393</v>
      </c>
      <c r="I3" s="587" t="s">
        <v>394</v>
      </c>
      <c r="J3" s="588" t="s">
        <v>395</v>
      </c>
      <c r="K3" s="586" t="s">
        <v>393</v>
      </c>
      <c r="L3" s="587" t="s">
        <v>394</v>
      </c>
      <c r="M3" s="588" t="s">
        <v>395</v>
      </c>
      <c r="N3" s="586" t="s">
        <v>393</v>
      </c>
      <c r="O3" s="587" t="s">
        <v>394</v>
      </c>
      <c r="P3" s="588" t="s">
        <v>395</v>
      </c>
      <c r="Q3" s="586" t="s">
        <v>393</v>
      </c>
      <c r="R3" s="587" t="s">
        <v>394</v>
      </c>
      <c r="S3" s="588" t="s">
        <v>395</v>
      </c>
      <c r="T3" s="586" t="s">
        <v>393</v>
      </c>
      <c r="U3" s="587" t="s">
        <v>394</v>
      </c>
      <c r="V3" s="588" t="s">
        <v>395</v>
      </c>
      <c r="W3" s="586" t="s">
        <v>393</v>
      </c>
      <c r="X3" s="587" t="s">
        <v>394</v>
      </c>
      <c r="Y3" s="588" t="s">
        <v>395</v>
      </c>
      <c r="Z3" s="586" t="s">
        <v>393</v>
      </c>
      <c r="AA3" s="587" t="s">
        <v>394</v>
      </c>
      <c r="AB3" s="588" t="s">
        <v>395</v>
      </c>
      <c r="AC3" s="586" t="s">
        <v>393</v>
      </c>
      <c r="AD3" s="587" t="s">
        <v>394</v>
      </c>
      <c r="AE3" s="588" t="s">
        <v>395</v>
      </c>
      <c r="AF3" s="614" t="s">
        <v>408</v>
      </c>
      <c r="AG3" s="614" t="s">
        <v>409</v>
      </c>
    </row>
    <row r="4" spans="1:34" x14ac:dyDescent="0.2">
      <c r="A4" s="590" t="s">
        <v>183</v>
      </c>
      <c r="B4" s="591">
        <f t="array" ref="B4">SUM(IF((Présents!$D$2:$D$144=$A4)*(Présents!$S$2:$S$144=B$2)*(Présents!$F$2:$F$144&lt;&gt;"S"),1,0))</f>
        <v>5</v>
      </c>
      <c r="C4" s="592">
        <f>B4*VLOOKUP(B$2,Variables!$A$15:$D$25,3)*2</f>
        <v>105</v>
      </c>
      <c r="D4" s="443">
        <f>B4*VLOOKUP(B$2,Variables!$A$15:$D$25,4)*2</f>
        <v>130</v>
      </c>
      <c r="E4" s="591">
        <f t="array" ref="E4">SUM(IF((Présents!$D$2:$D$144=$A4)*(Présents!$S$2:$S$144=E$2)*(Présents!$F$2:$F$144&lt;&gt;"S"),1,0))</f>
        <v>2</v>
      </c>
      <c r="F4" s="592">
        <f>E4*VLOOKUP(E$2,Variables!$A$15:$D$25,3)*2</f>
        <v>36.799999999999997</v>
      </c>
      <c r="G4" s="443">
        <f>E4*VLOOKUP(E$2,Variables!$A$15:$D$25,4)*2</f>
        <v>60</v>
      </c>
      <c r="H4" s="591">
        <f t="array" ref="H4">SUM(IF((Présents!$D$2:$D$144=$A4)*(Présents!$S$2:$S$144=H$2)*(Présents!$F$2:$F$144&lt;&gt;"S"),1,0))</f>
        <v>0</v>
      </c>
      <c r="I4" s="592">
        <f>H4*VLOOKUP(H$2,Variables!$A$15:$D$25,3)*2</f>
        <v>0</v>
      </c>
      <c r="J4" s="443">
        <f>H4*VLOOKUP(H$2,Variables!$A$15:$D$25,4)*2</f>
        <v>0</v>
      </c>
      <c r="K4" s="591">
        <f t="array" ref="K4">SUM(IF((Présents!$D$2:$D$144=$A4)*(Présents!$S$2:$S$144=K$2)*(Présents!$F$2:$F$144&lt;&gt;"S"),1,0))</f>
        <v>0</v>
      </c>
      <c r="L4" s="592">
        <f>K4*VLOOKUP(K$2,Variables!$A$15:$D$25,3)*2</f>
        <v>0</v>
      </c>
      <c r="M4" s="443">
        <f>K4*VLOOKUP(K$2,Variables!$A$15:$D$25,4)*2</f>
        <v>0</v>
      </c>
      <c r="N4" s="591">
        <f t="array" ref="N4">SUM(IF((Présents!$D$2:$D$144=$A4)*(Présents!$S$2:$S$144=N$2)*(Présents!$F$2:$F$144&lt;&gt;"S"),1,0))</f>
        <v>2</v>
      </c>
      <c r="O4" s="592">
        <f>N4*VLOOKUP(N$2,Variables!$A$15:$D$25,3)*2</f>
        <v>9.6</v>
      </c>
      <c r="P4" s="443">
        <f>N4*VLOOKUP(N$2,Variables!$A$15:$D$25,4)*2</f>
        <v>24</v>
      </c>
      <c r="Q4" s="591">
        <f t="array" ref="Q4">SUM(IF((Présents!$D$2:$D$144=$A4)*(Présents!$S$2:$S$144=Q$2)*(Présents!$F$2:$F$144&lt;&gt;"S"),1,0))</f>
        <v>2</v>
      </c>
      <c r="R4" s="592">
        <f>Q4*VLOOKUP(Q$2,Variables!$A$15:$D$25,3)*2</f>
        <v>16</v>
      </c>
      <c r="S4" s="443">
        <f>Q4*VLOOKUP(Q$2,Variables!$A$15:$D$25,4)*2</f>
        <v>48</v>
      </c>
      <c r="T4" s="591">
        <f t="array" ref="T4">SUM(IF((Présents!$D$2:$D$144=$A4)*(Présents!$S$2:$S$144=T$2)*(Présents!$F$2:$F$144&lt;&gt;"S"),1,0))</f>
        <v>3</v>
      </c>
      <c r="U4" s="592">
        <f>T4*VLOOKUP(T$2,Variables!$A$15:$D$25,3)*2</f>
        <v>13.200000000000001</v>
      </c>
      <c r="V4" s="443">
        <f>T4*VLOOKUP(T$2,Variables!$A$15:$D$25,4)*2</f>
        <v>42</v>
      </c>
      <c r="W4" s="591">
        <f t="array" ref="W4">SUM(IF((Présents!$D$2:$D$144=$A4)*(Présents!$S$2:$S$144=W$2)*(Présents!$F$2:$F$144&lt;&gt;"S"),1,0))</f>
        <v>4</v>
      </c>
      <c r="X4" s="592">
        <f>W4*VLOOKUP(W$2,Variables!$A$15:$D$25,3)*2</f>
        <v>57.6</v>
      </c>
      <c r="Y4" s="443">
        <f>W4*VLOOKUP(W$2,Variables!$A$15:$D$25,4)*2</f>
        <v>96</v>
      </c>
      <c r="Z4" s="591">
        <f t="array" ref="Z4">SUM(IF((Présents!$D$2:$D$144=$A4)*(Présents!$S$2:$S$144=Z$2)*(Présents!$F$2:$F$144&lt;&gt;"S"),1,0))</f>
        <v>1</v>
      </c>
      <c r="AA4" s="592">
        <f>Z4*VLOOKUP(Z$2,Variables!$A$15:$D$25,3)*2</f>
        <v>19.600000000000001</v>
      </c>
      <c r="AB4" s="443">
        <f>Z4*VLOOKUP(Z$2,Variables!$A$15:$D$25,4)*2</f>
        <v>34</v>
      </c>
      <c r="AC4" s="591">
        <f t="array" ref="AC4">SUM(IF((Présents!$D$2:$D$144=$A4)*(Présents!$S$2:$S$144=AC$2)*(Présents!$F$2:$F$144&lt;&gt;"S"),1,0))</f>
        <v>0</v>
      </c>
      <c r="AD4" s="592">
        <f>AC4*VLOOKUP(AC$2,Variables!$A$15:$D$25,3)*2</f>
        <v>0</v>
      </c>
      <c r="AE4" s="443">
        <f>AC4*VLOOKUP(AC$2,Variables!$A$15:$D$25,4)*2</f>
        <v>0</v>
      </c>
      <c r="AF4">
        <f t="array" ref="AF4">SUM(IF((Présents!$D$2:$D$185=$A4)*(Présents!$F$2:$F$185&lt;&gt;"S"),1,0))</f>
        <v>23</v>
      </c>
      <c r="AG4" t="e">
        <f>SUM(IF(FREQUENCY(MATCH(Présents!$A$2:$A$185,Présents!$A$2:$A$185,0),MATCH(Présents!$A$2:$A$185,Présents!$A$2:$A$185,0)&gt;0.1)*(Présents!$D$2:$D$185=$A4)*(Présents!$F$2:$F$185&lt;&gt;"S"),1,0))</f>
        <v>#N/A</v>
      </c>
      <c r="AH4">
        <v>23</v>
      </c>
    </row>
    <row r="5" spans="1:34" x14ac:dyDescent="0.2">
      <c r="A5" s="593" t="s">
        <v>310</v>
      </c>
      <c r="B5" s="594">
        <f t="array" ref="B5">SUM(IF((Présents!$D$2:$D$144=$A5)*(Présents!$S$2:$S$144=B$2)*(Présents!$F$2:$F$144&lt;&gt;"S"),1,0))</f>
        <v>1</v>
      </c>
      <c r="C5" s="589">
        <f>B5*VLOOKUP(B$2,Variables!$A$15:$D$25,3)*2</f>
        <v>21</v>
      </c>
      <c r="D5" s="444">
        <f>B5*VLOOKUP(B$2,Variables!$A$15:$D$25,4)*2</f>
        <v>26</v>
      </c>
      <c r="E5" s="594">
        <f t="array" ref="E5">SUM(IF((Présents!$D$2:$D$144=$A5)*(Présents!$S$2:$S$144=E$2)*(Présents!$F$2:$F$144&lt;&gt;"S"),1,0))</f>
        <v>1</v>
      </c>
      <c r="F5" s="589">
        <f>E5*VLOOKUP(E$2,Variables!$A$15:$D$25,3)*2</f>
        <v>18.399999999999999</v>
      </c>
      <c r="G5" s="444">
        <f>E5*VLOOKUP(E$2,Variables!$A$15:$D$25,4)*2</f>
        <v>30</v>
      </c>
      <c r="H5" s="594">
        <f t="array" ref="H5">SUM(IF((Présents!$D$2:$D$144=$A5)*(Présents!$S$2:$S$144=H$2)*(Présents!$F$2:$F$144&lt;&gt;"S"),1,0))</f>
        <v>1</v>
      </c>
      <c r="I5" s="589">
        <f>H5*VLOOKUP(H$2,Variables!$A$15:$D$25,3)*2</f>
        <v>11.2</v>
      </c>
      <c r="J5" s="444">
        <f>H5*VLOOKUP(H$2,Variables!$A$15:$D$25,4)*2</f>
        <v>28</v>
      </c>
      <c r="K5" s="594">
        <f t="array" ref="K5">SUM(IF((Présents!$D$2:$D$144=$A5)*(Présents!$S$2:$S$144=K$2)*(Présents!$F$2:$F$144&lt;&gt;"S"),1,0))</f>
        <v>1</v>
      </c>
      <c r="L5" s="589">
        <f>K5*VLOOKUP(K$2,Variables!$A$15:$D$25,3)*2</f>
        <v>9.6</v>
      </c>
      <c r="M5" s="444">
        <f>K5*VLOOKUP(K$2,Variables!$A$15:$D$25,4)*2</f>
        <v>22</v>
      </c>
      <c r="N5" s="594">
        <f t="array" ref="N5">SUM(IF((Présents!$D$2:$D$144=$A5)*(Présents!$S$2:$S$144=N$2)*(Présents!$F$2:$F$144&lt;&gt;"S"),1,0))</f>
        <v>3</v>
      </c>
      <c r="O5" s="589">
        <f>N5*VLOOKUP(N$2,Variables!$A$15:$D$25,3)*2</f>
        <v>14.399999999999999</v>
      </c>
      <c r="P5" s="444">
        <f>N5*VLOOKUP(N$2,Variables!$A$15:$D$25,4)*2</f>
        <v>36</v>
      </c>
      <c r="Q5" s="594">
        <f t="array" ref="Q5">SUM(IF((Présents!$D$2:$D$144=$A5)*(Présents!$S$2:$S$144=Q$2)*(Présents!$F$2:$F$144&lt;&gt;"S"),1,0))</f>
        <v>3</v>
      </c>
      <c r="R5" s="589">
        <f>Q5*VLOOKUP(Q$2,Variables!$A$15:$D$25,3)*2</f>
        <v>24</v>
      </c>
      <c r="S5" s="444">
        <f>Q5*VLOOKUP(Q$2,Variables!$A$15:$D$25,4)*2</f>
        <v>72</v>
      </c>
      <c r="T5" s="594">
        <f t="array" ref="T5">SUM(IF((Présents!$D$2:$D$144=$A5)*(Présents!$S$2:$S$144=T$2)*(Présents!$F$2:$F$144&lt;&gt;"S"),1,0))</f>
        <v>7</v>
      </c>
      <c r="U5" s="589">
        <f>T5*VLOOKUP(T$2,Variables!$A$15:$D$25,3)*2</f>
        <v>30.800000000000004</v>
      </c>
      <c r="V5" s="444">
        <f>T5*VLOOKUP(T$2,Variables!$A$15:$D$25,4)*2</f>
        <v>98</v>
      </c>
      <c r="W5" s="594">
        <f t="array" ref="W5">SUM(IF((Présents!$D$2:$D$144=$A5)*(Présents!$S$2:$S$144=W$2)*(Présents!$F$2:$F$144&lt;&gt;"S"),1,0))</f>
        <v>0</v>
      </c>
      <c r="X5" s="589">
        <f>W5*VLOOKUP(W$2,Variables!$A$15:$D$25,3)*2</f>
        <v>0</v>
      </c>
      <c r="Y5" s="444">
        <f>W5*VLOOKUP(W$2,Variables!$A$15:$D$25,4)*2</f>
        <v>0</v>
      </c>
      <c r="Z5" s="594">
        <f t="array" ref="Z5">SUM(IF((Présents!$D$2:$D$144=$A5)*(Présents!$S$2:$S$144=Z$2)*(Présents!$F$2:$F$144&lt;&gt;"S"),1,0))</f>
        <v>4</v>
      </c>
      <c r="AA5" s="589">
        <f>Z5*VLOOKUP(Z$2,Variables!$A$15:$D$25,3)*2</f>
        <v>78.400000000000006</v>
      </c>
      <c r="AB5" s="444">
        <f>Z5*VLOOKUP(Z$2,Variables!$A$15:$D$25,4)*2</f>
        <v>136</v>
      </c>
      <c r="AC5" s="594">
        <f t="array" ref="AC5">SUM(IF((Présents!$D$2:$D$144=$A5)*(Présents!$S$2:$S$144=AC$2)*(Présents!$F$2:$F$144&lt;&gt;"S"),1,0))</f>
        <v>0</v>
      </c>
      <c r="AD5" s="589">
        <f>AC5*VLOOKUP(AC$2,Variables!$A$15:$D$25,3)*2</f>
        <v>0</v>
      </c>
      <c r="AE5" s="444">
        <f>AC5*VLOOKUP(AC$2,Variables!$A$15:$D$25,4)*2</f>
        <v>0</v>
      </c>
      <c r="AF5">
        <f t="array" ref="AF5">SUM(IF((Présents!$D$2:$D$185=$A5)*(Présents!$F$2:$F$185&lt;&gt;"S"),1,0))</f>
        <v>24</v>
      </c>
      <c r="AG5" t="e">
        <f>FREQUENCY(IF(LEN(Présents!$A$2:$A$185)&gt;0,MATCH(Présents!$A$2:$A$185,Présents!$A$2:$A$185,0),""),IF(LEN(Présents!$A$2:$A$185)&gt;0,MATCH(Présents!$A$2:$A$185,Présents!$A$2:$A$185,0)&gt;0.1,""))</f>
        <v>#VALUE!</v>
      </c>
      <c r="AH5">
        <v>24</v>
      </c>
    </row>
    <row r="6" spans="1:34" x14ac:dyDescent="0.2">
      <c r="A6" s="593" t="s">
        <v>138</v>
      </c>
      <c r="B6" s="594">
        <f t="array" ref="B6">SUM(IF((Présents!$D$2:$D$144=$A6)*(Présents!$S$2:$S$144=B$2)*(Présents!$F$2:$F$144&lt;&gt;"S"),1,0))</f>
        <v>0</v>
      </c>
      <c r="C6" s="589">
        <f>B6*VLOOKUP(B$2,Variables!$A$15:$D$25,3)*2</f>
        <v>0</v>
      </c>
      <c r="D6" s="444">
        <f>B6*VLOOKUP(B$2,Variables!$A$15:$D$25,4)*2</f>
        <v>0</v>
      </c>
      <c r="E6" s="594">
        <f t="array" ref="E6">SUM(IF((Présents!$D$2:$D$144=$A6)*(Présents!$S$2:$S$144=E$2)*(Présents!$F$2:$F$144&lt;&gt;"S"),1,0))</f>
        <v>4</v>
      </c>
      <c r="F6" s="589">
        <f>E6*VLOOKUP(E$2,Variables!$A$15:$D$25,3)*2</f>
        <v>73.599999999999994</v>
      </c>
      <c r="G6" s="444">
        <f>E6*VLOOKUP(E$2,Variables!$A$15:$D$25,4)*2</f>
        <v>120</v>
      </c>
      <c r="H6" s="594">
        <f t="array" ref="H6">SUM(IF((Présents!$D$2:$D$144=$A6)*(Présents!$S$2:$S$144=H$2)*(Présents!$F$2:$F$144&lt;&gt;"S"),1,0))</f>
        <v>1</v>
      </c>
      <c r="I6" s="589">
        <f>H6*VLOOKUP(H$2,Variables!$A$15:$D$25,3)*2</f>
        <v>11.2</v>
      </c>
      <c r="J6" s="444">
        <f>H6*VLOOKUP(H$2,Variables!$A$15:$D$25,4)*2</f>
        <v>28</v>
      </c>
      <c r="K6" s="594">
        <f t="array" ref="K6">SUM(IF((Présents!$D$2:$D$144=$A6)*(Présents!$S$2:$S$144=K$2)*(Présents!$F$2:$F$144&lt;&gt;"S"),1,0))</f>
        <v>1</v>
      </c>
      <c r="L6" s="589">
        <f>K6*VLOOKUP(K$2,Variables!$A$15:$D$25,3)*2</f>
        <v>9.6</v>
      </c>
      <c r="M6" s="444">
        <f>K6*VLOOKUP(K$2,Variables!$A$15:$D$25,4)*2</f>
        <v>22</v>
      </c>
      <c r="N6" s="594">
        <f t="array" ref="N6">SUM(IF((Présents!$D$2:$D$144=$A6)*(Présents!$S$2:$S$144=N$2)*(Présents!$F$2:$F$144&lt;&gt;"S"),1,0))</f>
        <v>6</v>
      </c>
      <c r="O6" s="589">
        <f>N6*VLOOKUP(N$2,Variables!$A$15:$D$25,3)*2</f>
        <v>28.799999999999997</v>
      </c>
      <c r="P6" s="444">
        <f>N6*VLOOKUP(N$2,Variables!$A$15:$D$25,4)*2</f>
        <v>72</v>
      </c>
      <c r="Q6" s="594">
        <f t="array" ref="Q6">SUM(IF((Présents!$D$2:$D$144=$A6)*(Présents!$S$2:$S$144=Q$2)*(Présents!$F$2:$F$144&lt;&gt;"S"),1,0))</f>
        <v>2</v>
      </c>
      <c r="R6" s="589">
        <f>Q6*VLOOKUP(Q$2,Variables!$A$15:$D$25,3)*2</f>
        <v>16</v>
      </c>
      <c r="S6" s="444">
        <f>Q6*VLOOKUP(Q$2,Variables!$A$15:$D$25,4)*2</f>
        <v>48</v>
      </c>
      <c r="T6" s="594">
        <f t="array" ref="T6">SUM(IF((Présents!$D$2:$D$144=$A6)*(Présents!$S$2:$S$144=T$2)*(Présents!$F$2:$F$144&lt;&gt;"S"),1,0))</f>
        <v>2</v>
      </c>
      <c r="U6" s="589">
        <f>T6*VLOOKUP(T$2,Variables!$A$15:$D$25,3)*2</f>
        <v>8.8000000000000007</v>
      </c>
      <c r="V6" s="444">
        <f>T6*VLOOKUP(T$2,Variables!$A$15:$D$25,4)*2</f>
        <v>28</v>
      </c>
      <c r="W6" s="594">
        <f t="array" ref="W6">SUM(IF((Présents!$D$2:$D$144=$A6)*(Présents!$S$2:$S$144=W$2)*(Présents!$F$2:$F$144&lt;&gt;"S"),1,0))</f>
        <v>2</v>
      </c>
      <c r="X6" s="589">
        <f>W6*VLOOKUP(W$2,Variables!$A$15:$D$25,3)*2</f>
        <v>28.8</v>
      </c>
      <c r="Y6" s="444">
        <f>W6*VLOOKUP(W$2,Variables!$A$15:$D$25,4)*2</f>
        <v>48</v>
      </c>
      <c r="Z6" s="594">
        <f t="array" ref="Z6">SUM(IF((Présents!$D$2:$D$144=$A6)*(Présents!$S$2:$S$144=Z$2)*(Présents!$F$2:$F$144&lt;&gt;"S"),1,0))</f>
        <v>2</v>
      </c>
      <c r="AA6" s="589">
        <f>Z6*VLOOKUP(Z$2,Variables!$A$15:$D$25,3)*2</f>
        <v>39.200000000000003</v>
      </c>
      <c r="AB6" s="444">
        <f>Z6*VLOOKUP(Z$2,Variables!$A$15:$D$25,4)*2</f>
        <v>68</v>
      </c>
      <c r="AC6" s="594">
        <f t="array" ref="AC6">SUM(IF((Présents!$D$2:$D$144=$A6)*(Présents!$S$2:$S$144=AC$2)*(Présents!$F$2:$F$144&lt;&gt;"S"),1,0))</f>
        <v>0</v>
      </c>
      <c r="AD6" s="589">
        <f>AC6*VLOOKUP(AC$2,Variables!$A$15:$D$25,3)*2</f>
        <v>0</v>
      </c>
      <c r="AE6" s="444">
        <f>AC6*VLOOKUP(AC$2,Variables!$A$15:$D$25,4)*2</f>
        <v>0</v>
      </c>
      <c r="AF6">
        <f t="array" ref="AF6">SUM(IF((Présents!$D$2:$D$185=$A6)*(Présents!$F$2:$F$185&lt;&gt;"S"),1,0))</f>
        <v>21</v>
      </c>
      <c r="AH6">
        <v>22</v>
      </c>
    </row>
    <row r="7" spans="1:34" x14ac:dyDescent="0.2">
      <c r="A7" s="593" t="s">
        <v>179</v>
      </c>
      <c r="B7" s="594">
        <f t="array" ref="B7">SUM(IF((Présents!$D$2:$D$144=$A7)*(Présents!$S$2:$S$144=B$2)*(Présents!$F$2:$F$144&lt;&gt;"S"),1,0))</f>
        <v>0</v>
      </c>
      <c r="C7" s="589">
        <f>B7*VLOOKUP(B$2,Variables!$A$15:$D$25,3)*2</f>
        <v>0</v>
      </c>
      <c r="D7" s="444">
        <f>B7*VLOOKUP(B$2,Variables!$A$15:$D$25,4)*2</f>
        <v>0</v>
      </c>
      <c r="E7" s="594">
        <f t="array" ref="E7">SUM(IF((Présents!$D$2:$D$144=$A7)*(Présents!$S$2:$S$144=E$2)*(Présents!$F$2:$F$144&lt;&gt;"S"),1,0))</f>
        <v>2</v>
      </c>
      <c r="F7" s="589">
        <f>E7*VLOOKUP(E$2,Variables!$A$15:$D$25,3)*2</f>
        <v>36.799999999999997</v>
      </c>
      <c r="G7" s="444">
        <f>E7*VLOOKUP(E$2,Variables!$A$15:$D$25,4)*2</f>
        <v>60</v>
      </c>
      <c r="H7" s="594">
        <f t="array" ref="H7">SUM(IF((Présents!$D$2:$D$144=$A7)*(Présents!$S$2:$S$144=H$2)*(Présents!$F$2:$F$144&lt;&gt;"S"),1,0))</f>
        <v>1</v>
      </c>
      <c r="I7" s="589">
        <f>H7*VLOOKUP(H$2,Variables!$A$15:$D$25,3)*2</f>
        <v>11.2</v>
      </c>
      <c r="J7" s="444">
        <f>H7*VLOOKUP(H$2,Variables!$A$15:$D$25,4)*2</f>
        <v>28</v>
      </c>
      <c r="K7" s="594">
        <f t="array" ref="K7">SUM(IF((Présents!$D$2:$D$144=$A7)*(Présents!$S$2:$S$144=K$2)*(Présents!$F$2:$F$144&lt;&gt;"S"),1,0))</f>
        <v>3</v>
      </c>
      <c r="L7" s="589">
        <f>K7*VLOOKUP(K$2,Variables!$A$15:$D$25,3)*2</f>
        <v>28.799999999999997</v>
      </c>
      <c r="M7" s="444">
        <f>K7*VLOOKUP(K$2,Variables!$A$15:$D$25,4)*2</f>
        <v>66</v>
      </c>
      <c r="N7" s="594">
        <f t="array" ref="N7">SUM(IF((Présents!$D$2:$D$144=$A7)*(Présents!$S$2:$S$144=N$2)*(Présents!$F$2:$F$144&lt;&gt;"S"),1,0))</f>
        <v>2</v>
      </c>
      <c r="O7" s="589">
        <f>N7*VLOOKUP(N$2,Variables!$A$15:$D$25,3)*2</f>
        <v>9.6</v>
      </c>
      <c r="P7" s="444">
        <f>N7*VLOOKUP(N$2,Variables!$A$15:$D$25,4)*2</f>
        <v>24</v>
      </c>
      <c r="Q7" s="594">
        <f t="array" ref="Q7">SUM(IF((Présents!$D$2:$D$144=$A7)*(Présents!$S$2:$S$144=Q$2)*(Présents!$F$2:$F$144&lt;&gt;"S"),1,0))</f>
        <v>3</v>
      </c>
      <c r="R7" s="589">
        <f>Q7*VLOOKUP(Q$2,Variables!$A$15:$D$25,3)*2</f>
        <v>24</v>
      </c>
      <c r="S7" s="444">
        <f>Q7*VLOOKUP(Q$2,Variables!$A$15:$D$25,4)*2</f>
        <v>72</v>
      </c>
      <c r="T7" s="594">
        <f t="array" ref="T7">SUM(IF((Présents!$D$2:$D$144=$A7)*(Présents!$S$2:$S$144=T$2)*(Présents!$F$2:$F$144&lt;&gt;"S"),1,0))</f>
        <v>5</v>
      </c>
      <c r="U7" s="589">
        <f>T7*VLOOKUP(T$2,Variables!$A$15:$D$25,3)*2</f>
        <v>22</v>
      </c>
      <c r="V7" s="444">
        <f>T7*VLOOKUP(T$2,Variables!$A$15:$D$25,4)*2</f>
        <v>70</v>
      </c>
      <c r="W7" s="594">
        <f t="array" ref="W7">SUM(IF((Présents!$D$2:$D$144=$A7)*(Présents!$S$2:$S$144=W$2)*(Présents!$F$2:$F$144&lt;&gt;"S"),1,0))</f>
        <v>2</v>
      </c>
      <c r="X7" s="589">
        <f>W7*VLOOKUP(W$2,Variables!$A$15:$D$25,3)*2</f>
        <v>28.8</v>
      </c>
      <c r="Y7" s="444">
        <f>W7*VLOOKUP(W$2,Variables!$A$15:$D$25,4)*2</f>
        <v>48</v>
      </c>
      <c r="Z7" s="594">
        <f t="array" ref="Z7">SUM(IF((Présents!$D$2:$D$144=$A7)*(Présents!$S$2:$S$144=Z$2)*(Présents!$F$2:$F$144&lt;&gt;"S"),1,0))</f>
        <v>1</v>
      </c>
      <c r="AA7" s="589">
        <f>Z7*VLOOKUP(Z$2,Variables!$A$15:$D$25,3)*2</f>
        <v>19.600000000000001</v>
      </c>
      <c r="AB7" s="444">
        <f>Z7*VLOOKUP(Z$2,Variables!$A$15:$D$25,4)*2</f>
        <v>34</v>
      </c>
      <c r="AC7" s="594">
        <f t="array" ref="AC7">SUM(IF((Présents!$D$2:$D$144=$A7)*(Présents!$S$2:$S$144=AC$2)*(Présents!$F$2:$F$144&lt;&gt;"S"),1,0))</f>
        <v>0</v>
      </c>
      <c r="AD7" s="589">
        <f>AC7*VLOOKUP(AC$2,Variables!$A$15:$D$25,3)*2</f>
        <v>0</v>
      </c>
      <c r="AE7" s="444">
        <f>AC7*VLOOKUP(AC$2,Variables!$A$15:$D$25,4)*2</f>
        <v>0</v>
      </c>
      <c r="AF7">
        <f t="array" ref="AF7">SUM(IF((Présents!$D$2:$D$185=$A7)*(Présents!$F$2:$F$185&lt;&gt;"S"),1,0))</f>
        <v>22</v>
      </c>
      <c r="AH7">
        <v>20</v>
      </c>
    </row>
    <row r="8" spans="1:34" x14ac:dyDescent="0.2">
      <c r="A8" s="593" t="s">
        <v>228</v>
      </c>
      <c r="B8" s="594">
        <f t="array" ref="B8">SUM(IF((Présents!$D$2:$D$144=$A8)*(Présents!$S$2:$S$144=B$2)*(Présents!$F$2:$F$144&lt;&gt;"S"),1,0))</f>
        <v>0</v>
      </c>
      <c r="C8" s="589">
        <f>B8*VLOOKUP(B$2,Variables!$A$15:$D$25,3)*2</f>
        <v>0</v>
      </c>
      <c r="D8" s="444">
        <f>B8*VLOOKUP(B$2,Variables!$A$15:$D$25,4)*2</f>
        <v>0</v>
      </c>
      <c r="E8" s="594">
        <f t="array" ref="E8">SUM(IF((Présents!$D$2:$D$144=$A8)*(Présents!$S$2:$S$144=E$2)*(Présents!$F$2:$F$144&lt;&gt;"S"),1,0))</f>
        <v>0</v>
      </c>
      <c r="F8" s="589">
        <f>E8*VLOOKUP(E$2,Variables!$A$15:$D$25,3)*2</f>
        <v>0</v>
      </c>
      <c r="G8" s="444">
        <f>E8*VLOOKUP(E$2,Variables!$A$15:$D$25,4)*2</f>
        <v>0</v>
      </c>
      <c r="H8" s="594">
        <f t="array" ref="H8">SUM(IF((Présents!$D$2:$D$144=$A8)*(Présents!$S$2:$S$144=H$2)*(Présents!$F$2:$F$144&lt;&gt;"S"),1,0))</f>
        <v>0</v>
      </c>
      <c r="I8" s="589">
        <f>H8*VLOOKUP(H$2,Variables!$A$15:$D$25,3)*2</f>
        <v>0</v>
      </c>
      <c r="J8" s="444">
        <f>H8*VLOOKUP(H$2,Variables!$A$15:$D$25,4)*2</f>
        <v>0</v>
      </c>
      <c r="K8" s="594">
        <f t="array" ref="K8">SUM(IF((Présents!$D$2:$D$144=$A8)*(Présents!$S$2:$S$144=K$2)*(Présents!$F$2:$F$144&lt;&gt;"S"),1,0))</f>
        <v>0</v>
      </c>
      <c r="L8" s="589">
        <f>K8*VLOOKUP(K$2,Variables!$A$15:$D$25,3)*2</f>
        <v>0</v>
      </c>
      <c r="M8" s="444">
        <f>K8*VLOOKUP(K$2,Variables!$A$15:$D$25,4)*2</f>
        <v>0</v>
      </c>
      <c r="N8" s="594">
        <f t="array" ref="N8">SUM(IF((Présents!$D$2:$D$144=$A8)*(Présents!$S$2:$S$144=N$2)*(Présents!$F$2:$F$144&lt;&gt;"S"),1,0))</f>
        <v>0</v>
      </c>
      <c r="O8" s="589">
        <f>N8*VLOOKUP(N$2,Variables!$A$15:$D$25,3)*2</f>
        <v>0</v>
      </c>
      <c r="P8" s="444">
        <f>N8*VLOOKUP(N$2,Variables!$A$15:$D$25,4)*2</f>
        <v>0</v>
      </c>
      <c r="Q8" s="594">
        <f t="array" ref="Q8">SUM(IF((Présents!$D$2:$D$144=$A8)*(Présents!$S$2:$S$144=Q$2)*(Présents!$F$2:$F$144&lt;&gt;"S"),1,0))</f>
        <v>0</v>
      </c>
      <c r="R8" s="589">
        <f>Q8*VLOOKUP(Q$2,Variables!$A$15:$D$25,3)*2</f>
        <v>0</v>
      </c>
      <c r="S8" s="444">
        <f>Q8*VLOOKUP(Q$2,Variables!$A$15:$D$25,4)*2</f>
        <v>0</v>
      </c>
      <c r="T8" s="594">
        <f t="array" ref="T8">SUM(IF((Présents!$D$2:$D$144=$A8)*(Présents!$S$2:$S$144=T$2)*(Présents!$F$2:$F$144&lt;&gt;"S"),1,0))</f>
        <v>0</v>
      </c>
      <c r="U8" s="589">
        <f>T8*VLOOKUP(T$2,Variables!$A$15:$D$25,3)*2</f>
        <v>0</v>
      </c>
      <c r="V8" s="444">
        <f>T8*VLOOKUP(T$2,Variables!$A$15:$D$25,4)*2</f>
        <v>0</v>
      </c>
      <c r="W8" s="594">
        <f t="array" ref="W8">SUM(IF((Présents!$D$2:$D$144=$A8)*(Présents!$S$2:$S$144=W$2)*(Présents!$F$2:$F$144&lt;&gt;"S"),1,0))</f>
        <v>0</v>
      </c>
      <c r="X8" s="589">
        <f>W8*VLOOKUP(W$2,Variables!$A$15:$D$25,3)*2</f>
        <v>0</v>
      </c>
      <c r="Y8" s="444">
        <f>W8*VLOOKUP(W$2,Variables!$A$15:$D$25,4)*2</f>
        <v>0</v>
      </c>
      <c r="Z8" s="594">
        <f t="array" ref="Z8">SUM(IF((Présents!$D$2:$D$144=$A8)*(Présents!$S$2:$S$144=Z$2)*(Présents!$F$2:$F$144&lt;&gt;"S"),1,0))</f>
        <v>0</v>
      </c>
      <c r="AA8" s="589">
        <f>Z8*VLOOKUP(Z$2,Variables!$A$15:$D$25,3)*2</f>
        <v>0</v>
      </c>
      <c r="AB8" s="444">
        <f>Z8*VLOOKUP(Z$2,Variables!$A$15:$D$25,4)*2</f>
        <v>0</v>
      </c>
      <c r="AC8" s="594">
        <f t="array" ref="AC8">SUM(IF((Présents!$D$2:$D$144=$A8)*(Présents!$S$2:$S$144=AC$2)*(Présents!$F$2:$F$144&lt;&gt;"S"),1,0))</f>
        <v>0</v>
      </c>
      <c r="AD8" s="589">
        <f>AC8*VLOOKUP(AC$2,Variables!$A$15:$D$25,3)*2</f>
        <v>0</v>
      </c>
      <c r="AE8" s="444">
        <f>AC8*VLOOKUP(AC$2,Variables!$A$15:$D$25,4)*2</f>
        <v>0</v>
      </c>
      <c r="AF8">
        <f t="array" ref="AF8">SUM(IF((Présents!$D$2:$D$185=$A8)*(Présents!$F$2:$F$185&lt;&gt;"S"),1,0))</f>
        <v>0</v>
      </c>
      <c r="AH8">
        <v>24</v>
      </c>
    </row>
    <row r="9" spans="1:34" x14ac:dyDescent="0.2">
      <c r="A9" s="593" t="s">
        <v>87</v>
      </c>
      <c r="B9" s="594">
        <f t="array" ref="B9">SUM(IF((Présents!$D$2:$D$144=$A9)*(Présents!$S$2:$S$144=B$2)*(Présents!$F$2:$F$144&lt;&gt;"S"),1,0))</f>
        <v>0</v>
      </c>
      <c r="C9" s="589">
        <f>B9*VLOOKUP(B$2,Variables!$A$15:$D$25,3)*2</f>
        <v>0</v>
      </c>
      <c r="D9" s="444">
        <f>B9*VLOOKUP(B$2,Variables!$A$15:$D$25,4)*2</f>
        <v>0</v>
      </c>
      <c r="E9" s="594">
        <f t="array" ref="E9">SUM(IF((Présents!$D$2:$D$144=$A9)*(Présents!$S$2:$S$144=E$2)*(Présents!$F$2:$F$144&lt;&gt;"S"),1,0))</f>
        <v>2</v>
      </c>
      <c r="F9" s="589">
        <f>E9*VLOOKUP(E$2,Variables!$A$15:$D$25,3)*2</f>
        <v>36.799999999999997</v>
      </c>
      <c r="G9" s="444">
        <f>E9*VLOOKUP(E$2,Variables!$A$15:$D$25,4)*2</f>
        <v>60</v>
      </c>
      <c r="H9" s="594">
        <f t="array" ref="H9">SUM(IF((Présents!$D$2:$D$144=$A9)*(Présents!$S$2:$S$144=H$2)*(Présents!$F$2:$F$144&lt;&gt;"S"),1,0))</f>
        <v>2</v>
      </c>
      <c r="I9" s="589">
        <f>H9*VLOOKUP(H$2,Variables!$A$15:$D$25,3)*2</f>
        <v>22.4</v>
      </c>
      <c r="J9" s="444">
        <f>H9*VLOOKUP(H$2,Variables!$A$15:$D$25,4)*2</f>
        <v>56</v>
      </c>
      <c r="K9" s="594">
        <f t="array" ref="K9">SUM(IF((Présents!$D$2:$D$144=$A9)*(Présents!$S$2:$S$144=K$2)*(Présents!$F$2:$F$144&lt;&gt;"S"),1,0))</f>
        <v>1</v>
      </c>
      <c r="L9" s="589">
        <f>K9*VLOOKUP(K$2,Variables!$A$15:$D$25,3)*2</f>
        <v>9.6</v>
      </c>
      <c r="M9" s="444">
        <f>K9*VLOOKUP(K$2,Variables!$A$15:$D$25,4)*2</f>
        <v>22</v>
      </c>
      <c r="N9" s="594">
        <f t="array" ref="N9">SUM(IF((Présents!$D$2:$D$144=$A9)*(Présents!$S$2:$S$144=N$2)*(Présents!$F$2:$F$144&lt;&gt;"S"),1,0))</f>
        <v>1</v>
      </c>
      <c r="O9" s="589">
        <f>N9*VLOOKUP(N$2,Variables!$A$15:$D$25,3)*2</f>
        <v>4.8</v>
      </c>
      <c r="P9" s="444">
        <f>N9*VLOOKUP(N$2,Variables!$A$15:$D$25,4)*2</f>
        <v>12</v>
      </c>
      <c r="Q9" s="594">
        <f t="array" ref="Q9">SUM(IF((Présents!$D$2:$D$144=$A9)*(Présents!$S$2:$S$144=Q$2)*(Présents!$F$2:$F$144&lt;&gt;"S"),1,0))</f>
        <v>9</v>
      </c>
      <c r="R9" s="589">
        <f>Q9*VLOOKUP(Q$2,Variables!$A$15:$D$25,3)*2</f>
        <v>72</v>
      </c>
      <c r="S9" s="444">
        <f>Q9*VLOOKUP(Q$2,Variables!$A$15:$D$25,4)*2</f>
        <v>216</v>
      </c>
      <c r="T9" s="594">
        <f t="array" ref="T9">SUM(IF((Présents!$D$2:$D$144=$A9)*(Présents!$S$2:$S$144=T$2)*(Présents!$F$2:$F$144&lt;&gt;"S"),1,0))</f>
        <v>4</v>
      </c>
      <c r="U9" s="589">
        <f>T9*VLOOKUP(T$2,Variables!$A$15:$D$25,3)*2</f>
        <v>17.600000000000001</v>
      </c>
      <c r="V9" s="444">
        <f>T9*VLOOKUP(T$2,Variables!$A$15:$D$25,4)*2</f>
        <v>56</v>
      </c>
      <c r="W9" s="594">
        <f t="array" ref="W9">SUM(IF((Présents!$D$2:$D$144=$A9)*(Présents!$S$2:$S$144=W$2)*(Présents!$F$2:$F$144&lt;&gt;"S"),1,0))</f>
        <v>1</v>
      </c>
      <c r="X9" s="589">
        <f>W9*VLOOKUP(W$2,Variables!$A$15:$D$25,3)*2</f>
        <v>14.4</v>
      </c>
      <c r="Y9" s="444">
        <f>W9*VLOOKUP(W$2,Variables!$A$15:$D$25,4)*2</f>
        <v>24</v>
      </c>
      <c r="Z9" s="594">
        <f t="array" ref="Z9">SUM(IF((Présents!$D$2:$D$144=$A9)*(Présents!$S$2:$S$144=Z$2)*(Présents!$F$2:$F$144&lt;&gt;"S"),1,0))</f>
        <v>0</v>
      </c>
      <c r="AA9" s="589">
        <f>Z9*VLOOKUP(Z$2,Variables!$A$15:$D$25,3)*2</f>
        <v>0</v>
      </c>
      <c r="AB9" s="444">
        <f>Z9*VLOOKUP(Z$2,Variables!$A$15:$D$25,4)*2</f>
        <v>0</v>
      </c>
      <c r="AC9" s="594">
        <f t="array" ref="AC9">SUM(IF((Présents!$D$2:$D$144=$A9)*(Présents!$S$2:$S$144=AC$2)*(Présents!$F$2:$F$144&lt;&gt;"S"),1,0))</f>
        <v>0</v>
      </c>
      <c r="AD9" s="589">
        <f>AC9*VLOOKUP(AC$2,Variables!$A$15:$D$25,3)*2</f>
        <v>0</v>
      </c>
      <c r="AE9" s="444">
        <f>AC9*VLOOKUP(AC$2,Variables!$A$15:$D$25,4)*2</f>
        <v>0</v>
      </c>
      <c r="AF9">
        <f t="array" ref="AF9">SUM(IF((Présents!$D$2:$D$185=$A9)*(Présents!$F$2:$F$185&lt;&gt;"S"),1,0))</f>
        <v>25</v>
      </c>
      <c r="AH9">
        <v>24</v>
      </c>
    </row>
    <row r="10" spans="1:34" x14ac:dyDescent="0.2">
      <c r="A10" s="595" t="s">
        <v>70</v>
      </c>
      <c r="B10" s="596">
        <f t="array" ref="B10">SUM(IF((Présents!$D$2:$D$144=$A10)*(Présents!$S$2:$S$144=B$2)*(Présents!$F$2:$F$144&lt;&gt;"S"),1,0))</f>
        <v>0</v>
      </c>
      <c r="C10" s="597">
        <f>B10*VLOOKUP(B$2,Variables!$A$15:$D$25,3)*2</f>
        <v>0</v>
      </c>
      <c r="D10" s="445">
        <f>B10*VLOOKUP(B$2,Variables!$A$15:$D$25,4)*2</f>
        <v>0</v>
      </c>
      <c r="E10" s="596">
        <f t="array" ref="E10">SUM(IF((Présents!$D$2:$D$144=$A10)*(Présents!$S$2:$S$144=E$2)*(Présents!$F$2:$F$144&lt;&gt;"S"),1,0))</f>
        <v>1</v>
      </c>
      <c r="F10" s="597">
        <f>E10*VLOOKUP(E$2,Variables!$A$15:$D$25,3)*2</f>
        <v>18.399999999999999</v>
      </c>
      <c r="G10" s="445">
        <f>E10*VLOOKUP(E$2,Variables!$A$15:$D$25,4)*2</f>
        <v>30</v>
      </c>
      <c r="H10" s="596">
        <f t="array" ref="H10">SUM(IF((Présents!$D$2:$D$144=$A10)*(Présents!$S$2:$S$144=H$2)*(Présents!$F$2:$F$144&lt;&gt;"S"),1,0))</f>
        <v>0</v>
      </c>
      <c r="I10" s="597">
        <f>H10*VLOOKUP(H$2,Variables!$A$15:$D$25,3)*2</f>
        <v>0</v>
      </c>
      <c r="J10" s="445">
        <f>H10*VLOOKUP(H$2,Variables!$A$15:$D$25,4)*2</f>
        <v>0</v>
      </c>
      <c r="K10" s="596">
        <f t="array" ref="K10">SUM(IF((Présents!$D$2:$D$144=$A10)*(Présents!$S$2:$S$144=K$2)*(Présents!$F$2:$F$144&lt;&gt;"S"),1,0))</f>
        <v>3</v>
      </c>
      <c r="L10" s="597">
        <f>K10*VLOOKUP(K$2,Variables!$A$15:$D$25,3)*2</f>
        <v>28.799999999999997</v>
      </c>
      <c r="M10" s="445">
        <f>K10*VLOOKUP(K$2,Variables!$A$15:$D$25,4)*2</f>
        <v>66</v>
      </c>
      <c r="N10" s="596">
        <f t="array" ref="N10">SUM(IF((Présents!$D$2:$D$144=$A10)*(Présents!$S$2:$S$144=N$2)*(Présents!$F$2:$F$144&lt;&gt;"S"),1,0))</f>
        <v>1</v>
      </c>
      <c r="O10" s="597">
        <f>N10*VLOOKUP(N$2,Variables!$A$15:$D$25,3)*2</f>
        <v>4.8</v>
      </c>
      <c r="P10" s="445">
        <f>N10*VLOOKUP(N$2,Variables!$A$15:$D$25,4)*2</f>
        <v>12</v>
      </c>
      <c r="Q10" s="596">
        <f t="array" ref="Q10">SUM(IF((Présents!$D$2:$D$144=$A10)*(Présents!$S$2:$S$144=Q$2)*(Présents!$F$2:$F$144&lt;&gt;"S"),1,0))</f>
        <v>8</v>
      </c>
      <c r="R10" s="597">
        <f>Q10*VLOOKUP(Q$2,Variables!$A$15:$D$25,3)*2</f>
        <v>64</v>
      </c>
      <c r="S10" s="445">
        <f>Q10*VLOOKUP(Q$2,Variables!$A$15:$D$25,4)*2</f>
        <v>192</v>
      </c>
      <c r="T10" s="596">
        <f t="array" ref="T10">SUM(IF((Présents!$D$2:$D$144=$A10)*(Présents!$S$2:$S$144=T$2)*(Présents!$F$2:$F$144&lt;&gt;"S"),1,0))</f>
        <v>1</v>
      </c>
      <c r="U10" s="597">
        <f>T10*VLOOKUP(T$2,Variables!$A$15:$D$25,3)*2</f>
        <v>4.4000000000000004</v>
      </c>
      <c r="V10" s="445">
        <f>T10*VLOOKUP(T$2,Variables!$A$15:$D$25,4)*2</f>
        <v>14</v>
      </c>
      <c r="W10" s="596">
        <f t="array" ref="W10">SUM(IF((Présents!$D$2:$D$144=$A10)*(Présents!$S$2:$S$144=W$2)*(Présents!$F$2:$F$144&lt;&gt;"S"),1,0))</f>
        <v>5</v>
      </c>
      <c r="X10" s="597">
        <f>W10*VLOOKUP(W$2,Variables!$A$15:$D$25,3)*2</f>
        <v>72</v>
      </c>
      <c r="Y10" s="445">
        <f>W10*VLOOKUP(W$2,Variables!$A$15:$D$25,4)*2</f>
        <v>120</v>
      </c>
      <c r="Z10" s="596">
        <f t="array" ref="Z10">SUM(IF((Présents!$D$2:$D$144=$A10)*(Présents!$S$2:$S$144=Z$2)*(Présents!$F$2:$F$144&lt;&gt;"S"),1,0))</f>
        <v>0</v>
      </c>
      <c r="AA10" s="597">
        <f>Z10*VLOOKUP(Z$2,Variables!$A$15:$D$25,3)*2</f>
        <v>0</v>
      </c>
      <c r="AB10" s="445">
        <f>Z10*VLOOKUP(Z$2,Variables!$A$15:$D$25,4)*2</f>
        <v>0</v>
      </c>
      <c r="AC10" s="596">
        <f t="array" ref="AC10">SUM(IF((Présents!$D$2:$D$144=$A10)*(Présents!$S$2:$S$144=AC$2)*(Présents!$F$2:$F$144&lt;&gt;"S"),1,0))</f>
        <v>0</v>
      </c>
      <c r="AD10" s="597">
        <f>AC10*VLOOKUP(AC$2,Variables!$A$15:$D$25,3)*2</f>
        <v>0</v>
      </c>
      <c r="AE10" s="445">
        <f>AC10*VLOOKUP(AC$2,Variables!$A$15:$D$25,4)*2</f>
        <v>0</v>
      </c>
      <c r="AF10">
        <f t="array" ref="AF10">SUM(IF((Présents!$D$2:$D$185=$A10)*(Présents!$F$2:$F$185&lt;&gt;"S"),1,0))</f>
        <v>25</v>
      </c>
      <c r="AH10">
        <v>24</v>
      </c>
    </row>
    <row r="11" spans="1:34" x14ac:dyDescent="0.2">
      <c r="AH11">
        <f>SUM(AH4:AH10)</f>
        <v>161</v>
      </c>
    </row>
    <row r="13" spans="1:34" x14ac:dyDescent="0.2">
      <c r="B13" s="1334" t="s">
        <v>396</v>
      </c>
      <c r="C13" s="1342"/>
      <c r="D13" s="1335"/>
    </row>
    <row r="14" spans="1:34" x14ac:dyDescent="0.2">
      <c r="B14" s="639" t="s">
        <v>394</v>
      </c>
      <c r="C14" s="1334" t="s">
        <v>395</v>
      </c>
      <c r="D14" s="1335"/>
      <c r="E14" t="s">
        <v>407</v>
      </c>
    </row>
    <row r="15" spans="1:34" x14ac:dyDescent="0.2">
      <c r="A15" s="590" t="s">
        <v>183</v>
      </c>
      <c r="B15" s="598">
        <f>SUM(C4,F4,I4,L4,O4,R4,U4,X4,AA4,AD4)</f>
        <v>257.8</v>
      </c>
      <c r="C15" s="599">
        <f>ROUNDDOWN(SUM(D4,G4,J4,M4,P4,S4,V4,Y4,AB4,AE4)/60,0)</f>
        <v>7</v>
      </c>
      <c r="D15" s="600">
        <f t="shared" ref="D15:D21" si="0">MOD(SUM(D4,G4,J4,M4,P4,S4,V4,Y4,AB4,AE4)/60,1)*60</f>
        <v>14.000000000000004</v>
      </c>
      <c r="E15" t="e">
        <f>AF4/AG4</f>
        <v>#N/A</v>
      </c>
    </row>
    <row r="16" spans="1:34" x14ac:dyDescent="0.2">
      <c r="A16" s="593" t="s">
        <v>310</v>
      </c>
      <c r="B16" s="601">
        <f t="shared" ref="B16:B21" si="1">SUM(C5,F5,I5,L5,O5,R5,U5,X5,AA5,AD5)</f>
        <v>207.8</v>
      </c>
      <c r="C16" s="602">
        <f t="shared" ref="C16:C21" si="2">ROUNDDOWN(SUM(D5,G5,J5,M5,P5,S5,V5,Y5,AB5,AE5)/60,0)</f>
        <v>7</v>
      </c>
      <c r="D16" s="603">
        <f t="shared" si="0"/>
        <v>28.000000000000007</v>
      </c>
      <c r="E16" t="e">
        <f t="shared" ref="E16:E21" si="3">AF5/AG5</f>
        <v>#VALUE!</v>
      </c>
    </row>
    <row r="17" spans="1:5" x14ac:dyDescent="0.2">
      <c r="A17" s="593" t="s">
        <v>138</v>
      </c>
      <c r="B17" s="601">
        <f t="shared" si="1"/>
        <v>216</v>
      </c>
      <c r="C17" s="602">
        <f t="shared" si="2"/>
        <v>7</v>
      </c>
      <c r="D17" s="603">
        <f t="shared" si="0"/>
        <v>14.000000000000004</v>
      </c>
      <c r="E17" t="e">
        <f t="shared" si="3"/>
        <v>#DIV/0!</v>
      </c>
    </row>
    <row r="18" spans="1:5" x14ac:dyDescent="0.2">
      <c r="A18" s="593" t="s">
        <v>179</v>
      </c>
      <c r="B18" s="601">
        <f>SUM(C7,F7,I7,L7,O7,R7,U7,X7,AA7,AD7)/0.8</f>
        <v>225.99999999999997</v>
      </c>
      <c r="C18" s="602">
        <f t="shared" si="2"/>
        <v>6</v>
      </c>
      <c r="D18" s="603">
        <f t="shared" si="0"/>
        <v>42.000000000000014</v>
      </c>
      <c r="E18" t="e">
        <f t="shared" si="3"/>
        <v>#DIV/0!</v>
      </c>
    </row>
    <row r="19" spans="1:5" x14ac:dyDescent="0.2">
      <c r="A19" s="593" t="s">
        <v>228</v>
      </c>
      <c r="B19" s="601">
        <f t="shared" si="1"/>
        <v>0</v>
      </c>
      <c r="C19" s="602">
        <f t="shared" si="2"/>
        <v>0</v>
      </c>
      <c r="D19" s="603">
        <f t="shared" si="0"/>
        <v>0</v>
      </c>
      <c r="E19" t="e">
        <f t="shared" si="3"/>
        <v>#DIV/0!</v>
      </c>
    </row>
    <row r="20" spans="1:5" x14ac:dyDescent="0.2">
      <c r="A20" s="593" t="s">
        <v>87</v>
      </c>
      <c r="B20" s="601">
        <f t="shared" si="1"/>
        <v>177.6</v>
      </c>
      <c r="C20" s="602">
        <f t="shared" si="2"/>
        <v>7</v>
      </c>
      <c r="D20" s="603">
        <f t="shared" si="0"/>
        <v>26.000000000000014</v>
      </c>
      <c r="E20" t="e">
        <f t="shared" si="3"/>
        <v>#DIV/0!</v>
      </c>
    </row>
    <row r="21" spans="1:5" x14ac:dyDescent="0.2">
      <c r="A21" s="595" t="s">
        <v>70</v>
      </c>
      <c r="B21" s="604">
        <f t="shared" si="1"/>
        <v>192.4</v>
      </c>
      <c r="C21" s="605">
        <f t="shared" si="2"/>
        <v>7</v>
      </c>
      <c r="D21" s="606">
        <f t="shared" si="0"/>
        <v>14.000000000000004</v>
      </c>
      <c r="E21" t="e">
        <f t="shared" si="3"/>
        <v>#DIV/0!</v>
      </c>
    </row>
    <row r="23" spans="1:5" x14ac:dyDescent="0.2">
      <c r="B23" s="607">
        <f>SUM(B15:B21)</f>
        <v>1277.6000000000001</v>
      </c>
      <c r="C23" s="321"/>
    </row>
  </sheetData>
  <mergeCells count="12">
    <mergeCell ref="T1:V1"/>
    <mergeCell ref="W1:Y1"/>
    <mergeCell ref="Z1:AB1"/>
    <mergeCell ref="AC1:AE1"/>
    <mergeCell ref="B13:D13"/>
    <mergeCell ref="N1:P1"/>
    <mergeCell ref="Q1:S1"/>
    <mergeCell ref="C14:D14"/>
    <mergeCell ref="B1:D1"/>
    <mergeCell ref="E1:G1"/>
    <mergeCell ref="H1:J1"/>
    <mergeCell ref="K1:M1"/>
  </mergeCells>
  <conditionalFormatting sqref="B15:B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D8D2F48-9BA0-4DE5-927A-EF1D0A906CE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B15:B21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topLeftCell="A7" zoomScale="96" zoomScaleNormal="96" workbookViewId="0">
      <selection activeCell="H54" sqref="H54"/>
    </sheetView>
  </sheetViews>
  <sheetFormatPr baseColWidth="10" defaultRowHeight="12.75" x14ac:dyDescent="0.2"/>
  <cols>
    <col min="1" max="1" width="33" bestFit="1" customWidth="1"/>
    <col min="2" max="2" width="12.140625" bestFit="1" customWidth="1"/>
    <col min="3" max="3" width="13.28515625" style="837" customWidth="1"/>
    <col min="4" max="7" width="13.28515625" customWidth="1"/>
    <col min="8" max="8" width="20" bestFit="1" customWidth="1"/>
    <col min="9" max="9" width="13.28515625" style="184" customWidth="1"/>
    <col min="10" max="10" width="13.28515625" customWidth="1"/>
    <col min="11" max="11" width="21.5703125" bestFit="1" customWidth="1"/>
  </cols>
  <sheetData>
    <row r="1" spans="1:11" s="820" customFormat="1" ht="51" customHeight="1" thickBot="1" x14ac:dyDescent="0.25">
      <c r="A1" s="838" t="s">
        <v>277</v>
      </c>
      <c r="B1" s="839" t="s">
        <v>408</v>
      </c>
      <c r="C1" s="840" t="s">
        <v>2</v>
      </c>
      <c r="D1" s="840" t="s">
        <v>363</v>
      </c>
      <c r="E1" s="840" t="s">
        <v>419</v>
      </c>
      <c r="F1" s="840" t="s">
        <v>418</v>
      </c>
      <c r="G1" s="840" t="s">
        <v>700</v>
      </c>
      <c r="H1" s="840" t="s">
        <v>283</v>
      </c>
      <c r="I1" s="840" t="s">
        <v>284</v>
      </c>
      <c r="J1" s="841" t="s">
        <v>289</v>
      </c>
    </row>
    <row r="2" spans="1:11" x14ac:dyDescent="0.2">
      <c r="A2" s="994" t="s">
        <v>657</v>
      </c>
      <c r="B2" s="995">
        <v>1</v>
      </c>
      <c r="C2" s="996" t="s">
        <v>179</v>
      </c>
      <c r="D2" s="995" t="s">
        <v>183</v>
      </c>
      <c r="E2" s="997">
        <v>42208</v>
      </c>
      <c r="F2" s="997">
        <v>42573</v>
      </c>
      <c r="G2" s="997">
        <v>42297</v>
      </c>
      <c r="H2" s="998">
        <v>42360</v>
      </c>
      <c r="I2" s="999" t="s">
        <v>276</v>
      </c>
      <c r="J2" s="1000" t="s">
        <v>280</v>
      </c>
    </row>
    <row r="3" spans="1:11" x14ac:dyDescent="0.2">
      <c r="A3" s="842" t="s">
        <v>533</v>
      </c>
      <c r="B3" s="843">
        <v>1</v>
      </c>
      <c r="C3" s="844" t="s">
        <v>138</v>
      </c>
      <c r="D3" s="843" t="s">
        <v>179</v>
      </c>
      <c r="E3" s="845">
        <v>42186</v>
      </c>
      <c r="F3" s="845">
        <v>42551</v>
      </c>
      <c r="G3" s="845">
        <v>42276</v>
      </c>
      <c r="H3" s="1001">
        <v>42360</v>
      </c>
      <c r="I3" s="846" t="s">
        <v>270</v>
      </c>
      <c r="J3" s="847" t="s">
        <v>280</v>
      </c>
    </row>
    <row r="4" spans="1:11" ht="13.5" thickBot="1" x14ac:dyDescent="0.25">
      <c r="A4" s="848" t="s">
        <v>633</v>
      </c>
      <c r="B4" s="849">
        <v>1</v>
      </c>
      <c r="C4" s="850" t="s">
        <v>138</v>
      </c>
      <c r="D4" s="849" t="s">
        <v>70</v>
      </c>
      <c r="E4" s="851">
        <v>42250</v>
      </c>
      <c r="F4" s="851">
        <v>42616</v>
      </c>
      <c r="G4" s="851">
        <v>42339</v>
      </c>
      <c r="H4" s="1002">
        <v>42360</v>
      </c>
      <c r="I4" s="852" t="s">
        <v>271</v>
      </c>
      <c r="J4" s="853" t="s">
        <v>280</v>
      </c>
    </row>
    <row r="5" spans="1:11" x14ac:dyDescent="0.2">
      <c r="A5" s="994" t="s">
        <v>299</v>
      </c>
      <c r="B5" s="995">
        <v>1</v>
      </c>
      <c r="C5" s="996" t="s">
        <v>138</v>
      </c>
      <c r="D5" s="995"/>
      <c r="E5" s="997">
        <v>42039</v>
      </c>
      <c r="F5" s="997">
        <v>42404</v>
      </c>
      <c r="G5" s="997">
        <v>42374</v>
      </c>
      <c r="H5" s="998">
        <v>42374</v>
      </c>
      <c r="I5" s="999" t="s">
        <v>276</v>
      </c>
      <c r="J5" s="1000" t="s">
        <v>269</v>
      </c>
    </row>
    <row r="6" spans="1:11" s="1003" customFormat="1" x14ac:dyDescent="0.2">
      <c r="A6" s="842" t="s">
        <v>406</v>
      </c>
      <c r="B6" s="843">
        <v>1</v>
      </c>
      <c r="C6" s="844" t="s">
        <v>714</v>
      </c>
      <c r="D6" s="843" t="s">
        <v>179</v>
      </c>
      <c r="E6" s="845">
        <v>42032</v>
      </c>
      <c r="F6" s="845">
        <v>42397</v>
      </c>
      <c r="G6" s="845">
        <v>42367</v>
      </c>
      <c r="H6" s="1001">
        <v>42374</v>
      </c>
      <c r="I6" s="846" t="s">
        <v>270</v>
      </c>
      <c r="J6" s="847" t="s">
        <v>269</v>
      </c>
    </row>
    <row r="7" spans="1:11" x14ac:dyDescent="0.2">
      <c r="A7" s="842" t="s">
        <v>632</v>
      </c>
      <c r="B7" s="843">
        <v>1</v>
      </c>
      <c r="C7" s="844" t="s">
        <v>87</v>
      </c>
      <c r="D7" s="843" t="s">
        <v>183</v>
      </c>
      <c r="E7" s="845">
        <v>42254</v>
      </c>
      <c r="F7" s="845">
        <v>42620</v>
      </c>
      <c r="G7" s="845">
        <v>42339</v>
      </c>
      <c r="H7" s="1001">
        <v>42374</v>
      </c>
      <c r="I7" s="846" t="s">
        <v>271</v>
      </c>
      <c r="J7" s="847" t="s">
        <v>280</v>
      </c>
    </row>
    <row r="8" spans="1:11" x14ac:dyDescent="0.2">
      <c r="A8" s="842" t="s">
        <v>598</v>
      </c>
      <c r="B8" s="843">
        <v>1</v>
      </c>
      <c r="C8" s="844" t="s">
        <v>138</v>
      </c>
      <c r="D8" s="843" t="s">
        <v>87</v>
      </c>
      <c r="E8" s="845">
        <v>42250</v>
      </c>
      <c r="F8" s="845">
        <v>42250</v>
      </c>
      <c r="G8" s="845">
        <v>42339</v>
      </c>
      <c r="H8" s="1001">
        <v>42376</v>
      </c>
      <c r="I8" s="846" t="s">
        <v>276</v>
      </c>
      <c r="J8" s="847" t="s">
        <v>280</v>
      </c>
    </row>
    <row r="9" spans="1:11" ht="13.5" thickBot="1" x14ac:dyDescent="0.25">
      <c r="A9" s="842" t="s">
        <v>631</v>
      </c>
      <c r="B9" s="843">
        <v>2</v>
      </c>
      <c r="C9" s="844" t="s">
        <v>183</v>
      </c>
      <c r="D9" s="843" t="s">
        <v>310</v>
      </c>
      <c r="E9" s="845">
        <v>42254</v>
      </c>
      <c r="F9" s="845">
        <v>42620</v>
      </c>
      <c r="G9" s="845">
        <v>42339</v>
      </c>
      <c r="H9" s="1001">
        <v>42376</v>
      </c>
      <c r="I9" s="846" t="s">
        <v>270</v>
      </c>
      <c r="J9" s="847" t="s">
        <v>280</v>
      </c>
    </row>
    <row r="10" spans="1:11" x14ac:dyDescent="0.2">
      <c r="A10" s="1004" t="s">
        <v>667</v>
      </c>
      <c r="B10" s="1005"/>
      <c r="C10" s="1006"/>
      <c r="D10" s="1005"/>
      <c r="E10" s="1007"/>
      <c r="F10" s="1007"/>
      <c r="G10" s="1007"/>
      <c r="H10" s="1008">
        <v>42381</v>
      </c>
      <c r="I10" s="1009" t="s">
        <v>276</v>
      </c>
      <c r="J10" s="1010"/>
    </row>
    <row r="11" spans="1:11" s="826" customFormat="1" x14ac:dyDescent="0.2">
      <c r="A11" s="1011" t="s">
        <v>417</v>
      </c>
      <c r="B11" s="1012">
        <v>1</v>
      </c>
      <c r="C11" s="1013" t="s">
        <v>70</v>
      </c>
      <c r="D11" s="1012"/>
      <c r="E11" s="1014">
        <v>42158</v>
      </c>
      <c r="F11" s="1014">
        <v>42411</v>
      </c>
      <c r="G11" s="1014">
        <v>42381</v>
      </c>
      <c r="H11" s="1015">
        <v>42381</v>
      </c>
      <c r="I11" s="1016" t="s">
        <v>270</v>
      </c>
      <c r="J11" s="1017" t="s">
        <v>269</v>
      </c>
    </row>
    <row r="12" spans="1:11" s="826" customFormat="1" x14ac:dyDescent="0.2">
      <c r="A12" s="1018" t="s">
        <v>667</v>
      </c>
      <c r="B12" s="1019"/>
      <c r="C12" s="1020"/>
      <c r="D12" s="1019"/>
      <c r="E12" s="1021"/>
      <c r="F12" s="1021"/>
      <c r="G12" s="1021"/>
      <c r="H12" s="1022">
        <v>42381</v>
      </c>
      <c r="I12" s="1023" t="s">
        <v>271</v>
      </c>
      <c r="J12" s="1024"/>
    </row>
    <row r="13" spans="1:11" x14ac:dyDescent="0.2">
      <c r="A13" s="842" t="s">
        <v>582</v>
      </c>
      <c r="B13" s="843">
        <v>1</v>
      </c>
      <c r="C13" s="844" t="s">
        <v>87</v>
      </c>
      <c r="D13" s="843" t="s">
        <v>138</v>
      </c>
      <c r="E13" s="845">
        <v>42250</v>
      </c>
      <c r="F13" s="845">
        <v>42616</v>
      </c>
      <c r="G13" s="845">
        <v>42339</v>
      </c>
      <c r="H13" s="1001">
        <v>42383</v>
      </c>
      <c r="I13" s="846" t="s">
        <v>276</v>
      </c>
      <c r="J13" s="847" t="s">
        <v>280</v>
      </c>
    </row>
    <row r="14" spans="1:11" x14ac:dyDescent="0.2">
      <c r="A14" s="842" t="s">
        <v>563</v>
      </c>
      <c r="B14" s="843">
        <v>1</v>
      </c>
      <c r="C14" s="844" t="s">
        <v>183</v>
      </c>
      <c r="D14" s="843" t="s">
        <v>87</v>
      </c>
      <c r="E14" s="845">
        <v>42250</v>
      </c>
      <c r="F14" s="845">
        <v>42616</v>
      </c>
      <c r="G14" s="845">
        <v>42339</v>
      </c>
      <c r="H14" s="1001">
        <v>42383</v>
      </c>
      <c r="I14" s="846" t="s">
        <v>270</v>
      </c>
      <c r="J14" s="847" t="s">
        <v>280</v>
      </c>
    </row>
    <row r="15" spans="1:11" ht="13.5" thickBot="1" x14ac:dyDescent="0.25">
      <c r="A15" s="848" t="s">
        <v>659</v>
      </c>
      <c r="B15" s="849">
        <v>1</v>
      </c>
      <c r="C15" s="850" t="s">
        <v>714</v>
      </c>
      <c r="D15" s="849" t="s">
        <v>138</v>
      </c>
      <c r="E15" s="851">
        <v>42045</v>
      </c>
      <c r="F15" s="851">
        <v>42410</v>
      </c>
      <c r="G15" s="851">
        <v>42381</v>
      </c>
      <c r="H15" s="1002">
        <v>42383</v>
      </c>
      <c r="I15" s="852" t="s">
        <v>271</v>
      </c>
      <c r="J15" s="853" t="s">
        <v>269</v>
      </c>
      <c r="K15" s="321" t="s">
        <v>731</v>
      </c>
    </row>
    <row r="16" spans="1:11" x14ac:dyDescent="0.2">
      <c r="A16" s="994" t="s">
        <v>660</v>
      </c>
      <c r="B16" s="995">
        <v>1</v>
      </c>
      <c r="C16" s="996" t="s">
        <v>70</v>
      </c>
      <c r="D16" s="995" t="s">
        <v>179</v>
      </c>
      <c r="E16" s="997">
        <v>42048</v>
      </c>
      <c r="F16" s="997">
        <v>42413</v>
      </c>
      <c r="G16" s="997">
        <v>42381</v>
      </c>
      <c r="H16" s="998">
        <v>42388</v>
      </c>
      <c r="I16" s="999" t="s">
        <v>276</v>
      </c>
      <c r="J16" s="1000" t="s">
        <v>269</v>
      </c>
    </row>
    <row r="17" spans="1:11" x14ac:dyDescent="0.2">
      <c r="A17" s="842" t="s">
        <v>661</v>
      </c>
      <c r="B17" s="843">
        <v>1</v>
      </c>
      <c r="C17" s="844" t="s">
        <v>87</v>
      </c>
      <c r="D17" s="843" t="s">
        <v>70</v>
      </c>
      <c r="E17" s="845">
        <v>42055</v>
      </c>
      <c r="F17" s="845">
        <v>42420</v>
      </c>
      <c r="G17" s="845">
        <v>42388</v>
      </c>
      <c r="H17" s="1001">
        <v>42388</v>
      </c>
      <c r="I17" s="846" t="s">
        <v>270</v>
      </c>
      <c r="J17" s="847" t="s">
        <v>269</v>
      </c>
    </row>
    <row r="18" spans="1:11" x14ac:dyDescent="0.2">
      <c r="A18" s="842" t="s">
        <v>662</v>
      </c>
      <c r="B18" s="843">
        <v>1</v>
      </c>
      <c r="C18" s="844" t="s">
        <v>179</v>
      </c>
      <c r="D18" s="843"/>
      <c r="E18" s="845">
        <v>42052</v>
      </c>
      <c r="F18" s="845">
        <v>42417</v>
      </c>
      <c r="G18" s="845">
        <v>42388</v>
      </c>
      <c r="H18" s="1001">
        <v>42388</v>
      </c>
      <c r="I18" s="846" t="s">
        <v>271</v>
      </c>
      <c r="J18" s="847" t="s">
        <v>269</v>
      </c>
    </row>
    <row r="19" spans="1:11" x14ac:dyDescent="0.2">
      <c r="A19" s="1343" t="s">
        <v>732</v>
      </c>
      <c r="B19" s="1344"/>
      <c r="C19" s="1344"/>
      <c r="D19" s="1344"/>
      <c r="E19" s="1344"/>
      <c r="F19" s="1344"/>
      <c r="G19" s="1345"/>
      <c r="H19" s="1022">
        <v>42390</v>
      </c>
      <c r="I19" s="1023"/>
      <c r="J19" s="1024"/>
    </row>
    <row r="20" spans="1:11" x14ac:dyDescent="0.2">
      <c r="A20" s="1346"/>
      <c r="B20" s="1347"/>
      <c r="C20" s="1347"/>
      <c r="D20" s="1347"/>
      <c r="E20" s="1347"/>
      <c r="F20" s="1347"/>
      <c r="G20" s="1348"/>
      <c r="H20" s="1022">
        <v>42390</v>
      </c>
      <c r="I20" s="1023"/>
      <c r="J20" s="1024"/>
    </row>
    <row r="21" spans="1:11" ht="13.5" thickBot="1" x14ac:dyDescent="0.25">
      <c r="A21" s="1349"/>
      <c r="B21" s="1350"/>
      <c r="C21" s="1350"/>
      <c r="D21" s="1350"/>
      <c r="E21" s="1350"/>
      <c r="F21" s="1350"/>
      <c r="G21" s="1351"/>
      <c r="H21" s="1025">
        <v>42390</v>
      </c>
      <c r="I21" s="1026"/>
      <c r="J21" s="1027"/>
    </row>
    <row r="22" spans="1:11" x14ac:dyDescent="0.2">
      <c r="A22" s="842" t="s">
        <v>637</v>
      </c>
      <c r="B22" s="843">
        <v>1</v>
      </c>
      <c r="C22" s="844" t="s">
        <v>179</v>
      </c>
      <c r="D22" s="843" t="s">
        <v>70</v>
      </c>
      <c r="E22" s="845">
        <v>42257</v>
      </c>
      <c r="F22" s="845">
        <v>42623</v>
      </c>
      <c r="G22" s="845">
        <v>42346</v>
      </c>
      <c r="H22" s="1001">
        <v>42395</v>
      </c>
      <c r="I22" s="846" t="s">
        <v>270</v>
      </c>
      <c r="J22" s="847" t="s">
        <v>280</v>
      </c>
    </row>
    <row r="23" spans="1:11" x14ac:dyDescent="0.2">
      <c r="A23" s="842" t="s">
        <v>326</v>
      </c>
      <c r="B23" s="843">
        <v>1</v>
      </c>
      <c r="C23" s="844" t="s">
        <v>179</v>
      </c>
      <c r="D23" s="843" t="s">
        <v>138</v>
      </c>
      <c r="E23" s="845">
        <v>42261</v>
      </c>
      <c r="F23" s="845">
        <v>42627</v>
      </c>
      <c r="G23" s="845">
        <v>42346</v>
      </c>
      <c r="H23" s="1001">
        <v>42395</v>
      </c>
      <c r="I23" s="846" t="s">
        <v>271</v>
      </c>
      <c r="J23" s="847" t="s">
        <v>280</v>
      </c>
    </row>
    <row r="24" spans="1:11" s="1003" customFormat="1" x14ac:dyDescent="0.2">
      <c r="A24" s="1038" t="s">
        <v>630</v>
      </c>
      <c r="B24" s="1039">
        <v>1</v>
      </c>
      <c r="C24" s="1040" t="s">
        <v>310</v>
      </c>
      <c r="D24" s="1039" t="s">
        <v>70</v>
      </c>
      <c r="E24" s="1041">
        <v>42261</v>
      </c>
      <c r="F24" s="1041">
        <v>42627</v>
      </c>
      <c r="G24" s="1041">
        <v>42346</v>
      </c>
      <c r="H24" s="1001">
        <v>42395</v>
      </c>
      <c r="I24" s="1042" t="s">
        <v>274</v>
      </c>
      <c r="J24" s="1043" t="s">
        <v>280</v>
      </c>
      <c r="K24" s="321" t="s">
        <v>733</v>
      </c>
    </row>
    <row r="25" spans="1:11" s="1003" customFormat="1" x14ac:dyDescent="0.2">
      <c r="A25" s="1038" t="s">
        <v>593</v>
      </c>
      <c r="B25" s="1039">
        <v>1</v>
      </c>
      <c r="C25" s="1040" t="s">
        <v>138</v>
      </c>
      <c r="D25" s="1039" t="s">
        <v>310</v>
      </c>
      <c r="E25" s="1041">
        <v>42257</v>
      </c>
      <c r="F25" s="1041">
        <v>42623</v>
      </c>
      <c r="G25" s="1041">
        <v>42346</v>
      </c>
      <c r="H25" s="1001">
        <v>42395</v>
      </c>
      <c r="I25" s="1042" t="s">
        <v>275</v>
      </c>
      <c r="J25" s="1043" t="s">
        <v>280</v>
      </c>
      <c r="K25" s="321" t="s">
        <v>733</v>
      </c>
    </row>
    <row r="26" spans="1:11" x14ac:dyDescent="0.2">
      <c r="A26" s="842" t="s">
        <v>636</v>
      </c>
      <c r="B26" s="843">
        <v>1</v>
      </c>
      <c r="C26" s="844" t="s">
        <v>138</v>
      </c>
      <c r="D26" s="843" t="s">
        <v>183</v>
      </c>
      <c r="E26" s="845">
        <v>42261</v>
      </c>
      <c r="F26" s="845">
        <v>42627</v>
      </c>
      <c r="G26" s="845">
        <v>42346</v>
      </c>
      <c r="H26" s="1001">
        <v>42397</v>
      </c>
      <c r="I26" s="846" t="s">
        <v>276</v>
      </c>
      <c r="J26" s="847" t="s">
        <v>280</v>
      </c>
    </row>
    <row r="27" spans="1:11" x14ac:dyDescent="0.2">
      <c r="A27" s="842" t="s">
        <v>734</v>
      </c>
      <c r="B27" s="843">
        <v>2</v>
      </c>
      <c r="C27" s="844" t="s">
        <v>310</v>
      </c>
      <c r="D27" s="843" t="s">
        <v>183</v>
      </c>
      <c r="E27" s="845">
        <v>42261</v>
      </c>
      <c r="F27" s="845">
        <v>42627</v>
      </c>
      <c r="G27" s="845">
        <v>42346</v>
      </c>
      <c r="H27" s="1001">
        <v>42397</v>
      </c>
      <c r="I27" s="846" t="s">
        <v>270</v>
      </c>
      <c r="J27" s="847" t="s">
        <v>280</v>
      </c>
      <c r="K27" s="321" t="s">
        <v>701</v>
      </c>
    </row>
    <row r="28" spans="1:11" ht="13.5" thickBot="1" x14ac:dyDescent="0.25">
      <c r="A28" s="848" t="s">
        <v>726</v>
      </c>
      <c r="B28" s="849"/>
      <c r="C28" s="850"/>
      <c r="D28" s="849"/>
      <c r="E28" s="851"/>
      <c r="F28" s="851"/>
      <c r="G28" s="851"/>
      <c r="H28" s="1002">
        <v>42397</v>
      </c>
      <c r="I28" s="852" t="s">
        <v>271</v>
      </c>
      <c r="J28" s="853" t="s">
        <v>280</v>
      </c>
      <c r="K28" s="321"/>
    </row>
    <row r="29" spans="1:11" s="321" customFormat="1" x14ac:dyDescent="0.2">
      <c r="A29" s="1044" t="s">
        <v>442</v>
      </c>
      <c r="B29" s="1045">
        <v>2</v>
      </c>
      <c r="C29" s="1046" t="s">
        <v>714</v>
      </c>
      <c r="D29" s="1045" t="s">
        <v>310</v>
      </c>
      <c r="E29" s="1047">
        <v>42048</v>
      </c>
      <c r="F29" s="1047">
        <v>42413</v>
      </c>
      <c r="G29" s="1047">
        <v>42381</v>
      </c>
      <c r="H29" s="998">
        <v>42402</v>
      </c>
      <c r="I29" s="999" t="s">
        <v>276</v>
      </c>
      <c r="J29" s="1000" t="s">
        <v>269</v>
      </c>
    </row>
    <row r="30" spans="1:11" s="321" customFormat="1" x14ac:dyDescent="0.2">
      <c r="A30" s="842" t="s">
        <v>716</v>
      </c>
      <c r="B30" s="843">
        <v>1</v>
      </c>
      <c r="C30" s="844" t="s">
        <v>714</v>
      </c>
      <c r="D30" s="843" t="s">
        <v>310</v>
      </c>
      <c r="E30" s="845">
        <v>42286</v>
      </c>
      <c r="F30" s="845">
        <v>42652</v>
      </c>
      <c r="G30" s="845">
        <v>42374</v>
      </c>
      <c r="H30" s="1001">
        <v>42402</v>
      </c>
      <c r="I30" s="846" t="s">
        <v>270</v>
      </c>
      <c r="J30" s="847" t="s">
        <v>280</v>
      </c>
    </row>
    <row r="31" spans="1:11" x14ac:dyDescent="0.2">
      <c r="A31" s="842" t="s">
        <v>414</v>
      </c>
      <c r="B31" s="843">
        <v>4</v>
      </c>
      <c r="C31" s="844" t="s">
        <v>310</v>
      </c>
      <c r="D31" s="843" t="s">
        <v>667</v>
      </c>
      <c r="E31" s="845">
        <v>42075</v>
      </c>
      <c r="F31" s="845">
        <v>42441</v>
      </c>
      <c r="G31" s="845">
        <v>42409</v>
      </c>
      <c r="H31" s="1001">
        <v>42402</v>
      </c>
      <c r="I31" s="846" t="s">
        <v>271</v>
      </c>
      <c r="J31" s="847" t="s">
        <v>269</v>
      </c>
    </row>
    <row r="32" spans="1:11" x14ac:dyDescent="0.2">
      <c r="A32" s="842" t="s">
        <v>505</v>
      </c>
      <c r="B32" s="843">
        <v>1</v>
      </c>
      <c r="C32" s="844" t="s">
        <v>179</v>
      </c>
      <c r="D32" s="843" t="s">
        <v>310</v>
      </c>
      <c r="E32" s="845">
        <v>42265</v>
      </c>
      <c r="F32" s="845">
        <v>42631</v>
      </c>
      <c r="G32" s="845">
        <v>42353</v>
      </c>
      <c r="H32" s="1001">
        <v>42404</v>
      </c>
      <c r="I32" s="846" t="s">
        <v>276</v>
      </c>
      <c r="J32" s="847" t="s">
        <v>280</v>
      </c>
    </row>
    <row r="33" spans="1:10" x14ac:dyDescent="0.2">
      <c r="A33" s="842" t="s">
        <v>602</v>
      </c>
      <c r="B33" s="843">
        <v>1</v>
      </c>
      <c r="C33" s="844" t="s">
        <v>179</v>
      </c>
      <c r="D33" s="843" t="s">
        <v>70</v>
      </c>
      <c r="E33" s="845">
        <v>42265</v>
      </c>
      <c r="F33" s="845">
        <v>42631</v>
      </c>
      <c r="G33" s="845">
        <v>42353</v>
      </c>
      <c r="H33" s="1001">
        <v>42404</v>
      </c>
      <c r="I33" s="846" t="s">
        <v>270</v>
      </c>
      <c r="J33" s="847" t="s">
        <v>280</v>
      </c>
    </row>
    <row r="34" spans="1:10" ht="13.5" thickBot="1" x14ac:dyDescent="0.25">
      <c r="A34" s="848" t="s">
        <v>580</v>
      </c>
      <c r="B34" s="849">
        <v>1</v>
      </c>
      <c r="C34" s="850" t="s">
        <v>714</v>
      </c>
      <c r="D34" s="849" t="s">
        <v>87</v>
      </c>
      <c r="E34" s="851"/>
      <c r="F34" s="851"/>
      <c r="G34" s="851">
        <v>42374</v>
      </c>
      <c r="H34" s="1002">
        <v>42404</v>
      </c>
      <c r="I34" s="852" t="s">
        <v>271</v>
      </c>
      <c r="J34" s="853" t="s">
        <v>280</v>
      </c>
    </row>
    <row r="35" spans="1:10" x14ac:dyDescent="0.2">
      <c r="A35" s="994" t="s">
        <v>422</v>
      </c>
      <c r="B35" s="995">
        <v>1</v>
      </c>
      <c r="C35" s="996" t="s">
        <v>70</v>
      </c>
      <c r="D35" s="995" t="s">
        <v>183</v>
      </c>
      <c r="E35" s="997">
        <v>42072</v>
      </c>
      <c r="F35" s="997">
        <v>42438</v>
      </c>
      <c r="G35" s="997">
        <v>42409</v>
      </c>
      <c r="H35" s="998">
        <v>42409</v>
      </c>
      <c r="I35" s="999" t="s">
        <v>276</v>
      </c>
      <c r="J35" s="1000" t="s">
        <v>269</v>
      </c>
    </row>
    <row r="36" spans="1:10" x14ac:dyDescent="0.2">
      <c r="A36" s="842" t="s">
        <v>463</v>
      </c>
      <c r="B36" s="843">
        <v>2</v>
      </c>
      <c r="C36" s="844" t="s">
        <v>87</v>
      </c>
      <c r="D36" s="843" t="s">
        <v>310</v>
      </c>
      <c r="E36" s="845">
        <v>42072</v>
      </c>
      <c r="F36" s="845">
        <v>42438</v>
      </c>
      <c r="G36" s="845">
        <v>42409</v>
      </c>
      <c r="H36" s="1001">
        <v>42409</v>
      </c>
      <c r="I36" s="846" t="s">
        <v>270</v>
      </c>
      <c r="J36" s="847" t="s">
        <v>269</v>
      </c>
    </row>
    <row r="37" spans="1:10" x14ac:dyDescent="0.2">
      <c r="A37" s="842" t="s">
        <v>692</v>
      </c>
      <c r="B37" s="843">
        <v>1</v>
      </c>
      <c r="C37" s="844" t="s">
        <v>179</v>
      </c>
      <c r="D37" s="843"/>
      <c r="E37" s="845">
        <v>42075</v>
      </c>
      <c r="F37" s="845">
        <v>42441</v>
      </c>
      <c r="G37" s="845">
        <v>42409</v>
      </c>
      <c r="H37" s="1001">
        <v>42409</v>
      </c>
      <c r="I37" s="846" t="s">
        <v>271</v>
      </c>
      <c r="J37" s="847" t="s">
        <v>269</v>
      </c>
    </row>
    <row r="38" spans="1:10" x14ac:dyDescent="0.2">
      <c r="A38" s="842" t="s">
        <v>207</v>
      </c>
      <c r="B38" s="843">
        <v>1</v>
      </c>
      <c r="C38" s="844" t="s">
        <v>310</v>
      </c>
      <c r="D38" s="843"/>
      <c r="E38" s="845">
        <v>41176</v>
      </c>
      <c r="F38" s="845">
        <v>42453</v>
      </c>
      <c r="G38" s="845">
        <v>42423</v>
      </c>
      <c r="H38" s="1001">
        <v>42411</v>
      </c>
      <c r="I38" s="846" t="s">
        <v>276</v>
      </c>
      <c r="J38" s="847" t="s">
        <v>269</v>
      </c>
    </row>
    <row r="39" spans="1:10" x14ac:dyDescent="0.2">
      <c r="A39" s="842" t="s">
        <v>666</v>
      </c>
      <c r="B39" s="843">
        <v>1</v>
      </c>
      <c r="C39" s="844" t="s">
        <v>70</v>
      </c>
      <c r="D39" s="843" t="s">
        <v>310</v>
      </c>
      <c r="E39" s="845">
        <v>42282</v>
      </c>
      <c r="F39" s="845">
        <v>42648</v>
      </c>
      <c r="G39" s="845">
        <v>42367</v>
      </c>
      <c r="H39" s="1001">
        <v>42411</v>
      </c>
      <c r="I39" s="846" t="s">
        <v>270</v>
      </c>
      <c r="J39" s="847" t="s">
        <v>280</v>
      </c>
    </row>
    <row r="40" spans="1:10" ht="13.5" thickBot="1" x14ac:dyDescent="0.25">
      <c r="A40" s="848" t="s">
        <v>667</v>
      </c>
      <c r="B40" s="849"/>
      <c r="C40" s="850"/>
      <c r="D40" s="849"/>
      <c r="E40" s="851"/>
      <c r="F40" s="851"/>
      <c r="G40" s="851"/>
      <c r="H40" s="1002">
        <v>42411</v>
      </c>
      <c r="I40" s="852" t="s">
        <v>271</v>
      </c>
      <c r="J40" s="853"/>
    </row>
    <row r="41" spans="1:10" x14ac:dyDescent="0.2">
      <c r="A41" s="994" t="s">
        <v>668</v>
      </c>
      <c r="B41" s="995">
        <v>1</v>
      </c>
      <c r="C41" s="996" t="s">
        <v>70</v>
      </c>
      <c r="D41" s="995"/>
      <c r="E41" s="997">
        <v>42081</v>
      </c>
      <c r="F41" s="997">
        <v>42446</v>
      </c>
      <c r="G41" s="997">
        <v>42416</v>
      </c>
      <c r="H41" s="998">
        <v>42416</v>
      </c>
      <c r="I41" s="999" t="s">
        <v>276</v>
      </c>
      <c r="J41" s="1000" t="s">
        <v>269</v>
      </c>
    </row>
    <row r="42" spans="1:10" x14ac:dyDescent="0.2">
      <c r="A42" s="842" t="s">
        <v>421</v>
      </c>
      <c r="B42" s="843">
        <v>1</v>
      </c>
      <c r="C42" s="844" t="s">
        <v>70</v>
      </c>
      <c r="D42" s="843" t="s">
        <v>310</v>
      </c>
      <c r="E42" s="845">
        <v>42079</v>
      </c>
      <c r="F42" s="845">
        <v>42445</v>
      </c>
      <c r="G42" s="845">
        <v>42416</v>
      </c>
      <c r="H42" s="1001">
        <v>42416</v>
      </c>
      <c r="I42" s="846" t="s">
        <v>270</v>
      </c>
      <c r="J42" s="847" t="s">
        <v>269</v>
      </c>
    </row>
    <row r="43" spans="1:10" s="321" customFormat="1" x14ac:dyDescent="0.2">
      <c r="A43" s="842" t="s">
        <v>444</v>
      </c>
      <c r="B43" s="843">
        <v>3</v>
      </c>
      <c r="C43" s="844" t="s">
        <v>179</v>
      </c>
      <c r="D43" s="843" t="s">
        <v>87</v>
      </c>
      <c r="E43" s="845">
        <v>42079</v>
      </c>
      <c r="F43" s="845">
        <v>42445</v>
      </c>
      <c r="G43" s="845">
        <v>42416</v>
      </c>
      <c r="H43" s="1001">
        <v>42416</v>
      </c>
      <c r="I43" s="846" t="s">
        <v>271</v>
      </c>
      <c r="J43" s="847" t="s">
        <v>269</v>
      </c>
    </row>
    <row r="44" spans="1:10" x14ac:dyDescent="0.2">
      <c r="A44" s="842" t="s">
        <v>309</v>
      </c>
      <c r="B44" s="843">
        <v>1</v>
      </c>
      <c r="C44" s="844" t="s">
        <v>310</v>
      </c>
      <c r="D44" s="843"/>
      <c r="E44" s="845">
        <v>42088</v>
      </c>
      <c r="F44" s="845">
        <v>42454</v>
      </c>
      <c r="G44" s="845">
        <v>42423</v>
      </c>
      <c r="H44" s="1001">
        <v>42418</v>
      </c>
      <c r="I44" s="846" t="s">
        <v>276</v>
      </c>
      <c r="J44" s="847" t="s">
        <v>269</v>
      </c>
    </row>
    <row r="45" spans="1:10" x14ac:dyDescent="0.2">
      <c r="A45" s="1028" t="s">
        <v>665</v>
      </c>
      <c r="B45" s="1029">
        <v>1</v>
      </c>
      <c r="C45" s="1030" t="s">
        <v>310</v>
      </c>
      <c r="D45" s="1029" t="s">
        <v>565</v>
      </c>
      <c r="E45" s="1031">
        <v>42075</v>
      </c>
      <c r="F45" s="1031">
        <v>42441</v>
      </c>
      <c r="G45" s="1031">
        <v>42409</v>
      </c>
      <c r="H45" s="1001">
        <v>42418</v>
      </c>
      <c r="I45" s="846" t="s">
        <v>270</v>
      </c>
      <c r="J45" s="1032" t="s">
        <v>269</v>
      </c>
    </row>
    <row r="46" spans="1:10" ht="13.5" thickBot="1" x14ac:dyDescent="0.25">
      <c r="A46" s="848" t="s">
        <v>737</v>
      </c>
      <c r="B46" s="849">
        <v>1</v>
      </c>
      <c r="C46" s="850" t="s">
        <v>179</v>
      </c>
      <c r="D46" s="849" t="s">
        <v>714</v>
      </c>
      <c r="E46" s="851"/>
      <c r="F46" s="851"/>
      <c r="G46" s="851">
        <v>42374</v>
      </c>
      <c r="H46" s="1002">
        <v>42418</v>
      </c>
      <c r="I46" s="852" t="s">
        <v>271</v>
      </c>
      <c r="J46" s="853" t="s">
        <v>280</v>
      </c>
    </row>
    <row r="47" spans="1:10" x14ac:dyDescent="0.2">
      <c r="A47" s="994" t="s">
        <v>643</v>
      </c>
      <c r="B47" s="995">
        <v>1</v>
      </c>
      <c r="C47" s="996" t="s">
        <v>714</v>
      </c>
      <c r="D47" s="995" t="s">
        <v>183</v>
      </c>
      <c r="E47" s="995"/>
      <c r="F47" s="995"/>
      <c r="G47" s="997">
        <v>42388</v>
      </c>
      <c r="H47" s="998">
        <v>42423</v>
      </c>
      <c r="I47" s="999" t="s">
        <v>276</v>
      </c>
      <c r="J47" s="1000" t="s">
        <v>280</v>
      </c>
    </row>
    <row r="48" spans="1:10" x14ac:dyDescent="0.2">
      <c r="A48" s="842" t="s">
        <v>576</v>
      </c>
      <c r="B48" s="843">
        <v>1</v>
      </c>
      <c r="C48" s="844" t="s">
        <v>87</v>
      </c>
      <c r="D48" s="843" t="s">
        <v>565</v>
      </c>
      <c r="E48" s="843"/>
      <c r="F48" s="843"/>
      <c r="G48" s="845">
        <v>42409</v>
      </c>
      <c r="H48" s="1001">
        <v>42423</v>
      </c>
      <c r="I48" s="846" t="s">
        <v>270</v>
      </c>
      <c r="J48" s="847" t="s">
        <v>280</v>
      </c>
    </row>
    <row r="49" spans="1:11" x14ac:dyDescent="0.2">
      <c r="A49" s="842" t="s">
        <v>487</v>
      </c>
      <c r="B49" s="843">
        <v>1</v>
      </c>
      <c r="C49" s="844" t="s">
        <v>179</v>
      </c>
      <c r="D49" s="843" t="s">
        <v>138</v>
      </c>
      <c r="E49" s="845">
        <v>42104</v>
      </c>
      <c r="F49" s="845">
        <v>42469</v>
      </c>
      <c r="G49" s="845">
        <v>42437</v>
      </c>
      <c r="H49" s="1001">
        <v>42425</v>
      </c>
      <c r="I49" s="854" t="s">
        <v>276</v>
      </c>
      <c r="J49" s="847" t="s">
        <v>280</v>
      </c>
    </row>
    <row r="50" spans="1:11" x14ac:dyDescent="0.2">
      <c r="A50" s="842" t="s">
        <v>618</v>
      </c>
      <c r="B50" s="843">
        <v>2</v>
      </c>
      <c r="C50" s="844" t="s">
        <v>87</v>
      </c>
      <c r="D50" s="843" t="s">
        <v>714</v>
      </c>
      <c r="E50" s="843"/>
      <c r="F50" s="843"/>
      <c r="G50" s="845">
        <v>42437</v>
      </c>
      <c r="H50" s="1001">
        <v>42425</v>
      </c>
      <c r="I50" s="846" t="s">
        <v>270</v>
      </c>
      <c r="J50" s="847" t="s">
        <v>280</v>
      </c>
    </row>
    <row r="51" spans="1:11" ht="13.5" thickBot="1" x14ac:dyDescent="0.25">
      <c r="A51" s="848" t="s">
        <v>667</v>
      </c>
      <c r="B51" s="849"/>
      <c r="C51" s="850"/>
      <c r="D51" s="849"/>
      <c r="E51" s="849"/>
      <c r="F51" s="849"/>
      <c r="G51" s="849"/>
      <c r="H51" s="1002">
        <v>42425</v>
      </c>
      <c r="I51" s="852" t="s">
        <v>271</v>
      </c>
      <c r="J51" s="853"/>
    </row>
    <row r="52" spans="1:11" x14ac:dyDescent="0.2">
      <c r="A52" s="842" t="s">
        <v>644</v>
      </c>
      <c r="B52" s="843">
        <v>4</v>
      </c>
      <c r="C52" s="844" t="s">
        <v>310</v>
      </c>
      <c r="D52" s="843" t="s">
        <v>179</v>
      </c>
      <c r="E52" s="843"/>
      <c r="F52" s="843"/>
      <c r="G52" s="845">
        <v>42424</v>
      </c>
      <c r="H52" s="1001">
        <v>42437</v>
      </c>
      <c r="I52" s="999" t="s">
        <v>276</v>
      </c>
      <c r="J52" s="1000" t="s">
        <v>269</v>
      </c>
      <c r="K52" s="321" t="s">
        <v>702</v>
      </c>
    </row>
    <row r="53" spans="1:11" x14ac:dyDescent="0.2">
      <c r="A53" s="842" t="s">
        <v>682</v>
      </c>
      <c r="B53" s="843">
        <v>1</v>
      </c>
      <c r="C53" s="844" t="s">
        <v>70</v>
      </c>
      <c r="D53" s="843" t="s">
        <v>179</v>
      </c>
      <c r="E53" s="843"/>
      <c r="F53" s="843"/>
      <c r="G53" s="845">
        <v>42423</v>
      </c>
      <c r="H53" s="1001">
        <v>42437</v>
      </c>
      <c r="I53" s="846" t="s">
        <v>270</v>
      </c>
      <c r="J53" s="847" t="s">
        <v>269</v>
      </c>
    </row>
    <row r="54" spans="1:11" x14ac:dyDescent="0.2">
      <c r="A54" s="842" t="s">
        <v>498</v>
      </c>
      <c r="B54" s="843">
        <v>1</v>
      </c>
      <c r="C54" s="844" t="s">
        <v>183</v>
      </c>
      <c r="D54" s="843" t="s">
        <v>310</v>
      </c>
      <c r="E54" s="845">
        <v>42093</v>
      </c>
      <c r="F54" s="845">
        <v>42459</v>
      </c>
      <c r="G54" s="845">
        <v>42430</v>
      </c>
      <c r="H54" s="1001">
        <v>42437</v>
      </c>
      <c r="I54" s="846" t="s">
        <v>271</v>
      </c>
      <c r="J54" s="847" t="s">
        <v>269</v>
      </c>
    </row>
    <row r="55" spans="1:11" x14ac:dyDescent="0.2">
      <c r="A55" s="1018" t="s">
        <v>667</v>
      </c>
      <c r="B55" s="1019"/>
      <c r="C55" s="1020"/>
      <c r="D55" s="1019"/>
      <c r="E55" s="1019"/>
      <c r="F55" s="1019"/>
      <c r="G55" s="1019"/>
      <c r="H55" s="1022">
        <v>42439</v>
      </c>
      <c r="I55" s="1023" t="s">
        <v>276</v>
      </c>
      <c r="J55" s="1024"/>
    </row>
    <row r="56" spans="1:11" x14ac:dyDescent="0.2">
      <c r="A56" s="1018" t="s">
        <v>667</v>
      </c>
      <c r="B56" s="1019"/>
      <c r="C56" s="1020"/>
      <c r="D56" s="1019"/>
      <c r="E56" s="1019"/>
      <c r="F56" s="1019"/>
      <c r="G56" s="1019"/>
      <c r="H56" s="1022">
        <v>42439</v>
      </c>
      <c r="I56" s="1023" t="s">
        <v>270</v>
      </c>
      <c r="J56" s="1024"/>
    </row>
    <row r="57" spans="1:11" ht="13.5" thickBot="1" x14ac:dyDescent="0.25">
      <c r="A57" s="1033" t="s">
        <v>667</v>
      </c>
      <c r="B57" s="1034"/>
      <c r="C57" s="1035"/>
      <c r="D57" s="1034"/>
      <c r="E57" s="1034"/>
      <c r="F57" s="1034"/>
      <c r="G57" s="1034"/>
      <c r="H57" s="1025">
        <v>42439</v>
      </c>
      <c r="I57" s="1026" t="s">
        <v>271</v>
      </c>
      <c r="J57" s="1027"/>
    </row>
    <row r="58" spans="1:11" x14ac:dyDescent="0.2">
      <c r="A58" s="994" t="s">
        <v>485</v>
      </c>
      <c r="B58" s="995"/>
      <c r="C58" s="996" t="s">
        <v>179</v>
      </c>
      <c r="D58" s="995" t="s">
        <v>714</v>
      </c>
      <c r="E58" s="997">
        <v>42111</v>
      </c>
      <c r="F58" s="997">
        <v>42476</v>
      </c>
      <c r="G58" s="997">
        <v>42444</v>
      </c>
      <c r="H58" s="1001">
        <v>42444</v>
      </c>
      <c r="I58" s="846" t="s">
        <v>738</v>
      </c>
      <c r="J58" s="847" t="s">
        <v>269</v>
      </c>
    </row>
    <row r="59" spans="1:11" ht="13.5" thickBot="1" x14ac:dyDescent="0.25">
      <c r="A59" s="842" t="s">
        <v>313</v>
      </c>
      <c r="B59" s="843"/>
      <c r="C59" s="844" t="s">
        <v>714</v>
      </c>
      <c r="D59" s="843"/>
      <c r="E59" s="845">
        <v>42102</v>
      </c>
      <c r="F59" s="845">
        <v>42468</v>
      </c>
      <c r="G59" s="845">
        <v>42437</v>
      </c>
      <c r="H59" s="1001">
        <v>42444</v>
      </c>
      <c r="I59" s="846" t="s">
        <v>270</v>
      </c>
      <c r="J59" s="847" t="s">
        <v>269</v>
      </c>
    </row>
    <row r="60" spans="1:11" x14ac:dyDescent="0.2">
      <c r="A60" s="994" t="s">
        <v>635</v>
      </c>
      <c r="B60" s="995">
        <v>1</v>
      </c>
      <c r="C60" s="996" t="s">
        <v>70</v>
      </c>
      <c r="D60" s="995" t="s">
        <v>179</v>
      </c>
      <c r="E60" s="997">
        <v>42257</v>
      </c>
      <c r="F60" s="997">
        <v>42623</v>
      </c>
      <c r="G60" s="997">
        <v>42346</v>
      </c>
      <c r="H60" s="1001">
        <v>42444</v>
      </c>
      <c r="I60" s="846" t="s">
        <v>271</v>
      </c>
      <c r="J60" s="847" t="s">
        <v>269</v>
      </c>
    </row>
    <row r="61" spans="1:11" x14ac:dyDescent="0.2">
      <c r="A61" s="1343" t="s">
        <v>732</v>
      </c>
      <c r="B61" s="1344"/>
      <c r="C61" s="1344"/>
      <c r="D61" s="1344"/>
      <c r="E61" s="1344"/>
      <c r="F61" s="1344"/>
      <c r="G61" s="1345"/>
      <c r="H61" s="1022">
        <v>42446</v>
      </c>
      <c r="I61" s="1023"/>
      <c r="J61" s="1024"/>
    </row>
    <row r="62" spans="1:11" x14ac:dyDescent="0.2">
      <c r="A62" s="1346"/>
      <c r="B62" s="1347"/>
      <c r="C62" s="1347"/>
      <c r="D62" s="1347"/>
      <c r="E62" s="1347"/>
      <c r="F62" s="1347"/>
      <c r="G62" s="1348"/>
      <c r="H62" s="1022">
        <v>42446</v>
      </c>
      <c r="I62" s="1023"/>
      <c r="J62" s="1024"/>
    </row>
    <row r="63" spans="1:11" ht="13.5" thickBot="1" x14ac:dyDescent="0.25">
      <c r="A63" s="1349"/>
      <c r="B63" s="1350"/>
      <c r="C63" s="1350"/>
      <c r="D63" s="1350"/>
      <c r="E63" s="1350"/>
      <c r="F63" s="1350"/>
      <c r="G63" s="1351"/>
      <c r="H63" s="1022">
        <v>42446</v>
      </c>
      <c r="I63" s="1026"/>
      <c r="J63" s="1027"/>
    </row>
    <row r="64" spans="1:11" x14ac:dyDescent="0.2">
      <c r="A64" s="842" t="s">
        <v>416</v>
      </c>
      <c r="B64" s="843"/>
      <c r="C64" s="844" t="s">
        <v>183</v>
      </c>
      <c r="D64" s="843"/>
      <c r="E64" s="845">
        <v>42104</v>
      </c>
      <c r="F64" s="845">
        <v>42470</v>
      </c>
      <c r="G64" s="845">
        <v>42437</v>
      </c>
      <c r="H64" s="998">
        <v>42451</v>
      </c>
      <c r="I64" s="999" t="s">
        <v>276</v>
      </c>
      <c r="J64" s="1000" t="s">
        <v>269</v>
      </c>
    </row>
    <row r="65" spans="1:10" x14ac:dyDescent="0.2">
      <c r="A65" s="842" t="s">
        <v>472</v>
      </c>
      <c r="B65" s="843"/>
      <c r="C65" s="844" t="s">
        <v>310</v>
      </c>
      <c r="D65" s="843" t="s">
        <v>70</v>
      </c>
      <c r="E65" s="845">
        <v>42111</v>
      </c>
      <c r="F65" s="845">
        <v>42476</v>
      </c>
      <c r="G65" s="845">
        <v>42444</v>
      </c>
      <c r="H65" s="1001">
        <v>42451</v>
      </c>
      <c r="I65" s="846" t="s">
        <v>270</v>
      </c>
      <c r="J65" s="847" t="s">
        <v>269</v>
      </c>
    </row>
    <row r="66" spans="1:10" x14ac:dyDescent="0.2">
      <c r="A66" s="842" t="s">
        <v>669</v>
      </c>
      <c r="B66" s="843"/>
      <c r="C66" s="844" t="s">
        <v>183</v>
      </c>
      <c r="D66" s="843" t="s">
        <v>310</v>
      </c>
      <c r="E66" s="845">
        <v>42131</v>
      </c>
      <c r="F66" s="845">
        <v>42487</v>
      </c>
      <c r="G66" s="845">
        <v>42458</v>
      </c>
      <c r="H66" s="1001">
        <v>42451</v>
      </c>
      <c r="I66" s="846" t="s">
        <v>271</v>
      </c>
      <c r="J66" s="847" t="s">
        <v>269</v>
      </c>
    </row>
    <row r="67" spans="1:10" x14ac:dyDescent="0.2">
      <c r="A67" s="842" t="s">
        <v>720</v>
      </c>
      <c r="B67" s="843">
        <v>1</v>
      </c>
      <c r="C67" s="844" t="s">
        <v>87</v>
      </c>
      <c r="D67" s="843" t="s">
        <v>310</v>
      </c>
      <c r="E67" s="843"/>
      <c r="F67" s="843"/>
      <c r="G67" s="845">
        <v>42437</v>
      </c>
      <c r="H67" s="1001">
        <v>42453</v>
      </c>
      <c r="I67" s="846" t="s">
        <v>276</v>
      </c>
      <c r="J67" s="847" t="s">
        <v>280</v>
      </c>
    </row>
    <row r="68" spans="1:10" x14ac:dyDescent="0.2">
      <c r="A68" s="842" t="s">
        <v>667</v>
      </c>
      <c r="B68" s="843"/>
      <c r="C68" s="844"/>
      <c r="D68" s="843"/>
      <c r="E68" s="843"/>
      <c r="F68" s="843"/>
      <c r="G68" s="843"/>
      <c r="H68" s="1001">
        <v>42453</v>
      </c>
      <c r="I68" s="846" t="s">
        <v>270</v>
      </c>
      <c r="J68" s="847"/>
    </row>
    <row r="69" spans="1:10" ht="13.5" thickBot="1" x14ac:dyDescent="0.25">
      <c r="A69" s="848" t="s">
        <v>667</v>
      </c>
      <c r="B69" s="849"/>
      <c r="C69" s="850"/>
      <c r="D69" s="849"/>
      <c r="E69" s="849"/>
      <c r="F69" s="849"/>
      <c r="G69" s="849"/>
      <c r="H69" s="1002">
        <v>42453</v>
      </c>
      <c r="I69" s="852" t="s">
        <v>271</v>
      </c>
      <c r="J69" s="853"/>
    </row>
    <row r="70" spans="1:10" s="827" customFormat="1" x14ac:dyDescent="0.2">
      <c r="A70" s="994" t="s">
        <v>667</v>
      </c>
      <c r="B70" s="995"/>
      <c r="C70" s="996"/>
      <c r="D70" s="995"/>
      <c r="E70" s="997"/>
      <c r="F70" s="997"/>
      <c r="G70" s="997"/>
      <c r="H70" s="998">
        <v>42458</v>
      </c>
      <c r="I70" s="999" t="s">
        <v>276</v>
      </c>
      <c r="J70" s="1000"/>
    </row>
    <row r="71" spans="1:10" s="827" customFormat="1" x14ac:dyDescent="0.2">
      <c r="A71" s="842" t="s">
        <v>569</v>
      </c>
      <c r="B71" s="843"/>
      <c r="C71" s="844" t="s">
        <v>70</v>
      </c>
      <c r="D71" s="843" t="s">
        <v>87</v>
      </c>
      <c r="E71" s="845">
        <v>42142</v>
      </c>
      <c r="F71" s="845">
        <v>42507</v>
      </c>
      <c r="G71" s="845">
        <v>42472</v>
      </c>
      <c r="H71" s="1001">
        <v>42458</v>
      </c>
      <c r="I71" s="846" t="s">
        <v>270</v>
      </c>
      <c r="J71" s="847" t="s">
        <v>269</v>
      </c>
    </row>
    <row r="72" spans="1:10" s="827" customFormat="1" x14ac:dyDescent="0.2">
      <c r="A72" s="842" t="s">
        <v>570</v>
      </c>
      <c r="B72" s="843"/>
      <c r="C72" s="844" t="s">
        <v>310</v>
      </c>
      <c r="D72" s="843" t="s">
        <v>179</v>
      </c>
      <c r="E72" s="845">
        <v>42137</v>
      </c>
      <c r="F72" s="845">
        <v>42502</v>
      </c>
      <c r="G72" s="845">
        <v>42472</v>
      </c>
      <c r="H72" s="1001">
        <v>42458</v>
      </c>
      <c r="I72" s="846" t="s">
        <v>271</v>
      </c>
      <c r="J72" s="847" t="s">
        <v>269</v>
      </c>
    </row>
    <row r="73" spans="1:10" x14ac:dyDescent="0.2">
      <c r="A73" s="842" t="s">
        <v>667</v>
      </c>
      <c r="B73" s="843"/>
      <c r="C73" s="844"/>
      <c r="D73" s="843"/>
      <c r="E73" s="843"/>
      <c r="F73" s="843"/>
      <c r="G73" s="843"/>
      <c r="H73" s="1001">
        <v>42460</v>
      </c>
      <c r="I73" s="846" t="s">
        <v>276</v>
      </c>
      <c r="J73" s="847"/>
    </row>
    <row r="74" spans="1:10" x14ac:dyDescent="0.2">
      <c r="A74" s="842" t="s">
        <v>667</v>
      </c>
      <c r="B74" s="843"/>
      <c r="C74" s="844"/>
      <c r="D74" s="843"/>
      <c r="E74" s="843"/>
      <c r="F74" s="843"/>
      <c r="G74" s="843"/>
      <c r="H74" s="1001">
        <v>42460</v>
      </c>
      <c r="I74" s="846" t="s">
        <v>270</v>
      </c>
      <c r="J74" s="847"/>
    </row>
    <row r="75" spans="1:10" ht="13.5" thickBot="1" x14ac:dyDescent="0.25">
      <c r="A75" s="848" t="s">
        <v>667</v>
      </c>
      <c r="B75" s="849"/>
      <c r="C75" s="850"/>
      <c r="D75" s="849"/>
      <c r="E75" s="849"/>
      <c r="F75" s="849"/>
      <c r="G75" s="849"/>
      <c r="H75" s="1002">
        <v>42460</v>
      </c>
      <c r="I75" s="852" t="s">
        <v>271</v>
      </c>
      <c r="J75" s="853"/>
    </row>
    <row r="76" spans="1:10" x14ac:dyDescent="0.2">
      <c r="A76" s="994" t="s">
        <v>571</v>
      </c>
      <c r="B76" s="995"/>
      <c r="C76" s="996" t="s">
        <v>70</v>
      </c>
      <c r="D76" s="995" t="s">
        <v>310</v>
      </c>
      <c r="E76" s="997">
        <v>42142</v>
      </c>
      <c r="F76" s="997">
        <v>42507</v>
      </c>
      <c r="G76" s="997">
        <v>42472</v>
      </c>
      <c r="H76" s="998">
        <v>42465</v>
      </c>
      <c r="I76" s="999" t="s">
        <v>276</v>
      </c>
      <c r="J76" s="1000" t="s">
        <v>269</v>
      </c>
    </row>
    <row r="77" spans="1:10" x14ac:dyDescent="0.2">
      <c r="A77" s="842" t="s">
        <v>318</v>
      </c>
      <c r="B77" s="843"/>
      <c r="C77" s="844" t="s">
        <v>310</v>
      </c>
      <c r="D77" s="843"/>
      <c r="E77" s="845">
        <v>42140</v>
      </c>
      <c r="F77" s="845">
        <v>42506</v>
      </c>
      <c r="G77" s="845">
        <v>42472</v>
      </c>
      <c r="H77" s="1001">
        <v>42465</v>
      </c>
      <c r="I77" s="846" t="s">
        <v>270</v>
      </c>
      <c r="J77" s="847" t="s">
        <v>269</v>
      </c>
    </row>
    <row r="78" spans="1:10" x14ac:dyDescent="0.2">
      <c r="A78" s="842" t="s">
        <v>670</v>
      </c>
      <c r="B78" s="843"/>
      <c r="C78" s="844" t="s">
        <v>70</v>
      </c>
      <c r="D78" s="843"/>
      <c r="E78" s="845">
        <v>42138</v>
      </c>
      <c r="F78" s="845">
        <v>42504</v>
      </c>
      <c r="G78" s="845">
        <v>42472</v>
      </c>
      <c r="H78" s="1001">
        <v>42465</v>
      </c>
      <c r="I78" s="846" t="s">
        <v>271</v>
      </c>
      <c r="J78" s="847" t="s">
        <v>269</v>
      </c>
    </row>
    <row r="79" spans="1:10" x14ac:dyDescent="0.2">
      <c r="A79" s="842" t="s">
        <v>557</v>
      </c>
      <c r="B79" s="843">
        <v>1</v>
      </c>
      <c r="C79" s="844" t="s">
        <v>714</v>
      </c>
      <c r="D79" s="843"/>
      <c r="E79" s="843"/>
      <c r="F79" s="843"/>
      <c r="G79" s="845">
        <v>42374</v>
      </c>
      <c r="H79" s="1001">
        <v>42467</v>
      </c>
      <c r="I79" s="846" t="s">
        <v>276</v>
      </c>
      <c r="J79" s="847" t="s">
        <v>280</v>
      </c>
    </row>
    <row r="80" spans="1:10" x14ac:dyDescent="0.2">
      <c r="A80" s="842" t="s">
        <v>667</v>
      </c>
      <c r="B80" s="843"/>
      <c r="C80" s="844"/>
      <c r="D80" s="843"/>
      <c r="E80" s="843"/>
      <c r="F80" s="843"/>
      <c r="G80" s="843"/>
      <c r="H80" s="1001">
        <v>42467</v>
      </c>
      <c r="I80" s="846" t="s">
        <v>270</v>
      </c>
      <c r="J80" s="847"/>
    </row>
    <row r="81" spans="1:10" ht="13.5" thickBot="1" x14ac:dyDescent="0.25">
      <c r="A81" s="848" t="s">
        <v>667</v>
      </c>
      <c r="B81" s="849"/>
      <c r="C81" s="850"/>
      <c r="D81" s="849"/>
      <c r="E81" s="849"/>
      <c r="F81" s="849"/>
      <c r="G81" s="849"/>
      <c r="H81" s="1002">
        <v>42467</v>
      </c>
      <c r="I81" s="852" t="s">
        <v>271</v>
      </c>
      <c r="J81" s="853"/>
    </row>
    <row r="82" spans="1:10" x14ac:dyDescent="0.2">
      <c r="A82" s="994" t="s">
        <v>671</v>
      </c>
      <c r="B82" s="995"/>
      <c r="C82" s="996" t="s">
        <v>714</v>
      </c>
      <c r="D82" s="995" t="s">
        <v>87</v>
      </c>
      <c r="E82" s="997">
        <v>42138</v>
      </c>
      <c r="F82" s="997">
        <v>42504</v>
      </c>
      <c r="G82" s="997">
        <v>42472</v>
      </c>
      <c r="H82" s="998">
        <v>42472</v>
      </c>
      <c r="I82" s="999" t="s">
        <v>276</v>
      </c>
      <c r="J82" s="1000" t="s">
        <v>269</v>
      </c>
    </row>
    <row r="83" spans="1:10" x14ac:dyDescent="0.2">
      <c r="A83" s="842" t="s">
        <v>672</v>
      </c>
      <c r="B83" s="843"/>
      <c r="C83" s="844" t="s">
        <v>87</v>
      </c>
      <c r="D83" s="843"/>
      <c r="E83" s="845">
        <v>42139</v>
      </c>
      <c r="F83" s="845">
        <v>42505</v>
      </c>
      <c r="G83" s="845">
        <v>42472</v>
      </c>
      <c r="H83" s="1001">
        <v>42472</v>
      </c>
      <c r="I83" s="846" t="s">
        <v>270</v>
      </c>
      <c r="J83" s="847" t="s">
        <v>269</v>
      </c>
    </row>
    <row r="84" spans="1:10" x14ac:dyDescent="0.2">
      <c r="A84" s="842" t="s">
        <v>667</v>
      </c>
      <c r="B84" s="843"/>
      <c r="C84" s="844"/>
      <c r="D84" s="843"/>
      <c r="E84" s="843"/>
      <c r="F84" s="843"/>
      <c r="G84" s="843"/>
      <c r="H84" s="1001">
        <v>42472</v>
      </c>
      <c r="I84" s="846" t="s">
        <v>271</v>
      </c>
      <c r="J84" s="847"/>
    </row>
    <row r="85" spans="1:10" x14ac:dyDescent="0.2">
      <c r="A85" s="1343" t="s">
        <v>732</v>
      </c>
      <c r="B85" s="1344"/>
      <c r="C85" s="1344"/>
      <c r="D85" s="1344"/>
      <c r="E85" s="1344"/>
      <c r="F85" s="1344"/>
      <c r="G85" s="1345"/>
      <c r="H85" s="1022">
        <v>42474</v>
      </c>
      <c r="I85" s="1023"/>
      <c r="J85" s="1024"/>
    </row>
    <row r="86" spans="1:10" x14ac:dyDescent="0.2">
      <c r="A86" s="1346"/>
      <c r="B86" s="1347"/>
      <c r="C86" s="1347"/>
      <c r="D86" s="1347"/>
      <c r="E86" s="1347"/>
      <c r="F86" s="1347"/>
      <c r="G86" s="1348"/>
      <c r="H86" s="1022">
        <v>42474</v>
      </c>
      <c r="I86" s="1023"/>
      <c r="J86" s="1024"/>
    </row>
    <row r="87" spans="1:10" ht="13.5" thickBot="1" x14ac:dyDescent="0.25">
      <c r="A87" s="1349"/>
      <c r="B87" s="1350"/>
      <c r="C87" s="1350"/>
      <c r="D87" s="1350"/>
      <c r="E87" s="1350"/>
      <c r="F87" s="1350"/>
      <c r="G87" s="1351"/>
      <c r="H87" s="1022">
        <v>42474</v>
      </c>
      <c r="I87" s="1026"/>
      <c r="J87" s="1027"/>
    </row>
    <row r="88" spans="1:10" x14ac:dyDescent="0.2">
      <c r="A88" s="994" t="s">
        <v>667</v>
      </c>
      <c r="B88" s="995"/>
      <c r="C88" s="996"/>
      <c r="D88" s="995"/>
      <c r="E88" s="995"/>
      <c r="F88" s="995"/>
      <c r="G88" s="995"/>
      <c r="H88" s="998">
        <v>42479</v>
      </c>
      <c r="I88" s="999" t="s">
        <v>276</v>
      </c>
      <c r="J88" s="1000"/>
    </row>
    <row r="89" spans="1:10" x14ac:dyDescent="0.2">
      <c r="A89" s="842" t="s">
        <v>667</v>
      </c>
      <c r="B89" s="843"/>
      <c r="C89" s="844"/>
      <c r="D89" s="843"/>
      <c r="E89" s="843"/>
      <c r="F89" s="843"/>
      <c r="G89" s="843"/>
      <c r="H89" s="1001">
        <v>42479</v>
      </c>
      <c r="I89" s="846" t="s">
        <v>270</v>
      </c>
      <c r="J89" s="847"/>
    </row>
    <row r="90" spans="1:10" x14ac:dyDescent="0.2">
      <c r="A90" s="842" t="s">
        <v>667</v>
      </c>
      <c r="B90" s="843"/>
      <c r="C90" s="844"/>
      <c r="D90" s="843"/>
      <c r="E90" s="843"/>
      <c r="F90" s="843"/>
      <c r="G90" s="843"/>
      <c r="H90" s="1001">
        <v>42479</v>
      </c>
      <c r="I90" s="846" t="s">
        <v>271</v>
      </c>
      <c r="J90" s="847"/>
    </row>
    <row r="91" spans="1:10" x14ac:dyDescent="0.2">
      <c r="A91" s="842" t="s">
        <v>667</v>
      </c>
      <c r="B91" s="843"/>
      <c r="C91" s="844"/>
      <c r="D91" s="843"/>
      <c r="E91" s="843"/>
      <c r="F91" s="843"/>
      <c r="G91" s="843"/>
      <c r="H91" s="1001">
        <v>42481</v>
      </c>
      <c r="I91" s="846" t="s">
        <v>276</v>
      </c>
      <c r="J91" s="847"/>
    </row>
    <row r="92" spans="1:10" x14ac:dyDescent="0.2">
      <c r="A92" s="842" t="s">
        <v>667</v>
      </c>
      <c r="B92" s="843"/>
      <c r="C92" s="844"/>
      <c r="D92" s="843"/>
      <c r="E92" s="843"/>
      <c r="F92" s="843"/>
      <c r="G92" s="843"/>
      <c r="H92" s="1001">
        <v>42481</v>
      </c>
      <c r="I92" s="846" t="s">
        <v>270</v>
      </c>
      <c r="J92" s="847"/>
    </row>
    <row r="93" spans="1:10" ht="13.5" thickBot="1" x14ac:dyDescent="0.25">
      <c r="A93" s="848" t="s">
        <v>667</v>
      </c>
      <c r="B93" s="849"/>
      <c r="C93" s="850"/>
      <c r="D93" s="849"/>
      <c r="E93" s="849"/>
      <c r="F93" s="849"/>
      <c r="G93" s="849"/>
      <c r="H93" s="1002">
        <v>42481</v>
      </c>
      <c r="I93" s="852" t="s">
        <v>271</v>
      </c>
      <c r="J93" s="853"/>
    </row>
    <row r="94" spans="1:10" x14ac:dyDescent="0.2">
      <c r="H94" s="441"/>
    </row>
    <row r="95" spans="1:10" x14ac:dyDescent="0.2">
      <c r="H95" s="441"/>
    </row>
    <row r="96" spans="1:10" x14ac:dyDescent="0.2">
      <c r="H96" s="441"/>
    </row>
    <row r="97" spans="8:8" x14ac:dyDescent="0.2">
      <c r="H97" s="441"/>
    </row>
    <row r="98" spans="8:8" x14ac:dyDescent="0.2">
      <c r="H98" s="441"/>
    </row>
    <row r="99" spans="8:8" x14ac:dyDescent="0.2">
      <c r="H99" s="441"/>
    </row>
  </sheetData>
  <autoFilter ref="A1:J93">
    <sortState ref="A2:K108">
      <sortCondition ref="H1"/>
    </sortState>
  </autoFilter>
  <sortState ref="A2:J108">
    <sortCondition ref="H2:H108"/>
    <sortCondition ref="I2:I108"/>
  </sortState>
  <mergeCells count="3">
    <mergeCell ref="A19:G21"/>
    <mergeCell ref="A61:G63"/>
    <mergeCell ref="A85:G87"/>
  </mergeCells>
  <conditionalFormatting sqref="A85 H85:J87 A60:G60 A2:J18 A64:J84 A22:J59">
    <cfRule type="expression" dxfId="4" priority="2">
      <formula>MOD(ROW(),2)</formula>
    </cfRule>
  </conditionalFormatting>
  <conditionalFormatting sqref="A19 H19:J21 A88:J92">
    <cfRule type="expression" dxfId="3" priority="5">
      <formula>MOD(ROW(),2)</formula>
    </cfRule>
  </conditionalFormatting>
  <conditionalFormatting sqref="A93:J93">
    <cfRule type="expression" dxfId="2" priority="4">
      <formula>MOD(ROW(),2)</formula>
    </cfRule>
  </conditionalFormatting>
  <conditionalFormatting sqref="A61 H61:J63">
    <cfRule type="expression" dxfId="1" priority="3">
      <formula>MOD(ROW(),2)</formula>
    </cfRule>
  </conditionalFormatting>
  <conditionalFormatting sqref="H60:J60">
    <cfRule type="expression" dxfId="0" priority="1">
      <formula>MOD(ROW(),2)</formula>
    </cfRule>
  </conditionalFormatting>
  <pageMargins left="0.25" right="0.25" top="0.75" bottom="0.75" header="0.3" footer="0.3"/>
  <pageSetup paperSize="9" scale="63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'[ENFANTS 2015-copie.xlsx]Variables'!#REF!</xm:f>
          </x14:formula1>
          <xm:sqref>I72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2" sqref="A12"/>
    </sheetView>
  </sheetViews>
  <sheetFormatPr baseColWidth="10" defaultRowHeight="12.75" x14ac:dyDescent="0.2"/>
  <sheetData>
    <row r="1" spans="1:4" x14ac:dyDescent="0.2">
      <c r="A1" t="s">
        <v>278</v>
      </c>
    </row>
    <row r="3" spans="1:4" x14ac:dyDescent="0.2">
      <c r="A3" t="s">
        <v>279</v>
      </c>
    </row>
    <row r="4" spans="1:4" x14ac:dyDescent="0.2">
      <c r="A4" t="s">
        <v>276</v>
      </c>
    </row>
    <row r="5" spans="1:4" x14ac:dyDescent="0.2">
      <c r="A5" t="s">
        <v>270</v>
      </c>
    </row>
    <row r="6" spans="1:4" x14ac:dyDescent="0.2">
      <c r="A6" t="s">
        <v>273</v>
      </c>
    </row>
    <row r="7" spans="1:4" x14ac:dyDescent="0.2">
      <c r="A7" t="s">
        <v>272</v>
      </c>
    </row>
    <row r="8" spans="1:4" x14ac:dyDescent="0.2">
      <c r="A8" t="s">
        <v>271</v>
      </c>
    </row>
    <row r="9" spans="1:4" x14ac:dyDescent="0.2">
      <c r="A9" t="s">
        <v>274</v>
      </c>
    </row>
    <row r="10" spans="1:4" x14ac:dyDescent="0.2">
      <c r="A10" t="s">
        <v>275</v>
      </c>
    </row>
    <row r="11" spans="1:4" x14ac:dyDescent="0.2">
      <c r="A11" s="321" t="s">
        <v>443</v>
      </c>
    </row>
    <row r="14" spans="1:4" x14ac:dyDescent="0.2">
      <c r="A14" t="s">
        <v>381</v>
      </c>
      <c r="B14" t="s">
        <v>382</v>
      </c>
      <c r="C14" t="s">
        <v>383</v>
      </c>
      <c r="D14" t="s">
        <v>384</v>
      </c>
    </row>
    <row r="15" spans="1:4" x14ac:dyDescent="0.2">
      <c r="A15" t="s">
        <v>156</v>
      </c>
      <c r="B15" t="s">
        <v>85</v>
      </c>
      <c r="C15">
        <v>7.2</v>
      </c>
      <c r="D15">
        <v>12</v>
      </c>
    </row>
    <row r="16" spans="1:4" x14ac:dyDescent="0.2">
      <c r="A16" t="s">
        <v>225</v>
      </c>
      <c r="B16" t="s">
        <v>385</v>
      </c>
      <c r="C16">
        <v>9.8000000000000007</v>
      </c>
      <c r="D16">
        <v>17</v>
      </c>
    </row>
    <row r="17" spans="1:4" x14ac:dyDescent="0.2">
      <c r="A17" t="s">
        <v>162</v>
      </c>
      <c r="B17" t="s">
        <v>386</v>
      </c>
      <c r="C17">
        <v>4.8</v>
      </c>
      <c r="D17">
        <v>11</v>
      </c>
    </row>
    <row r="18" spans="1:4" x14ac:dyDescent="0.2">
      <c r="A18" t="s">
        <v>16</v>
      </c>
      <c r="B18" t="s">
        <v>15</v>
      </c>
      <c r="C18">
        <v>4</v>
      </c>
      <c r="D18">
        <v>12</v>
      </c>
    </row>
    <row r="19" spans="1:4" x14ac:dyDescent="0.2">
      <c r="A19" t="s">
        <v>62</v>
      </c>
      <c r="B19" t="s">
        <v>387</v>
      </c>
      <c r="C19">
        <v>9.1999999999999993</v>
      </c>
      <c r="D19">
        <v>15</v>
      </c>
    </row>
    <row r="20" spans="1:4" x14ac:dyDescent="0.2">
      <c r="A20" t="s">
        <v>13</v>
      </c>
      <c r="B20" t="s">
        <v>12</v>
      </c>
      <c r="C20">
        <v>2.4</v>
      </c>
      <c r="D20">
        <v>6</v>
      </c>
    </row>
    <row r="21" spans="1:4" x14ac:dyDescent="0.2">
      <c r="A21" t="s">
        <v>157</v>
      </c>
      <c r="B21" t="s">
        <v>388</v>
      </c>
      <c r="C21">
        <v>10.5</v>
      </c>
      <c r="D21">
        <v>13</v>
      </c>
    </row>
    <row r="22" spans="1:4" x14ac:dyDescent="0.2">
      <c r="A22" t="s">
        <v>389</v>
      </c>
      <c r="B22" t="s">
        <v>390</v>
      </c>
      <c r="C22">
        <v>10.199999999999999</v>
      </c>
      <c r="D22">
        <v>11</v>
      </c>
    </row>
    <row r="23" spans="1:4" x14ac:dyDescent="0.2">
      <c r="A23" t="s">
        <v>20</v>
      </c>
      <c r="B23" t="s">
        <v>19</v>
      </c>
      <c r="C23">
        <v>2.2000000000000002</v>
      </c>
      <c r="D23">
        <v>7</v>
      </c>
    </row>
    <row r="24" spans="1:4" x14ac:dyDescent="0.2">
      <c r="A24" t="s">
        <v>391</v>
      </c>
      <c r="B24" t="s">
        <v>392</v>
      </c>
      <c r="C24">
        <v>13</v>
      </c>
      <c r="D24">
        <v>18</v>
      </c>
    </row>
    <row r="25" spans="1:4" x14ac:dyDescent="0.2">
      <c r="A25" t="s">
        <v>160</v>
      </c>
      <c r="B25" t="s">
        <v>37</v>
      </c>
      <c r="C25">
        <v>5.6</v>
      </c>
      <c r="D25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8"/>
  <sheetViews>
    <sheetView topLeftCell="A25" workbookViewId="0">
      <selection activeCell="K18" sqref="K18"/>
    </sheetView>
  </sheetViews>
  <sheetFormatPr baseColWidth="10" defaultRowHeight="12.75" x14ac:dyDescent="0.2"/>
  <cols>
    <col min="1" max="1" width="37.7109375" bestFit="1" customWidth="1"/>
    <col min="2" max="2" width="26.85546875" bestFit="1" customWidth="1"/>
    <col min="3" max="3" width="16.28515625" bestFit="1" customWidth="1"/>
    <col min="4" max="4" width="11.28515625" bestFit="1" customWidth="1"/>
    <col min="5" max="5" width="8.7109375" bestFit="1" customWidth="1"/>
    <col min="6" max="6" width="11.28515625" bestFit="1" customWidth="1"/>
    <col min="7" max="7" width="9.140625" bestFit="1" customWidth="1"/>
  </cols>
  <sheetData>
    <row r="1" spans="1:7" ht="36.75" thickBot="1" x14ac:dyDescent="0.25">
      <c r="A1" s="897" t="s">
        <v>410</v>
      </c>
      <c r="B1" s="898" t="s">
        <v>0</v>
      </c>
      <c r="C1" s="898" t="s">
        <v>1</v>
      </c>
      <c r="D1" s="899" t="s">
        <v>263</v>
      </c>
      <c r="E1" s="900" t="s">
        <v>8</v>
      </c>
      <c r="F1" s="899" t="s">
        <v>698</v>
      </c>
      <c r="G1" s="901" t="s">
        <v>418</v>
      </c>
    </row>
    <row r="2" spans="1:7" x14ac:dyDescent="0.2">
      <c r="A2" s="902" t="s">
        <v>493</v>
      </c>
      <c r="B2" s="904" t="s">
        <v>448</v>
      </c>
      <c r="C2" s="906" t="s">
        <v>449</v>
      </c>
      <c r="D2" s="908">
        <v>42054</v>
      </c>
      <c r="E2" s="910">
        <v>42079</v>
      </c>
      <c r="F2" s="910"/>
      <c r="G2" s="912">
        <v>42445</v>
      </c>
    </row>
    <row r="3" spans="1:7" x14ac:dyDescent="0.2">
      <c r="A3" s="883" t="s">
        <v>706</v>
      </c>
      <c r="B3" s="855" t="s">
        <v>539</v>
      </c>
      <c r="C3" s="856" t="s">
        <v>540</v>
      </c>
      <c r="D3" s="857">
        <v>42157</v>
      </c>
      <c r="E3" s="858">
        <v>42184</v>
      </c>
      <c r="F3" s="858"/>
      <c r="G3" s="886">
        <v>42549</v>
      </c>
    </row>
    <row r="4" spans="1:7" x14ac:dyDescent="0.2">
      <c r="A4" s="883" t="s">
        <v>706</v>
      </c>
      <c r="B4" s="855" t="s">
        <v>539</v>
      </c>
      <c r="C4" s="856" t="s">
        <v>541</v>
      </c>
      <c r="D4" s="857">
        <v>42157</v>
      </c>
      <c r="E4" s="858">
        <v>42184</v>
      </c>
      <c r="F4" s="858"/>
      <c r="G4" s="886">
        <v>42549</v>
      </c>
    </row>
    <row r="5" spans="1:7" x14ac:dyDescent="0.2">
      <c r="A5" s="881" t="s">
        <v>705</v>
      </c>
      <c r="B5" s="859" t="s">
        <v>457</v>
      </c>
      <c r="C5" s="860" t="s">
        <v>458</v>
      </c>
      <c r="D5" s="861">
        <v>42058</v>
      </c>
      <c r="E5" s="862">
        <v>42142</v>
      </c>
      <c r="F5" s="862"/>
      <c r="G5" s="882">
        <v>42141</v>
      </c>
    </row>
    <row r="6" spans="1:7" x14ac:dyDescent="0.2">
      <c r="A6" s="883" t="s">
        <v>542</v>
      </c>
      <c r="B6" s="855" t="s">
        <v>542</v>
      </c>
      <c r="C6" s="856" t="s">
        <v>543</v>
      </c>
      <c r="D6" s="857">
        <v>42160</v>
      </c>
      <c r="E6" s="858">
        <v>42186</v>
      </c>
      <c r="F6" s="858"/>
      <c r="G6" s="884">
        <v>42551</v>
      </c>
    </row>
    <row r="7" spans="1:7" x14ac:dyDescent="0.2">
      <c r="A7" s="883" t="s">
        <v>542</v>
      </c>
      <c r="B7" s="855" t="s">
        <v>542</v>
      </c>
      <c r="C7" s="856" t="s">
        <v>544</v>
      </c>
      <c r="D7" s="857">
        <v>42160</v>
      </c>
      <c r="E7" s="858">
        <v>42186</v>
      </c>
      <c r="F7" s="858"/>
      <c r="G7" s="884">
        <v>42551</v>
      </c>
    </row>
    <row r="8" spans="1:7" x14ac:dyDescent="0.2">
      <c r="A8" s="883" t="s">
        <v>655</v>
      </c>
      <c r="B8" s="855" t="s">
        <v>551</v>
      </c>
      <c r="C8" s="856" t="s">
        <v>211</v>
      </c>
      <c r="D8" s="857">
        <v>42164</v>
      </c>
      <c r="E8" s="858">
        <v>42208</v>
      </c>
      <c r="F8" s="858"/>
      <c r="G8" s="884">
        <v>42574</v>
      </c>
    </row>
    <row r="9" spans="1:7" x14ac:dyDescent="0.2">
      <c r="A9" s="883" t="s">
        <v>442</v>
      </c>
      <c r="B9" s="855" t="s">
        <v>441</v>
      </c>
      <c r="C9" s="856" t="s">
        <v>191</v>
      </c>
      <c r="D9" s="857">
        <v>42033</v>
      </c>
      <c r="E9" s="858">
        <v>42048</v>
      </c>
      <c r="F9" s="858"/>
      <c r="G9" s="884">
        <v>42413</v>
      </c>
    </row>
    <row r="10" spans="1:7" x14ac:dyDescent="0.2">
      <c r="A10" s="883" t="s">
        <v>442</v>
      </c>
      <c r="B10" s="855" t="s">
        <v>427</v>
      </c>
      <c r="C10" s="856" t="s">
        <v>428</v>
      </c>
      <c r="D10" s="857">
        <v>42033</v>
      </c>
      <c r="E10" s="858">
        <v>42048</v>
      </c>
      <c r="F10" s="858"/>
      <c r="G10" s="886">
        <v>42413</v>
      </c>
    </row>
    <row r="11" spans="1:7" x14ac:dyDescent="0.2">
      <c r="A11" s="883" t="s">
        <v>573</v>
      </c>
      <c r="B11" s="855" t="s">
        <v>522</v>
      </c>
      <c r="C11" s="856" t="s">
        <v>523</v>
      </c>
      <c r="D11" s="857">
        <v>42121</v>
      </c>
      <c r="E11" s="858">
        <v>42184</v>
      </c>
      <c r="F11" s="858"/>
      <c r="G11" s="884">
        <v>42549</v>
      </c>
    </row>
    <row r="12" spans="1:7" x14ac:dyDescent="0.2">
      <c r="A12" s="885" t="s">
        <v>661</v>
      </c>
      <c r="B12" s="863" t="s">
        <v>439</v>
      </c>
      <c r="C12" s="863" t="s">
        <v>440</v>
      </c>
      <c r="D12" s="857">
        <v>42046</v>
      </c>
      <c r="E12" s="858">
        <v>42055</v>
      </c>
      <c r="F12" s="858"/>
      <c r="G12" s="884">
        <v>42420</v>
      </c>
    </row>
    <row r="13" spans="1:7" x14ac:dyDescent="0.2">
      <c r="A13" s="885" t="s">
        <v>487</v>
      </c>
      <c r="B13" s="863" t="s">
        <v>487</v>
      </c>
      <c r="C13" s="863" t="s">
        <v>488</v>
      </c>
      <c r="D13" s="857">
        <v>42102</v>
      </c>
      <c r="E13" s="858">
        <v>42104</v>
      </c>
      <c r="F13" s="858"/>
      <c r="G13" s="884">
        <v>42469</v>
      </c>
    </row>
    <row r="14" spans="1:7" x14ac:dyDescent="0.2">
      <c r="A14" s="885" t="s">
        <v>656</v>
      </c>
      <c r="B14" s="863" t="s">
        <v>552</v>
      </c>
      <c r="C14" s="863" t="s">
        <v>553</v>
      </c>
      <c r="D14" s="857">
        <v>42164</v>
      </c>
      <c r="E14" s="858">
        <v>42208</v>
      </c>
      <c r="F14" s="858"/>
      <c r="G14" s="884">
        <v>42573</v>
      </c>
    </row>
    <row r="15" spans="1:7" x14ac:dyDescent="0.2">
      <c r="A15" s="885" t="s">
        <v>569</v>
      </c>
      <c r="B15" s="863" t="s">
        <v>530</v>
      </c>
      <c r="C15" s="863" t="s">
        <v>531</v>
      </c>
      <c r="D15" s="857">
        <v>42128</v>
      </c>
      <c r="E15" s="858">
        <v>42142</v>
      </c>
      <c r="F15" s="858"/>
      <c r="G15" s="884">
        <v>42507</v>
      </c>
    </row>
    <row r="16" spans="1:7" x14ac:dyDescent="0.2">
      <c r="A16" s="883" t="s">
        <v>657</v>
      </c>
      <c r="B16" s="855" t="s">
        <v>556</v>
      </c>
      <c r="C16" s="856" t="s">
        <v>163</v>
      </c>
      <c r="D16" s="857">
        <v>42177</v>
      </c>
      <c r="E16" s="858">
        <v>42208</v>
      </c>
      <c r="F16" s="858"/>
      <c r="G16" s="884">
        <v>42573</v>
      </c>
    </row>
    <row r="17" spans="1:7" x14ac:dyDescent="0.2">
      <c r="A17" s="883" t="s">
        <v>684</v>
      </c>
      <c r="B17" s="855" t="s">
        <v>397</v>
      </c>
      <c r="C17" s="856" t="s">
        <v>398</v>
      </c>
      <c r="D17" s="857">
        <v>41995</v>
      </c>
      <c r="E17" s="858">
        <v>42016</v>
      </c>
      <c r="F17" s="858"/>
      <c r="G17" s="886">
        <v>42381</v>
      </c>
    </row>
    <row r="18" spans="1:7" x14ac:dyDescent="0.2">
      <c r="A18" s="883" t="s">
        <v>653</v>
      </c>
      <c r="B18" s="855" t="s">
        <v>554</v>
      </c>
      <c r="C18" s="856" t="s">
        <v>555</v>
      </c>
      <c r="D18" s="857">
        <v>42177</v>
      </c>
      <c r="E18" s="858">
        <v>42184</v>
      </c>
      <c r="F18" s="858"/>
      <c r="G18" s="886">
        <v>42549</v>
      </c>
    </row>
    <row r="19" spans="1:7" x14ac:dyDescent="0.2">
      <c r="A19" s="883" t="s">
        <v>516</v>
      </c>
      <c r="B19" s="855" t="s">
        <v>516</v>
      </c>
      <c r="C19" s="856" t="s">
        <v>364</v>
      </c>
      <c r="D19" s="857">
        <v>42118</v>
      </c>
      <c r="E19" s="858">
        <v>42144</v>
      </c>
      <c r="F19" s="858"/>
      <c r="G19" s="886">
        <v>42509</v>
      </c>
    </row>
    <row r="20" spans="1:7" x14ac:dyDescent="0.2">
      <c r="A20" s="883" t="s">
        <v>505</v>
      </c>
      <c r="B20" s="855" t="s">
        <v>505</v>
      </c>
      <c r="C20" s="856" t="s">
        <v>506</v>
      </c>
      <c r="D20" s="857">
        <v>42114</v>
      </c>
      <c r="E20" s="858">
        <v>42265</v>
      </c>
      <c r="F20" s="858"/>
      <c r="G20" s="884">
        <v>42631</v>
      </c>
    </row>
    <row r="21" spans="1:7" x14ac:dyDescent="0.2">
      <c r="A21" s="883" t="s">
        <v>666</v>
      </c>
      <c r="B21" s="855" t="s">
        <v>534</v>
      </c>
      <c r="C21" s="856" t="s">
        <v>535</v>
      </c>
      <c r="D21" s="857">
        <v>42145</v>
      </c>
      <c r="E21" s="858">
        <v>42282</v>
      </c>
      <c r="F21" s="858"/>
      <c r="G21" s="886">
        <v>42648</v>
      </c>
    </row>
    <row r="22" spans="1:7" x14ac:dyDescent="0.2">
      <c r="A22" s="883" t="s">
        <v>636</v>
      </c>
      <c r="B22" s="855" t="s">
        <v>600</v>
      </c>
      <c r="C22" s="856" t="s">
        <v>601</v>
      </c>
      <c r="D22" s="857">
        <v>42200</v>
      </c>
      <c r="E22" s="858">
        <v>42261</v>
      </c>
      <c r="F22" s="858"/>
      <c r="G22" s="886">
        <v>42627</v>
      </c>
    </row>
    <row r="23" spans="1:7" x14ac:dyDescent="0.2">
      <c r="A23" s="883" t="s">
        <v>602</v>
      </c>
      <c r="B23" s="855" t="s">
        <v>602</v>
      </c>
      <c r="C23" s="856" t="s">
        <v>603</v>
      </c>
      <c r="D23" s="857">
        <v>42206</v>
      </c>
      <c r="E23" s="858">
        <v>42265</v>
      </c>
      <c r="F23" s="858"/>
      <c r="G23" s="886">
        <v>42631</v>
      </c>
    </row>
    <row r="24" spans="1:7" x14ac:dyDescent="0.2">
      <c r="A24" s="883" t="s">
        <v>658</v>
      </c>
      <c r="B24" s="855" t="s">
        <v>562</v>
      </c>
      <c r="C24" s="856" t="s">
        <v>221</v>
      </c>
      <c r="D24" s="857">
        <v>42179</v>
      </c>
      <c r="E24" s="858">
        <v>42209</v>
      </c>
      <c r="F24" s="858"/>
      <c r="G24" s="886">
        <v>42575</v>
      </c>
    </row>
    <row r="25" spans="1:7" x14ac:dyDescent="0.2">
      <c r="A25" s="889" t="s">
        <v>675</v>
      </c>
      <c r="B25" s="868" t="s">
        <v>676</v>
      </c>
      <c r="C25" s="869" t="s">
        <v>596</v>
      </c>
      <c r="D25" s="870">
        <v>42195</v>
      </c>
      <c r="E25" s="871">
        <v>42261</v>
      </c>
      <c r="F25" s="871"/>
      <c r="G25" s="890">
        <v>42318</v>
      </c>
    </row>
    <row r="26" spans="1:7" x14ac:dyDescent="0.2">
      <c r="A26" s="889" t="s">
        <v>675</v>
      </c>
      <c r="B26" s="868" t="s">
        <v>676</v>
      </c>
      <c r="C26" s="869" t="s">
        <v>595</v>
      </c>
      <c r="D26" s="870">
        <v>42195</v>
      </c>
      <c r="E26" s="871">
        <v>42261</v>
      </c>
      <c r="F26" s="871"/>
      <c r="G26" s="890">
        <v>42318</v>
      </c>
    </row>
    <row r="27" spans="1:7" x14ac:dyDescent="0.2">
      <c r="A27" s="881" t="s">
        <v>451</v>
      </c>
      <c r="B27" s="859" t="s">
        <v>451</v>
      </c>
      <c r="C27" s="860" t="s">
        <v>452</v>
      </c>
      <c r="D27" s="861">
        <v>42055</v>
      </c>
      <c r="E27" s="862">
        <v>42118</v>
      </c>
      <c r="F27" s="862"/>
      <c r="G27" s="882">
        <v>42484</v>
      </c>
    </row>
    <row r="28" spans="1:7" x14ac:dyDescent="0.2">
      <c r="A28" s="883" t="s">
        <v>399</v>
      </c>
      <c r="B28" s="855" t="s">
        <v>399</v>
      </c>
      <c r="C28" s="856" t="s">
        <v>420</v>
      </c>
      <c r="D28" s="857">
        <v>42003</v>
      </c>
      <c r="E28" s="858">
        <v>42009</v>
      </c>
      <c r="F28" s="858"/>
      <c r="G28" s="884">
        <v>42374</v>
      </c>
    </row>
    <row r="29" spans="1:7" x14ac:dyDescent="0.2">
      <c r="A29" s="887" t="s">
        <v>491</v>
      </c>
      <c r="B29" s="864" t="s">
        <v>491</v>
      </c>
      <c r="C29" s="865" t="s">
        <v>492</v>
      </c>
      <c r="D29" s="866">
        <v>42104</v>
      </c>
      <c r="E29" s="867">
        <v>42165</v>
      </c>
      <c r="F29" s="867"/>
      <c r="G29" s="888">
        <v>42530</v>
      </c>
    </row>
    <row r="30" spans="1:7" x14ac:dyDescent="0.2">
      <c r="A30" s="883" t="s">
        <v>491</v>
      </c>
      <c r="B30" s="855" t="s">
        <v>491</v>
      </c>
      <c r="C30" s="856" t="s">
        <v>467</v>
      </c>
      <c r="D30" s="857">
        <v>42104</v>
      </c>
      <c r="E30" s="858">
        <v>42165</v>
      </c>
      <c r="F30" s="858"/>
      <c r="G30" s="886">
        <v>42530</v>
      </c>
    </row>
    <row r="31" spans="1:7" x14ac:dyDescent="0.2">
      <c r="A31" s="883" t="s">
        <v>491</v>
      </c>
      <c r="B31" s="855" t="s">
        <v>491</v>
      </c>
      <c r="C31" s="856" t="s">
        <v>250</v>
      </c>
      <c r="D31" s="857">
        <v>42104</v>
      </c>
      <c r="E31" s="858">
        <v>42165</v>
      </c>
      <c r="F31" s="858"/>
      <c r="G31" s="886">
        <v>42530</v>
      </c>
    </row>
    <row r="32" spans="1:7" x14ac:dyDescent="0.2">
      <c r="A32" s="883" t="s">
        <v>598</v>
      </c>
      <c r="B32" s="855" t="s">
        <v>598</v>
      </c>
      <c r="C32" s="856" t="s">
        <v>599</v>
      </c>
      <c r="D32" s="857">
        <v>42192</v>
      </c>
      <c r="E32" s="858">
        <v>42250</v>
      </c>
      <c r="F32" s="858"/>
      <c r="G32" s="886">
        <v>42250</v>
      </c>
    </row>
    <row r="33" spans="1:7" x14ac:dyDescent="0.2">
      <c r="A33" s="883" t="s">
        <v>630</v>
      </c>
      <c r="B33" s="855" t="s">
        <v>567</v>
      </c>
      <c r="C33" s="856" t="s">
        <v>568</v>
      </c>
      <c r="D33" s="857">
        <v>42184</v>
      </c>
      <c r="E33" s="858">
        <v>42261</v>
      </c>
      <c r="F33" s="858"/>
      <c r="G33" s="886">
        <v>42627</v>
      </c>
    </row>
    <row r="34" spans="1:7" x14ac:dyDescent="0.2">
      <c r="A34" s="883" t="s">
        <v>633</v>
      </c>
      <c r="B34" s="855" t="s">
        <v>607</v>
      </c>
      <c r="C34" s="856" t="s">
        <v>608</v>
      </c>
      <c r="D34" s="857">
        <v>42201</v>
      </c>
      <c r="E34" s="858">
        <v>42250</v>
      </c>
      <c r="F34" s="858"/>
      <c r="G34" s="886">
        <v>42616</v>
      </c>
    </row>
    <row r="35" spans="1:7" x14ac:dyDescent="0.2">
      <c r="A35" s="883" t="s">
        <v>570</v>
      </c>
      <c r="B35" s="855" t="s">
        <v>520</v>
      </c>
      <c r="C35" s="856" t="s">
        <v>521</v>
      </c>
      <c r="D35" s="857">
        <v>42121</v>
      </c>
      <c r="E35" s="858">
        <v>42137</v>
      </c>
      <c r="F35" s="858"/>
      <c r="G35" s="884">
        <v>42502</v>
      </c>
    </row>
    <row r="36" spans="1:7" x14ac:dyDescent="0.2">
      <c r="A36" s="883" t="s">
        <v>593</v>
      </c>
      <c r="B36" s="855" t="s">
        <v>593</v>
      </c>
      <c r="C36" s="856" t="s">
        <v>594</v>
      </c>
      <c r="D36" s="857">
        <v>42188</v>
      </c>
      <c r="E36" s="858">
        <v>42257</v>
      </c>
      <c r="F36" s="858"/>
      <c r="G36" s="886">
        <v>42623</v>
      </c>
    </row>
    <row r="37" spans="1:7" x14ac:dyDescent="0.2">
      <c r="A37" s="883" t="s">
        <v>545</v>
      </c>
      <c r="B37" s="855" t="s">
        <v>514</v>
      </c>
      <c r="C37" s="856" t="s">
        <v>515</v>
      </c>
      <c r="D37" s="857">
        <v>42118</v>
      </c>
      <c r="E37" s="858">
        <v>42144</v>
      </c>
      <c r="F37" s="858"/>
      <c r="G37" s="884">
        <v>42510</v>
      </c>
    </row>
    <row r="38" spans="1:7" x14ac:dyDescent="0.2">
      <c r="A38" s="883" t="s">
        <v>632</v>
      </c>
      <c r="B38" s="855" t="s">
        <v>585</v>
      </c>
      <c r="C38" s="856" t="s">
        <v>586</v>
      </c>
      <c r="D38" s="857">
        <v>42186</v>
      </c>
      <c r="E38" s="858">
        <v>42254</v>
      </c>
      <c r="F38" s="858"/>
      <c r="G38" s="886">
        <v>42620</v>
      </c>
    </row>
    <row r="39" spans="1:7" x14ac:dyDescent="0.2">
      <c r="A39" s="895" t="s">
        <v>455</v>
      </c>
      <c r="B39" s="876" t="s">
        <v>455</v>
      </c>
      <c r="C39" s="876" t="s">
        <v>456</v>
      </c>
      <c r="D39" s="861">
        <v>42058</v>
      </c>
      <c r="E39" s="862">
        <v>42101</v>
      </c>
      <c r="F39" s="862"/>
      <c r="G39" s="882">
        <v>42467</v>
      </c>
    </row>
    <row r="40" spans="1:7" x14ac:dyDescent="0.2">
      <c r="A40" s="885" t="s">
        <v>498</v>
      </c>
      <c r="B40" s="863" t="s">
        <v>466</v>
      </c>
      <c r="C40" s="863" t="s">
        <v>467</v>
      </c>
      <c r="D40" s="857">
        <v>42075</v>
      </c>
      <c r="E40" s="858">
        <v>42093</v>
      </c>
      <c r="F40" s="858"/>
      <c r="G40" s="884">
        <v>42459</v>
      </c>
    </row>
    <row r="41" spans="1:7" x14ac:dyDescent="0.2">
      <c r="A41" s="883" t="s">
        <v>485</v>
      </c>
      <c r="B41" s="855" t="s">
        <v>485</v>
      </c>
      <c r="C41" s="856" t="s">
        <v>486</v>
      </c>
      <c r="D41" s="857">
        <v>42096</v>
      </c>
      <c r="E41" s="858">
        <v>42111</v>
      </c>
      <c r="F41" s="858"/>
      <c r="G41" s="886">
        <v>42476</v>
      </c>
    </row>
    <row r="42" spans="1:7" x14ac:dyDescent="0.2">
      <c r="A42" s="883" t="s">
        <v>508</v>
      </c>
      <c r="B42" s="855" t="s">
        <v>509</v>
      </c>
      <c r="C42" s="856" t="s">
        <v>510</v>
      </c>
      <c r="D42" s="857">
        <v>42080</v>
      </c>
      <c r="E42" s="858">
        <v>42104</v>
      </c>
      <c r="F42" s="858"/>
      <c r="G42" s="886">
        <v>42470</v>
      </c>
    </row>
    <row r="43" spans="1:7" x14ac:dyDescent="0.2">
      <c r="A43" s="881" t="s">
        <v>499</v>
      </c>
      <c r="B43" s="859" t="s">
        <v>499</v>
      </c>
      <c r="C43" s="860" t="s">
        <v>500</v>
      </c>
      <c r="D43" s="861">
        <v>42110</v>
      </c>
      <c r="E43" s="862">
        <v>42131</v>
      </c>
      <c r="F43" s="862"/>
      <c r="G43" s="894">
        <v>42665</v>
      </c>
    </row>
    <row r="44" spans="1:7" x14ac:dyDescent="0.2">
      <c r="A44" s="887" t="s">
        <v>709</v>
      </c>
      <c r="B44" s="864" t="s">
        <v>524</v>
      </c>
      <c r="C44" s="865" t="s">
        <v>201</v>
      </c>
      <c r="D44" s="866">
        <v>42121</v>
      </c>
      <c r="E44" s="867">
        <v>42184</v>
      </c>
      <c r="F44" s="867"/>
      <c r="G44" s="888">
        <v>42549</v>
      </c>
    </row>
    <row r="45" spans="1:7" x14ac:dyDescent="0.2">
      <c r="A45" s="883" t="s">
        <v>572</v>
      </c>
      <c r="B45" s="855" t="s">
        <v>525</v>
      </c>
      <c r="C45" s="856" t="s">
        <v>526</v>
      </c>
      <c r="D45" s="857">
        <v>42121</v>
      </c>
      <c r="E45" s="858">
        <v>42163</v>
      </c>
      <c r="F45" s="858"/>
      <c r="G45" s="886">
        <v>42529</v>
      </c>
    </row>
    <row r="46" spans="1:7" x14ac:dyDescent="0.2">
      <c r="A46" s="883" t="s">
        <v>584</v>
      </c>
      <c r="B46" s="855" t="s">
        <v>584</v>
      </c>
      <c r="C46" s="856" t="s">
        <v>219</v>
      </c>
      <c r="D46" s="857">
        <v>42184</v>
      </c>
      <c r="E46" s="858">
        <v>42250</v>
      </c>
      <c r="F46" s="858"/>
      <c r="G46" s="886">
        <v>42616</v>
      </c>
    </row>
    <row r="47" spans="1:7" x14ac:dyDescent="0.2">
      <c r="A47" s="883" t="s">
        <v>360</v>
      </c>
      <c r="B47" s="855" t="s">
        <v>360</v>
      </c>
      <c r="C47" s="856" t="s">
        <v>161</v>
      </c>
      <c r="D47" s="857">
        <v>41920</v>
      </c>
      <c r="E47" s="858">
        <v>42016</v>
      </c>
      <c r="F47" s="858"/>
      <c r="G47" s="886">
        <v>42381</v>
      </c>
    </row>
    <row r="48" spans="1:7" x14ac:dyDescent="0.2">
      <c r="A48" s="883" t="s">
        <v>360</v>
      </c>
      <c r="B48" s="855" t="s">
        <v>360</v>
      </c>
      <c r="C48" s="856" t="s">
        <v>218</v>
      </c>
      <c r="D48" s="857">
        <v>42039</v>
      </c>
      <c r="E48" s="858">
        <v>42039</v>
      </c>
      <c r="F48" s="858"/>
      <c r="G48" s="886">
        <v>42404</v>
      </c>
    </row>
    <row r="49" spans="1:7" x14ac:dyDescent="0.2">
      <c r="A49" s="883" t="s">
        <v>689</v>
      </c>
      <c r="B49" s="855" t="s">
        <v>643</v>
      </c>
      <c r="C49" s="856" t="s">
        <v>203</v>
      </c>
      <c r="D49" s="857">
        <v>42278</v>
      </c>
      <c r="E49" s="858">
        <v>42300</v>
      </c>
      <c r="F49" s="858"/>
      <c r="G49" s="886">
        <v>42665</v>
      </c>
    </row>
    <row r="50" spans="1:7" x14ac:dyDescent="0.2">
      <c r="A50" s="881" t="s">
        <v>501</v>
      </c>
      <c r="B50" s="859" t="s">
        <v>481</v>
      </c>
      <c r="C50" s="860" t="s">
        <v>482</v>
      </c>
      <c r="D50" s="861">
        <v>42093</v>
      </c>
      <c r="E50" s="862">
        <v>42111</v>
      </c>
      <c r="F50" s="862"/>
      <c r="G50" s="894">
        <v>42476</v>
      </c>
    </row>
    <row r="51" spans="1:7" x14ac:dyDescent="0.2">
      <c r="A51" s="881" t="s">
        <v>501</v>
      </c>
      <c r="B51" s="859" t="s">
        <v>481</v>
      </c>
      <c r="C51" s="860" t="s">
        <v>211</v>
      </c>
      <c r="D51" s="861">
        <v>42093</v>
      </c>
      <c r="E51" s="862">
        <v>42111</v>
      </c>
      <c r="F51" s="862"/>
      <c r="G51" s="894">
        <v>42476</v>
      </c>
    </row>
    <row r="52" spans="1:7" x14ac:dyDescent="0.2">
      <c r="A52" s="881" t="s">
        <v>501</v>
      </c>
      <c r="B52" s="859" t="s">
        <v>483</v>
      </c>
      <c r="C52" s="860" t="s">
        <v>484</v>
      </c>
      <c r="D52" s="861">
        <v>42093</v>
      </c>
      <c r="E52" s="862">
        <v>42111</v>
      </c>
      <c r="F52" s="862"/>
      <c r="G52" s="894">
        <v>42476</v>
      </c>
    </row>
    <row r="53" spans="1:7" x14ac:dyDescent="0.2">
      <c r="A53" s="881" t="s">
        <v>501</v>
      </c>
      <c r="B53" s="859" t="s">
        <v>478</v>
      </c>
      <c r="C53" s="860" t="s">
        <v>479</v>
      </c>
      <c r="D53" s="861">
        <v>42093</v>
      </c>
      <c r="E53" s="862">
        <v>42111</v>
      </c>
      <c r="F53" s="862"/>
      <c r="G53" s="894">
        <v>42476</v>
      </c>
    </row>
    <row r="54" spans="1:7" x14ac:dyDescent="0.2">
      <c r="A54" s="881" t="s">
        <v>501</v>
      </c>
      <c r="B54" s="859" t="s">
        <v>478</v>
      </c>
      <c r="C54" s="860" t="s">
        <v>480</v>
      </c>
      <c r="D54" s="861">
        <v>42093</v>
      </c>
      <c r="E54" s="862">
        <v>42111</v>
      </c>
      <c r="F54" s="862"/>
      <c r="G54" s="894">
        <v>42476</v>
      </c>
    </row>
    <row r="55" spans="1:7" x14ac:dyDescent="0.2">
      <c r="A55" s="883" t="s">
        <v>472</v>
      </c>
      <c r="B55" s="855" t="s">
        <v>472</v>
      </c>
      <c r="C55" s="856" t="s">
        <v>473</v>
      </c>
      <c r="D55" s="857">
        <v>42087</v>
      </c>
      <c r="E55" s="858">
        <v>42111</v>
      </c>
      <c r="F55" s="858"/>
      <c r="G55" s="886">
        <v>42476</v>
      </c>
    </row>
    <row r="56" spans="1:7" x14ac:dyDescent="0.2">
      <c r="A56" s="883" t="s">
        <v>71</v>
      </c>
      <c r="B56" s="855" t="s">
        <v>71</v>
      </c>
      <c r="C56" s="856" t="s">
        <v>688</v>
      </c>
      <c r="D56" s="857">
        <v>42179</v>
      </c>
      <c r="E56" s="858">
        <v>42298</v>
      </c>
      <c r="F56" s="858">
        <v>42317</v>
      </c>
      <c r="G56" s="886">
        <v>42664</v>
      </c>
    </row>
    <row r="57" spans="1:7" x14ac:dyDescent="0.2">
      <c r="A57" s="883" t="s">
        <v>537</v>
      </c>
      <c r="B57" s="855" t="s">
        <v>494</v>
      </c>
      <c r="C57" s="856" t="s">
        <v>495</v>
      </c>
      <c r="D57" s="857">
        <v>42107</v>
      </c>
      <c r="E57" s="858">
        <v>42153</v>
      </c>
      <c r="F57" s="858"/>
      <c r="G57" s="886">
        <v>42519</v>
      </c>
    </row>
    <row r="58" spans="1:7" x14ac:dyDescent="0.2">
      <c r="A58" s="883" t="s">
        <v>537</v>
      </c>
      <c r="B58" s="855" t="s">
        <v>496</v>
      </c>
      <c r="C58" s="856" t="s">
        <v>497</v>
      </c>
      <c r="D58" s="857">
        <v>42107</v>
      </c>
      <c r="E58" s="858">
        <v>42153</v>
      </c>
      <c r="F58" s="858"/>
      <c r="G58" s="886">
        <v>42519</v>
      </c>
    </row>
    <row r="59" spans="1:7" x14ac:dyDescent="0.2">
      <c r="A59" s="891" t="s">
        <v>673</v>
      </c>
      <c r="B59" s="872" t="s">
        <v>580</v>
      </c>
      <c r="C59" s="873" t="s">
        <v>581</v>
      </c>
      <c r="D59" s="874">
        <v>42186</v>
      </c>
      <c r="E59" s="875">
        <v>42286</v>
      </c>
      <c r="F59" s="875"/>
      <c r="G59" s="892">
        <v>42672</v>
      </c>
    </row>
    <row r="60" spans="1:7" x14ac:dyDescent="0.2">
      <c r="A60" s="883" t="s">
        <v>707</v>
      </c>
      <c r="B60" s="855" t="s">
        <v>475</v>
      </c>
      <c r="C60" s="856" t="s">
        <v>476</v>
      </c>
      <c r="D60" s="857">
        <v>42090</v>
      </c>
      <c r="E60" s="858">
        <v>42153</v>
      </c>
      <c r="F60" s="858"/>
      <c r="G60" s="886">
        <v>42519</v>
      </c>
    </row>
    <row r="61" spans="1:7" x14ac:dyDescent="0.2">
      <c r="A61" s="883" t="s">
        <v>631</v>
      </c>
      <c r="B61" s="855" t="s">
        <v>577</v>
      </c>
      <c r="C61" s="856" t="s">
        <v>578</v>
      </c>
      <c r="D61" s="857">
        <v>42181</v>
      </c>
      <c r="E61" s="858">
        <v>42254</v>
      </c>
      <c r="F61" s="858"/>
      <c r="G61" s="886">
        <v>42620</v>
      </c>
    </row>
    <row r="62" spans="1:7" x14ac:dyDescent="0.2">
      <c r="A62" s="883" t="s">
        <v>631</v>
      </c>
      <c r="B62" s="855" t="s">
        <v>577</v>
      </c>
      <c r="C62" s="856" t="s">
        <v>579</v>
      </c>
      <c r="D62" s="857">
        <v>42181</v>
      </c>
      <c r="E62" s="858">
        <v>42254</v>
      </c>
      <c r="F62" s="858"/>
      <c r="G62" s="886">
        <v>42620</v>
      </c>
    </row>
    <row r="63" spans="1:7" x14ac:dyDescent="0.2">
      <c r="A63" s="883" t="s">
        <v>654</v>
      </c>
      <c r="B63" s="855" t="s">
        <v>560</v>
      </c>
      <c r="C63" s="856" t="s">
        <v>561</v>
      </c>
      <c r="D63" s="857">
        <v>42179</v>
      </c>
      <c r="E63" s="858">
        <v>42202</v>
      </c>
      <c r="F63" s="858"/>
      <c r="G63" s="886">
        <v>42567</v>
      </c>
    </row>
    <row r="64" spans="1:7" x14ac:dyDescent="0.2">
      <c r="A64" s="881" t="s">
        <v>462</v>
      </c>
      <c r="B64" s="859" t="s">
        <v>434</v>
      </c>
      <c r="C64" s="860" t="s">
        <v>435</v>
      </c>
      <c r="D64" s="861">
        <v>42041</v>
      </c>
      <c r="E64" s="862">
        <v>42053</v>
      </c>
      <c r="F64" s="862"/>
      <c r="G64" s="882">
        <v>42418</v>
      </c>
    </row>
    <row r="65" spans="1:7" x14ac:dyDescent="0.2">
      <c r="A65" s="881" t="s">
        <v>462</v>
      </c>
      <c r="B65" s="859" t="s">
        <v>434</v>
      </c>
      <c r="C65" s="860" t="s">
        <v>437</v>
      </c>
      <c r="D65" s="861">
        <v>42041</v>
      </c>
      <c r="E65" s="862">
        <v>42053</v>
      </c>
      <c r="F65" s="862"/>
      <c r="G65" s="882">
        <v>42418</v>
      </c>
    </row>
    <row r="66" spans="1:7" x14ac:dyDescent="0.2">
      <c r="A66" s="883" t="s">
        <v>635</v>
      </c>
      <c r="B66" s="855" t="s">
        <v>597</v>
      </c>
      <c r="C66" s="856" t="s">
        <v>348</v>
      </c>
      <c r="D66" s="857">
        <v>42192</v>
      </c>
      <c r="E66" s="858">
        <v>42257</v>
      </c>
      <c r="F66" s="858"/>
      <c r="G66" s="886">
        <v>42623</v>
      </c>
    </row>
    <row r="67" spans="1:7" x14ac:dyDescent="0.2">
      <c r="A67" s="883" t="s">
        <v>663</v>
      </c>
      <c r="B67" s="855" t="s">
        <v>459</v>
      </c>
      <c r="C67" s="856" t="s">
        <v>210</v>
      </c>
      <c r="D67" s="857">
        <v>42058</v>
      </c>
      <c r="E67" s="858">
        <v>42069</v>
      </c>
      <c r="F67" s="858"/>
      <c r="G67" s="886">
        <v>42435</v>
      </c>
    </row>
    <row r="68" spans="1:7" x14ac:dyDescent="0.2">
      <c r="A68" s="891" t="s">
        <v>576</v>
      </c>
      <c r="B68" s="872" t="s">
        <v>576</v>
      </c>
      <c r="C68" s="873" t="s">
        <v>697</v>
      </c>
      <c r="D68" s="874">
        <v>42186</v>
      </c>
      <c r="E68" s="875">
        <v>42298</v>
      </c>
      <c r="F68" s="875">
        <v>42314</v>
      </c>
      <c r="G68" s="892">
        <v>42664</v>
      </c>
    </row>
    <row r="69" spans="1:7" x14ac:dyDescent="0.2">
      <c r="A69" s="883" t="s">
        <v>582</v>
      </c>
      <c r="B69" s="855" t="s">
        <v>582</v>
      </c>
      <c r="C69" s="856" t="s">
        <v>583</v>
      </c>
      <c r="D69" s="857">
        <v>42185</v>
      </c>
      <c r="E69" s="858">
        <v>42250</v>
      </c>
      <c r="F69" s="858"/>
      <c r="G69" s="886">
        <v>42616</v>
      </c>
    </row>
    <row r="70" spans="1:7" x14ac:dyDescent="0.2">
      <c r="A70" s="883" t="s">
        <v>421</v>
      </c>
      <c r="B70" s="855" t="s">
        <v>421</v>
      </c>
      <c r="C70" s="856" t="s">
        <v>245</v>
      </c>
      <c r="D70" s="857">
        <v>42027</v>
      </c>
      <c r="E70" s="858">
        <v>42079</v>
      </c>
      <c r="F70" s="858"/>
      <c r="G70" s="886">
        <v>42445</v>
      </c>
    </row>
    <row r="71" spans="1:7" x14ac:dyDescent="0.2">
      <c r="A71" s="891" t="s">
        <v>677</v>
      </c>
      <c r="B71" s="872" t="s">
        <v>638</v>
      </c>
      <c r="C71" s="873" t="s">
        <v>639</v>
      </c>
      <c r="D71" s="874">
        <v>42268</v>
      </c>
      <c r="E71" s="875">
        <v>42286</v>
      </c>
      <c r="F71" s="875"/>
      <c r="G71" s="892">
        <v>42652</v>
      </c>
    </row>
    <row r="72" spans="1:7" x14ac:dyDescent="0.2">
      <c r="A72" s="883" t="s">
        <v>571</v>
      </c>
      <c r="B72" s="855" t="s">
        <v>529</v>
      </c>
      <c r="C72" s="856" t="s">
        <v>217</v>
      </c>
      <c r="D72" s="857">
        <v>42128</v>
      </c>
      <c r="E72" s="858">
        <v>42142</v>
      </c>
      <c r="F72" s="858"/>
      <c r="G72" s="884">
        <v>42507</v>
      </c>
    </row>
    <row r="73" spans="1:7" x14ac:dyDescent="0.2">
      <c r="A73" s="883" t="s">
        <v>664</v>
      </c>
      <c r="B73" s="855" t="s">
        <v>450</v>
      </c>
      <c r="C73" s="856" t="s">
        <v>504</v>
      </c>
      <c r="D73" s="857">
        <v>42055</v>
      </c>
      <c r="E73" s="858">
        <v>42069</v>
      </c>
      <c r="F73" s="858"/>
      <c r="G73" s="884">
        <v>42435</v>
      </c>
    </row>
    <row r="74" spans="1:7" x14ac:dyDescent="0.2">
      <c r="A74" s="883" t="s">
        <v>444</v>
      </c>
      <c r="B74" s="855" t="s">
        <v>444</v>
      </c>
      <c r="C74" s="856" t="s">
        <v>445</v>
      </c>
      <c r="D74" s="857">
        <v>42053</v>
      </c>
      <c r="E74" s="858">
        <v>42079</v>
      </c>
      <c r="F74" s="858"/>
      <c r="G74" s="884">
        <v>42445</v>
      </c>
    </row>
    <row r="75" spans="1:7" x14ac:dyDescent="0.2">
      <c r="A75" s="883" t="s">
        <v>444</v>
      </c>
      <c r="B75" s="855" t="s">
        <v>444</v>
      </c>
      <c r="C75" s="856" t="s">
        <v>446</v>
      </c>
      <c r="D75" s="857">
        <v>42053</v>
      </c>
      <c r="E75" s="858">
        <v>42079</v>
      </c>
      <c r="F75" s="858"/>
      <c r="G75" s="884">
        <v>42445</v>
      </c>
    </row>
    <row r="76" spans="1:7" x14ac:dyDescent="0.2">
      <c r="A76" s="883" t="s">
        <v>444</v>
      </c>
      <c r="B76" s="855" t="s">
        <v>444</v>
      </c>
      <c r="C76" s="856" t="s">
        <v>447</v>
      </c>
      <c r="D76" s="857">
        <v>42053</v>
      </c>
      <c r="E76" s="858">
        <v>42079</v>
      </c>
      <c r="F76" s="858"/>
      <c r="G76" s="884">
        <v>42445</v>
      </c>
    </row>
    <row r="77" spans="1:7" x14ac:dyDescent="0.2">
      <c r="A77" s="883" t="s">
        <v>533</v>
      </c>
      <c r="B77" s="855" t="s">
        <v>533</v>
      </c>
      <c r="C77" s="856" t="s">
        <v>193</v>
      </c>
      <c r="D77" s="857">
        <v>42137</v>
      </c>
      <c r="E77" s="858">
        <v>42186</v>
      </c>
      <c r="F77" s="858"/>
      <c r="G77" s="884">
        <v>42551</v>
      </c>
    </row>
    <row r="78" spans="1:7" x14ac:dyDescent="0.2">
      <c r="A78" s="883" t="s">
        <v>652</v>
      </c>
      <c r="B78" s="855" t="s">
        <v>550</v>
      </c>
      <c r="C78" s="856" t="s">
        <v>211</v>
      </c>
      <c r="D78" s="857">
        <v>42164</v>
      </c>
      <c r="E78" s="858">
        <v>42184</v>
      </c>
      <c r="F78" s="858"/>
      <c r="G78" s="886">
        <v>42548</v>
      </c>
    </row>
    <row r="79" spans="1:7" x14ac:dyDescent="0.2">
      <c r="A79" s="883" t="s">
        <v>557</v>
      </c>
      <c r="B79" s="855" t="s">
        <v>557</v>
      </c>
      <c r="C79" s="856" t="s">
        <v>228</v>
      </c>
      <c r="D79" s="857">
        <v>42177</v>
      </c>
      <c r="E79" s="858">
        <v>42286</v>
      </c>
      <c r="F79" s="858"/>
      <c r="G79" s="886">
        <v>42652</v>
      </c>
    </row>
    <row r="80" spans="1:7" x14ac:dyDescent="0.2">
      <c r="A80" s="883" t="s">
        <v>637</v>
      </c>
      <c r="B80" s="855" t="s">
        <v>649</v>
      </c>
      <c r="C80" s="856" t="s">
        <v>587</v>
      </c>
      <c r="D80" s="857">
        <v>42191</v>
      </c>
      <c r="E80" s="858">
        <v>42257</v>
      </c>
      <c r="F80" s="858"/>
      <c r="G80" s="886">
        <v>42623</v>
      </c>
    </row>
    <row r="81" spans="1:7" x14ac:dyDescent="0.2">
      <c r="A81" s="883" t="s">
        <v>422</v>
      </c>
      <c r="B81" s="855" t="s">
        <v>422</v>
      </c>
      <c r="C81" s="856" t="s">
        <v>220</v>
      </c>
      <c r="D81" s="857">
        <v>42030</v>
      </c>
      <c r="E81" s="858">
        <v>42072</v>
      </c>
      <c r="F81" s="858"/>
      <c r="G81" s="884">
        <v>42438</v>
      </c>
    </row>
    <row r="82" spans="1:7" x14ac:dyDescent="0.2">
      <c r="A82" s="883" t="s">
        <v>401</v>
      </c>
      <c r="B82" s="855" t="s">
        <v>401</v>
      </c>
      <c r="C82" s="856" t="s">
        <v>402</v>
      </c>
      <c r="D82" s="857">
        <v>42009</v>
      </c>
      <c r="E82" s="858">
        <v>42009</v>
      </c>
      <c r="F82" s="858"/>
      <c r="G82" s="884">
        <v>42374</v>
      </c>
    </row>
    <row r="83" spans="1:7" x14ac:dyDescent="0.2">
      <c r="A83" s="883" t="s">
        <v>326</v>
      </c>
      <c r="B83" s="855" t="s">
        <v>326</v>
      </c>
      <c r="C83" s="856" t="s">
        <v>250</v>
      </c>
      <c r="D83" s="857">
        <v>42195</v>
      </c>
      <c r="E83" s="858">
        <v>42261</v>
      </c>
      <c r="F83" s="858"/>
      <c r="G83" s="886">
        <v>42627</v>
      </c>
    </row>
    <row r="84" spans="1:7" x14ac:dyDescent="0.2">
      <c r="A84" s="881" t="s">
        <v>429</v>
      </c>
      <c r="B84" s="859" t="s">
        <v>429</v>
      </c>
      <c r="C84" s="860" t="s">
        <v>430</v>
      </c>
      <c r="D84" s="861">
        <v>42034</v>
      </c>
      <c r="E84" s="862">
        <v>42069</v>
      </c>
      <c r="F84" s="862"/>
      <c r="G84" s="882">
        <v>42434</v>
      </c>
    </row>
    <row r="85" spans="1:7" x14ac:dyDescent="0.2">
      <c r="A85" s="881" t="s">
        <v>429</v>
      </c>
      <c r="B85" s="859" t="s">
        <v>429</v>
      </c>
      <c r="C85" s="860" t="s">
        <v>431</v>
      </c>
      <c r="D85" s="861">
        <v>42034</v>
      </c>
      <c r="E85" s="862">
        <v>42069</v>
      </c>
      <c r="F85" s="862"/>
      <c r="G85" s="882">
        <v>42434</v>
      </c>
    </row>
    <row r="86" spans="1:7" x14ac:dyDescent="0.2">
      <c r="A86" s="885" t="s">
        <v>463</v>
      </c>
      <c r="B86" s="863" t="s">
        <v>453</v>
      </c>
      <c r="C86" s="863" t="s">
        <v>211</v>
      </c>
      <c r="D86" s="857">
        <v>42058</v>
      </c>
      <c r="E86" s="858">
        <v>42072</v>
      </c>
      <c r="F86" s="858"/>
      <c r="G86" s="884">
        <v>42438</v>
      </c>
    </row>
    <row r="87" spans="1:7" x14ac:dyDescent="0.2">
      <c r="A87" s="883" t="s">
        <v>463</v>
      </c>
      <c r="B87" s="855" t="s">
        <v>429</v>
      </c>
      <c r="C87" s="856" t="s">
        <v>454</v>
      </c>
      <c r="D87" s="857">
        <v>42058</v>
      </c>
      <c r="E87" s="858">
        <v>42072</v>
      </c>
      <c r="F87" s="858"/>
      <c r="G87" s="884">
        <v>42438</v>
      </c>
    </row>
    <row r="88" spans="1:7" x14ac:dyDescent="0.2">
      <c r="A88" s="881" t="s">
        <v>708</v>
      </c>
      <c r="B88" s="859" t="s">
        <v>345</v>
      </c>
      <c r="C88" s="860" t="s">
        <v>346</v>
      </c>
      <c r="D88" s="861">
        <v>41974</v>
      </c>
      <c r="E88" s="862">
        <v>42024</v>
      </c>
      <c r="F88" s="862"/>
      <c r="G88" s="894">
        <v>42389</v>
      </c>
    </row>
    <row r="89" spans="1:7" x14ac:dyDescent="0.2">
      <c r="A89" s="883" t="s">
        <v>406</v>
      </c>
      <c r="B89" s="855" t="s">
        <v>406</v>
      </c>
      <c r="C89" s="856" t="s">
        <v>238</v>
      </c>
      <c r="D89" s="857">
        <v>42016</v>
      </c>
      <c r="E89" s="858">
        <v>42032</v>
      </c>
      <c r="F89" s="858"/>
      <c r="G89" s="886">
        <v>42397</v>
      </c>
    </row>
    <row r="90" spans="1:7" x14ac:dyDescent="0.2">
      <c r="A90" s="896" t="s">
        <v>660</v>
      </c>
      <c r="B90" s="877" t="s">
        <v>432</v>
      </c>
      <c r="C90" s="878" t="s">
        <v>433</v>
      </c>
      <c r="D90" s="879">
        <v>42039</v>
      </c>
      <c r="E90" s="880">
        <v>42048</v>
      </c>
      <c r="F90" s="880"/>
      <c r="G90" s="884">
        <v>42413</v>
      </c>
    </row>
    <row r="91" spans="1:7" x14ac:dyDescent="0.2">
      <c r="A91" s="883" t="s">
        <v>313</v>
      </c>
      <c r="B91" s="855" t="s">
        <v>313</v>
      </c>
      <c r="C91" s="856" t="s">
        <v>641</v>
      </c>
      <c r="D91" s="857">
        <v>42265</v>
      </c>
      <c r="E91" s="858">
        <v>42265</v>
      </c>
      <c r="F91" s="858"/>
      <c r="G91" s="886">
        <v>42468</v>
      </c>
    </row>
    <row r="92" spans="1:7" x14ac:dyDescent="0.2">
      <c r="A92" s="887" t="s">
        <v>704</v>
      </c>
      <c r="B92" s="864" t="s">
        <v>425</v>
      </c>
      <c r="C92" s="865" t="s">
        <v>426</v>
      </c>
      <c r="D92" s="866">
        <v>42032</v>
      </c>
      <c r="E92" s="867">
        <v>42048</v>
      </c>
      <c r="F92" s="867"/>
      <c r="G92" s="888">
        <v>42413</v>
      </c>
    </row>
    <row r="93" spans="1:7" x14ac:dyDescent="0.2">
      <c r="A93" s="883" t="s">
        <v>651</v>
      </c>
      <c r="B93" s="855" t="s">
        <v>379</v>
      </c>
      <c r="C93" s="856" t="s">
        <v>380</v>
      </c>
      <c r="D93" s="857">
        <v>41974</v>
      </c>
      <c r="E93" s="858">
        <v>42019</v>
      </c>
      <c r="F93" s="858"/>
      <c r="G93" s="884">
        <v>42383</v>
      </c>
    </row>
    <row r="94" spans="1:7" x14ac:dyDescent="0.2">
      <c r="A94" s="883" t="s">
        <v>651</v>
      </c>
      <c r="B94" s="855" t="s">
        <v>379</v>
      </c>
      <c r="C94" s="856" t="s">
        <v>305</v>
      </c>
      <c r="D94" s="857">
        <v>41974</v>
      </c>
      <c r="E94" s="858">
        <v>42019</v>
      </c>
      <c r="F94" s="858"/>
      <c r="G94" s="884">
        <v>42383</v>
      </c>
    </row>
    <row r="95" spans="1:7" x14ac:dyDescent="0.2">
      <c r="A95" s="891" t="s">
        <v>685</v>
      </c>
      <c r="B95" s="872" t="s">
        <v>686</v>
      </c>
      <c r="C95" s="873" t="s">
        <v>622</v>
      </c>
      <c r="D95" s="874">
        <v>42205</v>
      </c>
      <c r="E95" s="875">
        <v>42286</v>
      </c>
      <c r="F95" s="875"/>
      <c r="G95" s="893">
        <v>42652</v>
      </c>
    </row>
    <row r="96" spans="1:7" x14ac:dyDescent="0.2">
      <c r="A96" s="891" t="s">
        <v>685</v>
      </c>
      <c r="B96" s="872" t="s">
        <v>687</v>
      </c>
      <c r="C96" s="873" t="s">
        <v>623</v>
      </c>
      <c r="D96" s="874">
        <v>42205</v>
      </c>
      <c r="E96" s="875">
        <v>42286</v>
      </c>
      <c r="F96" s="875"/>
      <c r="G96" s="893">
        <v>42652</v>
      </c>
    </row>
    <row r="97" spans="1:7" x14ac:dyDescent="0.2">
      <c r="A97" s="883" t="s">
        <v>690</v>
      </c>
      <c r="B97" s="855" t="s">
        <v>588</v>
      </c>
      <c r="C97" s="856" t="s">
        <v>691</v>
      </c>
      <c r="D97" s="857">
        <v>42191</v>
      </c>
      <c r="E97" s="858">
        <v>42298</v>
      </c>
      <c r="F97" s="858"/>
      <c r="G97" s="886">
        <v>42298</v>
      </c>
    </row>
    <row r="98" spans="1:7" ht="13.5" thickBot="1" x14ac:dyDescent="0.25">
      <c r="A98" s="903" t="s">
        <v>563</v>
      </c>
      <c r="B98" s="905" t="s">
        <v>563</v>
      </c>
      <c r="C98" s="907" t="s">
        <v>564</v>
      </c>
      <c r="D98" s="909">
        <v>42174</v>
      </c>
      <c r="E98" s="911">
        <v>42250</v>
      </c>
      <c r="F98" s="911"/>
      <c r="G98" s="913">
        <v>42614</v>
      </c>
    </row>
  </sheetData>
  <autoFilter ref="A1:N1">
    <sortState ref="A2:N98">
      <sortCondition ref="A1"/>
    </sortState>
  </autoFilter>
  <pageMargins left="0.25" right="0.25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7</vt:i4>
      </vt:variant>
    </vt:vector>
  </HeadingPairs>
  <TitlesOfParts>
    <vt:vector size="19" baseType="lpstr">
      <vt:lpstr>En attente</vt:lpstr>
      <vt:lpstr>Feuil1</vt:lpstr>
      <vt:lpstr>Présents</vt:lpstr>
      <vt:lpstr>calculs enfants présents</vt:lpstr>
      <vt:lpstr>Admis</vt:lpstr>
      <vt:lpstr>Calculs Enfants admis</vt:lpstr>
      <vt:lpstr>Sortis</vt:lpstr>
      <vt:lpstr>Calculs enfants sortis</vt:lpstr>
      <vt:lpstr>Calculs répartion mesures</vt:lpstr>
      <vt:lpstr>Prépa synthèses</vt:lpstr>
      <vt:lpstr>Variables</vt:lpstr>
      <vt:lpstr>Signatures DIPC</vt:lpstr>
      <vt:lpstr>Présents!Impression_des_titres</vt:lpstr>
      <vt:lpstr>'calculs enfants présents'!Zone_d_impression</vt:lpstr>
      <vt:lpstr>'En attente'!Zone_d_impression</vt:lpstr>
      <vt:lpstr>Feuil1!Zone_d_impression</vt:lpstr>
      <vt:lpstr>'Prépa synthèses'!Zone_d_impression</vt:lpstr>
      <vt:lpstr>Présents!Zone_d_impression</vt:lpstr>
      <vt:lpstr>'Signatures DIPC'!Zone_d_impression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Données Enfants</dc:title>
  <dc:creator>SAEMF VIGNEUX</dc:creator>
  <cp:lastModifiedBy>SAEMF</cp:lastModifiedBy>
  <cp:lastPrinted>2016-02-03T17:22:07Z</cp:lastPrinted>
  <dcterms:created xsi:type="dcterms:W3CDTF">1999-04-13T12:38:54Z</dcterms:created>
  <dcterms:modified xsi:type="dcterms:W3CDTF">2016-02-09T15:51:05Z</dcterms:modified>
</cp:coreProperties>
</file>