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9" sheetId="1" r:id="rId4"/>
    <sheet state="visible" name="Formula Sheet 1" sheetId="2" r:id="rId5"/>
    <sheet state="visible" name="Formula Sheet 2" sheetId="3" r:id="rId6"/>
    <sheet state="visible" name="Formula Sheet 3" sheetId="4" r:id="rId7"/>
    <sheet state="visible" name="Formula Sheet 4" sheetId="5" r:id="rId8"/>
    <sheet state="visible" name="Formula Sheet 5" sheetId="6" r:id="rId9"/>
    <sheet state="visible" name="Formula Sheet 6" sheetId="7" r:id="rId10"/>
    <sheet state="visible" name="Formula Sheet 7" sheetId="8" r:id="rId11"/>
    <sheet state="visible" name="Formula Sheet 8" sheetId="9" r:id="rId12"/>
  </sheets>
  <definedNames/>
  <calcPr/>
</workbook>
</file>

<file path=xl/sharedStrings.xml><?xml version="1.0" encoding="utf-8"?>
<sst xmlns="http://schemas.openxmlformats.org/spreadsheetml/2006/main" count="541" uniqueCount="540">
  <si>
    <t>Country Name</t>
  </si>
  <si>
    <t>Country Code</t>
  </si>
  <si>
    <t>precipitation</t>
  </si>
  <si>
    <t>extreme climate</t>
  </si>
  <si>
    <t>GDP per capita</t>
  </si>
  <si>
    <t>forest cover</t>
  </si>
  <si>
    <t>population density</t>
  </si>
  <si>
    <t>log population density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</si>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</sst>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</fills>
  <borders count="2">
    <border/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Border="1" applyFont="1"/>
    <xf borderId="1" fillId="3" fontId="2" numFmtId="0" xfId="0" applyBorder="1" applyFont="1"/>
    <xf borderId="1" fillId="4" fontId="2" numFmtId="0" xfId="0" applyAlignment="1" applyBorder="1" applyFont="1">
      <alignment readingOrder="0"/>
    </xf>
    <xf borderId="0" fillId="2" fontId="1" numFmtId="0" xfId="0" applyFont="1"/>
    <xf borderId="0" fillId="3" fontId="2" numFmtId="0" xfId="0" applyFont="1"/>
    <xf borderId="0" fillId="4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Compare forest cover, precipitation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'Formula Sheet 3'!$B$1</c:f>
            </c:strRef>
          </c:tx>
          <c:spPr>
            <a:ln>
              <a:noFill/>
            </a:ln>
          </c:spPr>
          <c:marker>
            <c:symbol val="x"/>
            <c:size val="7"/>
            <c:spPr>
              <a:solidFill>
                <a:srgbClr val="42F4A9"/>
              </a:solidFill>
              <a:ln cmpd="sng">
                <a:solidFill>
                  <a:srgbClr val="42F4A9"/>
                </a:solidFill>
              </a:ln>
            </c:spPr>
          </c:marker>
          <c:trendline>
            <c:name/>
            <c:spPr>
              <a:ln w="76200">
                <a:solidFill>
                  <a:srgbClr val="EA4335">
                    <a:alpha val="70196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'Formula Sheet 3'!$A$2:$A$934</c:f>
            </c:numRef>
          </c:xVal>
          <c:yVal>
            <c:numRef>
              <c:f>'Formula Sheet 3'!$B$2:$B$934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178421"/>
        <c:axId val="1643948248"/>
      </c:scatterChart>
      <c:valAx>
        <c:axId val="3821784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forest cover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3948248"/>
      </c:valAx>
      <c:valAx>
        <c:axId val="16439482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precipitation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21784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Correlation of forest cover, population density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'Formula Sheet 8'!$B$1</c:f>
            </c:strRef>
          </c:tx>
          <c:spPr>
            <a:ln>
              <a:noFill/>
            </a:ln>
          </c:spPr>
          <c:marker>
            <c:symbol val="star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trendline>
            <c:name>Trendline for population density</c:name>
            <c:spPr>
              <a:ln w="38100">
                <a:solidFill>
                  <a:srgbClr val="EA4335">
                    <a:alpha val="8000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'Formula Sheet 8'!$A$2:$A$934</c:f>
            </c:numRef>
          </c:xVal>
          <c:yVal>
            <c:numRef>
              <c:f>'Formula Sheet 8'!$B$2:$B$934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220091"/>
        <c:axId val="1898314692"/>
      </c:scatterChart>
      <c:valAx>
        <c:axId val="6682200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forest cover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8314692"/>
      </c:valAx>
      <c:valAx>
        <c:axId val="18983146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 population density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2200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828675</xdr:colOff>
      <xdr:row>2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942975</xdr:colOff>
      <xdr:row>2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>
      <c r="A2" s="1" t="s">
        <v>8</v>
      </c>
      <c r="B2" s="4" t="s">
        <v>9</v>
      </c>
      <c r="C2" s="5"/>
      <c r="D2" s="6"/>
      <c r="E2" s="7">
        <v>31776.5830146276</v>
      </c>
      <c r="F2" s="4">
        <v>2.33333333333333</v>
      </c>
      <c r="G2" s="7">
        <v>563.622222222222</v>
      </c>
      <c r="H2" s="6">
        <f t="shared" ref="H2:H267" si="1">log(G2)</f>
        <v>2.750988108</v>
      </c>
    </row>
    <row r="3">
      <c r="A3" s="1" t="s">
        <v>10</v>
      </c>
      <c r="B3" s="4" t="s">
        <v>11</v>
      </c>
      <c r="C3" s="5"/>
      <c r="D3" s="6"/>
      <c r="E3" s="5"/>
      <c r="F3" s="4">
        <v>36.90659570026</v>
      </c>
      <c r="G3" s="7">
        <v>34.0805521014316</v>
      </c>
      <c r="H3" s="6">
        <f t="shared" si="1"/>
        <v>1.532506622</v>
      </c>
    </row>
    <row r="4">
      <c r="A4" s="1" t="s">
        <v>12</v>
      </c>
      <c r="B4" s="4" t="s">
        <v>13</v>
      </c>
      <c r="C4" s="7">
        <v>327.0</v>
      </c>
      <c r="D4" s="4">
        <v>1.05929016894999</v>
      </c>
      <c r="E4" s="7">
        <v>29552.5904068512</v>
      </c>
      <c r="F4" s="4">
        <v>1.85099408755323</v>
      </c>
      <c r="G4" s="7">
        <v>43.4929479520877</v>
      </c>
      <c r="H4" s="6">
        <f t="shared" si="1"/>
        <v>1.638418845</v>
      </c>
    </row>
    <row r="5">
      <c r="A5" s="1" t="s">
        <v>14</v>
      </c>
      <c r="B5" s="4" t="s">
        <v>15</v>
      </c>
      <c r="C5" s="5"/>
      <c r="D5" s="6"/>
      <c r="E5" s="5"/>
      <c r="F5" s="4">
        <v>20.7661387298829</v>
      </c>
      <c r="G5" s="7">
        <v>37.702722927155</v>
      </c>
      <c r="H5" s="6">
        <f t="shared" si="1"/>
        <v>1.576372717</v>
      </c>
    </row>
    <row r="6">
      <c r="A6" s="1" t="s">
        <v>16</v>
      </c>
      <c r="B6" s="4" t="s">
        <v>17</v>
      </c>
      <c r="C6" s="7">
        <v>1010.0</v>
      </c>
      <c r="D6" s="4">
        <v>1.01176467635625</v>
      </c>
      <c r="E6" s="7">
        <v>55391.6751572058</v>
      </c>
      <c r="F6" s="4">
        <v>58.3244252827465</v>
      </c>
      <c r="G6" s="7">
        <v>18.0590960134756</v>
      </c>
      <c r="H6" s="6">
        <f t="shared" si="1"/>
        <v>1.256696007</v>
      </c>
    </row>
    <row r="7">
      <c r="A7" s="1" t="s">
        <v>18</v>
      </c>
      <c r="B7" s="4" t="s">
        <v>19</v>
      </c>
      <c r="C7" s="7">
        <v>1485.0</v>
      </c>
      <c r="D7" s="4">
        <v>5.26957699339956</v>
      </c>
      <c r="E7" s="7">
        <v>408309.794957771</v>
      </c>
      <c r="F7" s="4">
        <v>28.4960948905109</v>
      </c>
      <c r="G7" s="7">
        <v>106.843759124088</v>
      </c>
      <c r="H7" s="6">
        <f t="shared" si="1"/>
        <v>2.02874916</v>
      </c>
    </row>
    <row r="8">
      <c r="A8" s="1" t="s">
        <v>20</v>
      </c>
      <c r="B8" s="4" t="s">
        <v>21</v>
      </c>
      <c r="C8" s="5"/>
      <c r="D8" s="6"/>
      <c r="E8" s="7">
        <v>31431.5482885592</v>
      </c>
      <c r="F8" s="4">
        <v>34.0425531914894</v>
      </c>
      <c r="G8" s="7">
        <v>179.704255319149</v>
      </c>
      <c r="H8" s="6">
        <f t="shared" si="1"/>
        <v>2.254558361</v>
      </c>
    </row>
    <row r="9">
      <c r="A9" s="1" t="s">
        <v>22</v>
      </c>
      <c r="B9" s="4" t="s">
        <v>23</v>
      </c>
      <c r="C9" s="5"/>
      <c r="D9" s="6"/>
      <c r="E9" s="5"/>
      <c r="F9" s="4">
        <v>1.70537729981661</v>
      </c>
      <c r="G9" s="7">
        <v>25.2752312605994</v>
      </c>
      <c r="H9" s="6">
        <f t="shared" si="1"/>
        <v>1.402695138</v>
      </c>
    </row>
    <row r="10">
      <c r="A10" s="1" t="s">
        <v>24</v>
      </c>
      <c r="B10" s="4" t="s">
        <v>25</v>
      </c>
      <c r="C10" s="7">
        <v>78.0</v>
      </c>
      <c r="D10" s="6"/>
      <c r="E10" s="7">
        <v>132298.420687279</v>
      </c>
      <c r="F10" s="4">
        <v>4.45667417628837</v>
      </c>
      <c r="G10" s="7">
        <v>111.480822303576</v>
      </c>
      <c r="H10" s="6">
        <f t="shared" si="1"/>
        <v>2.047200163</v>
      </c>
    </row>
    <row r="11">
      <c r="A11" s="1" t="s">
        <v>26</v>
      </c>
      <c r="B11" s="4" t="s">
        <v>27</v>
      </c>
      <c r="C11" s="7">
        <v>591.0</v>
      </c>
      <c r="D11" s="4">
        <v>0.167189950512828</v>
      </c>
      <c r="E11" s="7">
        <v>15040.2908633808</v>
      </c>
      <c r="F11" s="4">
        <v>11.1559584753845</v>
      </c>
      <c r="G11" s="7">
        <v>14.792609320018</v>
      </c>
      <c r="H11" s="6">
        <f t="shared" si="1"/>
        <v>1.170044787</v>
      </c>
    </row>
    <row r="12">
      <c r="A12" s="1" t="s">
        <v>28</v>
      </c>
      <c r="B12" s="4" t="s">
        <v>29</v>
      </c>
      <c r="C12" s="7">
        <v>562.0</v>
      </c>
      <c r="D12" s="4">
        <v>0.478231100921505</v>
      </c>
      <c r="E12" s="7">
        <v>1287846.32217649</v>
      </c>
      <c r="F12" s="4">
        <v>11.618124341412</v>
      </c>
      <c r="G12" s="7">
        <v>101.443414120126</v>
      </c>
      <c r="H12" s="6">
        <f t="shared" si="1"/>
        <v>2.006223857</v>
      </c>
    </row>
    <row r="13">
      <c r="A13" s="1" t="s">
        <v>30</v>
      </c>
      <c r="B13" s="4" t="s">
        <v>31</v>
      </c>
      <c r="C13" s="5"/>
      <c r="D13" s="4">
        <v>2.61754979888E-4</v>
      </c>
      <c r="E13" s="7">
        <v>11768.8575209528</v>
      </c>
      <c r="F13" s="4">
        <v>87.3</v>
      </c>
      <c r="G13" s="7">
        <v>283.375</v>
      </c>
      <c r="H13" s="6">
        <f t="shared" si="1"/>
        <v>2.452361533</v>
      </c>
    </row>
    <row r="14">
      <c r="A14" s="1" t="s">
        <v>32</v>
      </c>
      <c r="B14" s="4" t="s">
        <v>33</v>
      </c>
      <c r="C14" s="7">
        <v>1030.0</v>
      </c>
      <c r="D14" s="6"/>
      <c r="E14" s="7">
        <v>34673.4606827064</v>
      </c>
      <c r="F14" s="4">
        <v>20.1068181818182</v>
      </c>
      <c r="G14" s="7">
        <v>197.143181818182</v>
      </c>
      <c r="H14" s="6">
        <f t="shared" si="1"/>
        <v>2.294781762</v>
      </c>
    </row>
    <row r="15">
      <c r="A15" s="1" t="s">
        <v>34</v>
      </c>
      <c r="B15" s="4" t="s">
        <v>35</v>
      </c>
      <c r="C15" s="7">
        <v>534.0</v>
      </c>
      <c r="D15" s="4">
        <v>3.04709860649413</v>
      </c>
      <c r="E15" s="7">
        <v>70714.7895277917</v>
      </c>
      <c r="F15" s="4">
        <v>16.8924540827617</v>
      </c>
      <c r="G15" s="7">
        <v>2.82359449643987</v>
      </c>
      <c r="H15" s="6">
        <f t="shared" si="1"/>
        <v>0.4508023267</v>
      </c>
    </row>
    <row r="16">
      <c r="A16" s="1" t="s">
        <v>36</v>
      </c>
      <c r="B16" s="4" t="s">
        <v>37</v>
      </c>
      <c r="C16" s="7">
        <v>1110.0</v>
      </c>
      <c r="D16" s="4">
        <v>0.038152978279634</v>
      </c>
      <c r="E16" s="7">
        <v>38444.9721052391</v>
      </c>
      <c r="F16" s="4">
        <v>46.7520889340987</v>
      </c>
      <c r="G16" s="7">
        <v>101.035663251714</v>
      </c>
      <c r="H16" s="6">
        <f t="shared" si="1"/>
        <v>2.004474697</v>
      </c>
    </row>
    <row r="17">
      <c r="A17" s="1" t="s">
        <v>38</v>
      </c>
      <c r="B17" s="4" t="s">
        <v>39</v>
      </c>
      <c r="C17" s="7">
        <v>447.0</v>
      </c>
      <c r="D17" s="4">
        <v>1.10556506666241</v>
      </c>
      <c r="E17" s="7">
        <v>2848.51662004317</v>
      </c>
      <c r="F17" s="4">
        <v>12.441808477161</v>
      </c>
      <c r="G17" s="7">
        <v>108.291290455327</v>
      </c>
      <c r="H17" s="6">
        <f t="shared" si="1"/>
        <v>2.034593529</v>
      </c>
    </row>
    <row r="18">
      <c r="A18" s="1" t="s">
        <v>40</v>
      </c>
      <c r="B18" s="4" t="s">
        <v>41</v>
      </c>
      <c r="C18" s="7">
        <v>1274.0</v>
      </c>
      <c r="D18" s="4">
        <v>2.37741128892302</v>
      </c>
      <c r="E18" s="7">
        <v>170804.822914381</v>
      </c>
      <c r="F18" s="4">
        <v>7.55218068535826</v>
      </c>
      <c r="G18" s="7">
        <v>327.011721183801</v>
      </c>
      <c r="H18" s="6">
        <f t="shared" si="1"/>
        <v>2.514563319</v>
      </c>
    </row>
    <row r="19">
      <c r="A19" s="1" t="s">
        <v>42</v>
      </c>
      <c r="B19" s="4" t="s">
        <v>43</v>
      </c>
      <c r="C19" s="7">
        <v>847.0</v>
      </c>
      <c r="D19" s="4">
        <v>0.00169216806015</v>
      </c>
      <c r="E19" s="7">
        <v>35173.2919198855</v>
      </c>
      <c r="F19" s="4">
        <v>22.7084874504624</v>
      </c>
      <c r="G19" s="7">
        <v>356.555250990753</v>
      </c>
      <c r="H19" s="6">
        <f t="shared" si="1"/>
        <v>2.552126837</v>
      </c>
    </row>
    <row r="20">
      <c r="A20" s="1" t="s">
        <v>44</v>
      </c>
      <c r="B20" s="4" t="s">
        <v>45</v>
      </c>
      <c r="C20" s="7">
        <v>1039.0</v>
      </c>
      <c r="D20" s="4">
        <v>0.858274799264926</v>
      </c>
      <c r="E20" s="7">
        <v>588666.064523255</v>
      </c>
      <c r="F20" s="4">
        <v>32.6813586378148</v>
      </c>
      <c r="G20" s="7">
        <v>79.3252305782192</v>
      </c>
      <c r="H20" s="6">
        <f t="shared" si="1"/>
        <v>1.899411343</v>
      </c>
    </row>
    <row r="21">
      <c r="A21" s="1" t="s">
        <v>46</v>
      </c>
      <c r="B21" s="4" t="s">
        <v>47</v>
      </c>
      <c r="C21" s="7">
        <v>748.0</v>
      </c>
      <c r="D21" s="4">
        <v>1.250036827358</v>
      </c>
      <c r="E21" s="7">
        <v>327245.534115161</v>
      </c>
      <c r="F21" s="4">
        <v>24.7313596491228</v>
      </c>
      <c r="G21" s="7">
        <v>55.3402704678363</v>
      </c>
      <c r="H21" s="6">
        <f t="shared" si="1"/>
        <v>1.743041277</v>
      </c>
    </row>
    <row r="22">
      <c r="A22" s="1" t="s">
        <v>48</v>
      </c>
      <c r="B22" s="4" t="s">
        <v>49</v>
      </c>
      <c r="C22" s="7">
        <v>2666.0</v>
      </c>
      <c r="D22" s="4">
        <v>4.58469425909382</v>
      </c>
      <c r="E22" s="7">
        <v>39407.7168311252</v>
      </c>
      <c r="F22" s="4">
        <v>14.5313098256127</v>
      </c>
      <c r="G22" s="7">
        <v>1121.0324575555</v>
      </c>
      <c r="H22" s="6">
        <f t="shared" si="1"/>
        <v>3.049618187</v>
      </c>
    </row>
    <row r="23">
      <c r="A23" s="1" t="s">
        <v>50</v>
      </c>
      <c r="B23" s="4" t="s">
        <v>51</v>
      </c>
      <c r="C23" s="7">
        <v>608.0</v>
      </c>
      <c r="D23" s="4">
        <v>0.008553160446462</v>
      </c>
      <c r="E23" s="7">
        <v>11095.742421562</v>
      </c>
      <c r="F23" s="4">
        <v>34.0899042004421</v>
      </c>
      <c r="G23" s="7">
        <v>68.5744565217391</v>
      </c>
      <c r="H23" s="6">
        <f t="shared" si="1"/>
        <v>1.836162374</v>
      </c>
    </row>
    <row r="24">
      <c r="A24" s="1" t="s">
        <v>52</v>
      </c>
      <c r="B24" s="4" t="s">
        <v>53</v>
      </c>
      <c r="C24" s="7">
        <v>83.0</v>
      </c>
      <c r="D24" s="6"/>
      <c r="E24" s="7">
        <v>7819.37852034681</v>
      </c>
      <c r="F24" s="4">
        <v>0.664473684210526</v>
      </c>
      <c r="G24" s="7">
        <v>1559.30921052632</v>
      </c>
      <c r="H24" s="6">
        <f t="shared" si="1"/>
        <v>3.192932244</v>
      </c>
    </row>
    <row r="25">
      <c r="A25" s="1" t="s">
        <v>54</v>
      </c>
      <c r="B25" s="4" t="s">
        <v>55</v>
      </c>
      <c r="C25" s="7">
        <v>1292.0</v>
      </c>
      <c r="D25" s="6"/>
      <c r="E25" s="7">
        <v>29117.5629290618</v>
      </c>
      <c r="F25" s="4">
        <v>50.9350649350649</v>
      </c>
      <c r="G25" s="7">
        <v>34.9250749250749</v>
      </c>
      <c r="H25" s="6">
        <f t="shared" si="1"/>
        <v>1.543137346</v>
      </c>
    </row>
    <row r="26">
      <c r="A26" s="1" t="s">
        <v>56</v>
      </c>
      <c r="B26" s="4" t="s">
        <v>57</v>
      </c>
      <c r="C26" s="7">
        <v>1028.0</v>
      </c>
      <c r="D26" s="4">
        <v>0.493228498579901</v>
      </c>
      <c r="E26" s="7">
        <v>7099.20890162998</v>
      </c>
      <c r="F26" s="4">
        <v>41.08513671875</v>
      </c>
      <c r="G26" s="7">
        <v>72.96767578125</v>
      </c>
      <c r="H26" s="6">
        <f t="shared" si="1"/>
        <v>1.863130513</v>
      </c>
    </row>
    <row r="27">
      <c r="A27" s="1" t="s">
        <v>58</v>
      </c>
      <c r="B27" s="4" t="s">
        <v>59</v>
      </c>
      <c r="C27" s="7">
        <v>618.0</v>
      </c>
      <c r="D27" s="4">
        <v>0.021958551526537</v>
      </c>
      <c r="E27" s="7">
        <v>7143.14873151194</v>
      </c>
      <c r="F27" s="4">
        <v>42.3740262301548</v>
      </c>
      <c r="G27" s="7">
        <v>46.8621585642442</v>
      </c>
      <c r="H27" s="6">
        <f t="shared" si="1"/>
        <v>1.670822289</v>
      </c>
    </row>
    <row r="28">
      <c r="A28" s="1" t="s">
        <v>60</v>
      </c>
      <c r="B28" s="4" t="s">
        <v>61</v>
      </c>
      <c r="C28" s="7">
        <v>1705.0</v>
      </c>
      <c r="D28" s="4">
        <v>0.806085588817727</v>
      </c>
      <c r="E28" s="7">
        <v>7400.33433442977</v>
      </c>
      <c r="F28" s="4">
        <v>61.2968434896975</v>
      </c>
      <c r="G28" s="7">
        <v>13.7946076282332</v>
      </c>
      <c r="H28" s="6">
        <f t="shared" si="1"/>
        <v>1.139709352</v>
      </c>
    </row>
    <row r="29">
      <c r="A29" s="1" t="s">
        <v>62</v>
      </c>
      <c r="B29" s="4" t="s">
        <v>63</v>
      </c>
      <c r="C29" s="5"/>
      <c r="D29" s="6"/>
      <c r="E29" s="7">
        <v>111158.510573466</v>
      </c>
      <c r="F29" s="4">
        <v>18.5185185185185</v>
      </c>
      <c r="G29" s="7">
        <v>1215.48148148148</v>
      </c>
      <c r="H29" s="6">
        <f t="shared" si="1"/>
        <v>3.084748347</v>
      </c>
    </row>
    <row r="30">
      <c r="A30" s="1" t="s">
        <v>64</v>
      </c>
      <c r="B30" s="4" t="s">
        <v>65</v>
      </c>
      <c r="C30" s="7">
        <v>1146.0</v>
      </c>
      <c r="D30" s="4">
        <v>1.29742916356694</v>
      </c>
      <c r="E30" s="7">
        <v>3165.899629633</v>
      </c>
      <c r="F30" s="4">
        <v>49.1900193852119</v>
      </c>
      <c r="G30" s="7">
        <v>9.12470229853226</v>
      </c>
      <c r="H30" s="6">
        <f t="shared" si="1"/>
        <v>0.9602187041</v>
      </c>
    </row>
    <row r="31">
      <c r="A31" s="1" t="s">
        <v>66</v>
      </c>
      <c r="B31" s="4" t="s">
        <v>67</v>
      </c>
      <c r="C31" s="7">
        <v>1761.0</v>
      </c>
      <c r="D31" s="4">
        <v>0.482451027992547</v>
      </c>
      <c r="E31" s="7">
        <v>18638.7007038013</v>
      </c>
      <c r="F31" s="4">
        <v>61.6801692721108</v>
      </c>
      <c r="G31" s="7">
        <v>23.1973267975889</v>
      </c>
      <c r="H31" s="6">
        <f t="shared" si="1"/>
        <v>1.365437941</v>
      </c>
    </row>
    <row r="32">
      <c r="A32" s="1" t="s">
        <v>68</v>
      </c>
      <c r="B32" s="4" t="s">
        <v>69</v>
      </c>
      <c r="C32" s="7">
        <v>1422.0</v>
      </c>
      <c r="D32" s="6"/>
      <c r="E32" s="7">
        <v>32983.8815824579</v>
      </c>
      <c r="F32" s="4">
        <v>14.6511627906977</v>
      </c>
      <c r="G32" s="7">
        <v>653.737209302326</v>
      </c>
      <c r="H32" s="6">
        <f t="shared" si="1"/>
        <v>2.815403205</v>
      </c>
    </row>
    <row r="33">
      <c r="A33" s="1" t="s">
        <v>70</v>
      </c>
      <c r="B33" s="4" t="s">
        <v>71</v>
      </c>
      <c r="C33" s="7">
        <v>2722.0</v>
      </c>
      <c r="D33" s="6"/>
      <c r="E33" s="7">
        <v>47451.0627712281</v>
      </c>
      <c r="F33" s="4">
        <v>72.4288425047438</v>
      </c>
      <c r="G33" s="7">
        <v>72.846679316888</v>
      </c>
      <c r="H33" s="6">
        <f t="shared" si="1"/>
        <v>1.862409759</v>
      </c>
    </row>
    <row r="34">
      <c r="A34" s="1" t="s">
        <v>72</v>
      </c>
      <c r="B34" s="4" t="s">
        <v>73</v>
      </c>
      <c r="C34" s="7">
        <v>2200.0</v>
      </c>
      <c r="D34" s="4">
        <v>0.013501102533786</v>
      </c>
      <c r="E34" s="7">
        <v>58757.6782062981</v>
      </c>
      <c r="F34" s="4">
        <v>70.7128315449799</v>
      </c>
      <c r="G34" s="7">
        <v>17.795970301965</v>
      </c>
      <c r="H34" s="6">
        <f t="shared" si="1"/>
        <v>1.250321672</v>
      </c>
    </row>
    <row r="35">
      <c r="A35" s="1" t="s">
        <v>74</v>
      </c>
      <c r="B35" s="4" t="s">
        <v>75</v>
      </c>
      <c r="C35" s="7">
        <v>416.0</v>
      </c>
      <c r="D35" s="4">
        <v>0.740418784027821</v>
      </c>
      <c r="E35" s="7">
        <v>59804.0846443881</v>
      </c>
      <c r="F35" s="4">
        <v>29.2132055829054</v>
      </c>
      <c r="G35" s="7">
        <v>3.44695886930284</v>
      </c>
      <c r="H35" s="6">
        <f t="shared" si="1"/>
        <v>0.5374361012</v>
      </c>
    </row>
    <row r="36">
      <c r="A36" s="1" t="s">
        <v>76</v>
      </c>
      <c r="B36" s="4" t="s">
        <v>77</v>
      </c>
      <c r="C36" s="7">
        <v>1343.0</v>
      </c>
      <c r="D36" s="4">
        <v>0.18249850803147</v>
      </c>
      <c r="E36" s="7">
        <v>197518.318212533</v>
      </c>
      <c r="F36" s="4">
        <v>36.3302192686764</v>
      </c>
      <c r="G36" s="7">
        <v>6.96270024719895</v>
      </c>
      <c r="H36" s="6">
        <f t="shared" si="1"/>
        <v>0.8427776987</v>
      </c>
    </row>
    <row r="37">
      <c r="A37" s="1" t="s">
        <v>78</v>
      </c>
      <c r="B37" s="4" t="s">
        <v>79</v>
      </c>
      <c r="C37" s="7">
        <v>537.0</v>
      </c>
      <c r="D37" s="4">
        <v>0.010743237666977</v>
      </c>
      <c r="E37" s="7">
        <v>51622.4149202643</v>
      </c>
      <c r="F37" s="4">
        <v>38.7448217016393</v>
      </c>
      <c r="G37" s="7">
        <v>3.75088477166589</v>
      </c>
      <c r="H37" s="6">
        <f t="shared" si="1"/>
        <v>0.5741337227</v>
      </c>
    </row>
    <row r="38">
      <c r="A38" s="1" t="s">
        <v>80</v>
      </c>
      <c r="B38" s="4" t="s">
        <v>81</v>
      </c>
      <c r="C38" s="5"/>
      <c r="D38" s="6"/>
      <c r="E38" s="5"/>
      <c r="F38" s="4">
        <v>33.6111900074702</v>
      </c>
      <c r="G38" s="7">
        <v>94.9175805763282</v>
      </c>
      <c r="H38" s="6">
        <f t="shared" si="1"/>
        <v>1.97734666</v>
      </c>
    </row>
    <row r="39">
      <c r="A39" s="1" t="s">
        <v>82</v>
      </c>
      <c r="B39" s="4" t="s">
        <v>83</v>
      </c>
      <c r="C39" s="7">
        <v>1537.0</v>
      </c>
      <c r="D39" s="4">
        <v>0.003887884124289</v>
      </c>
      <c r="E39" s="7">
        <v>77243.1175215471</v>
      </c>
      <c r="F39" s="4">
        <v>31.1485474238283</v>
      </c>
      <c r="G39" s="7">
        <v>195.966975402369</v>
      </c>
      <c r="H39" s="6">
        <f t="shared" si="1"/>
        <v>2.29218289</v>
      </c>
    </row>
    <row r="40">
      <c r="A40" s="1" t="s">
        <v>84</v>
      </c>
      <c r="B40" s="4" t="s">
        <v>85</v>
      </c>
      <c r="C40" s="5"/>
      <c r="D40" s="6"/>
      <c r="E40" s="5"/>
      <c r="F40" s="4">
        <v>5.05555555555556</v>
      </c>
      <c r="G40" s="7">
        <v>798.924242424242</v>
      </c>
      <c r="H40" s="6">
        <f t="shared" si="1"/>
        <v>2.9025056</v>
      </c>
    </row>
    <row r="41">
      <c r="A41" s="1" t="s">
        <v>86</v>
      </c>
      <c r="B41" s="4" t="s">
        <v>87</v>
      </c>
      <c r="C41" s="7">
        <v>1522.0</v>
      </c>
      <c r="D41" s="4">
        <v>0.260470805127432</v>
      </c>
      <c r="E41" s="7">
        <v>6634441.4490272</v>
      </c>
      <c r="F41" s="4">
        <v>22.3721911094613</v>
      </c>
      <c r="G41" s="7">
        <v>22.7107696777005</v>
      </c>
      <c r="H41" s="6">
        <f t="shared" si="1"/>
        <v>1.356231853</v>
      </c>
    </row>
    <row r="42">
      <c r="A42" s="1" t="s">
        <v>88</v>
      </c>
      <c r="B42" s="4" t="s">
        <v>89</v>
      </c>
      <c r="C42" s="7">
        <v>645.0</v>
      </c>
      <c r="D42" s="4">
        <v>7.95097147464036</v>
      </c>
      <c r="E42" s="7">
        <v>31940.1940375284</v>
      </c>
      <c r="F42" s="4">
        <v>21.0350872157688</v>
      </c>
      <c r="G42" s="7">
        <v>141.252233956931</v>
      </c>
      <c r="H42" s="6">
        <f t="shared" si="1"/>
        <v>2.149995325</v>
      </c>
    </row>
    <row r="43">
      <c r="A43" s="1" t="s">
        <v>90</v>
      </c>
      <c r="B43" s="4" t="s">
        <v>91</v>
      </c>
      <c r="C43" s="7">
        <v>1348.0</v>
      </c>
      <c r="D43" s="4">
        <v>7.57403639121E-4</v>
      </c>
      <c r="E43" s="7">
        <v>955621.698623411</v>
      </c>
      <c r="F43" s="4">
        <v>12.8253679245283</v>
      </c>
      <c r="G43" s="7">
        <v>63.0790786163522</v>
      </c>
      <c r="H43" s="6">
        <f t="shared" si="1"/>
        <v>1.799885341</v>
      </c>
    </row>
    <row r="44">
      <c r="A44" s="1" t="s">
        <v>92</v>
      </c>
      <c r="B44" s="4" t="s">
        <v>93</v>
      </c>
      <c r="C44" s="7">
        <v>1604.0</v>
      </c>
      <c r="D44" s="4">
        <v>0.072372204665497</v>
      </c>
      <c r="E44" s="7">
        <v>742005.507126304</v>
      </c>
      <c r="F44" s="4">
        <v>44.3616191745468</v>
      </c>
      <c r="G44" s="7">
        <v>41.864826214804</v>
      </c>
      <c r="H44" s="6">
        <f t="shared" si="1"/>
        <v>1.621849293</v>
      </c>
    </row>
    <row r="45">
      <c r="A45" s="1" t="s">
        <v>94</v>
      </c>
      <c r="B45" s="4" t="s">
        <v>95</v>
      </c>
      <c r="C45" s="7">
        <v>1543.0</v>
      </c>
      <c r="D45" s="4">
        <v>0.017890962277006</v>
      </c>
      <c r="E45" s="7">
        <v>111020.752645873</v>
      </c>
      <c r="F45" s="4">
        <v>60.8023643060365</v>
      </c>
      <c r="G45" s="7">
        <v>27.5461820427428</v>
      </c>
      <c r="H45" s="6">
        <f t="shared" si="1"/>
        <v>1.440061413</v>
      </c>
    </row>
    <row r="46">
      <c r="A46" s="1" t="s">
        <v>96</v>
      </c>
      <c r="B46" s="4" t="s">
        <v>97</v>
      </c>
      <c r="C46" s="7">
        <v>1646.0</v>
      </c>
      <c r="D46" s="4">
        <v>0.262896436973433</v>
      </c>
      <c r="E46" s="7">
        <v>1012272.86164349</v>
      </c>
      <c r="F46" s="4">
        <v>64.6764275256223</v>
      </c>
      <c r="G46" s="7">
        <v>12.1387994143485</v>
      </c>
      <c r="H46" s="6">
        <f t="shared" si="1"/>
        <v>1.084175735</v>
      </c>
    </row>
    <row r="47">
      <c r="A47" s="1" t="s">
        <v>98</v>
      </c>
      <c r="B47" s="4" t="s">
        <v>99</v>
      </c>
      <c r="C47" s="7">
        <v>3240.0</v>
      </c>
      <c r="D47" s="4">
        <v>0.657133753962299</v>
      </c>
      <c r="E47" s="7">
        <v>1.36897264973133E7</v>
      </c>
      <c r="F47" s="4">
        <v>54.9802262280307</v>
      </c>
      <c r="G47" s="7">
        <v>40.3335322217215</v>
      </c>
      <c r="H47" s="6">
        <f t="shared" si="1"/>
        <v>1.605666257</v>
      </c>
    </row>
    <row r="48">
      <c r="A48" s="1" t="s">
        <v>100</v>
      </c>
      <c r="B48" s="4" t="s">
        <v>101</v>
      </c>
      <c r="C48" s="7">
        <v>900.0</v>
      </c>
      <c r="D48" s="4">
        <v>0.022191158545354</v>
      </c>
      <c r="E48" s="7">
        <v>455339.836108673</v>
      </c>
      <c r="F48" s="4">
        <v>20.2783449758194</v>
      </c>
      <c r="G48" s="7">
        <v>361.768404083826</v>
      </c>
      <c r="H48" s="6">
        <f t="shared" si="1"/>
        <v>2.558430634</v>
      </c>
    </row>
    <row r="49">
      <c r="A49" s="1" t="s">
        <v>102</v>
      </c>
      <c r="B49" s="4" t="s">
        <v>103</v>
      </c>
      <c r="C49" s="7">
        <v>228.0</v>
      </c>
      <c r="D49" s="4">
        <v>0.009841223589798</v>
      </c>
      <c r="E49" s="7">
        <v>263903.184312887</v>
      </c>
      <c r="F49" s="4">
        <v>10.5260545905707</v>
      </c>
      <c r="G49" s="7">
        <v>120.761042183623</v>
      </c>
      <c r="H49" s="6">
        <f t="shared" si="1"/>
        <v>2.081926852</v>
      </c>
    </row>
    <row r="50">
      <c r="A50" s="1" t="s">
        <v>104</v>
      </c>
      <c r="B50" s="4" t="s">
        <v>105</v>
      </c>
      <c r="C50" s="7">
        <v>2926.0</v>
      </c>
      <c r="D50" s="4">
        <v>0.701045625679748</v>
      </c>
      <c r="E50" s="7">
        <v>5515297.10816694</v>
      </c>
      <c r="F50" s="4">
        <v>56.2045045045045</v>
      </c>
      <c r="G50" s="7">
        <v>88.5377790834313</v>
      </c>
      <c r="H50" s="6">
        <f t="shared" si="1"/>
        <v>1.947128624</v>
      </c>
    </row>
    <row r="51">
      <c r="A51" s="1" t="s">
        <v>106</v>
      </c>
      <c r="B51" s="4" t="s">
        <v>107</v>
      </c>
      <c r="C51" s="5"/>
      <c r="D51" s="6"/>
      <c r="E51" s="5"/>
      <c r="F51" s="4">
        <v>90.5640187723848</v>
      </c>
      <c r="G51" s="7">
        <v>17.1062022971471</v>
      </c>
      <c r="H51" s="6">
        <f t="shared" si="1"/>
        <v>1.233153604</v>
      </c>
    </row>
    <row r="52">
      <c r="A52" s="1" t="s">
        <v>108</v>
      </c>
      <c r="B52" s="4" t="s">
        <v>109</v>
      </c>
      <c r="C52" s="7">
        <v>1335.0</v>
      </c>
      <c r="D52" s="4">
        <v>0.727438085825858</v>
      </c>
      <c r="E52" s="7">
        <v>4128.81386186925</v>
      </c>
      <c r="F52" s="4">
        <v>27.0791055993987</v>
      </c>
      <c r="G52" s="7">
        <v>105.474549041714</v>
      </c>
      <c r="H52" s="6">
        <f t="shared" si="1"/>
        <v>2.023147677</v>
      </c>
    </row>
    <row r="53">
      <c r="A53" s="1" t="s">
        <v>110</v>
      </c>
      <c r="B53" s="4" t="s">
        <v>111</v>
      </c>
      <c r="C53" s="5"/>
      <c r="D53" s="6"/>
      <c r="E53" s="7">
        <v>27603.9405310795</v>
      </c>
      <c r="F53" s="6"/>
      <c r="G53" s="7">
        <v>330.704954954955</v>
      </c>
      <c r="H53" s="6">
        <f t="shared" si="1"/>
        <v>2.519440702</v>
      </c>
    </row>
    <row r="54">
      <c r="A54" s="1" t="s">
        <v>112</v>
      </c>
      <c r="B54" s="4" t="s">
        <v>113</v>
      </c>
      <c r="C54" s="5"/>
      <c r="D54" s="6"/>
      <c r="E54" s="7">
        <v>66580.6402631912</v>
      </c>
      <c r="F54" s="4">
        <v>53.0875</v>
      </c>
      <c r="G54" s="7">
        <v>230.504166666667</v>
      </c>
      <c r="H54" s="6">
        <f t="shared" si="1"/>
        <v>2.36267878</v>
      </c>
    </row>
    <row r="55">
      <c r="A55" s="1" t="s">
        <v>114</v>
      </c>
      <c r="B55" s="4" t="s">
        <v>115</v>
      </c>
      <c r="C55" s="7">
        <v>498.0</v>
      </c>
      <c r="D55" s="4">
        <v>0.00267815502329</v>
      </c>
      <c r="E55" s="7">
        <v>23546.8079971783</v>
      </c>
      <c r="F55" s="4">
        <v>18.692316017316</v>
      </c>
      <c r="G55" s="7">
        <v>118.840800865801</v>
      </c>
      <c r="H55" s="6">
        <f t="shared" si="1"/>
        <v>2.07496557</v>
      </c>
    </row>
    <row r="56">
      <c r="A56" s="1" t="s">
        <v>116</v>
      </c>
      <c r="B56" s="4" t="s">
        <v>117</v>
      </c>
      <c r="C56" s="7">
        <v>677.0</v>
      </c>
      <c r="D56" s="4">
        <v>0.155745987792062</v>
      </c>
      <c r="E56" s="7">
        <v>397531.064916522</v>
      </c>
      <c r="F56" s="4">
        <v>34.3737346278317</v>
      </c>
      <c r="G56" s="7">
        <v>135.196582524272</v>
      </c>
      <c r="H56" s="6">
        <f t="shared" si="1"/>
        <v>2.130965714</v>
      </c>
    </row>
    <row r="57">
      <c r="A57" s="1" t="s">
        <v>118</v>
      </c>
      <c r="B57" s="4" t="s">
        <v>119</v>
      </c>
      <c r="C57" s="7">
        <v>700.0</v>
      </c>
      <c r="D57" s="4">
        <v>0.032824573685482</v>
      </c>
      <c r="E57" s="7">
        <v>32618.2716684647</v>
      </c>
      <c r="F57" s="4">
        <v>32.7113393190098</v>
      </c>
      <c r="G57" s="7">
        <v>234.939637417171</v>
      </c>
      <c r="H57" s="6">
        <f t="shared" si="1"/>
        <v>2.370956294</v>
      </c>
    </row>
    <row r="58">
      <c r="A58" s="1" t="s">
        <v>120</v>
      </c>
      <c r="B58" s="4" t="s">
        <v>121</v>
      </c>
      <c r="C58" s="7">
        <v>220.0</v>
      </c>
      <c r="D58" s="4">
        <v>6.79684704554282</v>
      </c>
      <c r="E58" s="5"/>
      <c r="F58" s="4">
        <v>0.241587575496117</v>
      </c>
      <c r="G58" s="7">
        <v>35.7126833477135</v>
      </c>
      <c r="H58" s="6">
        <f t="shared" si="1"/>
        <v>1.552822483</v>
      </c>
    </row>
    <row r="59">
      <c r="A59" s="1" t="s">
        <v>122</v>
      </c>
      <c r="B59" s="4" t="s">
        <v>123</v>
      </c>
      <c r="C59" s="7">
        <v>2083.0</v>
      </c>
      <c r="D59" s="6"/>
      <c r="E59" s="7">
        <v>16745.4268292683</v>
      </c>
      <c r="F59" s="4">
        <v>63.8266666666667</v>
      </c>
      <c r="G59" s="7">
        <v>94.464</v>
      </c>
      <c r="H59" s="6">
        <f t="shared" si="1"/>
        <v>1.975266331</v>
      </c>
    </row>
    <row r="60">
      <c r="A60" s="1" t="s">
        <v>124</v>
      </c>
      <c r="B60" s="4" t="s">
        <v>125</v>
      </c>
      <c r="C60" s="7">
        <v>703.0</v>
      </c>
      <c r="D60" s="4">
        <v>0.0</v>
      </c>
      <c r="E60" s="7">
        <v>339471.559152975</v>
      </c>
      <c r="F60" s="4">
        <v>13.7874381333962</v>
      </c>
      <c r="G60" s="7">
        <v>130.169573415037</v>
      </c>
      <c r="H60" s="6">
        <f t="shared" si="1"/>
        <v>2.114509482</v>
      </c>
    </row>
    <row r="61">
      <c r="A61" s="1" t="s">
        <v>126</v>
      </c>
      <c r="B61" s="4" t="s">
        <v>127</v>
      </c>
      <c r="C61" s="7">
        <v>1410.0</v>
      </c>
      <c r="D61" s="4">
        <v>0.078705434970172</v>
      </c>
      <c r="E61" s="7">
        <v>158662.222431526</v>
      </c>
      <c r="F61" s="4">
        <v>42.7045125232871</v>
      </c>
      <c r="G61" s="7">
        <v>198.235065203892</v>
      </c>
      <c r="H61" s="6">
        <f t="shared" si="1"/>
        <v>2.297180478</v>
      </c>
    </row>
    <row r="62">
      <c r="A62" s="1" t="s">
        <v>128</v>
      </c>
      <c r="B62" s="4" t="s">
        <v>129</v>
      </c>
      <c r="C62" s="7">
        <v>89.0</v>
      </c>
      <c r="D62" s="4">
        <v>0.039222940364266</v>
      </c>
      <c r="E62" s="7">
        <v>416183.84782262</v>
      </c>
      <c r="F62" s="4">
        <v>0.791060317247055</v>
      </c>
      <c r="G62" s="7">
        <v>14.8353229151797</v>
      </c>
      <c r="H62" s="6">
        <f t="shared" si="1"/>
        <v>1.171297004</v>
      </c>
    </row>
    <row r="63">
      <c r="A63" s="1" t="s">
        <v>130</v>
      </c>
      <c r="B63" s="4" t="s">
        <v>131</v>
      </c>
      <c r="C63" s="5"/>
      <c r="D63" s="6"/>
      <c r="E63" s="5"/>
      <c r="F63" s="4">
        <v>29.9960904166004</v>
      </c>
      <c r="G63" s="7">
        <v>122.382072928847</v>
      </c>
      <c r="H63" s="6">
        <f t="shared" si="1"/>
        <v>2.087717805</v>
      </c>
    </row>
    <row r="64">
      <c r="A64" s="1" t="s">
        <v>132</v>
      </c>
      <c r="B64" s="4" t="s">
        <v>133</v>
      </c>
      <c r="C64" s="5"/>
      <c r="D64" s="6"/>
      <c r="E64" s="5"/>
      <c r="F64" s="4">
        <v>23.6966677767164</v>
      </c>
      <c r="G64" s="7">
        <v>86.1744461617521</v>
      </c>
      <c r="H64" s="6">
        <f t="shared" si="1"/>
        <v>1.935378501</v>
      </c>
    </row>
    <row r="65">
      <c r="A65" s="1" t="s">
        <v>134</v>
      </c>
      <c r="B65" s="4" t="s">
        <v>135</v>
      </c>
      <c r="C65" s="5"/>
      <c r="D65" s="6"/>
      <c r="E65" s="5"/>
      <c r="F65" s="4">
        <v>26.6907267575481</v>
      </c>
      <c r="G65" s="7">
        <v>89.7530139326314</v>
      </c>
      <c r="H65" s="6">
        <f t="shared" si="1"/>
        <v>1.953049041</v>
      </c>
    </row>
    <row r="66">
      <c r="A66" s="1" t="s">
        <v>136</v>
      </c>
      <c r="B66" s="4" t="s">
        <v>137</v>
      </c>
      <c r="C66" s="5"/>
      <c r="D66" s="6"/>
      <c r="E66" s="5"/>
      <c r="F66" s="4">
        <v>39.2674589996609</v>
      </c>
      <c r="G66" s="7">
        <v>17.5051586784663</v>
      </c>
      <c r="H66" s="6">
        <f t="shared" si="1"/>
        <v>1.243166052</v>
      </c>
    </row>
    <row r="67">
      <c r="A67" s="1" t="s">
        <v>138</v>
      </c>
      <c r="B67" s="4" t="s">
        <v>139</v>
      </c>
      <c r="C67" s="5"/>
      <c r="D67" s="6"/>
      <c r="E67" s="5"/>
      <c r="F67" s="4">
        <v>38.2887788236219</v>
      </c>
      <c r="G67" s="7">
        <v>32.229551392844</v>
      </c>
      <c r="H67" s="6">
        <f t="shared" si="1"/>
        <v>1.508254261</v>
      </c>
    </row>
    <row r="68">
      <c r="A68" s="1" t="s">
        <v>140</v>
      </c>
      <c r="B68" s="4" t="s">
        <v>141</v>
      </c>
      <c r="C68" s="7">
        <v>2274.0</v>
      </c>
      <c r="D68" s="4">
        <v>0.336468818221031</v>
      </c>
      <c r="E68" s="7">
        <v>3692.71765265514</v>
      </c>
      <c r="F68" s="4">
        <v>52.7396561443067</v>
      </c>
      <c r="G68" s="7">
        <v>59.4878885488807</v>
      </c>
      <c r="H68" s="6">
        <f t="shared" si="1"/>
        <v>1.774428554</v>
      </c>
    </row>
    <row r="69">
      <c r="A69" s="1" t="s">
        <v>142</v>
      </c>
      <c r="B69" s="4" t="s">
        <v>143</v>
      </c>
      <c r="C69" s="7">
        <v>18.1</v>
      </c>
      <c r="D69" s="4">
        <v>0.01221347652012</v>
      </c>
      <c r="E69" s="7">
        <v>32767.40227549</v>
      </c>
      <c r="F69" s="4">
        <v>0.065294088100859</v>
      </c>
      <c r="G69" s="7">
        <v>81.5056396604551</v>
      </c>
      <c r="H69" s="6">
        <f t="shared" si="1"/>
        <v>1.91118766</v>
      </c>
    </row>
    <row r="70">
      <c r="A70" s="1" t="s">
        <v>144</v>
      </c>
      <c r="B70" s="4" t="s">
        <v>145</v>
      </c>
      <c r="C70" s="5"/>
      <c r="D70" s="6"/>
      <c r="E70" s="5"/>
      <c r="F70" s="4">
        <v>37.8716732220959</v>
      </c>
      <c r="G70" s="7">
        <v>125.307388639968</v>
      </c>
      <c r="H70" s="6">
        <f t="shared" si="1"/>
        <v>2.09797668</v>
      </c>
    </row>
    <row r="71">
      <c r="A71" s="1" t="s">
        <v>146</v>
      </c>
      <c r="B71" s="4" t="s">
        <v>147</v>
      </c>
      <c r="C71" s="7">
        <v>384.0</v>
      </c>
      <c r="D71" s="4">
        <v>7.32348285594532</v>
      </c>
      <c r="E71" s="7">
        <v>9162.5641042078</v>
      </c>
      <c r="F71" s="4">
        <v>10.7922772277228</v>
      </c>
      <c r="G71" s="7">
        <v>30.890297029703</v>
      </c>
      <c r="H71" s="6">
        <f t="shared" si="1"/>
        <v>1.489822084</v>
      </c>
    </row>
    <row r="72">
      <c r="A72" s="1" t="s">
        <v>148</v>
      </c>
      <c r="B72" s="4" t="s">
        <v>149</v>
      </c>
      <c r="C72" s="7">
        <v>636.0</v>
      </c>
      <c r="D72" s="4">
        <v>0.729193518337962</v>
      </c>
      <c r="E72" s="7">
        <v>23234.78322538</v>
      </c>
      <c r="F72" s="4">
        <v>36.8992880920868</v>
      </c>
      <c r="G72" s="7">
        <v>92.9750651746681</v>
      </c>
      <c r="H72" s="6">
        <f t="shared" si="1"/>
        <v>1.968366491</v>
      </c>
    </row>
    <row r="73">
      <c r="A73" s="1" t="s">
        <v>150</v>
      </c>
      <c r="B73" s="4" t="s">
        <v>151</v>
      </c>
      <c r="C73" s="7">
        <v>626.0</v>
      </c>
      <c r="D73" s="4">
        <v>0.0</v>
      </c>
      <c r="E73" s="7">
        <v>12803.271600544</v>
      </c>
      <c r="F73" s="4">
        <v>54.8786742156169</v>
      </c>
      <c r="G73" s="7">
        <v>31.4818353385232</v>
      </c>
      <c r="H73" s="6">
        <f t="shared" si="1"/>
        <v>1.498060043</v>
      </c>
    </row>
    <row r="74">
      <c r="A74" s="1" t="s">
        <v>152</v>
      </c>
      <c r="B74" s="4" t="s">
        <v>153</v>
      </c>
      <c r="C74" s="7">
        <v>848.0</v>
      </c>
      <c r="D74" s="4">
        <v>3.26301816870463</v>
      </c>
      <c r="E74" s="7">
        <v>9187.31778660475</v>
      </c>
      <c r="F74" s="4">
        <v>15.8256966388377</v>
      </c>
      <c r="G74" s="7">
        <v>75.4769442260609</v>
      </c>
      <c r="H74" s="6">
        <f t="shared" si="1"/>
        <v>1.877814309</v>
      </c>
    </row>
    <row r="75">
      <c r="A75" s="1" t="s">
        <v>154</v>
      </c>
      <c r="B75" s="4" t="s">
        <v>155</v>
      </c>
      <c r="C75" s="5"/>
      <c r="D75" s="6"/>
      <c r="E75" s="5"/>
      <c r="F75" s="4">
        <v>39.0552571796124</v>
      </c>
      <c r="G75" s="7">
        <v>110.292432743718</v>
      </c>
      <c r="H75" s="6">
        <f t="shared" si="1"/>
        <v>2.042545716</v>
      </c>
    </row>
    <row r="76">
      <c r="A76" s="1" t="s">
        <v>156</v>
      </c>
      <c r="B76" s="4" t="s">
        <v>157</v>
      </c>
      <c r="C76" s="5"/>
      <c r="D76" s="6"/>
      <c r="E76" s="5"/>
      <c r="F76" s="4">
        <v>26.5317517512294</v>
      </c>
      <c r="G76" s="7">
        <v>35.9505537758208</v>
      </c>
      <c r="H76" s="6">
        <f t="shared" si="1"/>
        <v>1.555705585</v>
      </c>
    </row>
    <row r="77">
      <c r="A77" s="1" t="s">
        <v>158</v>
      </c>
      <c r="B77" s="4" t="s">
        <v>159</v>
      </c>
      <c r="C77" s="7">
        <v>536.0</v>
      </c>
      <c r="D77" s="4">
        <v>3.87043470111E-4</v>
      </c>
      <c r="E77" s="7">
        <v>38225.872099176</v>
      </c>
      <c r="F77" s="4">
        <v>73.2555577492596</v>
      </c>
      <c r="G77" s="7">
        <v>17.5678545574202</v>
      </c>
      <c r="H77" s="6">
        <f t="shared" si="1"/>
        <v>1.244718727</v>
      </c>
    </row>
    <row r="78">
      <c r="A78" s="1" t="s">
        <v>160</v>
      </c>
      <c r="B78" s="4" t="s">
        <v>161</v>
      </c>
      <c r="C78" s="7">
        <v>2592.0</v>
      </c>
      <c r="D78" s="4">
        <v>1.72863661924856</v>
      </c>
      <c r="E78" s="7">
        <v>9054.49863876406</v>
      </c>
      <c r="F78" s="4">
        <v>58.3778325123153</v>
      </c>
      <c r="G78" s="7">
        <v>46.7233716475096</v>
      </c>
      <c r="H78" s="6">
        <f t="shared" si="1"/>
        <v>1.669534175</v>
      </c>
    </row>
    <row r="79">
      <c r="A79" s="1" t="s">
        <v>162</v>
      </c>
      <c r="B79" s="4" t="s">
        <v>163</v>
      </c>
      <c r="C79" s="7">
        <v>867.0</v>
      </c>
      <c r="D79" s="4">
        <v>0.005717645929267</v>
      </c>
      <c r="E79" s="7">
        <v>31663.8494562454</v>
      </c>
      <c r="F79" s="4">
        <v>29.7793654359272</v>
      </c>
      <c r="G79" s="7">
        <v>118.174062243748</v>
      </c>
      <c r="H79" s="6">
        <f t="shared" si="1"/>
        <v>2.072522165</v>
      </c>
    </row>
    <row r="80">
      <c r="A80" s="1" t="s">
        <v>164</v>
      </c>
      <c r="B80" s="4" t="s">
        <v>165</v>
      </c>
      <c r="C80" s="5"/>
      <c r="D80" s="6"/>
      <c r="E80" s="5"/>
      <c r="F80" s="4">
        <v>0.05730659025788</v>
      </c>
      <c r="G80" s="7">
        <v>34.2507163323782</v>
      </c>
      <c r="H80" s="6">
        <f t="shared" si="1"/>
        <v>1.534669659</v>
      </c>
    </row>
    <row r="81">
      <c r="A81" s="1" t="s">
        <v>166</v>
      </c>
      <c r="B81" s="4" t="s">
        <v>167</v>
      </c>
      <c r="C81" s="5"/>
      <c r="D81" s="4">
        <v>1.34981355700244</v>
      </c>
      <c r="E81" s="7">
        <v>2303.74474366569</v>
      </c>
      <c r="F81" s="4">
        <v>91.5757142857143</v>
      </c>
      <c r="G81" s="7">
        <v>147.101428571429</v>
      </c>
      <c r="H81" s="6">
        <f t="shared" si="1"/>
        <v>2.16761689</v>
      </c>
    </row>
    <row r="82">
      <c r="A82" s="1" t="s">
        <v>168</v>
      </c>
      <c r="B82" s="4" t="s">
        <v>169</v>
      </c>
      <c r="C82" s="7">
        <v>1831.0</v>
      </c>
      <c r="D82" s="6"/>
      <c r="E82" s="7">
        <v>2466518.55812101</v>
      </c>
      <c r="F82" s="4">
        <v>91.8014087786704</v>
      </c>
      <c r="G82" s="7">
        <v>6.08889276982187</v>
      </c>
      <c r="H82" s="6">
        <f t="shared" si="1"/>
        <v>0.7845383259</v>
      </c>
    </row>
    <row r="83">
      <c r="A83" s="1" t="s">
        <v>170</v>
      </c>
      <c r="B83" s="4" t="s">
        <v>171</v>
      </c>
      <c r="C83" s="7">
        <v>1220.0</v>
      </c>
      <c r="D83" s="4">
        <v>0.032407018945073</v>
      </c>
      <c r="E83" s="7">
        <v>27444.18201347</v>
      </c>
      <c r="F83" s="4">
        <v>12.6007522837184</v>
      </c>
      <c r="G83" s="7">
        <v>257.414417393461</v>
      </c>
      <c r="H83" s="6">
        <f t="shared" si="1"/>
        <v>2.410632867</v>
      </c>
    </row>
    <row r="84">
      <c r="A84" s="1" t="s">
        <v>172</v>
      </c>
      <c r="B84" s="4" t="s">
        <v>173</v>
      </c>
      <c r="C84" s="7">
        <v>1026.0</v>
      </c>
      <c r="D84" s="4">
        <v>0.770433848504126</v>
      </c>
      <c r="E84" s="7">
        <v>6574.45909848918</v>
      </c>
      <c r="F84" s="4">
        <v>40.5269822996115</v>
      </c>
      <c r="G84" s="7">
        <v>66.7346478183281</v>
      </c>
      <c r="H84" s="6">
        <f t="shared" si="1"/>
        <v>1.824351373</v>
      </c>
    </row>
    <row r="85">
      <c r="A85" s="1" t="s">
        <v>174</v>
      </c>
      <c r="B85" s="4" t="s">
        <v>175</v>
      </c>
      <c r="C85" s="7">
        <v>1187.0</v>
      </c>
      <c r="D85" s="4">
        <v>0.974438236973891</v>
      </c>
      <c r="E85" s="7">
        <v>3568.21481892535</v>
      </c>
      <c r="F85" s="4">
        <v>35.3058714951217</v>
      </c>
      <c r="G85" s="7">
        <v>106.227225982245</v>
      </c>
      <c r="H85" s="6">
        <f t="shared" si="1"/>
        <v>2.02623584</v>
      </c>
    </row>
    <row r="86">
      <c r="A86" s="1" t="s">
        <v>176</v>
      </c>
      <c r="B86" s="4" t="s">
        <v>177</v>
      </c>
      <c r="C86" s="5"/>
      <c r="D86" s="6"/>
      <c r="E86" s="5"/>
      <c r="F86" s="4">
        <v>0.0</v>
      </c>
      <c r="G86" s="7">
        <v>3356.2</v>
      </c>
      <c r="H86" s="6">
        <f t="shared" si="1"/>
        <v>3.525847833</v>
      </c>
    </row>
    <row r="87">
      <c r="A87" s="1" t="s">
        <v>178</v>
      </c>
      <c r="B87" s="4" t="s">
        <v>179</v>
      </c>
      <c r="C87" s="7">
        <v>1651.0</v>
      </c>
      <c r="D87" s="4">
        <v>0.180212227284055</v>
      </c>
      <c r="E87" s="7">
        <v>3757476.29832796</v>
      </c>
      <c r="F87" s="4">
        <v>26.8801888328178</v>
      </c>
      <c r="G87" s="7">
        <v>40.5521325085463</v>
      </c>
      <c r="H87" s="6">
        <f t="shared" si="1"/>
        <v>1.608013697</v>
      </c>
    </row>
    <row r="88">
      <c r="A88" s="1" t="s">
        <v>180</v>
      </c>
      <c r="B88" s="4" t="s">
        <v>181</v>
      </c>
      <c r="C88" s="7">
        <v>836.0</v>
      </c>
      <c r="D88" s="4">
        <v>0.19719002671623</v>
      </c>
      <c r="E88" s="7">
        <v>26982.2279441721</v>
      </c>
      <c r="F88" s="4">
        <v>30.2107707509881</v>
      </c>
      <c r="G88" s="7">
        <v>171.964130434783</v>
      </c>
      <c r="H88" s="6">
        <f t="shared" si="1"/>
        <v>2.235437868</v>
      </c>
    </row>
    <row r="89">
      <c r="A89" s="1" t="s">
        <v>182</v>
      </c>
      <c r="B89" s="4" t="s">
        <v>183</v>
      </c>
      <c r="C89" s="7">
        <v>1577.0</v>
      </c>
      <c r="D89" s="4">
        <v>0.540905804297409</v>
      </c>
      <c r="E89" s="7">
        <v>235080.954296728</v>
      </c>
      <c r="F89" s="4">
        <v>73.7153271692745</v>
      </c>
      <c r="G89" s="7">
        <v>52.7709815078236</v>
      </c>
      <c r="H89" s="6">
        <f t="shared" si="1"/>
        <v>1.722395172</v>
      </c>
    </row>
    <row r="90">
      <c r="A90" s="1" t="s">
        <v>184</v>
      </c>
      <c r="B90" s="4" t="s">
        <v>185</v>
      </c>
      <c r="C90" s="7">
        <v>2156.0</v>
      </c>
      <c r="D90" s="6"/>
      <c r="E90" s="7">
        <v>8050869.0767079</v>
      </c>
      <c r="F90" s="4">
        <v>90.5656684491979</v>
      </c>
      <c r="G90" s="7">
        <v>32.1422103386809</v>
      </c>
      <c r="H90" s="6">
        <f t="shared" si="1"/>
        <v>1.507075739</v>
      </c>
    </row>
    <row r="91">
      <c r="A91" s="1" t="s">
        <v>186</v>
      </c>
      <c r="B91" s="4" t="s">
        <v>187</v>
      </c>
      <c r="C91" s="7">
        <v>652.0</v>
      </c>
      <c r="D91" s="4">
        <v>0.006583138661805</v>
      </c>
      <c r="E91" s="7">
        <v>20585.1114660219</v>
      </c>
      <c r="F91" s="4">
        <v>30.0360411171451</v>
      </c>
      <c r="G91" s="7">
        <v>86.1677036462374</v>
      </c>
      <c r="H91" s="6">
        <f t="shared" si="1"/>
        <v>1.935344519</v>
      </c>
    </row>
    <row r="92">
      <c r="A92" s="1" t="s">
        <v>188</v>
      </c>
      <c r="B92" s="4" t="s">
        <v>189</v>
      </c>
      <c r="C92" s="7">
        <v>2350.0</v>
      </c>
      <c r="D92" s="6"/>
      <c r="E92" s="7">
        <v>17840.8216510535</v>
      </c>
      <c r="F92" s="4">
        <v>52.0588235294118</v>
      </c>
      <c r="G92" s="7">
        <v>311.138235294118</v>
      </c>
      <c r="H92" s="6">
        <f t="shared" si="1"/>
        <v>2.492953384</v>
      </c>
    </row>
    <row r="93">
      <c r="A93" s="1" t="s">
        <v>190</v>
      </c>
      <c r="B93" s="4" t="s">
        <v>191</v>
      </c>
      <c r="C93" s="5"/>
      <c r="D93" s="6"/>
      <c r="E93" s="7">
        <v>245686.486870373</v>
      </c>
      <c r="F93" s="4">
        <v>5.3599707638E-4</v>
      </c>
      <c r="G93" s="7">
        <v>0.137222560604215</v>
      </c>
      <c r="H93" s="6">
        <f t="shared" si="1"/>
        <v>-0.8625744809</v>
      </c>
    </row>
    <row r="94">
      <c r="A94" s="1" t="s">
        <v>192</v>
      </c>
      <c r="B94" s="4" t="s">
        <v>193</v>
      </c>
      <c r="C94" s="7">
        <v>1996.0</v>
      </c>
      <c r="D94" s="4">
        <v>1.30682366289927</v>
      </c>
      <c r="E94" s="7">
        <v>25989.9724218028</v>
      </c>
      <c r="F94" s="4">
        <v>35.1927958193356</v>
      </c>
      <c r="G94" s="7">
        <v>130.647536394177</v>
      </c>
      <c r="H94" s="6">
        <f t="shared" si="1"/>
        <v>2.116101225</v>
      </c>
    </row>
    <row r="95">
      <c r="A95" s="1" t="s">
        <v>194</v>
      </c>
      <c r="B95" s="4" t="s">
        <v>195</v>
      </c>
      <c r="C95" s="5"/>
      <c r="D95" s="6"/>
      <c r="E95" s="7">
        <v>31633.0888263666</v>
      </c>
      <c r="F95" s="4">
        <v>44.4444444444444</v>
      </c>
      <c r="G95" s="7">
        <v>294.874074074074</v>
      </c>
      <c r="H95" s="6">
        <f t="shared" si="1"/>
        <v>2.46963659</v>
      </c>
    </row>
    <row r="96">
      <c r="A96" s="1" t="s">
        <v>196</v>
      </c>
      <c r="B96" s="4" t="s">
        <v>197</v>
      </c>
      <c r="C96" s="7">
        <v>2387.0</v>
      </c>
      <c r="D96" s="4">
        <v>7.17062421244385</v>
      </c>
      <c r="E96" s="7">
        <v>963919.552558585</v>
      </c>
      <c r="F96" s="4">
        <v>94.1033832867666</v>
      </c>
      <c r="G96" s="7">
        <v>3.79841503683007</v>
      </c>
      <c r="H96" s="6">
        <f t="shared" si="1"/>
        <v>0.5796024165</v>
      </c>
    </row>
    <row r="97">
      <c r="A97" s="1" t="s">
        <v>198</v>
      </c>
      <c r="B97" s="4" t="s">
        <v>199</v>
      </c>
      <c r="C97" s="5"/>
      <c r="D97" s="6"/>
      <c r="E97" s="5"/>
      <c r="F97" s="4">
        <v>28.9862492015129</v>
      </c>
      <c r="G97" s="7">
        <v>32.8221637267598</v>
      </c>
      <c r="H97" s="6">
        <f t="shared" si="1"/>
        <v>1.516167208</v>
      </c>
    </row>
    <row r="98">
      <c r="A98" s="1" t="s">
        <v>200</v>
      </c>
      <c r="B98" s="4" t="s">
        <v>201</v>
      </c>
      <c r="C98" s="5"/>
      <c r="D98" s="4">
        <v>0.004354372654077</v>
      </c>
      <c r="E98" s="7">
        <v>308150.52776503</v>
      </c>
      <c r="F98" s="6"/>
      <c r="G98" s="7">
        <v>6640.76190476191</v>
      </c>
      <c r="H98" s="6">
        <f t="shared" si="1"/>
        <v>3.822217909</v>
      </c>
    </row>
    <row r="99">
      <c r="A99" s="1" t="s">
        <v>202</v>
      </c>
      <c r="B99" s="4" t="s">
        <v>203</v>
      </c>
      <c r="C99" s="7">
        <v>1976.0</v>
      </c>
      <c r="D99" s="4">
        <v>1.25529122608881</v>
      </c>
      <c r="E99" s="7">
        <v>18903.5773263418</v>
      </c>
      <c r="F99" s="4">
        <v>58.9485208687103</v>
      </c>
      <c r="G99" s="7">
        <v>72.8463669675574</v>
      </c>
      <c r="H99" s="6">
        <f t="shared" si="1"/>
        <v>1.862407897</v>
      </c>
    </row>
    <row r="100">
      <c r="A100" s="1" t="s">
        <v>204</v>
      </c>
      <c r="B100" s="4" t="s">
        <v>205</v>
      </c>
      <c r="C100" s="5"/>
      <c r="D100" s="6"/>
      <c r="E100" s="5"/>
      <c r="F100" s="4">
        <v>30.9032348676385</v>
      </c>
      <c r="G100" s="7">
        <v>30.3733278544266</v>
      </c>
      <c r="H100" s="6">
        <f t="shared" si="1"/>
        <v>1.482492378</v>
      </c>
    </row>
    <row r="101">
      <c r="A101" s="1" t="s">
        <v>206</v>
      </c>
      <c r="B101" s="4" t="s">
        <v>207</v>
      </c>
      <c r="C101" s="7">
        <v>1113.0</v>
      </c>
      <c r="D101" s="4">
        <v>0.002494288688618</v>
      </c>
      <c r="E101" s="7">
        <v>81413.5110114307</v>
      </c>
      <c r="F101" s="4">
        <v>34.2476769120801</v>
      </c>
      <c r="G101" s="7">
        <v>76.933184417441</v>
      </c>
      <c r="H101" s="6">
        <f t="shared" si="1"/>
        <v>1.886113709</v>
      </c>
    </row>
    <row r="102">
      <c r="A102" s="1" t="s">
        <v>208</v>
      </c>
      <c r="B102" s="4" t="s">
        <v>209</v>
      </c>
      <c r="C102" s="7">
        <v>1440.0</v>
      </c>
      <c r="D102" s="4">
        <v>0.840315026319036</v>
      </c>
      <c r="E102" s="7">
        <v>58374.4560088818</v>
      </c>
      <c r="F102" s="4">
        <v>13.7375544267054</v>
      </c>
      <c r="G102" s="7">
        <v>355.516908563135</v>
      </c>
      <c r="H102" s="6">
        <f t="shared" si="1"/>
        <v>2.550860261</v>
      </c>
    </row>
    <row r="103">
      <c r="A103" s="1" t="s">
        <v>210</v>
      </c>
      <c r="B103" s="4" t="s">
        <v>211</v>
      </c>
      <c r="C103" s="7">
        <v>589.0</v>
      </c>
      <c r="D103" s="4">
        <v>0.088105351286893</v>
      </c>
      <c r="E103" s="7">
        <v>3119314.25321646</v>
      </c>
      <c r="F103" s="4">
        <v>22.4662321882249</v>
      </c>
      <c r="G103" s="7">
        <v>110.710814094775</v>
      </c>
      <c r="H103" s="6">
        <f t="shared" si="1"/>
        <v>2.044190044</v>
      </c>
    </row>
    <row r="104">
      <c r="A104" s="1" t="s">
        <v>212</v>
      </c>
      <c r="B104" s="4" t="s">
        <v>213</v>
      </c>
      <c r="C104" s="5"/>
      <c r="D104" s="6"/>
      <c r="E104" s="5"/>
      <c r="F104" s="4">
        <v>34.2222456635604</v>
      </c>
      <c r="G104" s="7">
        <v>61.7404231070147</v>
      </c>
      <c r="H104" s="6">
        <f t="shared" si="1"/>
        <v>1.790569601</v>
      </c>
    </row>
    <row r="105">
      <c r="A105" s="1" t="s">
        <v>214</v>
      </c>
      <c r="B105" s="4" t="s">
        <v>215</v>
      </c>
      <c r="C105" s="5"/>
      <c r="D105" s="6"/>
      <c r="E105" s="5"/>
      <c r="F105" s="4">
        <v>32.9881357654275</v>
      </c>
      <c r="G105" s="7">
        <v>59.5679650074948</v>
      </c>
      <c r="H105" s="6">
        <f t="shared" si="1"/>
        <v>1.775012764</v>
      </c>
    </row>
    <row r="106">
      <c r="A106" s="1" t="s">
        <v>216</v>
      </c>
      <c r="B106" s="4" t="s">
        <v>217</v>
      </c>
      <c r="C106" s="5"/>
      <c r="D106" s="6"/>
      <c r="E106" s="5"/>
      <c r="F106" s="4">
        <v>29.0926718740371</v>
      </c>
      <c r="G106" s="7">
        <v>53.3945953504715</v>
      </c>
      <c r="H106" s="6">
        <f t="shared" si="1"/>
        <v>1.7274973</v>
      </c>
    </row>
    <row r="107">
      <c r="A107" s="1" t="s">
        <v>218</v>
      </c>
      <c r="B107" s="4" t="s">
        <v>219</v>
      </c>
      <c r="C107" s="5"/>
      <c r="D107" s="6"/>
      <c r="E107" s="5"/>
      <c r="F107" s="4">
        <v>30.6401361065783</v>
      </c>
      <c r="G107" s="7">
        <v>101.845013583194</v>
      </c>
      <c r="H107" s="6">
        <f t="shared" si="1"/>
        <v>2.00793977</v>
      </c>
    </row>
    <row r="108">
      <c r="A108" s="1" t="s">
        <v>220</v>
      </c>
      <c r="B108" s="4" t="s">
        <v>221</v>
      </c>
      <c r="C108" s="7">
        <v>2702.0</v>
      </c>
      <c r="D108" s="4">
        <v>0.160589721908345</v>
      </c>
      <c r="E108" s="7">
        <v>2.70804446734773E7</v>
      </c>
      <c r="F108" s="4">
        <v>55.1020827238252</v>
      </c>
      <c r="G108" s="7">
        <v>131.720305591283</v>
      </c>
      <c r="H108" s="6">
        <f t="shared" si="1"/>
        <v>2.11965273</v>
      </c>
    </row>
    <row r="109">
      <c r="A109" s="1" t="s">
        <v>222</v>
      </c>
      <c r="B109" s="4" t="s">
        <v>223</v>
      </c>
      <c r="C109" s="5"/>
      <c r="D109" s="6"/>
      <c r="E109" s="5"/>
      <c r="F109" s="4">
        <v>28.7196163870921</v>
      </c>
      <c r="G109" s="7">
        <v>43.1263467537668</v>
      </c>
      <c r="H109" s="6">
        <f t="shared" si="1"/>
        <v>1.63474267</v>
      </c>
    </row>
    <row r="110">
      <c r="A110" s="1" t="s">
        <v>224</v>
      </c>
      <c r="B110" s="4" t="s">
        <v>225</v>
      </c>
      <c r="C110" s="5"/>
      <c r="D110" s="6"/>
      <c r="E110" s="7">
        <v>44516.3938894749</v>
      </c>
      <c r="F110" s="4">
        <v>6.07017543859649</v>
      </c>
      <c r="G110" s="7">
        <v>148.033333333333</v>
      </c>
      <c r="H110" s="6">
        <f t="shared" si="1"/>
        <v>2.170359518</v>
      </c>
    </row>
    <row r="111">
      <c r="A111" s="1" t="s">
        <v>226</v>
      </c>
      <c r="B111" s="4" t="s">
        <v>227</v>
      </c>
      <c r="C111" s="7">
        <v>1083.0</v>
      </c>
      <c r="D111" s="4">
        <v>4.3561089920649</v>
      </c>
      <c r="E111" s="7">
        <v>62830.8555971576</v>
      </c>
      <c r="F111" s="4">
        <v>23.3101483591698</v>
      </c>
      <c r="G111" s="7">
        <v>409.568919914301</v>
      </c>
      <c r="H111" s="6">
        <f t="shared" si="1"/>
        <v>2.612326993</v>
      </c>
    </row>
    <row r="112">
      <c r="A112" s="1" t="s">
        <v>228</v>
      </c>
      <c r="B112" s="4" t="s">
        <v>229</v>
      </c>
      <c r="C112" s="5"/>
      <c r="D112" s="6"/>
      <c r="E112" s="5"/>
      <c r="F112" s="6"/>
      <c r="G112" s="5"/>
      <c r="H112" s="6" t="str">
        <f t="shared" si="1"/>
        <v>#NUM!</v>
      </c>
    </row>
    <row r="113">
      <c r="A113" s="1" t="s">
        <v>230</v>
      </c>
      <c r="B113" s="4" t="s">
        <v>231</v>
      </c>
      <c r="C113" s="7">
        <v>1118.0</v>
      </c>
      <c r="D113" s="4">
        <v>0.00490736939921</v>
      </c>
      <c r="E113" s="7">
        <v>40906.6046357798</v>
      </c>
      <c r="F113" s="4">
        <v>10.3262882856728</v>
      </c>
      <c r="G113" s="7">
        <v>65.8350268544056</v>
      </c>
      <c r="H113" s="6">
        <f t="shared" si="1"/>
        <v>1.818457017</v>
      </c>
    </row>
    <row r="114">
      <c r="A114" s="1" t="s">
        <v>232</v>
      </c>
      <c r="B114" s="4" t="s">
        <v>233</v>
      </c>
      <c r="C114" s="7">
        <v>228.0</v>
      </c>
      <c r="D114" s="4">
        <v>3.05679191703282</v>
      </c>
      <c r="E114" s="7">
        <v>8.07676486617062E7</v>
      </c>
      <c r="F114" s="4">
        <v>6.480603649402</v>
      </c>
      <c r="G114" s="7">
        <v>44.7732219602643</v>
      </c>
      <c r="H114" s="6">
        <f t="shared" si="1"/>
        <v>1.651018348</v>
      </c>
    </row>
    <row r="115">
      <c r="A115" s="1" t="s">
        <v>234</v>
      </c>
      <c r="B115" s="4" t="s">
        <v>235</v>
      </c>
      <c r="C115" s="7">
        <v>216.0</v>
      </c>
      <c r="D115" s="4">
        <v>0.014837959324101</v>
      </c>
      <c r="E115" s="7">
        <v>4304082.15093716</v>
      </c>
      <c r="F115" s="4">
        <v>1.89790937557561</v>
      </c>
      <c r="G115" s="7">
        <v>66.7092397310739</v>
      </c>
      <c r="H115" s="6">
        <f t="shared" si="1"/>
        <v>1.824185991</v>
      </c>
    </row>
    <row r="116">
      <c r="A116" s="1" t="s">
        <v>236</v>
      </c>
      <c r="B116" s="4" t="s">
        <v>237</v>
      </c>
      <c r="C116" s="7">
        <v>1940.0</v>
      </c>
      <c r="D116" s="6"/>
      <c r="E116" s="7">
        <v>6533590.48537044</v>
      </c>
      <c r="F116" s="4">
        <v>0.430783042394015</v>
      </c>
      <c r="G116" s="7">
        <v>3.17704738154613</v>
      </c>
      <c r="H116" s="6">
        <f t="shared" si="1"/>
        <v>0.5020236918</v>
      </c>
    </row>
    <row r="117">
      <c r="A117" s="1" t="s">
        <v>238</v>
      </c>
      <c r="B117" s="4" t="s">
        <v>239</v>
      </c>
      <c r="C117" s="7">
        <v>435.0</v>
      </c>
      <c r="D117" s="4">
        <v>8.10924778618E-4</v>
      </c>
      <c r="E117" s="7">
        <v>121748.493240355</v>
      </c>
      <c r="F117" s="4">
        <v>7.11182994454714</v>
      </c>
      <c r="G117" s="7">
        <v>345.914972273567</v>
      </c>
      <c r="H117" s="6">
        <f t="shared" si="1"/>
        <v>2.53896936</v>
      </c>
    </row>
    <row r="118">
      <c r="A118" s="1" t="s">
        <v>240</v>
      </c>
      <c r="B118" s="4" t="s">
        <v>241</v>
      </c>
      <c r="C118" s="7">
        <v>832.0</v>
      </c>
      <c r="D118" s="4">
        <v>0.007102219068959</v>
      </c>
      <c r="E118" s="7">
        <v>28494.7305088986</v>
      </c>
      <c r="F118" s="4">
        <v>30.4690317535867</v>
      </c>
      <c r="G118" s="7">
        <v>200.908971918134</v>
      </c>
      <c r="H118" s="6">
        <f t="shared" si="1"/>
        <v>2.302999331</v>
      </c>
    </row>
    <row r="119">
      <c r="A119" s="1" t="s">
        <v>242</v>
      </c>
      <c r="B119" s="4" t="s">
        <v>243</v>
      </c>
      <c r="C119" s="7">
        <v>2051.0</v>
      </c>
      <c r="D119" s="4">
        <v>1.14346077633162</v>
      </c>
      <c r="E119" s="7">
        <v>300543.772370297</v>
      </c>
      <c r="F119" s="4">
        <v>51.219298245614</v>
      </c>
      <c r="G119" s="7">
        <v>258.156879039704</v>
      </c>
      <c r="H119" s="6">
        <f t="shared" si="1"/>
        <v>2.411883702</v>
      </c>
    </row>
    <row r="120">
      <c r="A120" s="1" t="s">
        <v>244</v>
      </c>
      <c r="B120" s="4" t="s">
        <v>245</v>
      </c>
      <c r="C120" s="7">
        <v>111.0</v>
      </c>
      <c r="D120" s="4">
        <v>0.369473469445725</v>
      </c>
      <c r="E120" s="7">
        <v>3441.17891713904</v>
      </c>
      <c r="F120" s="4">
        <v>1.09822031989187</v>
      </c>
      <c r="G120" s="7">
        <v>77.6442667267403</v>
      </c>
      <c r="H120" s="6">
        <f t="shared" si="1"/>
        <v>1.890109393</v>
      </c>
    </row>
    <row r="121">
      <c r="A121" s="1" t="s">
        <v>246</v>
      </c>
      <c r="B121" s="4" t="s">
        <v>247</v>
      </c>
      <c r="C121" s="7">
        <v>1668.0</v>
      </c>
      <c r="D121" s="4">
        <v>0.020951550145542</v>
      </c>
      <c r="E121" s="7">
        <v>3831174.59726507</v>
      </c>
      <c r="F121" s="4">
        <v>68.4691358024691</v>
      </c>
      <c r="G121" s="7">
        <v>351.294924554184</v>
      </c>
      <c r="H121" s="6">
        <f t="shared" si="1"/>
        <v>2.545671875</v>
      </c>
    </row>
    <row r="122">
      <c r="A122" s="1" t="s">
        <v>248</v>
      </c>
      <c r="B122" s="4" t="s">
        <v>249</v>
      </c>
      <c r="C122" s="7">
        <v>250.0</v>
      </c>
      <c r="D122" s="4">
        <v>0.217161218770403</v>
      </c>
      <c r="E122" s="7">
        <v>594428.825255136</v>
      </c>
      <c r="F122" s="4">
        <v>1.14444349372152</v>
      </c>
      <c r="G122" s="7">
        <v>5.96096677408601</v>
      </c>
      <c r="H122" s="6">
        <f t="shared" si="1"/>
        <v>0.7753167011</v>
      </c>
    </row>
    <row r="123">
      <c r="A123" s="1" t="s">
        <v>250</v>
      </c>
      <c r="B123" s="4" t="s">
        <v>251</v>
      </c>
      <c r="C123" s="7">
        <v>630.0</v>
      </c>
      <c r="D123" s="4">
        <v>6.47785323086186</v>
      </c>
      <c r="E123" s="7">
        <v>131081.328013991</v>
      </c>
      <c r="F123" s="4">
        <v>6.41463436061426</v>
      </c>
      <c r="G123" s="7">
        <v>71.8659697086833</v>
      </c>
      <c r="H123" s="6">
        <f t="shared" si="1"/>
        <v>1.85652329</v>
      </c>
    </row>
    <row r="124">
      <c r="A124" s="1" t="s">
        <v>252</v>
      </c>
      <c r="B124" s="4" t="s">
        <v>253</v>
      </c>
      <c r="C124" s="7">
        <v>533.0</v>
      </c>
      <c r="D124" s="4">
        <v>2.0654640264514</v>
      </c>
      <c r="E124" s="7">
        <v>41129.6809949288</v>
      </c>
      <c r="F124" s="4">
        <v>6.38582898852972</v>
      </c>
      <c r="G124" s="7">
        <v>28.0672575599583</v>
      </c>
      <c r="H124" s="6">
        <f t="shared" si="1"/>
        <v>1.44819998</v>
      </c>
    </row>
    <row r="125">
      <c r="A125" s="1" t="s">
        <v>254</v>
      </c>
      <c r="B125" s="4" t="s">
        <v>255</v>
      </c>
      <c r="C125" s="7">
        <v>1904.0</v>
      </c>
      <c r="D125" s="4">
        <v>6.64379105434942</v>
      </c>
      <c r="E125" s="7">
        <v>2035843.30620874</v>
      </c>
      <c r="F125" s="4">
        <v>60.0974790392024</v>
      </c>
      <c r="G125" s="7">
        <v>79.8414060729662</v>
      </c>
      <c r="H125" s="6">
        <f t="shared" si="1"/>
        <v>1.902228177</v>
      </c>
    </row>
    <row r="126">
      <c r="A126" s="1" t="s">
        <v>256</v>
      </c>
      <c r="B126" s="4" t="s">
        <v>257</v>
      </c>
      <c r="C126" s="5"/>
      <c r="D126" s="4">
        <v>5.0029987647945</v>
      </c>
      <c r="E126" s="7">
        <v>1460.65596675347</v>
      </c>
      <c r="F126" s="4">
        <v>1.45679012345679</v>
      </c>
      <c r="G126" s="7">
        <v>124.602469135802</v>
      </c>
      <c r="H126" s="6">
        <f t="shared" si="1"/>
        <v>2.095526648</v>
      </c>
    </row>
    <row r="127">
      <c r="A127" s="1" t="s">
        <v>258</v>
      </c>
      <c r="B127" s="4" t="s">
        <v>259</v>
      </c>
      <c r="C127" s="7">
        <v>1427.0</v>
      </c>
      <c r="D127" s="6"/>
      <c r="E127" s="7">
        <v>36674.0056379761</v>
      </c>
      <c r="F127" s="4">
        <v>42.3076923076923</v>
      </c>
      <c r="G127" s="7">
        <v>186.919230769231</v>
      </c>
      <c r="H127" s="6">
        <f t="shared" si="1"/>
        <v>2.271653985</v>
      </c>
    </row>
    <row r="128">
      <c r="A128" s="1" t="s">
        <v>260</v>
      </c>
      <c r="B128" s="4" t="s">
        <v>261</v>
      </c>
      <c r="C128" s="7">
        <v>1274.0</v>
      </c>
      <c r="D128" s="4">
        <v>0.080255411325391</v>
      </c>
      <c r="E128" s="7">
        <v>2.7089493992182E7</v>
      </c>
      <c r="F128" s="4">
        <v>65.8963527714816</v>
      </c>
      <c r="G128" s="7">
        <v>508.013960436843</v>
      </c>
      <c r="H128" s="6">
        <f t="shared" si="1"/>
        <v>2.705875647</v>
      </c>
    </row>
    <row r="129">
      <c r="A129" s="1" t="s">
        <v>262</v>
      </c>
      <c r="B129" s="4" t="s">
        <v>263</v>
      </c>
      <c r="C129" s="7">
        <v>121.0</v>
      </c>
      <c r="D129" s="4">
        <v>5.67073206174E-4</v>
      </c>
      <c r="E129" s="7">
        <v>12010.566312223</v>
      </c>
      <c r="F129" s="4">
        <v>0.342873176206509</v>
      </c>
      <c r="G129" s="7">
        <v>158.307575757576</v>
      </c>
      <c r="H129" s="6">
        <f t="shared" si="1"/>
        <v>2.199501698</v>
      </c>
    </row>
    <row r="130">
      <c r="A130" s="1" t="s">
        <v>264</v>
      </c>
      <c r="B130" s="4" t="s">
        <v>265</v>
      </c>
      <c r="C130" s="5"/>
      <c r="D130" s="6"/>
      <c r="E130" s="5"/>
      <c r="F130" s="4">
        <v>49.3235464739613</v>
      </c>
      <c r="G130" s="7">
        <v>29.0328113984904</v>
      </c>
      <c r="H130" s="6">
        <f t="shared" si="1"/>
        <v>1.462889093</v>
      </c>
    </row>
    <row r="131">
      <c r="A131" s="1" t="s">
        <v>266</v>
      </c>
      <c r="B131" s="4" t="s">
        <v>267</v>
      </c>
      <c r="C131" s="7">
        <v>1834.0</v>
      </c>
      <c r="D131" s="4">
        <v>2.69310157959222</v>
      </c>
      <c r="E131" s="7">
        <v>1.04789951698275E7</v>
      </c>
      <c r="F131" s="4">
        <v>73.6089688041595</v>
      </c>
      <c r="G131" s="7">
        <v>26.6404722703639</v>
      </c>
      <c r="H131" s="6">
        <f t="shared" si="1"/>
        <v>1.42554192</v>
      </c>
    </row>
    <row r="132">
      <c r="A132" s="1" t="s">
        <v>268</v>
      </c>
      <c r="B132" s="4" t="s">
        <v>269</v>
      </c>
      <c r="C132" s="7">
        <v>661.0</v>
      </c>
      <c r="D132" s="4">
        <v>0.023082325176574</v>
      </c>
      <c r="E132" s="7">
        <v>1.11517461151994E7</v>
      </c>
      <c r="F132" s="4">
        <v>13.4343108504399</v>
      </c>
      <c r="G132" s="7">
        <v>470.481524926686</v>
      </c>
      <c r="H132" s="6">
        <f t="shared" si="1"/>
        <v>2.672542574</v>
      </c>
    </row>
    <row r="133">
      <c r="A133" s="1" t="s">
        <v>270</v>
      </c>
      <c r="B133" s="4" t="s">
        <v>271</v>
      </c>
      <c r="C133" s="7">
        <v>2391.0</v>
      </c>
      <c r="D133" s="4">
        <v>1.87230419871342</v>
      </c>
      <c r="E133" s="7">
        <v>677.792044448638</v>
      </c>
      <c r="F133" s="4">
        <v>82.5404900332226</v>
      </c>
      <c r="G133" s="7">
        <v>38.9755917774086</v>
      </c>
      <c r="H133" s="6">
        <f t="shared" si="1"/>
        <v>1.590792718</v>
      </c>
    </row>
    <row r="134">
      <c r="A134" s="1" t="s">
        <v>272</v>
      </c>
      <c r="B134" s="4" t="s">
        <v>273</v>
      </c>
      <c r="C134" s="7">
        <v>56.0</v>
      </c>
      <c r="D134" s="4">
        <v>0.0</v>
      </c>
      <c r="E134" s="7">
        <v>7389.48419682011</v>
      </c>
      <c r="F134" s="4">
        <v>0.123327687918433</v>
      </c>
      <c r="G134" s="7">
        <v>3.48613103424759</v>
      </c>
      <c r="H134" s="6">
        <f t="shared" si="1"/>
        <v>0.542343707</v>
      </c>
    </row>
    <row r="135">
      <c r="A135" s="1" t="s">
        <v>274</v>
      </c>
      <c r="B135" s="4" t="s">
        <v>275</v>
      </c>
      <c r="C135" s="7">
        <v>2301.0</v>
      </c>
      <c r="D135" s="6"/>
      <c r="E135" s="7">
        <v>28206.7331308826</v>
      </c>
      <c r="F135" s="4">
        <v>34.0885245901639</v>
      </c>
      <c r="G135" s="7">
        <v>282.332786885246</v>
      </c>
      <c r="H135" s="6">
        <f t="shared" si="1"/>
        <v>2.450761315</v>
      </c>
    </row>
    <row r="136">
      <c r="A136" s="1" t="s">
        <v>276</v>
      </c>
      <c r="B136" s="4" t="s">
        <v>277</v>
      </c>
      <c r="C136" s="5"/>
      <c r="D136" s="6"/>
      <c r="E136" s="5"/>
      <c r="F136" s="4">
        <v>48.1835579341275</v>
      </c>
      <c r="G136" s="7">
        <v>29.1106824300535</v>
      </c>
      <c r="H136" s="6">
        <f t="shared" si="1"/>
        <v>1.464052387</v>
      </c>
    </row>
    <row r="137">
      <c r="A137" s="1" t="s">
        <v>278</v>
      </c>
      <c r="B137" s="4" t="s">
        <v>279</v>
      </c>
      <c r="C137" s="5"/>
      <c r="D137" s="6"/>
      <c r="E137" s="5"/>
      <c r="F137" s="4">
        <v>30.7560252837062</v>
      </c>
      <c r="G137" s="7">
        <v>40.1185767291537</v>
      </c>
      <c r="H137" s="6">
        <f t="shared" si="1"/>
        <v>1.603345517</v>
      </c>
    </row>
    <row r="138">
      <c r="A138" s="1" t="s">
        <v>280</v>
      </c>
      <c r="B138" s="4" t="s">
        <v>281</v>
      </c>
      <c r="C138" s="5"/>
      <c r="D138" s="6"/>
      <c r="E138" s="5"/>
      <c r="F138" s="4">
        <v>24.082720229668</v>
      </c>
      <c r="G138" s="7">
        <v>33.4456289184074</v>
      </c>
      <c r="H138" s="6">
        <f t="shared" si="1"/>
        <v>1.524339367</v>
      </c>
    </row>
    <row r="139">
      <c r="A139" s="1" t="s">
        <v>282</v>
      </c>
      <c r="B139" s="4" t="s">
        <v>283</v>
      </c>
      <c r="C139" s="5"/>
      <c r="D139" s="6"/>
      <c r="E139" s="7">
        <v>134862.519945133</v>
      </c>
      <c r="F139" s="4">
        <v>41.870625</v>
      </c>
      <c r="G139" s="7">
        <v>223.26875</v>
      </c>
      <c r="H139" s="6">
        <f t="shared" si="1"/>
        <v>2.348827941</v>
      </c>
    </row>
    <row r="140">
      <c r="A140" s="1" t="s">
        <v>284</v>
      </c>
      <c r="B140" s="4" t="s">
        <v>285</v>
      </c>
      <c r="C140" s="7">
        <v>1712.0</v>
      </c>
      <c r="D140" s="4">
        <v>2.16003002858256</v>
      </c>
      <c r="E140" s="7">
        <v>295063.070186371</v>
      </c>
      <c r="F140" s="4">
        <v>33.6453516185616</v>
      </c>
      <c r="G140" s="7">
        <v>320.897911018976</v>
      </c>
      <c r="H140" s="6">
        <f t="shared" si="1"/>
        <v>2.50636689</v>
      </c>
    </row>
    <row r="141">
      <c r="A141" s="1" t="s">
        <v>286</v>
      </c>
      <c r="B141" s="4" t="s">
        <v>287</v>
      </c>
      <c r="C141" s="5"/>
      <c r="D141" s="6"/>
      <c r="E141" s="5"/>
      <c r="F141" s="4">
        <v>27.5521792098651</v>
      </c>
      <c r="G141" s="7">
        <v>111.072298483135</v>
      </c>
      <c r="H141" s="6">
        <f t="shared" si="1"/>
        <v>2.045605759</v>
      </c>
    </row>
    <row r="142">
      <c r="A142" s="1" t="s">
        <v>288</v>
      </c>
      <c r="B142" s="4" t="s">
        <v>289</v>
      </c>
      <c r="C142" s="5"/>
      <c r="D142" s="6"/>
      <c r="E142" s="5"/>
      <c r="F142" s="4">
        <v>32.9391074322051</v>
      </c>
      <c r="G142" s="7">
        <v>60.232083208477</v>
      </c>
      <c r="H142" s="6">
        <f t="shared" si="1"/>
        <v>1.779827884</v>
      </c>
    </row>
    <row r="143">
      <c r="A143" s="1" t="s">
        <v>290</v>
      </c>
      <c r="B143" s="4" t="s">
        <v>291</v>
      </c>
      <c r="C143" s="7">
        <v>788.0</v>
      </c>
      <c r="D143" s="4">
        <v>3.40265096330442</v>
      </c>
      <c r="E143" s="7">
        <v>8730.89780341535</v>
      </c>
      <c r="F143" s="4">
        <v>1.13702239789196</v>
      </c>
      <c r="G143" s="7">
        <v>65.5512187088274</v>
      </c>
      <c r="H143" s="6">
        <f t="shared" si="1"/>
        <v>1.81658077</v>
      </c>
    </row>
    <row r="144">
      <c r="A144" s="1" t="s">
        <v>292</v>
      </c>
      <c r="B144" s="4" t="s">
        <v>293</v>
      </c>
      <c r="C144" s="5"/>
      <c r="D144" s="6"/>
      <c r="E144" s="5"/>
      <c r="F144" s="4">
        <v>39.3552520017382</v>
      </c>
      <c r="G144" s="7">
        <v>48.6556029643225</v>
      </c>
      <c r="H144" s="6">
        <f t="shared" si="1"/>
        <v>1.687132859</v>
      </c>
    </row>
    <row r="145">
      <c r="A145" s="1" t="s">
        <v>294</v>
      </c>
      <c r="B145" s="4" t="s">
        <v>295</v>
      </c>
      <c r="C145" s="7">
        <v>656.0</v>
      </c>
      <c r="D145" s="4">
        <v>0.0</v>
      </c>
      <c r="E145" s="7">
        <v>9643.68196942315</v>
      </c>
      <c r="F145" s="4">
        <v>34.3837255684085</v>
      </c>
      <c r="G145" s="7">
        <v>50.4653530115676</v>
      </c>
      <c r="H145" s="6">
        <f t="shared" si="1"/>
        <v>1.702993316</v>
      </c>
    </row>
    <row r="146">
      <c r="A146" s="1" t="s">
        <v>296</v>
      </c>
      <c r="B146" s="4" t="s">
        <v>297</v>
      </c>
      <c r="C146" s="7">
        <v>934.0</v>
      </c>
      <c r="D146" s="4">
        <v>0.0</v>
      </c>
      <c r="E146" s="7">
        <v>94252.4875297067</v>
      </c>
      <c r="F146" s="4">
        <v>36.4197530864198</v>
      </c>
      <c r="G146" s="7">
        <v>204.848971193416</v>
      </c>
      <c r="H146" s="6">
        <f t="shared" si="1"/>
        <v>2.311433787</v>
      </c>
    </row>
    <row r="147">
      <c r="A147" s="1" t="s">
        <v>298</v>
      </c>
      <c r="B147" s="4" t="s">
        <v>299</v>
      </c>
      <c r="C147" s="7">
        <v>667.0</v>
      </c>
      <c r="D147" s="4">
        <v>0.0</v>
      </c>
      <c r="E147" s="7">
        <v>10130.9333982049</v>
      </c>
      <c r="F147" s="4">
        <v>54.0207140559666</v>
      </c>
      <c r="G147" s="7">
        <v>34.4430524284336</v>
      </c>
      <c r="H147" s="6">
        <f t="shared" si="1"/>
        <v>1.537101633</v>
      </c>
    </row>
    <row r="148">
      <c r="A148" s="1" t="s">
        <v>300</v>
      </c>
      <c r="B148" s="4" t="s">
        <v>301</v>
      </c>
      <c r="C148" s="5"/>
      <c r="D148" s="6"/>
      <c r="E148" s="7">
        <v>527423.010214646</v>
      </c>
      <c r="F148" s="6"/>
      <c r="G148" s="7">
        <v>17844.1016949153</v>
      </c>
      <c r="H148" s="6">
        <f t="shared" si="1"/>
        <v>4.25149469</v>
      </c>
    </row>
    <row r="149">
      <c r="A149" s="1" t="s">
        <v>302</v>
      </c>
      <c r="B149" s="4" t="s">
        <v>303</v>
      </c>
      <c r="C149" s="5"/>
      <c r="D149" s="6"/>
      <c r="E149" s="5"/>
      <c r="F149" s="4">
        <v>18.3823529411765</v>
      </c>
      <c r="G149" s="7">
        <v>687.132352941176</v>
      </c>
      <c r="H149" s="6">
        <f t="shared" si="1"/>
        <v>2.837040397</v>
      </c>
    </row>
    <row r="150">
      <c r="A150" s="1" t="s">
        <v>304</v>
      </c>
      <c r="B150" s="4" t="s">
        <v>305</v>
      </c>
      <c r="C150" s="7">
        <v>346.0</v>
      </c>
      <c r="D150" s="4">
        <v>0.075712586358112</v>
      </c>
      <c r="E150" s="7">
        <v>22065.5304215654</v>
      </c>
      <c r="F150" s="4">
        <v>12.6770490701322</v>
      </c>
      <c r="G150" s="7">
        <v>71.5417589065651</v>
      </c>
      <c r="H150" s="6">
        <f t="shared" si="1"/>
        <v>1.854559613</v>
      </c>
    </row>
    <row r="151">
      <c r="A151" s="1" t="s">
        <v>306</v>
      </c>
      <c r="B151" s="4" t="s">
        <v>307</v>
      </c>
      <c r="C151" s="5"/>
      <c r="D151" s="6"/>
      <c r="E151" s="7">
        <v>112583.368821509</v>
      </c>
      <c r="F151" s="4">
        <v>0.0</v>
      </c>
      <c r="G151" s="7">
        <v>17376.9116921559</v>
      </c>
      <c r="H151" s="6">
        <f t="shared" si="1"/>
        <v>4.239972594</v>
      </c>
    </row>
    <row r="152">
      <c r="A152" s="1" t="s">
        <v>308</v>
      </c>
      <c r="B152" s="4" t="s">
        <v>309</v>
      </c>
      <c r="C152" s="7">
        <v>450.0</v>
      </c>
      <c r="D152" s="4">
        <v>0.343810821553105</v>
      </c>
      <c r="E152" s="7">
        <v>28123.6650530348</v>
      </c>
      <c r="F152" s="4">
        <v>11.2949224688355</v>
      </c>
      <c r="G152" s="7">
        <v>99.7091934417099</v>
      </c>
      <c r="H152" s="6">
        <f t="shared" si="1"/>
        <v>1.998735203</v>
      </c>
    </row>
    <row r="153">
      <c r="A153" s="1" t="s">
        <v>310</v>
      </c>
      <c r="B153" s="4" t="s">
        <v>311</v>
      </c>
      <c r="C153" s="7">
        <v>1513.0</v>
      </c>
      <c r="D153" s="4">
        <v>0.864615090391493</v>
      </c>
      <c r="E153" s="7">
        <v>795763.192964656</v>
      </c>
      <c r="F153" s="4">
        <v>21.6818258417306</v>
      </c>
      <c r="G153" s="7">
        <v>35.3700777246621</v>
      </c>
      <c r="H153" s="6">
        <f t="shared" si="1"/>
        <v>1.548636014</v>
      </c>
    </row>
    <row r="154">
      <c r="A154" s="1" t="s">
        <v>312</v>
      </c>
      <c r="B154" s="4" t="s">
        <v>313</v>
      </c>
      <c r="C154" s="7">
        <v>1972.0</v>
      </c>
      <c r="D154" s="4">
        <v>0.0306479542537</v>
      </c>
      <c r="E154" s="7">
        <v>117059.676958383</v>
      </c>
      <c r="F154" s="4">
        <v>2.73333333333333</v>
      </c>
      <c r="G154" s="7">
        <v>1177.97</v>
      </c>
      <c r="H154" s="6">
        <f t="shared" si="1"/>
        <v>3.07113423</v>
      </c>
    </row>
    <row r="155">
      <c r="A155" s="1" t="s">
        <v>314</v>
      </c>
      <c r="B155" s="4" t="s">
        <v>315</v>
      </c>
      <c r="C155" s="5"/>
      <c r="D155" s="6"/>
      <c r="E155" s="5"/>
      <c r="F155" s="4">
        <v>2.01638014372119</v>
      </c>
      <c r="G155" s="7">
        <v>33.6685445465602</v>
      </c>
      <c r="H155" s="6">
        <f t="shared" si="1"/>
        <v>1.527224343</v>
      </c>
    </row>
    <row r="156">
      <c r="A156" s="1" t="s">
        <v>316</v>
      </c>
      <c r="B156" s="4" t="s">
        <v>317</v>
      </c>
      <c r="C156" s="7">
        <v>758.0</v>
      </c>
      <c r="D156" s="4">
        <v>0.149843277332355</v>
      </c>
      <c r="E156" s="7">
        <v>126440.574701465</v>
      </c>
      <c r="F156" s="4">
        <v>34.510719925924</v>
      </c>
      <c r="G156" s="7">
        <v>57.8532812057923</v>
      </c>
      <c r="H156" s="6">
        <f t="shared" si="1"/>
        <v>1.762327995</v>
      </c>
    </row>
    <row r="157">
      <c r="A157" s="1" t="s">
        <v>318</v>
      </c>
      <c r="B157" s="4" t="s">
        <v>319</v>
      </c>
      <c r="C157" s="5"/>
      <c r="D157" s="4">
        <v>0.05841422892731</v>
      </c>
      <c r="E157" s="7">
        <v>3013.13305483957</v>
      </c>
      <c r="F157" s="4">
        <v>52.2222222222222</v>
      </c>
      <c r="G157" s="7">
        <v>312.527777777778</v>
      </c>
      <c r="H157" s="6">
        <f t="shared" si="1"/>
        <v>2.494888624</v>
      </c>
    </row>
    <row r="158">
      <c r="A158" s="1" t="s">
        <v>320</v>
      </c>
      <c r="B158" s="4" t="s">
        <v>321</v>
      </c>
      <c r="C158" s="5"/>
      <c r="D158" s="6"/>
      <c r="E158" s="5"/>
      <c r="F158" s="4">
        <v>34.3356797259478</v>
      </c>
      <c r="G158" s="7">
        <v>65.2957849105264</v>
      </c>
      <c r="H158" s="6">
        <f t="shared" si="1"/>
        <v>1.814885147</v>
      </c>
    </row>
    <row r="159">
      <c r="A159" s="1" t="s">
        <v>322</v>
      </c>
      <c r="B159" s="4" t="s">
        <v>323</v>
      </c>
      <c r="C159" s="7">
        <v>619.0</v>
      </c>
      <c r="D159" s="4">
        <v>0.30457878073609</v>
      </c>
      <c r="E159" s="7">
        <v>176953.299676057</v>
      </c>
      <c r="F159" s="4">
        <v>38.0706582077716</v>
      </c>
      <c r="G159" s="7">
        <v>81.311300555115</v>
      </c>
      <c r="H159" s="6">
        <f t="shared" si="1"/>
        <v>1.910150908</v>
      </c>
    </row>
    <row r="160">
      <c r="A160" s="1" t="s">
        <v>324</v>
      </c>
      <c r="B160" s="4" t="s">
        <v>325</v>
      </c>
      <c r="C160" s="7">
        <v>282.0</v>
      </c>
      <c r="D160" s="4">
        <v>0.652855128388168</v>
      </c>
      <c r="E160" s="7">
        <v>242466.618040882</v>
      </c>
      <c r="F160" s="4">
        <v>10.896663634352</v>
      </c>
      <c r="G160" s="7">
        <v>11.9501282587138</v>
      </c>
      <c r="H160" s="6">
        <f t="shared" si="1"/>
        <v>1.077372567</v>
      </c>
    </row>
    <row r="161">
      <c r="A161" s="1" t="s">
        <v>326</v>
      </c>
      <c r="B161" s="4" t="s">
        <v>327</v>
      </c>
      <c r="C161" s="7">
        <v>560.0</v>
      </c>
      <c r="D161" s="6"/>
      <c r="E161" s="7">
        <v>17641.8399086495</v>
      </c>
      <c r="F161" s="4">
        <v>1.09375</v>
      </c>
      <c r="G161" s="7">
        <v>1288.990625</v>
      </c>
      <c r="H161" s="6">
        <f t="shared" si="1"/>
        <v>3.110249759</v>
      </c>
    </row>
    <row r="162">
      <c r="A162" s="1" t="s">
        <v>328</v>
      </c>
      <c r="B162" s="4" t="s">
        <v>329</v>
      </c>
      <c r="C162" s="7">
        <v>2091.0</v>
      </c>
      <c r="D162" s="4">
        <v>0.092410935442981</v>
      </c>
      <c r="E162" s="7">
        <v>879569.239291415</v>
      </c>
      <c r="F162" s="4">
        <v>48.6510194397673</v>
      </c>
      <c r="G162" s="7">
        <v>76.9177498851982</v>
      </c>
      <c r="H162" s="6">
        <f t="shared" si="1"/>
        <v>1.886026571</v>
      </c>
    </row>
    <row r="163">
      <c r="A163" s="1" t="s">
        <v>330</v>
      </c>
      <c r="B163" s="4" t="s">
        <v>331</v>
      </c>
      <c r="C163" s="5"/>
      <c r="D163" s="6"/>
      <c r="E163" s="5"/>
      <c r="F163" s="4">
        <v>2.45030163321406</v>
      </c>
      <c r="G163" s="7">
        <v>37.8301117078584</v>
      </c>
      <c r="H163" s="6">
        <f t="shared" si="1"/>
        <v>1.577837624</v>
      </c>
    </row>
    <row r="164">
      <c r="A164" s="1" t="s">
        <v>332</v>
      </c>
      <c r="B164" s="4" t="s">
        <v>333</v>
      </c>
      <c r="C164" s="5"/>
      <c r="D164" s="4">
        <v>0.012174282462376</v>
      </c>
      <c r="E164" s="7">
        <v>4919.85042714308</v>
      </c>
      <c r="F164" s="4">
        <v>59.9925650557621</v>
      </c>
      <c r="G164" s="7">
        <v>45.9698141263941</v>
      </c>
      <c r="H164" s="6">
        <f t="shared" si="1"/>
        <v>1.662472748</v>
      </c>
    </row>
    <row r="165">
      <c r="A165" s="1" t="s">
        <v>334</v>
      </c>
      <c r="B165" s="4" t="s">
        <v>335</v>
      </c>
      <c r="C165" s="7">
        <v>241.0</v>
      </c>
      <c r="D165" s="4">
        <v>2.56134223793038</v>
      </c>
      <c r="E165" s="7">
        <v>4955163.22633161</v>
      </c>
      <c r="F165" s="4">
        <v>9.13508329256675</v>
      </c>
      <c r="G165" s="7">
        <v>1.72107546538273</v>
      </c>
      <c r="H165" s="6">
        <f t="shared" si="1"/>
        <v>0.2357999136</v>
      </c>
    </row>
    <row r="166">
      <c r="A166" s="1" t="s">
        <v>336</v>
      </c>
      <c r="B166" s="4" t="s">
        <v>337</v>
      </c>
      <c r="C166" s="5"/>
      <c r="D166" s="6"/>
      <c r="E166" s="7">
        <v>14540.355020851</v>
      </c>
      <c r="F166" s="4">
        <v>66.2695652173913</v>
      </c>
      <c r="G166" s="7">
        <v>117.813043478261</v>
      </c>
      <c r="H166" s="6">
        <f t="shared" si="1"/>
        <v>2.071193375</v>
      </c>
    </row>
    <row r="167">
      <c r="A167" s="1" t="s">
        <v>338</v>
      </c>
      <c r="B167" s="4" t="s">
        <v>339</v>
      </c>
      <c r="C167" s="7">
        <v>1032.0</v>
      </c>
      <c r="D167" s="4">
        <v>3.66244795624385</v>
      </c>
      <c r="E167" s="7">
        <v>17211.0761835983</v>
      </c>
      <c r="F167" s="4">
        <v>49.8406953381317</v>
      </c>
      <c r="G167" s="7">
        <v>29.1140644472138</v>
      </c>
      <c r="H167" s="6">
        <f t="shared" si="1"/>
        <v>1.464102839</v>
      </c>
    </row>
    <row r="168">
      <c r="A168" s="1" t="s">
        <v>340</v>
      </c>
      <c r="B168" s="4" t="s">
        <v>341</v>
      </c>
      <c r="C168" s="7">
        <v>92.0</v>
      </c>
      <c r="D168" s="4">
        <v>3.08197364994656</v>
      </c>
      <c r="E168" s="7">
        <v>48489.0649459187</v>
      </c>
      <c r="F168" s="4">
        <v>0.361579509071505</v>
      </c>
      <c r="G168" s="7">
        <v>3.29233336567381</v>
      </c>
      <c r="H168" s="6">
        <f t="shared" si="1"/>
        <v>0.5175038033</v>
      </c>
    </row>
    <row r="169">
      <c r="A169" s="1" t="s">
        <v>342</v>
      </c>
      <c r="B169" s="4" t="s">
        <v>343</v>
      </c>
      <c r="C169" s="7">
        <v>2041.0</v>
      </c>
      <c r="D169" s="4">
        <v>0.0</v>
      </c>
      <c r="E169" s="7">
        <v>205670.891728652</v>
      </c>
      <c r="F169" s="4">
        <v>19.0857142857143</v>
      </c>
      <c r="G169" s="7">
        <v>614.497044334975</v>
      </c>
      <c r="H169" s="6">
        <f t="shared" si="1"/>
        <v>2.788519798</v>
      </c>
    </row>
    <row r="170">
      <c r="A170" s="1" t="s">
        <v>344</v>
      </c>
      <c r="B170" s="4" t="s">
        <v>345</v>
      </c>
      <c r="C170" s="7">
        <v>1181.0</v>
      </c>
      <c r="D170" s="4">
        <v>8.82049278721445</v>
      </c>
      <c r="E170" s="7">
        <v>332325.889258502</v>
      </c>
      <c r="F170" s="4">
        <v>28.6773440814595</v>
      </c>
      <c r="G170" s="7">
        <v>149.853213831141</v>
      </c>
      <c r="H170" s="6">
        <f t="shared" si="1"/>
        <v>2.175666061</v>
      </c>
    </row>
    <row r="171">
      <c r="A171" s="1" t="s">
        <v>346</v>
      </c>
      <c r="B171" s="4" t="s">
        <v>347</v>
      </c>
      <c r="C171" s="7">
        <v>2875.0</v>
      </c>
      <c r="D171" s="4">
        <v>0.096926904360311</v>
      </c>
      <c r="E171" s="7">
        <v>30496.7138498242</v>
      </c>
      <c r="F171" s="4">
        <v>57.8968802313194</v>
      </c>
      <c r="G171" s="7">
        <v>84.416490640694</v>
      </c>
      <c r="H171" s="6">
        <f t="shared" si="1"/>
        <v>1.926427294</v>
      </c>
    </row>
    <row r="172">
      <c r="A172" s="1" t="s">
        <v>348</v>
      </c>
      <c r="B172" s="4" t="s">
        <v>349</v>
      </c>
      <c r="C172" s="5"/>
      <c r="D172" s="6"/>
      <c r="E172" s="5"/>
      <c r="F172" s="4">
        <v>36.1933677261892</v>
      </c>
      <c r="G172" s="7">
        <v>18.7967126931148</v>
      </c>
      <c r="H172" s="6">
        <f t="shared" si="1"/>
        <v>1.274081903</v>
      </c>
    </row>
    <row r="173">
      <c r="A173" s="1" t="s">
        <v>350</v>
      </c>
      <c r="B173" s="4" t="s">
        <v>351</v>
      </c>
      <c r="C173" s="7">
        <v>285.0</v>
      </c>
      <c r="D173" s="4">
        <v>3.40143396341144</v>
      </c>
      <c r="E173" s="7">
        <v>51298.6423608592</v>
      </c>
      <c r="F173" s="4">
        <v>9.01261936863074</v>
      </c>
      <c r="G173" s="7">
        <v>2.52771077020248</v>
      </c>
      <c r="H173" s="6">
        <f t="shared" si="1"/>
        <v>0.4027273789</v>
      </c>
    </row>
    <row r="174">
      <c r="A174" s="1" t="s">
        <v>352</v>
      </c>
      <c r="B174" s="4" t="s">
        <v>353</v>
      </c>
      <c r="C174" s="5"/>
      <c r="D174" s="6"/>
      <c r="E174" s="5"/>
      <c r="F174" s="4">
        <v>45.8918490153173</v>
      </c>
      <c r="G174" s="7">
        <v>13.4545951859956</v>
      </c>
      <c r="H174" s="6">
        <f t="shared" si="1"/>
        <v>1.128870635</v>
      </c>
    </row>
    <row r="175">
      <c r="A175" s="1" t="s">
        <v>354</v>
      </c>
      <c r="B175" s="4" t="s">
        <v>355</v>
      </c>
      <c r="C175" s="7">
        <v>151.0</v>
      </c>
      <c r="D175" s="4">
        <v>7.52506573921943</v>
      </c>
      <c r="E175" s="7">
        <v>250866.962526105</v>
      </c>
      <c r="F175" s="4">
        <v>0.960227362437831</v>
      </c>
      <c r="G175" s="7">
        <v>12.5074058577406</v>
      </c>
      <c r="H175" s="6">
        <f t="shared" si="1"/>
        <v>1.097167243</v>
      </c>
    </row>
    <row r="176">
      <c r="A176" s="1" t="s">
        <v>356</v>
      </c>
      <c r="B176" s="4" t="s">
        <v>357</v>
      </c>
      <c r="C176" s="7">
        <v>1150.0</v>
      </c>
      <c r="D176" s="4">
        <v>0.055033264427481</v>
      </c>
      <c r="E176" s="7">
        <v>327648.036492015</v>
      </c>
      <c r="F176" s="4">
        <v>25.7181132448368</v>
      </c>
      <c r="G176" s="7">
        <v>169.44446896582</v>
      </c>
      <c r="H176" s="6">
        <f t="shared" si="1"/>
        <v>2.229027397</v>
      </c>
    </row>
    <row r="177">
      <c r="A177" s="1" t="s">
        <v>358</v>
      </c>
      <c r="B177" s="4" t="s">
        <v>359</v>
      </c>
      <c r="C177" s="7">
        <v>2280.0</v>
      </c>
      <c r="D177" s="4">
        <v>0.833598367171441</v>
      </c>
      <c r="E177" s="7">
        <v>21739.8266272018</v>
      </c>
      <c r="F177" s="4">
        <v>35.8090992188798</v>
      </c>
      <c r="G177" s="7">
        <v>47.7442080771148</v>
      </c>
      <c r="H177" s="6">
        <f t="shared" si="1"/>
        <v>1.678920694</v>
      </c>
    </row>
    <row r="178">
      <c r="A178" s="1" t="s">
        <v>360</v>
      </c>
      <c r="B178" s="4" t="s">
        <v>361</v>
      </c>
      <c r="C178" s="7">
        <v>778.0</v>
      </c>
      <c r="D178" s="4">
        <v>0.004737860810846</v>
      </c>
      <c r="E178" s="7">
        <v>39681.9207147467</v>
      </c>
      <c r="F178" s="4">
        <v>11.0311888526534</v>
      </c>
      <c r="G178" s="7">
        <v>490.079691669137</v>
      </c>
      <c r="H178" s="6">
        <f t="shared" si="1"/>
        <v>2.690266706</v>
      </c>
    </row>
    <row r="179">
      <c r="A179" s="1" t="s">
        <v>362</v>
      </c>
      <c r="B179" s="4" t="s">
        <v>363</v>
      </c>
      <c r="C179" s="7">
        <v>1414.0</v>
      </c>
      <c r="D179" s="4">
        <v>0.006795587956721</v>
      </c>
      <c r="E179" s="7">
        <v>587259.248091526</v>
      </c>
      <c r="F179" s="4">
        <v>33.1370262071382</v>
      </c>
      <c r="G179" s="7">
        <v>13.2205484552792</v>
      </c>
      <c r="H179" s="6">
        <f t="shared" si="1"/>
        <v>1.121249472</v>
      </c>
    </row>
    <row r="180">
      <c r="A180" s="1" t="s">
        <v>364</v>
      </c>
      <c r="B180" s="4" t="s">
        <v>365</v>
      </c>
      <c r="C180" s="7">
        <v>1500.0</v>
      </c>
      <c r="D180" s="4">
        <v>0.703796514298647</v>
      </c>
      <c r="E180" s="7">
        <v>53621.9379394135</v>
      </c>
      <c r="F180" s="4">
        <v>41.464269271015</v>
      </c>
      <c r="G180" s="7">
        <v>187.537711893966</v>
      </c>
      <c r="H180" s="6">
        <f t="shared" si="1"/>
        <v>2.273088613</v>
      </c>
    </row>
    <row r="181">
      <c r="A181" s="1" t="s">
        <v>366</v>
      </c>
      <c r="B181" s="4" t="s">
        <v>367</v>
      </c>
      <c r="C181" s="5"/>
      <c r="D181" s="6"/>
      <c r="E181" s="7">
        <v>3619.90950226244</v>
      </c>
      <c r="F181" s="4">
        <v>0.0</v>
      </c>
      <c r="G181" s="7">
        <v>497.25</v>
      </c>
      <c r="H181" s="6">
        <f t="shared" si="1"/>
        <v>2.696574792</v>
      </c>
    </row>
    <row r="182">
      <c r="A182" s="1" t="s">
        <v>368</v>
      </c>
      <c r="B182" s="4" t="s">
        <v>369</v>
      </c>
      <c r="C182" s="7">
        <v>1732.0</v>
      </c>
      <c r="D182" s="4">
        <v>0.010853984529359</v>
      </c>
      <c r="E182" s="7">
        <v>50567.2230744201</v>
      </c>
      <c r="F182" s="4">
        <v>37.4021191751168</v>
      </c>
      <c r="G182" s="7">
        <v>16.340435228438</v>
      </c>
      <c r="H182" s="6">
        <f t="shared" si="1"/>
        <v>1.21326362</v>
      </c>
    </row>
    <row r="183">
      <c r="A183" s="1" t="s">
        <v>370</v>
      </c>
      <c r="B183" s="4" t="s">
        <v>371</v>
      </c>
      <c r="C183" s="5"/>
      <c r="D183" s="6"/>
      <c r="E183" s="5"/>
      <c r="F183" s="4">
        <v>32.5506510367584</v>
      </c>
      <c r="G183" s="7">
        <v>36.1587210130134</v>
      </c>
      <c r="H183" s="6">
        <f t="shared" si="1"/>
        <v>1.55821306</v>
      </c>
    </row>
    <row r="184">
      <c r="A184" s="1" t="s">
        <v>372</v>
      </c>
      <c r="B184" s="4" t="s">
        <v>373</v>
      </c>
      <c r="C184" s="7">
        <v>125.0</v>
      </c>
      <c r="D184" s="6"/>
      <c r="E184" s="7">
        <v>7480.15653493648</v>
      </c>
      <c r="F184" s="4">
        <v>0.009693053311793</v>
      </c>
      <c r="G184" s="7">
        <v>9.29300807754443</v>
      </c>
      <c r="H184" s="6">
        <f t="shared" si="1"/>
        <v>0.9681563146</v>
      </c>
    </row>
    <row r="185">
      <c r="A185" s="1" t="s">
        <v>374</v>
      </c>
      <c r="B185" s="4" t="s">
        <v>375</v>
      </c>
      <c r="C185" s="5"/>
      <c r="D185" s="6"/>
      <c r="E185" s="5"/>
      <c r="F185" s="4">
        <v>29.8665052115086</v>
      </c>
      <c r="G185" s="7">
        <v>12.516784869045</v>
      </c>
      <c r="H185" s="6">
        <f t="shared" si="1"/>
        <v>1.097492788</v>
      </c>
    </row>
    <row r="186">
      <c r="A186" s="1" t="s">
        <v>376</v>
      </c>
      <c r="B186" s="4" t="s">
        <v>377</v>
      </c>
      <c r="C186" s="7">
        <v>494.0</v>
      </c>
      <c r="D186" s="4">
        <v>1.05534239110308</v>
      </c>
      <c r="E186" s="7">
        <v>51319.1493822468</v>
      </c>
      <c r="F186" s="4">
        <v>5.36462614155251</v>
      </c>
      <c r="G186" s="7">
        <v>227.695114674139</v>
      </c>
      <c r="H186" s="6">
        <f t="shared" si="1"/>
        <v>2.357353713</v>
      </c>
    </row>
    <row r="187">
      <c r="A187" s="1" t="s">
        <v>378</v>
      </c>
      <c r="B187" s="4" t="s">
        <v>379</v>
      </c>
      <c r="C187" s="7">
        <v>2928.0</v>
      </c>
      <c r="D187" s="4">
        <v>0.196361451621855</v>
      </c>
      <c r="E187" s="7">
        <v>6617.55134817654</v>
      </c>
      <c r="F187" s="4">
        <v>58.3724105461394</v>
      </c>
      <c r="G187" s="7">
        <v>48.1465563626581</v>
      </c>
      <c r="H187" s="6">
        <f t="shared" si="1"/>
        <v>1.68256523</v>
      </c>
    </row>
    <row r="188">
      <c r="A188" s="1" t="s">
        <v>380</v>
      </c>
      <c r="B188" s="4" t="s">
        <v>381</v>
      </c>
      <c r="C188" s="7">
        <v>1738.0</v>
      </c>
      <c r="D188" s="4">
        <v>1.9523808134554</v>
      </c>
      <c r="E188" s="7">
        <v>12249.4053432987</v>
      </c>
      <c r="F188" s="4">
        <v>57.94890859375</v>
      </c>
      <c r="G188" s="7">
        <v>22.49426796875</v>
      </c>
      <c r="H188" s="6">
        <f t="shared" si="1"/>
        <v>1.352071864</v>
      </c>
    </row>
    <row r="189">
      <c r="A189" s="1" t="s">
        <v>382</v>
      </c>
      <c r="B189" s="4" t="s">
        <v>383</v>
      </c>
      <c r="C189" s="7">
        <v>2348.0</v>
      </c>
      <c r="D189" s="4">
        <v>0.806384865170547</v>
      </c>
      <c r="E189" s="7">
        <v>112749.311407278</v>
      </c>
      <c r="F189" s="4">
        <v>23.0964684575913</v>
      </c>
      <c r="G189" s="7">
        <v>309.9378240601</v>
      </c>
      <c r="H189" s="6">
        <f t="shared" si="1"/>
        <v>2.49127458</v>
      </c>
    </row>
    <row r="190">
      <c r="A190" s="1" t="s">
        <v>384</v>
      </c>
      <c r="B190" s="4" t="s">
        <v>385</v>
      </c>
      <c r="C190" s="5"/>
      <c r="D190" s="6"/>
      <c r="E190" s="7">
        <v>13187.0925873517</v>
      </c>
      <c r="F190" s="4">
        <v>87.9608695652174</v>
      </c>
      <c r="G190" s="7">
        <v>39.7608695652174</v>
      </c>
      <c r="H190" s="6">
        <f t="shared" si="1"/>
        <v>1.599455874</v>
      </c>
    </row>
    <row r="191">
      <c r="A191" s="1" t="s">
        <v>386</v>
      </c>
      <c r="B191" s="4" t="s">
        <v>387</v>
      </c>
      <c r="C191" s="7">
        <v>3142.0</v>
      </c>
      <c r="D191" s="4">
        <v>0.730797898489713</v>
      </c>
      <c r="E191" s="7">
        <v>5520.3936331646</v>
      </c>
      <c r="F191" s="4">
        <v>79.9116579075211</v>
      </c>
      <c r="G191" s="7">
        <v>15.7770039305746</v>
      </c>
      <c r="H191" s="6">
        <f t="shared" si="1"/>
        <v>1.198024534</v>
      </c>
    </row>
    <row r="192">
      <c r="A192" s="1" t="s">
        <v>388</v>
      </c>
      <c r="B192" s="4" t="s">
        <v>389</v>
      </c>
      <c r="C192" s="7">
        <v>600.0</v>
      </c>
      <c r="D192" s="4">
        <v>0.032017102157757</v>
      </c>
      <c r="E192" s="7">
        <v>39342.8816084084</v>
      </c>
      <c r="F192" s="4">
        <v>30.3709024422097</v>
      </c>
      <c r="G192" s="7">
        <v>124.564460624265</v>
      </c>
      <c r="H192" s="6">
        <f t="shared" si="1"/>
        <v>2.095394152</v>
      </c>
    </row>
    <row r="193">
      <c r="A193" s="1" t="s">
        <v>390</v>
      </c>
      <c r="B193" s="4" t="s">
        <v>391</v>
      </c>
      <c r="C193" s="5"/>
      <c r="D193" s="6"/>
      <c r="E193" s="5"/>
      <c r="F193" s="4">
        <v>30.1198262973604</v>
      </c>
      <c r="G193" s="7">
        <v>35.0893204821093</v>
      </c>
      <c r="H193" s="6">
        <f t="shared" si="1"/>
        <v>1.545174958</v>
      </c>
    </row>
    <row r="194">
      <c r="A194" s="1" t="s">
        <v>392</v>
      </c>
      <c r="B194" s="4" t="s">
        <v>393</v>
      </c>
      <c r="C194" s="7">
        <v>2054.0</v>
      </c>
      <c r="D194" s="4">
        <v>0.016497321256545</v>
      </c>
      <c r="E194" s="7">
        <v>2853.00274568831</v>
      </c>
      <c r="F194" s="4">
        <v>54.7034949267193</v>
      </c>
      <c r="G194" s="7">
        <v>421.69222096956</v>
      </c>
      <c r="H194" s="6">
        <f t="shared" si="1"/>
        <v>2.62499559</v>
      </c>
    </row>
    <row r="195">
      <c r="A195" s="1" t="s">
        <v>394</v>
      </c>
      <c r="B195" s="4" t="s">
        <v>395</v>
      </c>
      <c r="C195" s="7">
        <v>1054.0</v>
      </c>
      <c r="D195" s="4">
        <v>2.49688110166948</v>
      </c>
      <c r="E195" s="5"/>
      <c r="F195" s="4">
        <v>52.0191014035379</v>
      </c>
      <c r="G195" s="7">
        <v>202.876339174487</v>
      </c>
      <c r="H195" s="6">
        <f t="shared" si="1"/>
        <v>2.3072314</v>
      </c>
    </row>
    <row r="196">
      <c r="A196" s="1" t="s">
        <v>396</v>
      </c>
      <c r="B196" s="4" t="s">
        <v>397</v>
      </c>
      <c r="C196" s="7">
        <v>854.0</v>
      </c>
      <c r="D196" s="4">
        <v>0.001802335302822</v>
      </c>
      <c r="E196" s="7">
        <v>17434.0291251709</v>
      </c>
      <c r="F196" s="4">
        <v>35.5377224587837</v>
      </c>
      <c r="G196" s="7">
        <v>115.386472322306</v>
      </c>
      <c r="H196" s="6">
        <f t="shared" si="1"/>
        <v>2.062154896</v>
      </c>
    </row>
    <row r="197">
      <c r="A197" s="1" t="s">
        <v>398</v>
      </c>
      <c r="B197" s="4" t="s">
        <v>399</v>
      </c>
      <c r="C197" s="7">
        <v>1130.0</v>
      </c>
      <c r="D197" s="4">
        <v>0.71477345485624</v>
      </c>
      <c r="E197" s="7">
        <v>2.22823266335819E7</v>
      </c>
      <c r="F197" s="4">
        <v>50.1191895293229</v>
      </c>
      <c r="G197" s="7">
        <v>15.5146488799396</v>
      </c>
      <c r="H197" s="6">
        <f t="shared" si="1"/>
        <v>1.190741951</v>
      </c>
    </row>
    <row r="198">
      <c r="A198" s="1" t="s">
        <v>400</v>
      </c>
      <c r="B198" s="4" t="s">
        <v>401</v>
      </c>
      <c r="C198" s="7">
        <v>402.0</v>
      </c>
      <c r="D198" s="6"/>
      <c r="E198" s="7">
        <v>2840.01594969395</v>
      </c>
      <c r="F198" s="4">
        <v>1.5232558266269</v>
      </c>
      <c r="G198" s="7">
        <v>612.807142857143</v>
      </c>
      <c r="H198" s="6">
        <f t="shared" si="1"/>
        <v>2.787323819</v>
      </c>
    </row>
    <row r="199">
      <c r="A199" s="1" t="s">
        <v>402</v>
      </c>
      <c r="B199" s="4" t="s">
        <v>403</v>
      </c>
      <c r="C199" s="5"/>
      <c r="D199" s="6"/>
      <c r="E199" s="5"/>
      <c r="F199" s="4">
        <v>67.4757320872274</v>
      </c>
      <c r="G199" s="7">
        <v>34.0547352024922</v>
      </c>
      <c r="H199" s="6">
        <f t="shared" si="1"/>
        <v>1.532177508</v>
      </c>
    </row>
    <row r="200">
      <c r="A200" s="1" t="s">
        <v>404</v>
      </c>
      <c r="B200" s="4" t="s">
        <v>405</v>
      </c>
      <c r="C200" s="5"/>
      <c r="D200" s="6"/>
      <c r="E200" s="5"/>
      <c r="F200" s="4">
        <v>31.843256337483</v>
      </c>
      <c r="G200" s="7">
        <v>34.1378478816577</v>
      </c>
      <c r="H200" s="6">
        <f t="shared" si="1"/>
        <v>1.533236139</v>
      </c>
    </row>
    <row r="201">
      <c r="A201" s="1" t="s">
        <v>406</v>
      </c>
      <c r="B201" s="4" t="s">
        <v>407</v>
      </c>
      <c r="C201" s="5"/>
      <c r="D201" s="6"/>
      <c r="E201" s="5"/>
      <c r="F201" s="4">
        <v>40.8112021857924</v>
      </c>
      <c r="G201" s="7">
        <v>72.4743169398907</v>
      </c>
      <c r="H201" s="6">
        <f t="shared" si="1"/>
        <v>1.860184131</v>
      </c>
    </row>
    <row r="202">
      <c r="A202" s="1" t="s">
        <v>408</v>
      </c>
      <c r="B202" s="4" t="s">
        <v>409</v>
      </c>
      <c r="C202" s="7">
        <v>74.0</v>
      </c>
      <c r="D202" s="6"/>
      <c r="E202" s="7">
        <v>237227.622505656</v>
      </c>
      <c r="F202" s="4">
        <v>0.0</v>
      </c>
      <c r="G202" s="7">
        <v>142.544702842377</v>
      </c>
      <c r="H202" s="6">
        <f t="shared" si="1"/>
        <v>2.153951083</v>
      </c>
    </row>
    <row r="203">
      <c r="A203" s="1" t="s">
        <v>410</v>
      </c>
      <c r="B203" s="4" t="s">
        <v>411</v>
      </c>
      <c r="C203" s="7">
        <v>637.0</v>
      </c>
      <c r="D203" s="4">
        <v>0.084970987899511</v>
      </c>
      <c r="E203" s="7">
        <v>16850.3311184144</v>
      </c>
      <c r="F203" s="4">
        <v>28.2539337564114</v>
      </c>
      <c r="G203" s="7">
        <v>88.5311962096844</v>
      </c>
      <c r="H203" s="6">
        <f t="shared" si="1"/>
        <v>1.947096332</v>
      </c>
    </row>
    <row r="204">
      <c r="A204" s="1" t="s">
        <v>412</v>
      </c>
      <c r="B204" s="4" t="s">
        <v>413</v>
      </c>
      <c r="C204" s="7">
        <v>460.0</v>
      </c>
      <c r="D204" s="4">
        <v>0.13270049736118</v>
      </c>
      <c r="E204" s="7">
        <v>525298.816131338</v>
      </c>
      <c r="F204" s="4">
        <v>49.7377636874446</v>
      </c>
      <c r="G204" s="7">
        <v>8.71872030491785</v>
      </c>
      <c r="H204" s="6">
        <f t="shared" si="1"/>
        <v>0.9404527458</v>
      </c>
    </row>
    <row r="205">
      <c r="A205" s="1" t="s">
        <v>414</v>
      </c>
      <c r="B205" s="4" t="s">
        <v>415</v>
      </c>
      <c r="C205" s="7">
        <v>1212.0</v>
      </c>
      <c r="D205" s="4">
        <v>1.29597316565611</v>
      </c>
      <c r="E205" s="7">
        <v>468506.977062734</v>
      </c>
      <c r="F205" s="4">
        <v>10.8309687880016</v>
      </c>
      <c r="G205" s="7">
        <v>396.545196595055</v>
      </c>
      <c r="H205" s="6">
        <f t="shared" si="1"/>
        <v>2.598292694</v>
      </c>
    </row>
    <row r="206">
      <c r="A206" s="1" t="s">
        <v>416</v>
      </c>
      <c r="B206" s="4" t="s">
        <v>417</v>
      </c>
      <c r="C206" s="5"/>
      <c r="D206" s="6"/>
      <c r="E206" s="5"/>
      <c r="F206" s="4">
        <v>18.2939408920782</v>
      </c>
      <c r="G206" s="7">
        <v>338.590404597893</v>
      </c>
      <c r="H206" s="6">
        <f t="shared" si="1"/>
        <v>2.529674646</v>
      </c>
    </row>
    <row r="207">
      <c r="A207" s="1" t="s">
        <v>418</v>
      </c>
      <c r="B207" s="4" t="s">
        <v>419</v>
      </c>
      <c r="C207" s="7">
        <v>59.0</v>
      </c>
      <c r="D207" s="4">
        <v>0.005660491140626</v>
      </c>
      <c r="E207" s="7">
        <v>70812.0131378152</v>
      </c>
      <c r="F207" s="4">
        <v>0.454484134921779</v>
      </c>
      <c r="G207" s="7">
        <v>12.3879736148003</v>
      </c>
      <c r="H207" s="6">
        <f t="shared" si="1"/>
        <v>1.093000272</v>
      </c>
    </row>
    <row r="208">
      <c r="A208" s="1" t="s">
        <v>420</v>
      </c>
      <c r="B208" s="4" t="s">
        <v>421</v>
      </c>
      <c r="C208" s="5"/>
      <c r="D208" s="4">
        <v>2.76541558191951</v>
      </c>
      <c r="E208" s="7">
        <v>619.000300447022</v>
      </c>
      <c r="F208" s="6"/>
      <c r="G208" s="7">
        <v>13.6150621496894</v>
      </c>
      <c r="H208" s="6">
        <f t="shared" si="1"/>
        <v>1.134019628</v>
      </c>
    </row>
    <row r="209">
      <c r="A209" s="1" t="s">
        <v>422</v>
      </c>
      <c r="B209" s="4" t="s">
        <v>423</v>
      </c>
      <c r="C209" s="7">
        <v>686.0</v>
      </c>
      <c r="D209" s="4">
        <v>0.597670115011869</v>
      </c>
      <c r="E209" s="7">
        <v>668523.954470709</v>
      </c>
      <c r="F209" s="4">
        <v>44.1835558094842</v>
      </c>
      <c r="G209" s="7">
        <v>64.0684153118994</v>
      </c>
      <c r="H209" s="6">
        <f t="shared" si="1"/>
        <v>1.806643982</v>
      </c>
    </row>
    <row r="210">
      <c r="A210" s="1" t="s">
        <v>424</v>
      </c>
      <c r="B210" s="4" t="s">
        <v>425</v>
      </c>
      <c r="C210" s="7">
        <v>2497.0</v>
      </c>
      <c r="D210" s="6"/>
      <c r="E210" s="7">
        <v>59467.6007749661</v>
      </c>
      <c r="F210" s="4">
        <v>25.2395714285714</v>
      </c>
      <c r="G210" s="7">
        <v>7125.10428571429</v>
      </c>
      <c r="H210" s="6">
        <f t="shared" si="1"/>
        <v>3.852791225</v>
      </c>
    </row>
    <row r="211">
      <c r="A211" s="1" t="s">
        <v>426</v>
      </c>
      <c r="B211" s="4" t="s">
        <v>427</v>
      </c>
      <c r="C211" s="7">
        <v>3028.0</v>
      </c>
      <c r="D211" s="4">
        <v>0.090344056609733</v>
      </c>
      <c r="E211" s="7">
        <v>14326.9757095551</v>
      </c>
      <c r="F211" s="4">
        <v>90.4255805644873</v>
      </c>
      <c r="G211" s="7">
        <v>18.405930689532</v>
      </c>
      <c r="H211" s="6">
        <f t="shared" si="1"/>
        <v>1.264957782</v>
      </c>
    </row>
    <row r="212">
      <c r="A212" s="1" t="s">
        <v>428</v>
      </c>
      <c r="B212" s="4" t="s">
        <v>429</v>
      </c>
      <c r="C212" s="7">
        <v>2526.0</v>
      </c>
      <c r="D212" s="4">
        <v>0.247016283746712</v>
      </c>
      <c r="E212" s="7">
        <v>1046098.23367319</v>
      </c>
      <c r="F212" s="4">
        <v>38.1253394292048</v>
      </c>
      <c r="G212" s="7">
        <v>86.9040592962039</v>
      </c>
      <c r="H212" s="6">
        <f t="shared" si="1"/>
        <v>1.939040063</v>
      </c>
    </row>
    <row r="213">
      <c r="A213" s="1" t="s">
        <v>430</v>
      </c>
      <c r="B213" s="4" t="s">
        <v>431</v>
      </c>
      <c r="C213" s="7">
        <v>1784.0</v>
      </c>
      <c r="D213" s="4">
        <v>0.360637004160202</v>
      </c>
      <c r="E213" s="7">
        <v>3237.58403735954</v>
      </c>
      <c r="F213" s="4">
        <v>30.5685328185328</v>
      </c>
      <c r="G213" s="7">
        <v>297.185231660232</v>
      </c>
      <c r="H213" s="6">
        <f t="shared" si="1"/>
        <v>2.473027224</v>
      </c>
    </row>
    <row r="214">
      <c r="A214" s="1" t="s">
        <v>432</v>
      </c>
      <c r="B214" s="4" t="s">
        <v>433</v>
      </c>
      <c r="C214" s="5"/>
      <c r="D214" s="6"/>
      <c r="E214" s="7">
        <v>46228.7104622871</v>
      </c>
      <c r="F214" s="4">
        <v>16.6666666666667</v>
      </c>
      <c r="G214" s="7">
        <v>513.75</v>
      </c>
      <c r="H214" s="6">
        <f t="shared" si="1"/>
        <v>2.710751835</v>
      </c>
    </row>
    <row r="215">
      <c r="A215" s="1" t="s">
        <v>434</v>
      </c>
      <c r="B215" s="4" t="s">
        <v>435</v>
      </c>
      <c r="C215" s="7">
        <v>282.0</v>
      </c>
      <c r="D215" s="4">
        <v>4.60368934052831</v>
      </c>
      <c r="E215" s="5"/>
      <c r="F215" s="4">
        <v>10.8780724965728</v>
      </c>
      <c r="G215" s="7">
        <v>18.6783737686103</v>
      </c>
      <c r="H215" s="6">
        <f t="shared" si="1"/>
        <v>1.271339062</v>
      </c>
    </row>
    <row r="216">
      <c r="A216" s="1" t="s">
        <v>436</v>
      </c>
      <c r="B216" s="4" t="s">
        <v>437</v>
      </c>
      <c r="C216" s="5"/>
      <c r="D216" s="4">
        <v>0.010660574339664</v>
      </c>
      <c r="E216" s="7">
        <v>560114.315266063</v>
      </c>
      <c r="F216" s="4">
        <v>30.7306197118683</v>
      </c>
      <c r="G216" s="7">
        <v>83.7046306883147</v>
      </c>
      <c r="H216" s="6">
        <f t="shared" si="1"/>
        <v>1.922749485</v>
      </c>
    </row>
    <row r="217">
      <c r="A217" s="1" t="s">
        <v>438</v>
      </c>
      <c r="B217" s="4" t="s">
        <v>439</v>
      </c>
      <c r="C217" s="5"/>
      <c r="D217" s="6"/>
      <c r="E217" s="5"/>
      <c r="F217" s="4">
        <v>30.0737287982235</v>
      </c>
      <c r="G217" s="7">
        <v>35.4512694034153</v>
      </c>
      <c r="H217" s="6">
        <f t="shared" si="1"/>
        <v>1.549631791</v>
      </c>
    </row>
    <row r="218">
      <c r="A218" s="1" t="s">
        <v>440</v>
      </c>
      <c r="B218" s="4" t="s">
        <v>441</v>
      </c>
      <c r="C218" s="5"/>
      <c r="D218" s="6"/>
      <c r="E218" s="7">
        <v>3090.26500892887</v>
      </c>
      <c r="F218" s="6"/>
      <c r="G218" s="5"/>
      <c r="H218" s="6" t="str">
        <f t="shared" si="1"/>
        <v>#NUM!</v>
      </c>
    </row>
    <row r="219">
      <c r="A219" s="1" t="s">
        <v>442</v>
      </c>
      <c r="B219" s="4" t="s">
        <v>443</v>
      </c>
      <c r="C219" s="5"/>
      <c r="D219" s="6"/>
      <c r="E219" s="5"/>
      <c r="F219" s="4">
        <v>30.0746583943571</v>
      </c>
      <c r="G219" s="7">
        <v>35.4542456892896</v>
      </c>
      <c r="H219" s="6">
        <f t="shared" si="1"/>
        <v>1.54966825</v>
      </c>
    </row>
    <row r="220">
      <c r="A220" s="1" t="s">
        <v>444</v>
      </c>
      <c r="B220" s="4" t="s">
        <v>445</v>
      </c>
      <c r="C220" s="5"/>
      <c r="D220" s="6"/>
      <c r="E220" s="5"/>
      <c r="F220" s="4">
        <v>40.6627537655796</v>
      </c>
      <c r="G220" s="7">
        <v>13.8132203726136</v>
      </c>
      <c r="H220" s="6">
        <f t="shared" si="1"/>
        <v>1.14029494</v>
      </c>
    </row>
    <row r="221">
      <c r="A221" s="1" t="s">
        <v>446</v>
      </c>
      <c r="B221" s="4" t="s">
        <v>447</v>
      </c>
      <c r="C221" s="7">
        <v>3200.0</v>
      </c>
      <c r="D221" s="6"/>
      <c r="E221" s="7">
        <v>16091.0602295923</v>
      </c>
      <c r="F221" s="4">
        <v>60.5479166666667</v>
      </c>
      <c r="G221" s="7">
        <v>183.205208333333</v>
      </c>
      <c r="H221" s="6">
        <f t="shared" si="1"/>
        <v>2.262937816</v>
      </c>
    </row>
    <row r="222">
      <c r="A222" s="1" t="s">
        <v>448</v>
      </c>
      <c r="B222" s="4" t="s">
        <v>449</v>
      </c>
      <c r="C222" s="7">
        <v>2331.0</v>
      </c>
      <c r="D222" s="4">
        <v>0.339835427358562</v>
      </c>
      <c r="E222" s="7">
        <v>29384.462630445</v>
      </c>
      <c r="F222" s="4">
        <v>98.1023141025641</v>
      </c>
      <c r="G222" s="7">
        <v>3.35328846153846</v>
      </c>
      <c r="H222" s="6">
        <f t="shared" si="1"/>
        <v>0.5254709146</v>
      </c>
    </row>
    <row r="223">
      <c r="A223" s="1" t="s">
        <v>450</v>
      </c>
      <c r="B223" s="4" t="s">
        <v>451</v>
      </c>
      <c r="C223" s="7">
        <v>824.0</v>
      </c>
      <c r="D223" s="4">
        <v>0.044927135496176</v>
      </c>
      <c r="E223" s="7">
        <v>12328.9078097715</v>
      </c>
      <c r="F223" s="4">
        <v>39.8473695154918</v>
      </c>
      <c r="G223" s="7">
        <v>112.006778956124</v>
      </c>
      <c r="H223" s="6">
        <f t="shared" si="1"/>
        <v>2.049244308</v>
      </c>
    </row>
    <row r="224">
      <c r="A224" s="1" t="s">
        <v>452</v>
      </c>
      <c r="B224" s="4" t="s">
        <v>453</v>
      </c>
      <c r="C224" s="7">
        <v>1162.0</v>
      </c>
      <c r="D224" s="4">
        <v>0.0</v>
      </c>
      <c r="E224" s="7">
        <v>18411.8364303228</v>
      </c>
      <c r="F224" s="4">
        <v>61.8292646606241</v>
      </c>
      <c r="G224" s="7">
        <v>101.245371243634</v>
      </c>
      <c r="H224" s="6">
        <f t="shared" si="1"/>
        <v>2.005375177</v>
      </c>
    </row>
    <row r="225">
      <c r="A225" s="1" t="s">
        <v>454</v>
      </c>
      <c r="B225" s="4" t="s">
        <v>455</v>
      </c>
      <c r="C225" s="7">
        <v>624.0</v>
      </c>
      <c r="D225" s="4">
        <v>0.0</v>
      </c>
      <c r="E225" s="7">
        <v>388369.433183686</v>
      </c>
      <c r="F225" s="4">
        <v>68.4359311790223</v>
      </c>
      <c r="G225" s="7">
        <v>22.6605132329288</v>
      </c>
      <c r="H225" s="6">
        <f t="shared" si="1"/>
        <v>1.355269742</v>
      </c>
    </row>
    <row r="226">
      <c r="A226" s="1" t="s">
        <v>456</v>
      </c>
      <c r="B226" s="4" t="s">
        <v>457</v>
      </c>
      <c r="C226" s="7">
        <v>788.0</v>
      </c>
      <c r="D226" s="4">
        <v>9.22658630792033</v>
      </c>
      <c r="E226" s="7">
        <v>31189.3952690499</v>
      </c>
      <c r="F226" s="4">
        <v>28.1520348837209</v>
      </c>
      <c r="G226" s="7">
        <v>61.4803488372093</v>
      </c>
      <c r="H226" s="6">
        <f t="shared" si="1"/>
        <v>1.788736323</v>
      </c>
    </row>
    <row r="227">
      <c r="A227" s="1" t="s">
        <v>458</v>
      </c>
      <c r="B227" s="4" t="s">
        <v>459</v>
      </c>
      <c r="C227" s="5"/>
      <c r="D227" s="6"/>
      <c r="E227" s="7">
        <v>45336.7720077107</v>
      </c>
      <c r="F227" s="6"/>
      <c r="G227" s="7">
        <v>1007.0</v>
      </c>
      <c r="H227" s="6">
        <f t="shared" si="1"/>
        <v>3.003029471</v>
      </c>
    </row>
    <row r="228">
      <c r="A228" s="1" t="s">
        <v>460</v>
      </c>
      <c r="B228" s="4" t="s">
        <v>461</v>
      </c>
      <c r="C228" s="7">
        <v>2330.0</v>
      </c>
      <c r="D228" s="4">
        <v>0.078021323954167</v>
      </c>
      <c r="E228" s="7">
        <v>68672.8218286788</v>
      </c>
      <c r="F228" s="4">
        <v>73.2608695652174</v>
      </c>
      <c r="G228" s="7">
        <v>189.778260869565</v>
      </c>
      <c r="H228" s="6">
        <f t="shared" si="1"/>
        <v>2.278246462</v>
      </c>
    </row>
    <row r="229">
      <c r="A229" s="1" t="s">
        <v>462</v>
      </c>
      <c r="B229" s="4" t="s">
        <v>463</v>
      </c>
      <c r="C229" s="7">
        <v>252.0</v>
      </c>
      <c r="D229" s="4">
        <v>0.507772234430497</v>
      </c>
      <c r="E229" s="7">
        <v>67001.5801754542</v>
      </c>
      <c r="F229" s="4">
        <v>2.6469178828142</v>
      </c>
      <c r="G229" s="7">
        <v>115.475239599216</v>
      </c>
      <c r="H229" s="6">
        <f t="shared" si="1"/>
        <v>2.062488872</v>
      </c>
    </row>
    <row r="230">
      <c r="A230" s="1" t="s">
        <v>464</v>
      </c>
      <c r="B230" s="4" t="s">
        <v>465</v>
      </c>
      <c r="C230" s="5"/>
      <c r="D230" s="6"/>
      <c r="E230" s="5"/>
      <c r="F230" s="4">
        <v>11.0736842105263</v>
      </c>
      <c r="G230" s="7">
        <v>33.6136842105263</v>
      </c>
      <c r="H230" s="6">
        <f t="shared" si="1"/>
        <v>1.526516116</v>
      </c>
    </row>
    <row r="231">
      <c r="A231" s="1" t="s">
        <v>466</v>
      </c>
      <c r="B231" s="4" t="s">
        <v>467</v>
      </c>
      <c r="C231" s="7">
        <v>322.0</v>
      </c>
      <c r="D231" s="4">
        <v>2.71464102500458</v>
      </c>
      <c r="E231" s="7">
        <v>338551.151698656</v>
      </c>
      <c r="F231" s="4">
        <v>4.45703621346887</v>
      </c>
      <c r="G231" s="7">
        <v>9.18054479034308</v>
      </c>
      <c r="H231" s="6">
        <f t="shared" si="1"/>
        <v>0.9628684538</v>
      </c>
    </row>
    <row r="232">
      <c r="A232" s="1" t="s">
        <v>468</v>
      </c>
      <c r="B232" s="4" t="s">
        <v>469</v>
      </c>
      <c r="C232" s="5"/>
      <c r="D232" s="6"/>
      <c r="E232" s="5"/>
      <c r="F232" s="4">
        <v>29.8294967602935</v>
      </c>
      <c r="G232" s="7">
        <v>121.765838923989</v>
      </c>
      <c r="H232" s="6">
        <f t="shared" si="1"/>
        <v>2.085525465</v>
      </c>
    </row>
    <row r="233">
      <c r="A233" s="1" t="s">
        <v>470</v>
      </c>
      <c r="B233" s="4" t="s">
        <v>471</v>
      </c>
      <c r="C233" s="5"/>
      <c r="D233" s="6"/>
      <c r="E233" s="5"/>
      <c r="F233" s="4">
        <v>39.1366293670389</v>
      </c>
      <c r="G233" s="7">
        <v>19.0764060057483</v>
      </c>
      <c r="H233" s="6">
        <f t="shared" si="1"/>
        <v>1.280496557</v>
      </c>
    </row>
    <row r="234">
      <c r="A234" s="1" t="s">
        <v>472</v>
      </c>
      <c r="B234" s="4" t="s">
        <v>473</v>
      </c>
      <c r="C234" s="7">
        <v>1168.0</v>
      </c>
      <c r="D234" s="4">
        <v>0.508477884982821</v>
      </c>
      <c r="E234" s="7">
        <v>378961.970807123</v>
      </c>
      <c r="F234" s="4">
        <v>22.8319433719434</v>
      </c>
      <c r="G234" s="7">
        <v>114.926273211988</v>
      </c>
      <c r="H234" s="6">
        <f t="shared" si="1"/>
        <v>2.060419324</v>
      </c>
    </row>
    <row r="235">
      <c r="A235" s="1" t="s">
        <v>474</v>
      </c>
      <c r="B235" s="4" t="s">
        <v>475</v>
      </c>
      <c r="C235" s="7">
        <v>1622.0</v>
      </c>
      <c r="D235" s="4">
        <v>3.75109895493503</v>
      </c>
      <c r="E235" s="7">
        <v>114512.510043469</v>
      </c>
      <c r="F235" s="4">
        <v>39.0798410616767</v>
      </c>
      <c r="G235" s="7">
        <v>130.883035487091</v>
      </c>
      <c r="H235" s="6">
        <f t="shared" si="1"/>
        <v>2.116883359</v>
      </c>
    </row>
    <row r="236">
      <c r="A236" s="1" t="s">
        <v>476</v>
      </c>
      <c r="B236" s="4" t="s">
        <v>477</v>
      </c>
      <c r="C236" s="7">
        <v>691.0</v>
      </c>
      <c r="D236" s="4">
        <v>5.37808586974649</v>
      </c>
      <c r="E236" s="7">
        <v>497.588499925048</v>
      </c>
      <c r="F236" s="4">
        <v>2.92940840240069</v>
      </c>
      <c r="G236" s="7">
        <v>52.6204058302372</v>
      </c>
      <c r="H236" s="6">
        <f t="shared" si="1"/>
        <v>1.721154193</v>
      </c>
    </row>
    <row r="237">
      <c r="A237" s="1" t="s">
        <v>478</v>
      </c>
      <c r="B237" s="4" t="s">
        <v>479</v>
      </c>
      <c r="C237" s="7">
        <v>161.0</v>
      </c>
      <c r="D237" s="4">
        <v>4.75378280003E-4</v>
      </c>
      <c r="E237" s="7">
        <v>5349.31030702565</v>
      </c>
      <c r="F237" s="4">
        <v>8.78215904496414</v>
      </c>
      <c r="G237" s="7">
        <v>10.6568063328581</v>
      </c>
      <c r="H237" s="6">
        <f t="shared" si="1"/>
        <v>1.027627073</v>
      </c>
    </row>
    <row r="238">
      <c r="A238" s="1" t="s">
        <v>480</v>
      </c>
      <c r="B238" s="4" t="s">
        <v>481</v>
      </c>
      <c r="C238" s="5"/>
      <c r="D238" s="6"/>
      <c r="E238" s="5"/>
      <c r="F238" s="4">
        <v>48.2950980514253</v>
      </c>
      <c r="G238" s="7">
        <v>28.487500271171</v>
      </c>
      <c r="H238" s="6">
        <f t="shared" si="1"/>
        <v>1.454654342</v>
      </c>
    </row>
    <row r="239">
      <c r="A239" s="1" t="s">
        <v>482</v>
      </c>
      <c r="B239" s="4" t="s">
        <v>483</v>
      </c>
      <c r="C239" s="7">
        <v>1500.0</v>
      </c>
      <c r="D239" s="4">
        <v>0.025120381272184</v>
      </c>
      <c r="E239" s="7">
        <v>1103.86312397257</v>
      </c>
      <c r="F239" s="4">
        <v>62.9791526563551</v>
      </c>
      <c r="G239" s="7">
        <v>72.2451916610626</v>
      </c>
      <c r="H239" s="6">
        <f t="shared" si="1"/>
        <v>1.858808948</v>
      </c>
    </row>
    <row r="240">
      <c r="A240" s="1" t="s">
        <v>484</v>
      </c>
      <c r="B240" s="4" t="s">
        <v>485</v>
      </c>
      <c r="C240" s="5"/>
      <c r="D240" s="6"/>
      <c r="E240" s="5"/>
      <c r="F240" s="4">
        <v>2.45094791477279</v>
      </c>
      <c r="G240" s="7">
        <v>37.4292716961948</v>
      </c>
      <c r="H240" s="6">
        <f t="shared" si="1"/>
        <v>1.573211377</v>
      </c>
    </row>
    <row r="241">
      <c r="A241" s="1" t="s">
        <v>486</v>
      </c>
      <c r="B241" s="4" t="s">
        <v>487</v>
      </c>
      <c r="C241" s="5"/>
      <c r="D241" s="6"/>
      <c r="E241" s="7">
        <v>7913.97056700386</v>
      </c>
      <c r="F241" s="4">
        <v>12.4305555555556</v>
      </c>
      <c r="G241" s="7">
        <v>144.301388888889</v>
      </c>
      <c r="H241" s="6">
        <f t="shared" si="1"/>
        <v>2.159270511</v>
      </c>
    </row>
    <row r="242">
      <c r="A242" s="1" t="s">
        <v>488</v>
      </c>
      <c r="B242" s="4" t="s">
        <v>489</v>
      </c>
      <c r="C242" s="5"/>
      <c r="D242" s="6"/>
      <c r="E242" s="5"/>
      <c r="F242" s="4">
        <v>18.2939408920782</v>
      </c>
      <c r="G242" s="7">
        <v>338.590404597893</v>
      </c>
      <c r="H242" s="6">
        <f t="shared" si="1"/>
        <v>2.529674646</v>
      </c>
    </row>
    <row r="243">
      <c r="A243" s="1" t="s">
        <v>490</v>
      </c>
      <c r="B243" s="4" t="s">
        <v>491</v>
      </c>
      <c r="C243" s="5"/>
      <c r="D243" s="6"/>
      <c r="E243" s="5"/>
      <c r="F243" s="4">
        <v>30.0746583943571</v>
      </c>
      <c r="G243" s="7">
        <v>35.4542456892896</v>
      </c>
      <c r="H243" s="6">
        <f t="shared" si="1"/>
        <v>1.54966825</v>
      </c>
    </row>
    <row r="244">
      <c r="A244" s="1" t="s">
        <v>492</v>
      </c>
      <c r="B244" s="4" t="s">
        <v>493</v>
      </c>
      <c r="C244" s="7">
        <v>2200.0</v>
      </c>
      <c r="D244" s="4">
        <v>8.17749398672E-4</v>
      </c>
      <c r="E244" s="7">
        <v>120201.225508566</v>
      </c>
      <c r="F244" s="4">
        <v>45.3867446393762</v>
      </c>
      <c r="G244" s="7">
        <v>257.489473684211</v>
      </c>
      <c r="H244" s="6">
        <f t="shared" si="1"/>
        <v>2.41075948</v>
      </c>
    </row>
    <row r="245">
      <c r="A245" s="1" t="s">
        <v>494</v>
      </c>
      <c r="B245" s="4" t="s">
        <v>495</v>
      </c>
      <c r="C245" s="7">
        <v>207.0</v>
      </c>
      <c r="D245" s="4">
        <v>0.098450336468041</v>
      </c>
      <c r="E245" s="7">
        <v>7612.66860505652</v>
      </c>
      <c r="F245" s="4">
        <v>4.41215242018538</v>
      </c>
      <c r="G245" s="7">
        <v>67.7503282698249</v>
      </c>
      <c r="H245" s="6">
        <f t="shared" si="1"/>
        <v>1.830911404</v>
      </c>
    </row>
    <row r="246">
      <c r="A246" s="1" t="s">
        <v>496</v>
      </c>
      <c r="B246" s="4" t="s">
        <v>497</v>
      </c>
      <c r="C246" s="7">
        <v>593.0</v>
      </c>
      <c r="D246" s="4">
        <v>0.136563067437583</v>
      </c>
      <c r="E246" s="7">
        <v>14110.3847784493</v>
      </c>
      <c r="F246" s="4">
        <v>27.2723347582605</v>
      </c>
      <c r="G246" s="7">
        <v>92.6697322089835</v>
      </c>
      <c r="H246" s="6">
        <f t="shared" si="1"/>
        <v>1.966937908</v>
      </c>
    </row>
    <row r="247">
      <c r="A247" s="1" t="s">
        <v>498</v>
      </c>
      <c r="B247" s="4" t="s">
        <v>499</v>
      </c>
      <c r="C247" s="5"/>
      <c r="D247" s="6"/>
      <c r="E247" s="7">
        <v>3078.65168539326</v>
      </c>
      <c r="F247" s="4">
        <v>33.3333333333333</v>
      </c>
      <c r="G247" s="7">
        <v>347.1</v>
      </c>
      <c r="H247" s="6">
        <f t="shared" si="1"/>
        <v>2.540454614</v>
      </c>
    </row>
    <row r="248">
      <c r="A248" s="1" t="s">
        <v>500</v>
      </c>
      <c r="B248" s="4" t="s">
        <v>501</v>
      </c>
      <c r="C248" s="7">
        <v>1071.0</v>
      </c>
      <c r="D248" s="4">
        <v>1.49586357405237</v>
      </c>
      <c r="E248" s="7">
        <v>1558060.02252268</v>
      </c>
      <c r="F248" s="4">
        <v>56.8096748701739</v>
      </c>
      <c r="G248" s="7">
        <v>48.6270377060284</v>
      </c>
      <c r="H248" s="6">
        <f t="shared" si="1"/>
        <v>1.686877814</v>
      </c>
    </row>
    <row r="249">
      <c r="A249" s="1" t="s">
        <v>502</v>
      </c>
      <c r="B249" s="4" t="s">
        <v>503</v>
      </c>
      <c r="C249" s="7">
        <v>1180.0</v>
      </c>
      <c r="D249" s="4">
        <v>0.85120346991391</v>
      </c>
      <c r="E249" s="7">
        <v>2326426.37843368</v>
      </c>
      <c r="F249" s="4">
        <v>13.9716380561533</v>
      </c>
      <c r="G249" s="7">
        <v>157.204824583354</v>
      </c>
      <c r="H249" s="6">
        <f t="shared" si="1"/>
        <v>2.19646587</v>
      </c>
    </row>
    <row r="250">
      <c r="A250" s="1" t="s">
        <v>504</v>
      </c>
      <c r="B250" s="4" t="s">
        <v>505</v>
      </c>
      <c r="C250" s="7">
        <v>565.0</v>
      </c>
      <c r="D250" s="4">
        <v>0.269239353924442</v>
      </c>
      <c r="E250" s="7">
        <v>54754.4541349246</v>
      </c>
      <c r="F250" s="4">
        <v>16.4748325623144</v>
      </c>
      <c r="G250" s="7">
        <v>79.4954964441069</v>
      </c>
      <c r="H250" s="6">
        <f t="shared" si="1"/>
        <v>1.900342526</v>
      </c>
    </row>
    <row r="251">
      <c r="A251" s="1" t="s">
        <v>506</v>
      </c>
      <c r="B251" s="4" t="s">
        <v>507</v>
      </c>
      <c r="C251" s="5"/>
      <c r="D251" s="6"/>
      <c r="E251" s="5"/>
      <c r="F251" s="4">
        <v>37.5668895016344</v>
      </c>
      <c r="G251" s="7">
        <v>43.4953201305991</v>
      </c>
      <c r="H251" s="6">
        <f t="shared" si="1"/>
        <v>1.638442532</v>
      </c>
    </row>
    <row r="252">
      <c r="A252" s="1" t="s">
        <v>508</v>
      </c>
      <c r="B252" s="4" t="s">
        <v>509</v>
      </c>
      <c r="C252" s="7">
        <v>1300.0</v>
      </c>
      <c r="D252" s="4">
        <v>0.264742966821956</v>
      </c>
      <c r="E252" s="7">
        <v>398228.970592977</v>
      </c>
      <c r="F252" s="4">
        <v>9.68500742772255</v>
      </c>
      <c r="G252" s="7">
        <v>19.1388184207519</v>
      </c>
      <c r="H252" s="6">
        <f t="shared" si="1"/>
        <v>1.281915122</v>
      </c>
    </row>
    <row r="253">
      <c r="A253" s="1" t="s">
        <v>510</v>
      </c>
      <c r="B253" s="4" t="s">
        <v>511</v>
      </c>
      <c r="C253" s="7">
        <v>715.0</v>
      </c>
      <c r="D253" s="4">
        <v>0.214155722534503</v>
      </c>
      <c r="E253" s="7">
        <v>51869.7063083713</v>
      </c>
      <c r="F253" s="4">
        <v>33.6927352193296</v>
      </c>
      <c r="G253" s="7">
        <v>33.5363992251367</v>
      </c>
      <c r="H253" s="6">
        <f t="shared" si="1"/>
        <v>1.525516431</v>
      </c>
    </row>
    <row r="254">
      <c r="A254" s="1" t="s">
        <v>512</v>
      </c>
      <c r="B254" s="4" t="s">
        <v>513</v>
      </c>
      <c r="C254" s="7">
        <v>206.0</v>
      </c>
      <c r="D254" s="4">
        <v>0.123694001358125</v>
      </c>
      <c r="E254" s="7">
        <v>2642058.70564429</v>
      </c>
      <c r="F254" s="4">
        <v>7.78275999059709</v>
      </c>
      <c r="G254" s="7">
        <v>65.2736248236953</v>
      </c>
      <c r="H254" s="6">
        <f t="shared" si="1"/>
        <v>1.814737731</v>
      </c>
    </row>
    <row r="255">
      <c r="A255" s="1" t="s">
        <v>514</v>
      </c>
      <c r="B255" s="4" t="s">
        <v>515</v>
      </c>
      <c r="C255" s="7">
        <v>1583.0</v>
      </c>
      <c r="D255" s="4">
        <v>0.00923653993672</v>
      </c>
      <c r="E255" s="7">
        <v>15654.8438033853</v>
      </c>
      <c r="F255" s="4">
        <v>73.1794871794872</v>
      </c>
      <c r="G255" s="7">
        <v>277.674358974359</v>
      </c>
      <c r="H255" s="6">
        <f t="shared" si="1"/>
        <v>2.443535778</v>
      </c>
    </row>
    <row r="256">
      <c r="A256" s="1" t="s">
        <v>516</v>
      </c>
      <c r="B256" s="4" t="s">
        <v>517</v>
      </c>
      <c r="C256" s="7">
        <v>2044.0</v>
      </c>
      <c r="D256" s="4">
        <v>0.155204204310207</v>
      </c>
      <c r="E256" s="7">
        <v>2021.0090182266</v>
      </c>
      <c r="F256" s="4">
        <v>54.0441018082875</v>
      </c>
      <c r="G256" s="7">
        <v>31.7793889235304</v>
      </c>
      <c r="H256" s="6">
        <f t="shared" si="1"/>
        <v>1.502145542</v>
      </c>
    </row>
    <row r="257">
      <c r="A257" s="1" t="s">
        <v>518</v>
      </c>
      <c r="B257" s="4" t="s">
        <v>519</v>
      </c>
      <c r="C257" s="5"/>
      <c r="D257" s="6"/>
      <c r="E257" s="5"/>
      <c r="F257" s="4">
        <v>24.2866666666667</v>
      </c>
      <c r="G257" s="7">
        <v>180.233333333333</v>
      </c>
      <c r="H257" s="6">
        <f t="shared" si="1"/>
        <v>2.255835115</v>
      </c>
    </row>
    <row r="258">
      <c r="A258" s="1" t="s">
        <v>520</v>
      </c>
      <c r="B258" s="4" t="s">
        <v>521</v>
      </c>
      <c r="C258" s="5"/>
      <c r="D258" s="6"/>
      <c r="E258" s="7">
        <v>47950.2601380023</v>
      </c>
      <c r="F258" s="4">
        <v>53.24</v>
      </c>
      <c r="G258" s="7">
        <v>309.725714285714</v>
      </c>
      <c r="H258" s="6">
        <f t="shared" si="1"/>
        <v>2.490977263</v>
      </c>
    </row>
    <row r="259">
      <c r="A259" s="1" t="s">
        <v>522</v>
      </c>
      <c r="B259" s="4" t="s">
        <v>523</v>
      </c>
      <c r="C259" s="7">
        <v>1821.0</v>
      </c>
      <c r="D259" s="4">
        <v>1.59936168053814</v>
      </c>
      <c r="E259" s="7">
        <v>2.32809578349394E7</v>
      </c>
      <c r="F259" s="4">
        <v>42.6602509110846</v>
      </c>
      <c r="G259" s="7">
        <v>280.879317573451</v>
      </c>
      <c r="H259" s="6">
        <f t="shared" si="1"/>
        <v>2.448519761</v>
      </c>
    </row>
    <row r="260">
      <c r="A260" s="1" t="s">
        <v>524</v>
      </c>
      <c r="B260" s="4" t="s">
        <v>525</v>
      </c>
      <c r="C260" s="7">
        <v>2000.0</v>
      </c>
      <c r="D260" s="4">
        <v>0.105703889988763</v>
      </c>
      <c r="E260" s="7">
        <v>236336.23460329</v>
      </c>
      <c r="F260" s="4">
        <v>36.2838392124692</v>
      </c>
      <c r="G260" s="7">
        <v>18.8879409351928</v>
      </c>
      <c r="H260" s="6">
        <f t="shared" si="1"/>
        <v>1.276184616</v>
      </c>
    </row>
    <row r="261">
      <c r="A261" s="1" t="s">
        <v>526</v>
      </c>
      <c r="B261" s="4" t="s">
        <v>527</v>
      </c>
      <c r="C261" s="5"/>
      <c r="D261" s="6"/>
      <c r="E261" s="5"/>
      <c r="F261" s="4">
        <v>30.8967480813429</v>
      </c>
      <c r="G261" s="7">
        <v>52.6656293068104</v>
      </c>
      <c r="H261" s="6">
        <f t="shared" si="1"/>
        <v>1.721527278</v>
      </c>
    </row>
    <row r="262">
      <c r="A262" s="1" t="s">
        <v>528</v>
      </c>
      <c r="B262" s="4" t="s">
        <v>529</v>
      </c>
      <c r="C262" s="7">
        <v>2880.0</v>
      </c>
      <c r="D262" s="4">
        <v>0.0</v>
      </c>
      <c r="E262" s="7">
        <v>9598.64700113247</v>
      </c>
      <c r="F262" s="4">
        <v>59.0007067137809</v>
      </c>
      <c r="G262" s="7">
        <v>65.213074204947</v>
      </c>
      <c r="H262" s="6">
        <f t="shared" si="1"/>
        <v>1.814334674</v>
      </c>
    </row>
    <row r="263">
      <c r="A263" s="1" t="s">
        <v>530</v>
      </c>
      <c r="B263" s="4" t="s">
        <v>531</v>
      </c>
      <c r="C263" s="5"/>
      <c r="D263" s="6"/>
      <c r="E263" s="7">
        <v>2109.4339172761</v>
      </c>
      <c r="F263" s="6"/>
      <c r="G263" s="7">
        <v>161.79608707633</v>
      </c>
      <c r="H263" s="6">
        <f t="shared" si="1"/>
        <v>2.208968014</v>
      </c>
    </row>
    <row r="264">
      <c r="A264" s="1" t="s">
        <v>532</v>
      </c>
      <c r="B264" s="4" t="s">
        <v>533</v>
      </c>
      <c r="C264" s="7">
        <v>167.0</v>
      </c>
      <c r="D264" s="4">
        <v>0.099410698545419</v>
      </c>
      <c r="E264" s="7">
        <v>16080.6442743408</v>
      </c>
      <c r="F264" s="4">
        <v>1.03983180862549</v>
      </c>
      <c r="G264" s="7">
        <v>42.6472413205296</v>
      </c>
      <c r="H264" s="6">
        <f t="shared" si="1"/>
        <v>1.629890944</v>
      </c>
    </row>
    <row r="265">
      <c r="A265" s="1" t="s">
        <v>534</v>
      </c>
      <c r="B265" s="4" t="s">
        <v>535</v>
      </c>
      <c r="C265" s="7">
        <v>495.0</v>
      </c>
      <c r="D265" s="4">
        <v>1.8056505619928</v>
      </c>
      <c r="E265" s="7">
        <v>76402.5421373487</v>
      </c>
      <c r="F265" s="4">
        <v>14.385156913337</v>
      </c>
      <c r="G265" s="7">
        <v>41.6102787097412</v>
      </c>
      <c r="H265" s="6">
        <f t="shared" si="1"/>
        <v>1.619200625</v>
      </c>
    </row>
    <row r="266">
      <c r="A266" s="1" t="s">
        <v>536</v>
      </c>
      <c r="B266" s="4" t="s">
        <v>537</v>
      </c>
      <c r="C266" s="7">
        <v>1020.0</v>
      </c>
      <c r="D266" s="4">
        <v>4.19967674421609</v>
      </c>
      <c r="E266" s="7">
        <v>6669.55746673021</v>
      </c>
      <c r="F266" s="4">
        <v>62.8631001224122</v>
      </c>
      <c r="G266" s="7">
        <v>17.7768627503733</v>
      </c>
      <c r="H266" s="6">
        <f t="shared" si="1"/>
        <v>1.249855119</v>
      </c>
    </row>
    <row r="267">
      <c r="A267" s="1" t="s">
        <v>538</v>
      </c>
      <c r="B267" s="4" t="s">
        <v>539</v>
      </c>
      <c r="C267" s="7">
        <v>657.0</v>
      </c>
      <c r="D267" s="6"/>
      <c r="E267" s="7">
        <v>856.914556471943</v>
      </c>
      <c r="F267" s="4">
        <v>46.4039033217009</v>
      </c>
      <c r="G267" s="7">
        <v>32.381967170738</v>
      </c>
      <c r="H267" s="6">
        <f t="shared" si="1"/>
        <v>1.510303228</v>
      </c>
    </row>
    <row r="268">
      <c r="A268" s="8"/>
      <c r="B268" s="9"/>
      <c r="C268" s="10"/>
      <c r="D268" s="9"/>
      <c r="E268" s="10"/>
      <c r="F268" s="9"/>
      <c r="G268" s="10"/>
      <c r="H268" s="9"/>
    </row>
    <row r="269">
      <c r="A269" s="8"/>
      <c r="B269" s="9"/>
      <c r="C269" s="10"/>
      <c r="D269" s="9"/>
      <c r="E269" s="10"/>
      <c r="F269" s="9"/>
      <c r="G269" s="10"/>
      <c r="H269" s="9"/>
    </row>
    <row r="270">
      <c r="A270" s="8"/>
      <c r="B270" s="9"/>
      <c r="C270" s="10"/>
      <c r="D270" s="9"/>
      <c r="E270" s="10"/>
      <c r="F270" s="9"/>
      <c r="G270" s="10"/>
      <c r="H270" s="9"/>
    </row>
    <row r="271">
      <c r="A271" s="8"/>
      <c r="B271" s="9"/>
      <c r="C271" s="10"/>
      <c r="D271" s="9"/>
      <c r="E271" s="10"/>
      <c r="F271" s="9"/>
      <c r="G271" s="10"/>
      <c r="H271" s="9"/>
    </row>
    <row r="272">
      <c r="A272" s="8"/>
      <c r="B272" s="9"/>
      <c r="C272" s="10"/>
      <c r="D272" s="9"/>
      <c r="E272" s="10"/>
      <c r="F272" s="9"/>
      <c r="G272" s="10"/>
      <c r="H272" s="9"/>
    </row>
    <row r="273">
      <c r="A273" s="8"/>
      <c r="B273" s="9"/>
      <c r="C273" s="10"/>
      <c r="D273" s="9"/>
      <c r="E273" s="10"/>
      <c r="F273" s="9"/>
      <c r="G273" s="10"/>
      <c r="H273" s="9"/>
    </row>
    <row r="274">
      <c r="A274" s="8"/>
      <c r="B274" s="9"/>
      <c r="C274" s="10"/>
      <c r="D274" s="9"/>
      <c r="E274" s="10"/>
      <c r="F274" s="9"/>
      <c r="G274" s="10"/>
      <c r="H274" s="9"/>
    </row>
    <row r="275">
      <c r="A275" s="8"/>
      <c r="B275" s="9"/>
      <c r="C275" s="10"/>
      <c r="D275" s="9"/>
      <c r="E275" s="10"/>
      <c r="F275" s="9"/>
      <c r="G275" s="10"/>
      <c r="H275" s="9"/>
    </row>
    <row r="276">
      <c r="A276" s="8"/>
      <c r="B276" s="9"/>
      <c r="C276" s="10"/>
      <c r="D276" s="9"/>
      <c r="E276" s="10"/>
      <c r="F276" s="9"/>
      <c r="G276" s="10"/>
      <c r="H276" s="9"/>
    </row>
    <row r="277">
      <c r="A277" s="8"/>
      <c r="B277" s="9"/>
      <c r="C277" s="10"/>
      <c r="D277" s="9"/>
      <c r="E277" s="10"/>
      <c r="F277" s="9"/>
      <c r="G277" s="10"/>
      <c r="H277" s="9"/>
    </row>
    <row r="278">
      <c r="A278" s="8"/>
      <c r="B278" s="9"/>
      <c r="C278" s="10"/>
      <c r="D278" s="9"/>
      <c r="E278" s="10"/>
      <c r="F278" s="9"/>
      <c r="G278" s="10"/>
      <c r="H278" s="9"/>
    </row>
    <row r="279">
      <c r="A279" s="8"/>
      <c r="B279" s="9"/>
      <c r="C279" s="10"/>
      <c r="D279" s="9"/>
      <c r="E279" s="10"/>
      <c r="F279" s="9"/>
      <c r="G279" s="10"/>
      <c r="H279" s="9"/>
    </row>
    <row r="280">
      <c r="A280" s="8"/>
      <c r="B280" s="9"/>
      <c r="C280" s="10"/>
      <c r="D280" s="9"/>
      <c r="E280" s="10"/>
      <c r="F280" s="9"/>
      <c r="G280" s="10"/>
      <c r="H280" s="9"/>
    </row>
    <row r="281">
      <c r="A281" s="8"/>
      <c r="B281" s="9"/>
      <c r="C281" s="10"/>
      <c r="D281" s="9"/>
      <c r="E281" s="10"/>
      <c r="F281" s="9"/>
      <c r="G281" s="10"/>
      <c r="H281" s="9"/>
    </row>
    <row r="282">
      <c r="A282" s="8"/>
      <c r="B282" s="9"/>
      <c r="C282" s="10"/>
      <c r="D282" s="9"/>
      <c r="E282" s="10"/>
      <c r="F282" s="9"/>
      <c r="G282" s="10"/>
      <c r="H282" s="9"/>
    </row>
    <row r="283">
      <c r="A283" s="8"/>
      <c r="B283" s="9"/>
      <c r="C283" s="10"/>
      <c r="D283" s="9"/>
      <c r="E283" s="10"/>
      <c r="F283" s="9"/>
      <c r="G283" s="10"/>
      <c r="H283" s="9"/>
    </row>
    <row r="284">
      <c r="A284" s="8"/>
      <c r="B284" s="9"/>
      <c r="C284" s="10"/>
      <c r="D284" s="9"/>
      <c r="E284" s="10"/>
      <c r="F284" s="9"/>
      <c r="G284" s="10"/>
      <c r="H284" s="9"/>
    </row>
    <row r="285">
      <c r="A285" s="8"/>
      <c r="B285" s="9"/>
      <c r="C285" s="10"/>
      <c r="D285" s="9"/>
      <c r="E285" s="10"/>
      <c r="F285" s="9"/>
      <c r="G285" s="10"/>
      <c r="H285" s="9"/>
    </row>
    <row r="286">
      <c r="A286" s="8"/>
      <c r="B286" s="9"/>
      <c r="C286" s="10"/>
      <c r="D286" s="9"/>
      <c r="E286" s="10"/>
      <c r="F286" s="9"/>
      <c r="G286" s="10"/>
      <c r="H286" s="9"/>
    </row>
    <row r="287">
      <c r="A287" s="8"/>
      <c r="B287" s="9"/>
      <c r="C287" s="10"/>
      <c r="D287" s="9"/>
      <c r="E287" s="10"/>
      <c r="F287" s="9"/>
      <c r="G287" s="10"/>
      <c r="H287" s="9"/>
    </row>
    <row r="288">
      <c r="A288" s="8"/>
      <c r="B288" s="9"/>
      <c r="C288" s="10"/>
      <c r="D288" s="9"/>
      <c r="E288" s="10"/>
      <c r="F288" s="9"/>
      <c r="G288" s="10"/>
      <c r="H288" s="9"/>
    </row>
    <row r="289">
      <c r="A289" s="8"/>
      <c r="B289" s="9"/>
      <c r="C289" s="10"/>
      <c r="D289" s="9"/>
      <c r="E289" s="10"/>
      <c r="F289" s="9"/>
      <c r="G289" s="10"/>
      <c r="H289" s="9"/>
    </row>
    <row r="290">
      <c r="A290" s="8"/>
      <c r="B290" s="9"/>
      <c r="C290" s="10"/>
      <c r="D290" s="9"/>
      <c r="E290" s="10"/>
      <c r="F290" s="9"/>
      <c r="G290" s="10"/>
      <c r="H290" s="9"/>
    </row>
    <row r="291">
      <c r="A291" s="8"/>
      <c r="B291" s="9"/>
      <c r="C291" s="10"/>
      <c r="D291" s="9"/>
      <c r="E291" s="10"/>
      <c r="F291" s="9"/>
      <c r="G291" s="10"/>
      <c r="H291" s="9"/>
    </row>
    <row r="292">
      <c r="A292" s="8"/>
      <c r="B292" s="9"/>
      <c r="C292" s="10"/>
      <c r="D292" s="9"/>
      <c r="E292" s="10"/>
      <c r="F292" s="9"/>
      <c r="G292" s="10"/>
      <c r="H292" s="9"/>
    </row>
    <row r="293">
      <c r="A293" s="8"/>
      <c r="B293" s="9"/>
      <c r="C293" s="10"/>
      <c r="D293" s="9"/>
      <c r="E293" s="10"/>
      <c r="F293" s="9"/>
      <c r="G293" s="10"/>
      <c r="H293" s="9"/>
    </row>
    <row r="294">
      <c r="A294" s="8"/>
      <c r="B294" s="9"/>
      <c r="C294" s="10"/>
      <c r="D294" s="9"/>
      <c r="E294" s="10"/>
      <c r="F294" s="9"/>
      <c r="G294" s="10"/>
      <c r="H294" s="9"/>
    </row>
    <row r="295">
      <c r="A295" s="8"/>
      <c r="B295" s="9"/>
      <c r="C295" s="10"/>
      <c r="D295" s="9"/>
      <c r="E295" s="10"/>
      <c r="F295" s="9"/>
      <c r="G295" s="10"/>
      <c r="H295" s="9"/>
    </row>
    <row r="296">
      <c r="A296" s="8"/>
      <c r="B296" s="9"/>
      <c r="C296" s="10"/>
      <c r="D296" s="9"/>
      <c r="E296" s="10"/>
      <c r="F296" s="9"/>
      <c r="G296" s="10"/>
      <c r="H296" s="9"/>
    </row>
    <row r="297">
      <c r="A297" s="8"/>
      <c r="B297" s="9"/>
      <c r="C297" s="10"/>
      <c r="D297" s="9"/>
      <c r="E297" s="10"/>
      <c r="F297" s="9"/>
      <c r="G297" s="10"/>
      <c r="H297" s="9"/>
    </row>
    <row r="298">
      <c r="A298" s="8"/>
      <c r="B298" s="9"/>
      <c r="C298" s="10"/>
      <c r="D298" s="9"/>
      <c r="E298" s="10"/>
      <c r="F298" s="9"/>
      <c r="G298" s="10"/>
      <c r="H298" s="9"/>
    </row>
    <row r="299">
      <c r="A299" s="8"/>
      <c r="B299" s="9"/>
      <c r="C299" s="10"/>
      <c r="D299" s="9"/>
      <c r="E299" s="10"/>
      <c r="F299" s="9"/>
      <c r="G299" s="10"/>
      <c r="H299" s="9"/>
    </row>
    <row r="300">
      <c r="A300" s="8"/>
      <c r="B300" s="9"/>
      <c r="C300" s="10"/>
      <c r="D300" s="9"/>
      <c r="E300" s="10"/>
      <c r="F300" s="9"/>
      <c r="G300" s="10"/>
      <c r="H300" s="9"/>
    </row>
    <row r="301">
      <c r="A301" s="8"/>
      <c r="B301" s="9"/>
      <c r="C301" s="10"/>
      <c r="D301" s="9"/>
      <c r="E301" s="10"/>
      <c r="F301" s="9"/>
      <c r="G301" s="10"/>
      <c r="H301" s="9"/>
    </row>
    <row r="302">
      <c r="A302" s="8"/>
      <c r="B302" s="9"/>
      <c r="C302" s="10"/>
      <c r="D302" s="9"/>
      <c r="E302" s="10"/>
      <c r="F302" s="9"/>
      <c r="G302" s="10"/>
      <c r="H302" s="9"/>
    </row>
    <row r="303">
      <c r="A303" s="8"/>
      <c r="B303" s="9"/>
      <c r="C303" s="10"/>
      <c r="D303" s="9"/>
      <c r="E303" s="10"/>
      <c r="F303" s="9"/>
      <c r="G303" s="10"/>
      <c r="H303" s="9"/>
    </row>
    <row r="304">
      <c r="A304" s="8"/>
      <c r="B304" s="9"/>
      <c r="C304" s="10"/>
      <c r="D304" s="9"/>
      <c r="E304" s="10"/>
      <c r="F304" s="9"/>
      <c r="G304" s="10"/>
      <c r="H304" s="9"/>
    </row>
    <row r="305">
      <c r="A305" s="8"/>
      <c r="B305" s="9"/>
      <c r="C305" s="10"/>
      <c r="D305" s="9"/>
      <c r="E305" s="10"/>
      <c r="F305" s="9"/>
      <c r="G305" s="10"/>
      <c r="H305" s="9"/>
    </row>
    <row r="306">
      <c r="A306" s="8"/>
      <c r="B306" s="9"/>
      <c r="C306" s="10"/>
      <c r="D306" s="9"/>
      <c r="E306" s="10"/>
      <c r="F306" s="9"/>
      <c r="G306" s="10"/>
      <c r="H306" s="9"/>
    </row>
    <row r="307">
      <c r="A307" s="8"/>
      <c r="B307" s="9"/>
      <c r="C307" s="10"/>
      <c r="D307" s="9"/>
      <c r="E307" s="10"/>
      <c r="F307" s="9"/>
      <c r="G307" s="10"/>
      <c r="H307" s="9"/>
    </row>
    <row r="308">
      <c r="A308" s="8"/>
      <c r="B308" s="9"/>
      <c r="C308" s="10"/>
      <c r="D308" s="9"/>
      <c r="E308" s="10"/>
      <c r="F308" s="9"/>
      <c r="G308" s="10"/>
      <c r="H308" s="9"/>
    </row>
    <row r="309">
      <c r="A309" s="8"/>
      <c r="B309" s="9"/>
      <c r="C309" s="10"/>
      <c r="D309" s="9"/>
      <c r="E309" s="10"/>
      <c r="F309" s="9"/>
      <c r="G309" s="10"/>
      <c r="H309" s="9"/>
    </row>
    <row r="310">
      <c r="A310" s="8"/>
      <c r="B310" s="9"/>
      <c r="C310" s="10"/>
      <c r="D310" s="9"/>
      <c r="E310" s="10"/>
      <c r="F310" s="9"/>
      <c r="G310" s="10"/>
      <c r="H310" s="9"/>
    </row>
    <row r="311">
      <c r="A311" s="8"/>
      <c r="B311" s="9"/>
      <c r="C311" s="10"/>
      <c r="D311" s="9"/>
      <c r="E311" s="10"/>
      <c r="F311" s="9"/>
      <c r="G311" s="10"/>
      <c r="H311" s="9"/>
    </row>
    <row r="312">
      <c r="A312" s="8"/>
      <c r="B312" s="9"/>
      <c r="C312" s="10"/>
      <c r="D312" s="9"/>
      <c r="E312" s="10"/>
      <c r="F312" s="9"/>
      <c r="G312" s="10"/>
      <c r="H312" s="9"/>
    </row>
    <row r="313">
      <c r="A313" s="8"/>
      <c r="B313" s="9"/>
      <c r="C313" s="10"/>
      <c r="D313" s="9"/>
      <c r="E313" s="10"/>
      <c r="F313" s="9"/>
      <c r="G313" s="10"/>
      <c r="H313" s="9"/>
    </row>
    <row r="314">
      <c r="A314" s="8"/>
      <c r="B314" s="9"/>
      <c r="C314" s="10"/>
      <c r="D314" s="9"/>
      <c r="E314" s="10"/>
      <c r="F314" s="9"/>
      <c r="G314" s="10"/>
      <c r="H314" s="9"/>
    </row>
    <row r="315">
      <c r="A315" s="8"/>
      <c r="B315" s="9"/>
      <c r="C315" s="10"/>
      <c r="D315" s="9"/>
      <c r="E315" s="10"/>
      <c r="F315" s="9"/>
      <c r="G315" s="10"/>
      <c r="H315" s="9"/>
    </row>
    <row r="316">
      <c r="A316" s="8"/>
      <c r="B316" s="9"/>
      <c r="C316" s="10"/>
      <c r="D316" s="9"/>
      <c r="E316" s="10"/>
      <c r="F316" s="9"/>
      <c r="G316" s="10"/>
      <c r="H316" s="9"/>
    </row>
    <row r="317">
      <c r="A317" s="8"/>
      <c r="B317" s="9"/>
      <c r="C317" s="10"/>
      <c r="D317" s="9"/>
      <c r="E317" s="10"/>
      <c r="F317" s="9"/>
      <c r="G317" s="10"/>
      <c r="H317" s="9"/>
    </row>
    <row r="318">
      <c r="A318" s="8"/>
      <c r="B318" s="9"/>
      <c r="C318" s="10"/>
      <c r="D318" s="9"/>
      <c r="E318" s="10"/>
      <c r="F318" s="9"/>
      <c r="G318" s="10"/>
      <c r="H318" s="9"/>
    </row>
    <row r="319">
      <c r="A319" s="8"/>
      <c r="B319" s="9"/>
      <c r="C319" s="10"/>
      <c r="D319" s="9"/>
      <c r="E319" s="10"/>
      <c r="F319" s="9"/>
      <c r="G319" s="10"/>
      <c r="H319" s="9"/>
    </row>
    <row r="320">
      <c r="A320" s="8"/>
      <c r="B320" s="9"/>
      <c r="C320" s="10"/>
      <c r="D320" s="9"/>
      <c r="E320" s="10"/>
      <c r="F320" s="9"/>
      <c r="G320" s="10"/>
      <c r="H320" s="9"/>
    </row>
    <row r="321">
      <c r="A321" s="8"/>
      <c r="B321" s="9"/>
      <c r="C321" s="10"/>
      <c r="D321" s="9"/>
      <c r="E321" s="10"/>
      <c r="F321" s="9"/>
      <c r="G321" s="10"/>
      <c r="H321" s="9"/>
    </row>
    <row r="322">
      <c r="A322" s="8"/>
      <c r="B322" s="9"/>
      <c r="C322" s="10"/>
      <c r="D322" s="9"/>
      <c r="E322" s="10"/>
      <c r="F322" s="9"/>
      <c r="G322" s="10"/>
      <c r="H322" s="9"/>
    </row>
    <row r="323">
      <c r="A323" s="8"/>
      <c r="B323" s="9"/>
      <c r="C323" s="10"/>
      <c r="D323" s="9"/>
      <c r="E323" s="10"/>
      <c r="F323" s="9"/>
      <c r="G323" s="10"/>
      <c r="H323" s="9"/>
    </row>
    <row r="324">
      <c r="A324" s="8"/>
      <c r="B324" s="9"/>
      <c r="C324" s="10"/>
      <c r="D324" s="9"/>
      <c r="E324" s="10"/>
      <c r="F324" s="9"/>
      <c r="G324" s="10"/>
      <c r="H324" s="9"/>
    </row>
    <row r="325">
      <c r="A325" s="8"/>
      <c r="B325" s="9"/>
      <c r="C325" s="10"/>
      <c r="D325" s="9"/>
      <c r="E325" s="10"/>
      <c r="F325" s="9"/>
      <c r="G325" s="10"/>
      <c r="H325" s="9"/>
    </row>
    <row r="326">
      <c r="A326" s="8"/>
      <c r="B326" s="9"/>
      <c r="C326" s="10"/>
      <c r="D326" s="9"/>
      <c r="E326" s="10"/>
      <c r="F326" s="9"/>
      <c r="G326" s="10"/>
      <c r="H326" s="9"/>
    </row>
    <row r="327">
      <c r="A327" s="8"/>
      <c r="B327" s="9"/>
      <c r="C327" s="10"/>
      <c r="D327" s="9"/>
      <c r="E327" s="10"/>
      <c r="F327" s="9"/>
      <c r="G327" s="10"/>
      <c r="H327" s="9"/>
    </row>
    <row r="328">
      <c r="A328" s="8"/>
      <c r="B328" s="9"/>
      <c r="C328" s="10"/>
      <c r="D328" s="9"/>
      <c r="E328" s="10"/>
      <c r="F328" s="9"/>
      <c r="G328" s="10"/>
      <c r="H328" s="9"/>
    </row>
    <row r="329">
      <c r="A329" s="8"/>
      <c r="B329" s="9"/>
      <c r="C329" s="10"/>
      <c r="D329" s="9"/>
      <c r="E329" s="10"/>
      <c r="F329" s="9"/>
      <c r="G329" s="10"/>
      <c r="H329" s="9"/>
    </row>
    <row r="330">
      <c r="A330" s="8"/>
      <c r="B330" s="9"/>
      <c r="C330" s="10"/>
      <c r="D330" s="9"/>
      <c r="E330" s="10"/>
      <c r="F330" s="9"/>
      <c r="G330" s="10"/>
      <c r="H330" s="9"/>
    </row>
    <row r="331">
      <c r="A331" s="8"/>
      <c r="B331" s="9"/>
      <c r="C331" s="10"/>
      <c r="D331" s="9"/>
      <c r="E331" s="10"/>
      <c r="F331" s="9"/>
      <c r="G331" s="10"/>
      <c r="H331" s="9"/>
    </row>
    <row r="332">
      <c r="A332" s="8"/>
      <c r="B332" s="9"/>
      <c r="C332" s="10"/>
      <c r="D332" s="9"/>
      <c r="E332" s="10"/>
      <c r="F332" s="9"/>
      <c r="G332" s="10"/>
      <c r="H332" s="9"/>
    </row>
    <row r="333">
      <c r="A333" s="8"/>
      <c r="B333" s="9"/>
      <c r="C333" s="10"/>
      <c r="D333" s="9"/>
      <c r="E333" s="10"/>
      <c r="F333" s="9"/>
      <c r="G333" s="10"/>
      <c r="H333" s="9"/>
    </row>
    <row r="334">
      <c r="A334" s="8"/>
      <c r="B334" s="9"/>
      <c r="C334" s="10"/>
      <c r="D334" s="9"/>
      <c r="E334" s="10"/>
      <c r="F334" s="9"/>
      <c r="G334" s="10"/>
      <c r="H334" s="9"/>
    </row>
    <row r="335">
      <c r="A335" s="8"/>
      <c r="B335" s="9"/>
      <c r="C335" s="10"/>
      <c r="D335" s="9"/>
      <c r="E335" s="10"/>
      <c r="F335" s="9"/>
      <c r="G335" s="10"/>
      <c r="H335" s="9"/>
    </row>
    <row r="336">
      <c r="A336" s="8"/>
      <c r="B336" s="9"/>
      <c r="C336" s="10"/>
      <c r="D336" s="9"/>
      <c r="E336" s="10"/>
      <c r="F336" s="9"/>
      <c r="G336" s="10"/>
      <c r="H336" s="9"/>
    </row>
    <row r="337">
      <c r="A337" s="8"/>
      <c r="B337" s="9"/>
      <c r="C337" s="10"/>
      <c r="D337" s="9"/>
      <c r="E337" s="10"/>
      <c r="F337" s="9"/>
      <c r="G337" s="10"/>
      <c r="H337" s="9"/>
    </row>
    <row r="338">
      <c r="A338" s="8"/>
      <c r="B338" s="9"/>
      <c r="C338" s="10"/>
      <c r="D338" s="9"/>
      <c r="E338" s="10"/>
      <c r="F338" s="9"/>
      <c r="G338" s="10"/>
      <c r="H338" s="9"/>
    </row>
    <row r="339">
      <c r="A339" s="8"/>
      <c r="B339" s="9"/>
      <c r="C339" s="10"/>
      <c r="D339" s="9"/>
      <c r="E339" s="10"/>
      <c r="F339" s="9"/>
      <c r="G339" s="10"/>
      <c r="H339" s="9"/>
    </row>
    <row r="340">
      <c r="A340" s="8"/>
      <c r="B340" s="9"/>
      <c r="C340" s="10"/>
      <c r="D340" s="9"/>
      <c r="E340" s="10"/>
      <c r="F340" s="9"/>
      <c r="G340" s="10"/>
      <c r="H340" s="9"/>
    </row>
    <row r="341">
      <c r="A341" s="8"/>
      <c r="B341" s="9"/>
      <c r="C341" s="10"/>
      <c r="D341" s="9"/>
      <c r="E341" s="10"/>
      <c r="F341" s="9"/>
      <c r="G341" s="10"/>
      <c r="H341" s="9"/>
    </row>
    <row r="342">
      <c r="A342" s="8"/>
      <c r="B342" s="9"/>
      <c r="C342" s="10"/>
      <c r="D342" s="9"/>
      <c r="E342" s="10"/>
      <c r="F342" s="9"/>
      <c r="G342" s="10"/>
      <c r="H342" s="9"/>
    </row>
    <row r="343">
      <c r="A343" s="8"/>
      <c r="B343" s="9"/>
      <c r="C343" s="10"/>
      <c r="D343" s="9"/>
      <c r="E343" s="10"/>
      <c r="F343" s="9"/>
      <c r="G343" s="10"/>
      <c r="H343" s="9"/>
    </row>
    <row r="344">
      <c r="A344" s="8"/>
      <c r="B344" s="9"/>
      <c r="C344" s="10"/>
      <c r="D344" s="9"/>
      <c r="E344" s="10"/>
      <c r="F344" s="9"/>
      <c r="G344" s="10"/>
      <c r="H344" s="9"/>
    </row>
    <row r="345">
      <c r="A345" s="8"/>
      <c r="B345" s="9"/>
      <c r="C345" s="10"/>
      <c r="D345" s="9"/>
      <c r="E345" s="10"/>
      <c r="F345" s="9"/>
      <c r="G345" s="10"/>
      <c r="H345" s="9"/>
    </row>
    <row r="346">
      <c r="A346" s="8"/>
      <c r="B346" s="9"/>
      <c r="C346" s="10"/>
      <c r="D346" s="9"/>
      <c r="E346" s="10"/>
      <c r="F346" s="9"/>
      <c r="G346" s="10"/>
      <c r="H346" s="9"/>
    </row>
    <row r="347">
      <c r="A347" s="8"/>
      <c r="B347" s="9"/>
      <c r="C347" s="10"/>
      <c r="D347" s="9"/>
      <c r="E347" s="10"/>
      <c r="F347" s="9"/>
      <c r="G347" s="10"/>
      <c r="H347" s="9"/>
    </row>
    <row r="348">
      <c r="A348" s="8"/>
      <c r="B348" s="9"/>
      <c r="C348" s="10"/>
      <c r="D348" s="9"/>
      <c r="E348" s="10"/>
      <c r="F348" s="9"/>
      <c r="G348" s="10"/>
      <c r="H348" s="9"/>
    </row>
    <row r="349">
      <c r="A349" s="8"/>
      <c r="B349" s="9"/>
      <c r="C349" s="10"/>
      <c r="D349" s="9"/>
      <c r="E349" s="10"/>
      <c r="F349" s="9"/>
      <c r="G349" s="10"/>
      <c r="H349" s="9"/>
    </row>
    <row r="350">
      <c r="A350" s="8"/>
      <c r="B350" s="9"/>
      <c r="C350" s="10"/>
      <c r="D350" s="9"/>
      <c r="E350" s="10"/>
      <c r="F350" s="9"/>
      <c r="G350" s="10"/>
      <c r="H350" s="9"/>
    </row>
    <row r="351">
      <c r="A351" s="8"/>
      <c r="B351" s="9"/>
      <c r="C351" s="10"/>
      <c r="D351" s="9"/>
      <c r="E351" s="10"/>
      <c r="F351" s="9"/>
      <c r="G351" s="10"/>
      <c r="H351" s="9"/>
    </row>
    <row r="352">
      <c r="A352" s="8"/>
      <c r="B352" s="9"/>
      <c r="C352" s="10"/>
      <c r="D352" s="9"/>
      <c r="E352" s="10"/>
      <c r="F352" s="9"/>
      <c r="G352" s="10"/>
      <c r="H352" s="9"/>
    </row>
    <row r="353">
      <c r="A353" s="8"/>
      <c r="B353" s="9"/>
      <c r="C353" s="10"/>
      <c r="D353" s="9"/>
      <c r="E353" s="10"/>
      <c r="F353" s="9"/>
      <c r="G353" s="10"/>
      <c r="H353" s="9"/>
    </row>
    <row r="354">
      <c r="A354" s="8"/>
      <c r="B354" s="9"/>
      <c r="C354" s="10"/>
      <c r="D354" s="9"/>
      <c r="E354" s="10"/>
      <c r="F354" s="9"/>
      <c r="G354" s="10"/>
      <c r="H354" s="9"/>
    </row>
    <row r="355">
      <c r="A355" s="8"/>
      <c r="B355" s="9"/>
      <c r="C355" s="10"/>
      <c r="D355" s="9"/>
      <c r="E355" s="10"/>
      <c r="F355" s="9"/>
      <c r="G355" s="10"/>
      <c r="H355" s="9"/>
    </row>
    <row r="356">
      <c r="A356" s="8"/>
      <c r="B356" s="9"/>
      <c r="C356" s="10"/>
      <c r="D356" s="9"/>
      <c r="E356" s="10"/>
      <c r="F356" s="9"/>
      <c r="G356" s="10"/>
      <c r="H356" s="9"/>
    </row>
    <row r="357">
      <c r="A357" s="8"/>
      <c r="B357" s="9"/>
      <c r="C357" s="10"/>
      <c r="D357" s="9"/>
      <c r="E357" s="10"/>
      <c r="F357" s="9"/>
      <c r="G357" s="10"/>
      <c r="H357" s="9"/>
    </row>
    <row r="358">
      <c r="A358" s="8"/>
      <c r="B358" s="9"/>
      <c r="C358" s="10"/>
      <c r="D358" s="9"/>
      <c r="E358" s="10"/>
      <c r="F358" s="9"/>
      <c r="G358" s="10"/>
      <c r="H358" s="9"/>
    </row>
    <row r="359">
      <c r="A359" s="8"/>
      <c r="B359" s="9"/>
      <c r="C359" s="10"/>
      <c r="D359" s="9"/>
      <c r="E359" s="10"/>
      <c r="F359" s="9"/>
      <c r="G359" s="10"/>
      <c r="H359" s="9"/>
    </row>
    <row r="360">
      <c r="A360" s="8"/>
      <c r="B360" s="9"/>
      <c r="C360" s="10"/>
      <c r="D360" s="9"/>
      <c r="E360" s="10"/>
      <c r="F360" s="9"/>
      <c r="G360" s="10"/>
      <c r="H360" s="9"/>
    </row>
    <row r="361">
      <c r="A361" s="8"/>
      <c r="B361" s="9"/>
      <c r="C361" s="10"/>
      <c r="D361" s="9"/>
      <c r="E361" s="10"/>
      <c r="F361" s="9"/>
      <c r="G361" s="10"/>
      <c r="H361" s="9"/>
    </row>
    <row r="362">
      <c r="A362" s="8"/>
      <c r="B362" s="9"/>
      <c r="C362" s="10"/>
      <c r="D362" s="9"/>
      <c r="E362" s="10"/>
      <c r="F362" s="9"/>
      <c r="G362" s="10"/>
      <c r="H362" s="9"/>
    </row>
    <row r="363">
      <c r="A363" s="8"/>
      <c r="B363" s="9"/>
      <c r="C363" s="10"/>
      <c r="D363" s="9"/>
      <c r="E363" s="10"/>
      <c r="F363" s="9"/>
      <c r="G363" s="10"/>
      <c r="H363" s="9"/>
    </row>
    <row r="364">
      <c r="A364" s="8"/>
      <c r="B364" s="9"/>
      <c r="C364" s="10"/>
      <c r="D364" s="9"/>
      <c r="E364" s="10"/>
      <c r="F364" s="9"/>
      <c r="G364" s="10"/>
      <c r="H364" s="9"/>
    </row>
    <row r="365">
      <c r="A365" s="8"/>
      <c r="B365" s="9"/>
      <c r="C365" s="10"/>
      <c r="D365" s="9"/>
      <c r="E365" s="10"/>
      <c r="F365" s="9"/>
      <c r="G365" s="10"/>
      <c r="H365" s="9"/>
    </row>
    <row r="366">
      <c r="A366" s="8"/>
      <c r="B366" s="9"/>
      <c r="C366" s="10"/>
      <c r="D366" s="9"/>
      <c r="E366" s="10"/>
      <c r="F366" s="9"/>
      <c r="G366" s="10"/>
      <c r="H366" s="9"/>
    </row>
    <row r="367">
      <c r="A367" s="8"/>
      <c r="B367" s="9"/>
      <c r="C367" s="10"/>
      <c r="D367" s="9"/>
      <c r="E367" s="10"/>
      <c r="F367" s="9"/>
      <c r="G367" s="10"/>
      <c r="H367" s="9"/>
    </row>
    <row r="368">
      <c r="A368" s="8"/>
      <c r="B368" s="9"/>
      <c r="C368" s="10"/>
      <c r="D368" s="9"/>
      <c r="E368" s="10"/>
      <c r="F368" s="9"/>
      <c r="G368" s="10"/>
      <c r="H368" s="9"/>
    </row>
    <row r="369">
      <c r="A369" s="8"/>
      <c r="B369" s="9"/>
      <c r="C369" s="10"/>
      <c r="D369" s="9"/>
      <c r="E369" s="10"/>
      <c r="F369" s="9"/>
      <c r="G369" s="10"/>
      <c r="H369" s="9"/>
    </row>
    <row r="370">
      <c r="A370" s="8"/>
      <c r="B370" s="9"/>
      <c r="C370" s="10"/>
      <c r="D370" s="9"/>
      <c r="E370" s="10"/>
      <c r="F370" s="9"/>
      <c r="G370" s="10"/>
      <c r="H370" s="9"/>
    </row>
    <row r="371">
      <c r="A371" s="8"/>
      <c r="B371" s="9"/>
      <c r="C371" s="10"/>
      <c r="D371" s="9"/>
      <c r="E371" s="10"/>
      <c r="F371" s="9"/>
      <c r="G371" s="10"/>
      <c r="H371" s="9"/>
    </row>
    <row r="372">
      <c r="A372" s="8"/>
      <c r="B372" s="9"/>
      <c r="C372" s="10"/>
      <c r="D372" s="9"/>
      <c r="E372" s="10"/>
      <c r="F372" s="9"/>
      <c r="G372" s="10"/>
      <c r="H372" s="9"/>
    </row>
    <row r="373">
      <c r="A373" s="8"/>
      <c r="B373" s="9"/>
      <c r="C373" s="10"/>
      <c r="D373" s="9"/>
      <c r="E373" s="10"/>
      <c r="F373" s="9"/>
      <c r="G373" s="10"/>
      <c r="H373" s="9"/>
    </row>
    <row r="374">
      <c r="A374" s="8"/>
      <c r="B374" s="9"/>
      <c r="C374" s="10"/>
      <c r="D374" s="9"/>
      <c r="E374" s="10"/>
      <c r="F374" s="9"/>
      <c r="G374" s="10"/>
      <c r="H374" s="9"/>
    </row>
    <row r="375">
      <c r="A375" s="8"/>
      <c r="B375" s="9"/>
      <c r="C375" s="10"/>
      <c r="D375" s="9"/>
      <c r="E375" s="10"/>
      <c r="F375" s="9"/>
      <c r="G375" s="10"/>
      <c r="H375" s="9"/>
    </row>
    <row r="376">
      <c r="A376" s="8"/>
      <c r="B376" s="9"/>
      <c r="C376" s="10"/>
      <c r="D376" s="9"/>
      <c r="E376" s="10"/>
      <c r="F376" s="9"/>
      <c r="G376" s="10"/>
      <c r="H376" s="9"/>
    </row>
    <row r="377">
      <c r="A377" s="8"/>
      <c r="B377" s="9"/>
      <c r="C377" s="10"/>
      <c r="D377" s="9"/>
      <c r="E377" s="10"/>
      <c r="F377" s="9"/>
      <c r="G377" s="10"/>
      <c r="H377" s="9"/>
    </row>
    <row r="378">
      <c r="A378" s="8"/>
      <c r="B378" s="9"/>
      <c r="C378" s="10"/>
      <c r="D378" s="9"/>
      <c r="E378" s="10"/>
      <c r="F378" s="9"/>
      <c r="G378" s="10"/>
      <c r="H378" s="9"/>
    </row>
    <row r="379">
      <c r="A379" s="8"/>
      <c r="B379" s="9"/>
      <c r="C379" s="10"/>
      <c r="D379" s="9"/>
      <c r="E379" s="10"/>
      <c r="F379" s="9"/>
      <c r="G379" s="10"/>
      <c r="H379" s="9"/>
    </row>
    <row r="380">
      <c r="A380" s="8"/>
      <c r="B380" s="9"/>
      <c r="C380" s="10"/>
      <c r="D380" s="9"/>
      <c r="E380" s="10"/>
      <c r="F380" s="9"/>
      <c r="G380" s="10"/>
      <c r="H380" s="9"/>
    </row>
    <row r="381">
      <c r="A381" s="8"/>
      <c r="B381" s="9"/>
      <c r="C381" s="10"/>
      <c r="D381" s="9"/>
      <c r="E381" s="10"/>
      <c r="F381" s="9"/>
      <c r="G381" s="10"/>
      <c r="H381" s="9"/>
    </row>
    <row r="382">
      <c r="A382" s="8"/>
      <c r="B382" s="9"/>
      <c r="C382" s="10"/>
      <c r="D382" s="9"/>
      <c r="E382" s="10"/>
      <c r="F382" s="9"/>
      <c r="G382" s="10"/>
      <c r="H382" s="9"/>
    </row>
    <row r="383">
      <c r="A383" s="8"/>
      <c r="B383" s="9"/>
      <c r="C383" s="10"/>
      <c r="D383" s="9"/>
      <c r="E383" s="10"/>
      <c r="F383" s="9"/>
      <c r="G383" s="10"/>
      <c r="H383" s="9"/>
    </row>
    <row r="384">
      <c r="A384" s="8"/>
      <c r="B384" s="9"/>
      <c r="C384" s="10"/>
      <c r="D384" s="9"/>
      <c r="E384" s="10"/>
      <c r="F384" s="9"/>
      <c r="G384" s="10"/>
      <c r="H384" s="9"/>
    </row>
    <row r="385">
      <c r="A385" s="8"/>
      <c r="B385" s="9"/>
      <c r="C385" s="10"/>
      <c r="D385" s="9"/>
      <c r="E385" s="10"/>
      <c r="F385" s="9"/>
      <c r="G385" s="10"/>
      <c r="H385" s="9"/>
    </row>
    <row r="386">
      <c r="A386" s="8"/>
      <c r="B386" s="9"/>
      <c r="C386" s="10"/>
      <c r="D386" s="9"/>
      <c r="E386" s="10"/>
      <c r="F386" s="9"/>
      <c r="G386" s="10"/>
      <c r="H386" s="9"/>
    </row>
    <row r="387">
      <c r="A387" s="8"/>
      <c r="B387" s="9"/>
      <c r="C387" s="10"/>
      <c r="D387" s="9"/>
      <c r="E387" s="10"/>
      <c r="F387" s="9"/>
      <c r="G387" s="10"/>
      <c r="H387" s="9"/>
    </row>
    <row r="388">
      <c r="A388" s="8"/>
      <c r="B388" s="9"/>
      <c r="C388" s="10"/>
      <c r="D388" s="9"/>
      <c r="E388" s="10"/>
      <c r="F388" s="9"/>
      <c r="G388" s="10"/>
      <c r="H388" s="9"/>
    </row>
    <row r="389">
      <c r="A389" s="8"/>
      <c r="B389" s="9"/>
      <c r="C389" s="10"/>
      <c r="D389" s="9"/>
      <c r="E389" s="10"/>
      <c r="F389" s="9"/>
      <c r="G389" s="10"/>
      <c r="H389" s="9"/>
    </row>
    <row r="390">
      <c r="A390" s="8"/>
      <c r="B390" s="9"/>
      <c r="C390" s="10"/>
      <c r="D390" s="9"/>
      <c r="E390" s="10"/>
      <c r="F390" s="9"/>
      <c r="G390" s="10"/>
      <c r="H390" s="9"/>
    </row>
    <row r="391">
      <c r="A391" s="8"/>
      <c r="B391" s="9"/>
      <c r="C391" s="10"/>
      <c r="D391" s="9"/>
      <c r="E391" s="10"/>
      <c r="F391" s="9"/>
      <c r="G391" s="10"/>
      <c r="H391" s="9"/>
    </row>
    <row r="392">
      <c r="A392" s="8"/>
      <c r="B392" s="9"/>
      <c r="C392" s="10"/>
      <c r="D392" s="9"/>
      <c r="E392" s="10"/>
      <c r="F392" s="9"/>
      <c r="G392" s="10"/>
      <c r="H392" s="9"/>
    </row>
    <row r="393">
      <c r="A393" s="8"/>
      <c r="B393" s="9"/>
      <c r="C393" s="10"/>
      <c r="D393" s="9"/>
      <c r="E393" s="10"/>
      <c r="F393" s="9"/>
      <c r="G393" s="10"/>
      <c r="H393" s="9"/>
    </row>
    <row r="394">
      <c r="A394" s="8"/>
      <c r="B394" s="9"/>
      <c r="C394" s="10"/>
      <c r="D394" s="9"/>
      <c r="E394" s="10"/>
      <c r="F394" s="9"/>
      <c r="G394" s="10"/>
      <c r="H394" s="9"/>
    </row>
    <row r="395">
      <c r="A395" s="8"/>
      <c r="B395" s="9"/>
      <c r="C395" s="10"/>
      <c r="D395" s="9"/>
      <c r="E395" s="10"/>
      <c r="F395" s="9"/>
      <c r="G395" s="10"/>
      <c r="H395" s="9"/>
    </row>
    <row r="396">
      <c r="A396" s="8"/>
      <c r="B396" s="9"/>
      <c r="C396" s="10"/>
      <c r="D396" s="9"/>
      <c r="E396" s="10"/>
      <c r="F396" s="9"/>
      <c r="G396" s="10"/>
      <c r="H396" s="9"/>
    </row>
    <row r="397">
      <c r="A397" s="8"/>
      <c r="B397" s="9"/>
      <c r="C397" s="10"/>
      <c r="D397" s="9"/>
      <c r="E397" s="10"/>
      <c r="F397" s="9"/>
      <c r="G397" s="10"/>
      <c r="H397" s="9"/>
    </row>
    <row r="398">
      <c r="A398" s="8"/>
      <c r="B398" s="9"/>
      <c r="C398" s="10"/>
      <c r="D398" s="9"/>
      <c r="E398" s="10"/>
      <c r="F398" s="9"/>
      <c r="G398" s="10"/>
      <c r="H398" s="9"/>
    </row>
    <row r="399">
      <c r="A399" s="8"/>
      <c r="B399" s="9"/>
      <c r="C399" s="10"/>
      <c r="D399" s="9"/>
      <c r="E399" s="10"/>
      <c r="F399" s="9"/>
      <c r="G399" s="10"/>
      <c r="H399" s="9"/>
    </row>
    <row r="400">
      <c r="A400" s="8"/>
      <c r="B400" s="9"/>
      <c r="C400" s="10"/>
      <c r="D400" s="9"/>
      <c r="E400" s="10"/>
      <c r="F400" s="9"/>
      <c r="G400" s="10"/>
      <c r="H400" s="9"/>
    </row>
    <row r="401">
      <c r="A401" s="8"/>
      <c r="B401" s="9"/>
      <c r="C401" s="10"/>
      <c r="D401" s="9"/>
      <c r="E401" s="10"/>
      <c r="F401" s="9"/>
      <c r="G401" s="10"/>
      <c r="H401" s="9"/>
    </row>
    <row r="402">
      <c r="A402" s="8"/>
      <c r="B402" s="9"/>
      <c r="C402" s="10"/>
      <c r="D402" s="9"/>
      <c r="E402" s="10"/>
      <c r="F402" s="9"/>
      <c r="G402" s="10"/>
      <c r="H402" s="9"/>
    </row>
    <row r="403">
      <c r="A403" s="8"/>
      <c r="B403" s="9"/>
      <c r="C403" s="10"/>
      <c r="D403" s="9"/>
      <c r="E403" s="10"/>
      <c r="F403" s="9"/>
      <c r="G403" s="10"/>
      <c r="H403" s="9"/>
    </row>
    <row r="404">
      <c r="A404" s="8"/>
      <c r="B404" s="9"/>
      <c r="C404" s="10"/>
      <c r="D404" s="9"/>
      <c r="E404" s="10"/>
      <c r="F404" s="9"/>
      <c r="G404" s="10"/>
      <c r="H404" s="9"/>
    </row>
    <row r="405">
      <c r="A405" s="8"/>
      <c r="B405" s="9"/>
      <c r="C405" s="10"/>
      <c r="D405" s="9"/>
      <c r="E405" s="10"/>
      <c r="F405" s="9"/>
      <c r="G405" s="10"/>
      <c r="H405" s="9"/>
    </row>
    <row r="406">
      <c r="A406" s="8"/>
      <c r="B406" s="9"/>
      <c r="C406" s="10"/>
      <c r="D406" s="9"/>
      <c r="E406" s="10"/>
      <c r="F406" s="9"/>
      <c r="G406" s="10"/>
      <c r="H406" s="9"/>
    </row>
    <row r="407">
      <c r="A407" s="8"/>
      <c r="B407" s="9"/>
      <c r="C407" s="10"/>
      <c r="D407" s="9"/>
      <c r="E407" s="10"/>
      <c r="F407" s="9"/>
      <c r="G407" s="10"/>
      <c r="H407" s="9"/>
    </row>
    <row r="408">
      <c r="A408" s="8"/>
      <c r="B408" s="9"/>
      <c r="C408" s="10"/>
      <c r="D408" s="9"/>
      <c r="E408" s="10"/>
      <c r="F408" s="9"/>
      <c r="G408" s="10"/>
      <c r="H408" s="9"/>
    </row>
    <row r="409">
      <c r="A409" s="8"/>
      <c r="B409" s="9"/>
      <c r="C409" s="10"/>
      <c r="D409" s="9"/>
      <c r="E409" s="10"/>
      <c r="F409" s="9"/>
      <c r="G409" s="10"/>
      <c r="H409" s="9"/>
    </row>
    <row r="410">
      <c r="A410" s="8"/>
      <c r="B410" s="9"/>
      <c r="C410" s="10"/>
      <c r="D410" s="9"/>
      <c r="E410" s="10"/>
      <c r="F410" s="9"/>
      <c r="G410" s="10"/>
      <c r="H410" s="9"/>
    </row>
    <row r="411">
      <c r="A411" s="8"/>
      <c r="B411" s="9"/>
      <c r="C411" s="10"/>
      <c r="D411" s="9"/>
      <c r="E411" s="10"/>
      <c r="F411" s="9"/>
      <c r="G411" s="10"/>
      <c r="H411" s="9"/>
    </row>
    <row r="412">
      <c r="A412" s="8"/>
      <c r="B412" s="9"/>
      <c r="C412" s="10"/>
      <c r="D412" s="9"/>
      <c r="E412" s="10"/>
      <c r="F412" s="9"/>
      <c r="G412" s="10"/>
      <c r="H412" s="9"/>
    </row>
    <row r="413">
      <c r="A413" s="8"/>
      <c r="B413" s="9"/>
      <c r="C413" s="10"/>
      <c r="D413" s="9"/>
      <c r="E413" s="10"/>
      <c r="F413" s="9"/>
      <c r="G413" s="10"/>
      <c r="H413" s="9"/>
    </row>
    <row r="414">
      <c r="A414" s="8"/>
      <c r="B414" s="9"/>
      <c r="C414" s="10"/>
      <c r="D414" s="9"/>
      <c r="E414" s="10"/>
      <c r="F414" s="9"/>
      <c r="G414" s="10"/>
      <c r="H414" s="9"/>
    </row>
    <row r="415">
      <c r="A415" s="8"/>
      <c r="B415" s="9"/>
      <c r="C415" s="10"/>
      <c r="D415" s="9"/>
      <c r="E415" s="10"/>
      <c r="F415" s="9"/>
      <c r="G415" s="10"/>
      <c r="H415" s="9"/>
    </row>
    <row r="416">
      <c r="A416" s="8"/>
      <c r="B416" s="9"/>
      <c r="C416" s="10"/>
      <c r="D416" s="9"/>
      <c r="E416" s="10"/>
      <c r="F416" s="9"/>
      <c r="G416" s="10"/>
      <c r="H416" s="9"/>
    </row>
    <row r="417">
      <c r="A417" s="8"/>
      <c r="B417" s="9"/>
      <c r="C417" s="10"/>
      <c r="D417" s="9"/>
      <c r="E417" s="10"/>
      <c r="F417" s="9"/>
      <c r="G417" s="10"/>
      <c r="H417" s="9"/>
    </row>
    <row r="418">
      <c r="A418" s="8"/>
      <c r="B418" s="9"/>
      <c r="C418" s="10"/>
      <c r="D418" s="9"/>
      <c r="E418" s="10"/>
      <c r="F418" s="9"/>
      <c r="G418" s="10"/>
      <c r="H418" s="9"/>
    </row>
    <row r="419">
      <c r="A419" s="8"/>
      <c r="B419" s="9"/>
      <c r="C419" s="10"/>
      <c r="D419" s="9"/>
      <c r="E419" s="10"/>
      <c r="F419" s="9"/>
      <c r="G419" s="10"/>
      <c r="H419" s="9"/>
    </row>
    <row r="420">
      <c r="A420" s="8"/>
      <c r="B420" s="9"/>
      <c r="C420" s="10"/>
      <c r="D420" s="9"/>
      <c r="E420" s="10"/>
      <c r="F420" s="9"/>
      <c r="G420" s="10"/>
      <c r="H420" s="9"/>
    </row>
    <row r="421">
      <c r="A421" s="8"/>
      <c r="B421" s="9"/>
      <c r="C421" s="10"/>
      <c r="D421" s="9"/>
      <c r="E421" s="10"/>
      <c r="F421" s="9"/>
      <c r="G421" s="10"/>
      <c r="H421" s="9"/>
    </row>
    <row r="422">
      <c r="A422" s="8"/>
      <c r="B422" s="9"/>
      <c r="C422" s="10"/>
      <c r="D422" s="9"/>
      <c r="E422" s="10"/>
      <c r="F422" s="9"/>
      <c r="G422" s="10"/>
      <c r="H422" s="9"/>
    </row>
    <row r="423">
      <c r="A423" s="8"/>
      <c r="B423" s="9"/>
      <c r="C423" s="10"/>
      <c r="D423" s="9"/>
      <c r="E423" s="10"/>
      <c r="F423" s="9"/>
      <c r="G423" s="10"/>
      <c r="H423" s="9"/>
    </row>
    <row r="424">
      <c r="A424" s="8"/>
      <c r="B424" s="9"/>
      <c r="C424" s="10"/>
      <c r="D424" s="9"/>
      <c r="E424" s="10"/>
      <c r="F424" s="9"/>
      <c r="G424" s="10"/>
      <c r="H424" s="9"/>
    </row>
    <row r="425">
      <c r="A425" s="8"/>
      <c r="B425" s="9"/>
      <c r="C425" s="10"/>
      <c r="D425" s="9"/>
      <c r="E425" s="10"/>
      <c r="F425" s="9"/>
      <c r="G425" s="10"/>
      <c r="H425" s="9"/>
    </row>
    <row r="426">
      <c r="A426" s="8"/>
      <c r="B426" s="9"/>
      <c r="C426" s="10"/>
      <c r="D426" s="9"/>
      <c r="E426" s="10"/>
      <c r="F426" s="9"/>
      <c r="G426" s="10"/>
      <c r="H426" s="9"/>
    </row>
    <row r="427">
      <c r="A427" s="8"/>
      <c r="B427" s="9"/>
      <c r="C427" s="10"/>
      <c r="D427" s="9"/>
      <c r="E427" s="10"/>
      <c r="F427" s="9"/>
      <c r="G427" s="10"/>
      <c r="H427" s="9"/>
    </row>
    <row r="428">
      <c r="A428" s="8"/>
      <c r="B428" s="9"/>
      <c r="C428" s="10"/>
      <c r="D428" s="9"/>
      <c r="E428" s="10"/>
      <c r="F428" s="9"/>
      <c r="G428" s="10"/>
      <c r="H428" s="9"/>
    </row>
    <row r="429">
      <c r="A429" s="8"/>
      <c r="B429" s="9"/>
      <c r="C429" s="10"/>
      <c r="D429" s="9"/>
      <c r="E429" s="10"/>
      <c r="F429" s="9"/>
      <c r="G429" s="10"/>
      <c r="H429" s="9"/>
    </row>
    <row r="430">
      <c r="A430" s="8"/>
      <c r="B430" s="9"/>
      <c r="C430" s="10"/>
      <c r="D430" s="9"/>
      <c r="E430" s="10"/>
      <c r="F430" s="9"/>
      <c r="G430" s="10"/>
      <c r="H430" s="9"/>
    </row>
    <row r="431">
      <c r="A431" s="8"/>
      <c r="B431" s="9"/>
      <c r="C431" s="10"/>
      <c r="D431" s="9"/>
      <c r="E431" s="10"/>
      <c r="F431" s="9"/>
      <c r="G431" s="10"/>
      <c r="H431" s="9"/>
    </row>
    <row r="432">
      <c r="A432" s="8"/>
      <c r="B432" s="9"/>
      <c r="C432" s="10"/>
      <c r="D432" s="9"/>
      <c r="E432" s="10"/>
      <c r="F432" s="9"/>
      <c r="G432" s="10"/>
      <c r="H432" s="9"/>
    </row>
    <row r="433">
      <c r="A433" s="8"/>
      <c r="B433" s="9"/>
      <c r="C433" s="10"/>
      <c r="D433" s="9"/>
      <c r="E433" s="10"/>
      <c r="F433" s="9"/>
      <c r="G433" s="10"/>
      <c r="H433" s="9"/>
    </row>
    <row r="434">
      <c r="A434" s="8"/>
      <c r="B434" s="9"/>
      <c r="C434" s="10"/>
      <c r="D434" s="9"/>
      <c r="E434" s="10"/>
      <c r="F434" s="9"/>
      <c r="G434" s="10"/>
      <c r="H434" s="9"/>
    </row>
    <row r="435">
      <c r="A435" s="8"/>
      <c r="B435" s="9"/>
      <c r="C435" s="10"/>
      <c r="D435" s="9"/>
      <c r="E435" s="10"/>
      <c r="F435" s="9"/>
      <c r="G435" s="10"/>
      <c r="H435" s="9"/>
    </row>
    <row r="436">
      <c r="A436" s="8"/>
      <c r="B436" s="9"/>
      <c r="C436" s="10"/>
      <c r="D436" s="9"/>
      <c r="E436" s="10"/>
      <c r="F436" s="9"/>
      <c r="G436" s="10"/>
      <c r="H436" s="9"/>
    </row>
    <row r="437">
      <c r="A437" s="8"/>
      <c r="B437" s="9"/>
      <c r="C437" s="10"/>
      <c r="D437" s="9"/>
      <c r="E437" s="10"/>
      <c r="F437" s="9"/>
      <c r="G437" s="10"/>
      <c r="H437" s="9"/>
    </row>
    <row r="438">
      <c r="A438" s="8"/>
      <c r="B438" s="9"/>
      <c r="C438" s="10"/>
      <c r="D438" s="9"/>
      <c r="E438" s="10"/>
      <c r="F438" s="9"/>
      <c r="G438" s="10"/>
      <c r="H438" s="9"/>
    </row>
    <row r="439">
      <c r="A439" s="8"/>
      <c r="B439" s="9"/>
      <c r="C439" s="10"/>
      <c r="D439" s="9"/>
      <c r="E439" s="10"/>
      <c r="F439" s="9"/>
      <c r="G439" s="10"/>
      <c r="H439" s="9"/>
    </row>
    <row r="440">
      <c r="A440" s="8"/>
      <c r="B440" s="9"/>
      <c r="C440" s="10"/>
      <c r="D440" s="9"/>
      <c r="E440" s="10"/>
      <c r="F440" s="9"/>
      <c r="G440" s="10"/>
      <c r="H440" s="9"/>
    </row>
    <row r="441">
      <c r="A441" s="8"/>
      <c r="B441" s="9"/>
      <c r="C441" s="10"/>
      <c r="D441" s="9"/>
      <c r="E441" s="10"/>
      <c r="F441" s="9"/>
      <c r="G441" s="10"/>
      <c r="H441" s="9"/>
    </row>
    <row r="442">
      <c r="A442" s="8"/>
      <c r="B442" s="9"/>
      <c r="C442" s="10"/>
      <c r="D442" s="9"/>
      <c r="E442" s="10"/>
      <c r="F442" s="9"/>
      <c r="G442" s="10"/>
      <c r="H442" s="9"/>
    </row>
    <row r="443">
      <c r="A443" s="8"/>
      <c r="B443" s="9"/>
      <c r="C443" s="10"/>
      <c r="D443" s="9"/>
      <c r="E443" s="10"/>
      <c r="F443" s="9"/>
      <c r="G443" s="10"/>
      <c r="H443" s="9"/>
    </row>
    <row r="444">
      <c r="A444" s="8"/>
      <c r="B444" s="9"/>
      <c r="C444" s="10"/>
      <c r="D444" s="9"/>
      <c r="E444" s="10"/>
      <c r="F444" s="9"/>
      <c r="G444" s="10"/>
      <c r="H444" s="9"/>
    </row>
    <row r="445">
      <c r="A445" s="8"/>
      <c r="B445" s="9"/>
      <c r="C445" s="10"/>
      <c r="D445" s="9"/>
      <c r="E445" s="10"/>
      <c r="F445" s="9"/>
      <c r="G445" s="10"/>
      <c r="H445" s="9"/>
    </row>
    <row r="446">
      <c r="A446" s="8"/>
      <c r="B446" s="9"/>
      <c r="C446" s="10"/>
      <c r="D446" s="9"/>
      <c r="E446" s="10"/>
      <c r="F446" s="9"/>
      <c r="G446" s="10"/>
      <c r="H446" s="9"/>
    </row>
    <row r="447">
      <c r="A447" s="8"/>
      <c r="B447" s="9"/>
      <c r="C447" s="10"/>
      <c r="D447" s="9"/>
      <c r="E447" s="10"/>
      <c r="F447" s="9"/>
      <c r="G447" s="10"/>
      <c r="H447" s="9"/>
    </row>
    <row r="448">
      <c r="A448" s="8"/>
      <c r="B448" s="9"/>
      <c r="C448" s="10"/>
      <c r="D448" s="9"/>
      <c r="E448" s="10"/>
      <c r="F448" s="9"/>
      <c r="G448" s="10"/>
      <c r="H448" s="9"/>
    </row>
    <row r="449">
      <c r="A449" s="8"/>
      <c r="B449" s="9"/>
      <c r="C449" s="10"/>
      <c r="D449" s="9"/>
      <c r="E449" s="10"/>
      <c r="F449" s="9"/>
      <c r="G449" s="10"/>
      <c r="H449" s="9"/>
    </row>
    <row r="450">
      <c r="A450" s="8"/>
      <c r="B450" s="9"/>
      <c r="C450" s="10"/>
      <c r="D450" s="9"/>
      <c r="E450" s="10"/>
      <c r="F450" s="9"/>
      <c r="G450" s="10"/>
      <c r="H450" s="9"/>
    </row>
    <row r="451">
      <c r="A451" s="8"/>
      <c r="B451" s="9"/>
      <c r="C451" s="10"/>
      <c r="D451" s="9"/>
      <c r="E451" s="10"/>
      <c r="F451" s="9"/>
      <c r="G451" s="10"/>
      <c r="H451" s="9"/>
    </row>
    <row r="452">
      <c r="A452" s="8"/>
      <c r="B452" s="9"/>
      <c r="C452" s="10"/>
      <c r="D452" s="9"/>
      <c r="E452" s="10"/>
      <c r="F452" s="9"/>
      <c r="G452" s="10"/>
      <c r="H452" s="9"/>
    </row>
    <row r="453">
      <c r="A453" s="8"/>
      <c r="B453" s="9"/>
      <c r="C453" s="10"/>
      <c r="D453" s="9"/>
      <c r="E453" s="10"/>
      <c r="F453" s="9"/>
      <c r="G453" s="10"/>
      <c r="H453" s="9"/>
    </row>
    <row r="454">
      <c r="A454" s="8"/>
      <c r="B454" s="9"/>
      <c r="C454" s="10"/>
      <c r="D454" s="9"/>
      <c r="E454" s="10"/>
      <c r="F454" s="9"/>
      <c r="G454" s="10"/>
      <c r="H454" s="9"/>
    </row>
    <row r="455">
      <c r="A455" s="8"/>
      <c r="B455" s="9"/>
      <c r="C455" s="10"/>
      <c r="D455" s="9"/>
      <c r="E455" s="10"/>
      <c r="F455" s="9"/>
      <c r="G455" s="10"/>
      <c r="H455" s="9"/>
    </row>
    <row r="456">
      <c r="A456" s="8"/>
      <c r="B456" s="9"/>
      <c r="C456" s="10"/>
      <c r="D456" s="9"/>
      <c r="E456" s="10"/>
      <c r="F456" s="9"/>
      <c r="G456" s="10"/>
      <c r="H456" s="9"/>
    </row>
    <row r="457">
      <c r="A457" s="8"/>
      <c r="B457" s="9"/>
      <c r="C457" s="10"/>
      <c r="D457" s="9"/>
      <c r="E457" s="10"/>
      <c r="F457" s="9"/>
      <c r="G457" s="10"/>
      <c r="H457" s="9"/>
    </row>
    <row r="458">
      <c r="A458" s="8"/>
      <c r="B458" s="9"/>
      <c r="C458" s="10"/>
      <c r="D458" s="9"/>
      <c r="E458" s="10"/>
      <c r="F458" s="9"/>
      <c r="G458" s="10"/>
      <c r="H458" s="9"/>
    </row>
    <row r="459">
      <c r="A459" s="8"/>
      <c r="B459" s="9"/>
      <c r="C459" s="10"/>
      <c r="D459" s="9"/>
      <c r="E459" s="10"/>
      <c r="F459" s="9"/>
      <c r="G459" s="10"/>
      <c r="H459" s="9"/>
    </row>
    <row r="460">
      <c r="A460" s="8"/>
      <c r="B460" s="9"/>
      <c r="C460" s="10"/>
      <c r="D460" s="9"/>
      <c r="E460" s="10"/>
      <c r="F460" s="9"/>
      <c r="G460" s="10"/>
      <c r="H460" s="9"/>
    </row>
    <row r="461">
      <c r="A461" s="8"/>
      <c r="B461" s="9"/>
      <c r="C461" s="10"/>
      <c r="D461" s="9"/>
      <c r="E461" s="10"/>
      <c r="F461" s="9"/>
      <c r="G461" s="10"/>
      <c r="H461" s="9"/>
    </row>
    <row r="462">
      <c r="A462" s="8"/>
      <c r="B462" s="9"/>
      <c r="C462" s="10"/>
      <c r="D462" s="9"/>
      <c r="E462" s="10"/>
      <c r="F462" s="9"/>
      <c r="G462" s="10"/>
      <c r="H462" s="9"/>
    </row>
    <row r="463">
      <c r="A463" s="8"/>
      <c r="B463" s="9"/>
      <c r="C463" s="10"/>
      <c r="D463" s="9"/>
      <c r="E463" s="10"/>
      <c r="F463" s="9"/>
      <c r="G463" s="10"/>
      <c r="H463" s="9"/>
    </row>
    <row r="464">
      <c r="A464" s="8"/>
      <c r="B464" s="9"/>
      <c r="C464" s="10"/>
      <c r="D464" s="9"/>
      <c r="E464" s="10"/>
      <c r="F464" s="9"/>
      <c r="G464" s="10"/>
      <c r="H464" s="9"/>
    </row>
    <row r="465">
      <c r="A465" s="8"/>
      <c r="B465" s="9"/>
      <c r="C465" s="10"/>
      <c r="D465" s="9"/>
      <c r="E465" s="10"/>
      <c r="F465" s="9"/>
      <c r="G465" s="10"/>
      <c r="H465" s="9"/>
    </row>
    <row r="466">
      <c r="A466" s="8"/>
      <c r="B466" s="9"/>
      <c r="C466" s="10"/>
      <c r="D466" s="9"/>
      <c r="E466" s="10"/>
      <c r="F466" s="9"/>
      <c r="G466" s="10"/>
      <c r="H466" s="9"/>
    </row>
    <row r="467">
      <c r="A467" s="8"/>
      <c r="B467" s="9"/>
      <c r="C467" s="10"/>
      <c r="D467" s="9"/>
      <c r="E467" s="10"/>
      <c r="F467" s="9"/>
      <c r="G467" s="10"/>
      <c r="H467" s="9"/>
    </row>
    <row r="468">
      <c r="A468" s="8"/>
      <c r="B468" s="9"/>
      <c r="C468" s="10"/>
      <c r="D468" s="9"/>
      <c r="E468" s="10"/>
      <c r="F468" s="9"/>
      <c r="G468" s="10"/>
      <c r="H468" s="9"/>
    </row>
    <row r="469">
      <c r="A469" s="8"/>
      <c r="B469" s="9"/>
      <c r="C469" s="10"/>
      <c r="D469" s="9"/>
      <c r="E469" s="10"/>
      <c r="F469" s="9"/>
      <c r="G469" s="10"/>
      <c r="H469" s="9"/>
    </row>
    <row r="470">
      <c r="A470" s="8"/>
      <c r="B470" s="9"/>
      <c r="C470" s="10"/>
      <c r="D470" s="9"/>
      <c r="E470" s="10"/>
      <c r="F470" s="9"/>
      <c r="G470" s="10"/>
      <c r="H470" s="9"/>
    </row>
    <row r="471">
      <c r="A471" s="8"/>
      <c r="B471" s="9"/>
      <c r="C471" s="10"/>
      <c r="D471" s="9"/>
      <c r="E471" s="10"/>
      <c r="F471" s="9"/>
      <c r="G471" s="10"/>
      <c r="H471" s="9"/>
    </row>
    <row r="472">
      <c r="A472" s="8"/>
      <c r="B472" s="9"/>
      <c r="C472" s="10"/>
      <c r="D472" s="9"/>
      <c r="E472" s="10"/>
      <c r="F472" s="9"/>
      <c r="G472" s="10"/>
      <c r="H472" s="9"/>
    </row>
    <row r="473">
      <c r="A473" s="8"/>
      <c r="B473" s="9"/>
      <c r="C473" s="10"/>
      <c r="D473" s="9"/>
      <c r="E473" s="10"/>
      <c r="F473" s="9"/>
      <c r="G473" s="10"/>
      <c r="H473" s="9"/>
    </row>
    <row r="474">
      <c r="A474" s="8"/>
      <c r="B474" s="9"/>
      <c r="C474" s="10"/>
      <c r="D474" s="9"/>
      <c r="E474" s="10"/>
      <c r="F474" s="9"/>
      <c r="G474" s="10"/>
      <c r="H474" s="9"/>
    </row>
    <row r="475">
      <c r="A475" s="8"/>
      <c r="B475" s="9"/>
      <c r="C475" s="10"/>
      <c r="D475" s="9"/>
      <c r="E475" s="10"/>
      <c r="F475" s="9"/>
      <c r="G475" s="10"/>
      <c r="H475" s="9"/>
    </row>
    <row r="476">
      <c r="A476" s="8"/>
      <c r="B476" s="9"/>
      <c r="C476" s="10"/>
      <c r="D476" s="9"/>
      <c r="E476" s="10"/>
      <c r="F476" s="9"/>
      <c r="G476" s="10"/>
      <c r="H476" s="9"/>
    </row>
    <row r="477">
      <c r="A477" s="8"/>
      <c r="B477" s="9"/>
      <c r="C477" s="10"/>
      <c r="D477" s="9"/>
      <c r="E477" s="10"/>
      <c r="F477" s="9"/>
      <c r="G477" s="10"/>
      <c r="H477" s="9"/>
    </row>
    <row r="478">
      <c r="A478" s="8"/>
      <c r="B478" s="9"/>
      <c r="C478" s="10"/>
      <c r="D478" s="9"/>
      <c r="E478" s="10"/>
      <c r="F478" s="9"/>
      <c r="G478" s="10"/>
      <c r="H478" s="9"/>
    </row>
    <row r="479">
      <c r="A479" s="8"/>
      <c r="B479" s="9"/>
      <c r="C479" s="10"/>
      <c r="D479" s="9"/>
      <c r="E479" s="10"/>
      <c r="F479" s="9"/>
      <c r="G479" s="10"/>
      <c r="H479" s="9"/>
    </row>
    <row r="480">
      <c r="A480" s="8"/>
      <c r="B480" s="9"/>
      <c r="C480" s="10"/>
      <c r="D480" s="9"/>
      <c r="E480" s="10"/>
      <c r="F480" s="9"/>
      <c r="G480" s="10"/>
      <c r="H480" s="9"/>
    </row>
    <row r="481">
      <c r="A481" s="8"/>
      <c r="B481" s="9"/>
      <c r="C481" s="10"/>
      <c r="D481" s="9"/>
      <c r="E481" s="10"/>
      <c r="F481" s="9"/>
      <c r="G481" s="10"/>
      <c r="H481" s="9"/>
    </row>
    <row r="482">
      <c r="A482" s="8"/>
      <c r="B482" s="9"/>
      <c r="C482" s="10"/>
      <c r="D482" s="9"/>
      <c r="E482" s="10"/>
      <c r="F482" s="9"/>
      <c r="G482" s="10"/>
      <c r="H482" s="9"/>
    </row>
    <row r="483">
      <c r="A483" s="8"/>
      <c r="B483" s="9"/>
      <c r="C483" s="10"/>
      <c r="D483" s="9"/>
      <c r="E483" s="10"/>
      <c r="F483" s="9"/>
      <c r="G483" s="10"/>
      <c r="H483" s="9"/>
    </row>
    <row r="484">
      <c r="A484" s="8"/>
      <c r="B484" s="9"/>
      <c r="C484" s="10"/>
      <c r="D484" s="9"/>
      <c r="E484" s="10"/>
      <c r="F484" s="9"/>
      <c r="G484" s="10"/>
      <c r="H484" s="9"/>
    </row>
    <row r="485">
      <c r="A485" s="8"/>
      <c r="B485" s="9"/>
      <c r="C485" s="10"/>
      <c r="D485" s="9"/>
      <c r="E485" s="10"/>
      <c r="F485" s="9"/>
      <c r="G485" s="10"/>
      <c r="H485" s="9"/>
    </row>
    <row r="486">
      <c r="A486" s="8"/>
      <c r="B486" s="9"/>
      <c r="C486" s="10"/>
      <c r="D486" s="9"/>
      <c r="E486" s="10"/>
      <c r="F486" s="9"/>
      <c r="G486" s="10"/>
      <c r="H486" s="9"/>
    </row>
    <row r="487">
      <c r="A487" s="8"/>
      <c r="B487" s="9"/>
      <c r="C487" s="10"/>
      <c r="D487" s="9"/>
      <c r="E487" s="10"/>
      <c r="F487" s="9"/>
      <c r="G487" s="10"/>
      <c r="H487" s="9"/>
    </row>
    <row r="488">
      <c r="A488" s="8"/>
      <c r="B488" s="9"/>
      <c r="C488" s="10"/>
      <c r="D488" s="9"/>
      <c r="E488" s="10"/>
      <c r="F488" s="9"/>
      <c r="G488" s="10"/>
      <c r="H488" s="9"/>
    </row>
    <row r="489">
      <c r="A489" s="8"/>
      <c r="B489" s="9"/>
      <c r="C489" s="10"/>
      <c r="D489" s="9"/>
      <c r="E489" s="10"/>
      <c r="F489" s="9"/>
      <c r="G489" s="10"/>
      <c r="H489" s="9"/>
    </row>
    <row r="490">
      <c r="A490" s="8"/>
      <c r="B490" s="9"/>
      <c r="C490" s="10"/>
      <c r="D490" s="9"/>
      <c r="E490" s="10"/>
      <c r="F490" s="9"/>
      <c r="G490" s="10"/>
      <c r="H490" s="9"/>
    </row>
    <row r="491">
      <c r="A491" s="8"/>
      <c r="B491" s="9"/>
      <c r="C491" s="10"/>
      <c r="D491" s="9"/>
      <c r="E491" s="10"/>
      <c r="F491" s="9"/>
      <c r="G491" s="10"/>
      <c r="H491" s="9"/>
    </row>
    <row r="492">
      <c r="A492" s="8"/>
      <c r="B492" s="9"/>
      <c r="C492" s="10"/>
      <c r="D492" s="9"/>
      <c r="E492" s="10"/>
      <c r="F492" s="9"/>
      <c r="G492" s="10"/>
      <c r="H492" s="9"/>
    </row>
    <row r="493">
      <c r="A493" s="8"/>
      <c r="B493" s="9"/>
      <c r="C493" s="10"/>
      <c r="D493" s="9"/>
      <c r="E493" s="10"/>
      <c r="F493" s="9"/>
      <c r="G493" s="10"/>
      <c r="H493" s="9"/>
    </row>
    <row r="494">
      <c r="A494" s="8"/>
      <c r="B494" s="9"/>
      <c r="C494" s="10"/>
      <c r="D494" s="9"/>
      <c r="E494" s="10"/>
      <c r="F494" s="9"/>
      <c r="G494" s="10"/>
      <c r="H494" s="9"/>
    </row>
    <row r="495">
      <c r="A495" s="8"/>
      <c r="B495" s="9"/>
      <c r="C495" s="10"/>
      <c r="D495" s="9"/>
      <c r="E495" s="10"/>
      <c r="F495" s="9"/>
      <c r="G495" s="10"/>
      <c r="H495" s="9"/>
    </row>
    <row r="496">
      <c r="A496" s="8"/>
      <c r="B496" s="9"/>
      <c r="C496" s="10"/>
      <c r="D496" s="9"/>
      <c r="E496" s="10"/>
      <c r="F496" s="9"/>
      <c r="G496" s="10"/>
      <c r="H496" s="9"/>
    </row>
    <row r="497">
      <c r="A497" s="8"/>
      <c r="B497" s="9"/>
      <c r="C497" s="10"/>
      <c r="D497" s="9"/>
      <c r="E497" s="10"/>
      <c r="F497" s="9"/>
      <c r="G497" s="10"/>
      <c r="H497" s="9"/>
    </row>
    <row r="498">
      <c r="A498" s="8"/>
      <c r="B498" s="9"/>
      <c r="C498" s="10"/>
      <c r="D498" s="9"/>
      <c r="E498" s="10"/>
      <c r="F498" s="9"/>
      <c r="G498" s="10"/>
      <c r="H498" s="9"/>
    </row>
    <row r="499">
      <c r="A499" s="8"/>
      <c r="B499" s="9"/>
      <c r="C499" s="10"/>
      <c r="D499" s="9"/>
      <c r="E499" s="10"/>
      <c r="F499" s="9"/>
      <c r="G499" s="10"/>
      <c r="H499" s="9"/>
    </row>
    <row r="500">
      <c r="A500" s="8"/>
      <c r="B500" s="9"/>
      <c r="C500" s="10"/>
      <c r="D500" s="9"/>
      <c r="E500" s="10"/>
      <c r="F500" s="9"/>
      <c r="G500" s="10"/>
      <c r="H500" s="9"/>
    </row>
    <row r="501">
      <c r="A501" s="8"/>
      <c r="B501" s="9"/>
      <c r="C501" s="10"/>
      <c r="D501" s="9"/>
      <c r="E501" s="10"/>
      <c r="F501" s="9"/>
      <c r="G501" s="10"/>
      <c r="H501" s="9"/>
    </row>
    <row r="502">
      <c r="A502" s="8"/>
      <c r="B502" s="9"/>
      <c r="C502" s="10"/>
      <c r="D502" s="9"/>
      <c r="E502" s="10"/>
      <c r="F502" s="9"/>
      <c r="G502" s="10"/>
      <c r="H502" s="9"/>
    </row>
    <row r="503">
      <c r="A503" s="8"/>
      <c r="B503" s="9"/>
      <c r="C503" s="10"/>
      <c r="D503" s="9"/>
      <c r="E503" s="10"/>
      <c r="F503" s="9"/>
      <c r="G503" s="10"/>
      <c r="H503" s="9"/>
    </row>
    <row r="504">
      <c r="A504" s="8"/>
      <c r="B504" s="9"/>
      <c r="C504" s="10"/>
      <c r="D504" s="9"/>
      <c r="E504" s="10"/>
      <c r="F504" s="9"/>
      <c r="G504" s="10"/>
      <c r="H504" s="9"/>
    </row>
    <row r="505">
      <c r="A505" s="8"/>
      <c r="B505" s="9"/>
      <c r="C505" s="10"/>
      <c r="D505" s="9"/>
      <c r="E505" s="10"/>
      <c r="F505" s="9"/>
      <c r="G505" s="10"/>
      <c r="H505" s="9"/>
    </row>
    <row r="506">
      <c r="A506" s="8"/>
      <c r="B506" s="9"/>
      <c r="C506" s="10"/>
      <c r="D506" s="9"/>
      <c r="E506" s="10"/>
      <c r="F506" s="9"/>
      <c r="G506" s="10"/>
      <c r="H506" s="9"/>
    </row>
    <row r="507">
      <c r="A507" s="8"/>
      <c r="B507" s="9"/>
      <c r="C507" s="10"/>
      <c r="D507" s="9"/>
      <c r="E507" s="10"/>
      <c r="F507" s="9"/>
      <c r="G507" s="10"/>
      <c r="H507" s="9"/>
    </row>
    <row r="508">
      <c r="A508" s="8"/>
      <c r="B508" s="9"/>
      <c r="C508" s="10"/>
      <c r="D508" s="9"/>
      <c r="E508" s="10"/>
      <c r="F508" s="9"/>
      <c r="G508" s="10"/>
      <c r="H508" s="9"/>
    </row>
    <row r="509">
      <c r="A509" s="8"/>
      <c r="B509" s="9"/>
      <c r="C509" s="10"/>
      <c r="D509" s="9"/>
      <c r="E509" s="10"/>
      <c r="F509" s="9"/>
      <c r="G509" s="10"/>
      <c r="H509" s="9"/>
    </row>
    <row r="510">
      <c r="A510" s="8"/>
      <c r="B510" s="9"/>
      <c r="C510" s="10"/>
      <c r="D510" s="9"/>
      <c r="E510" s="10"/>
      <c r="F510" s="9"/>
      <c r="G510" s="10"/>
      <c r="H510" s="9"/>
    </row>
    <row r="511">
      <c r="A511" s="8"/>
      <c r="B511" s="9"/>
      <c r="C511" s="10"/>
      <c r="D511" s="9"/>
      <c r="E511" s="10"/>
      <c r="F511" s="9"/>
      <c r="G511" s="10"/>
      <c r="H511" s="9"/>
    </row>
    <row r="512">
      <c r="A512" s="8"/>
      <c r="B512" s="9"/>
      <c r="C512" s="10"/>
      <c r="D512" s="9"/>
      <c r="E512" s="10"/>
      <c r="F512" s="9"/>
      <c r="G512" s="10"/>
      <c r="H512" s="9"/>
    </row>
    <row r="513">
      <c r="A513" s="8"/>
      <c r="B513" s="9"/>
      <c r="C513" s="10"/>
      <c r="D513" s="9"/>
      <c r="E513" s="10"/>
      <c r="F513" s="9"/>
      <c r="G513" s="10"/>
      <c r="H513" s="9"/>
    </row>
    <row r="514">
      <c r="A514" s="8"/>
      <c r="B514" s="9"/>
      <c r="C514" s="10"/>
      <c r="D514" s="9"/>
      <c r="E514" s="10"/>
      <c r="F514" s="9"/>
      <c r="G514" s="10"/>
      <c r="H514" s="9"/>
    </row>
    <row r="515">
      <c r="A515" s="8"/>
      <c r="B515" s="9"/>
      <c r="C515" s="10"/>
      <c r="D515" s="9"/>
      <c r="E515" s="10"/>
      <c r="F515" s="9"/>
      <c r="G515" s="10"/>
      <c r="H515" s="9"/>
    </row>
    <row r="516">
      <c r="A516" s="8"/>
      <c r="B516" s="9"/>
      <c r="C516" s="10"/>
      <c r="D516" s="9"/>
      <c r="E516" s="10"/>
      <c r="F516" s="9"/>
      <c r="G516" s="10"/>
      <c r="H516" s="9"/>
    </row>
    <row r="517">
      <c r="A517" s="8"/>
      <c r="B517" s="9"/>
      <c r="C517" s="10"/>
      <c r="D517" s="9"/>
      <c r="E517" s="10"/>
      <c r="F517" s="9"/>
      <c r="G517" s="10"/>
      <c r="H517" s="9"/>
    </row>
    <row r="518">
      <c r="A518" s="8"/>
      <c r="B518" s="9"/>
      <c r="C518" s="10"/>
      <c r="D518" s="9"/>
      <c r="E518" s="10"/>
      <c r="F518" s="9"/>
      <c r="G518" s="10"/>
      <c r="H518" s="9"/>
    </row>
    <row r="519">
      <c r="A519" s="8"/>
      <c r="B519" s="9"/>
      <c r="C519" s="10"/>
      <c r="D519" s="9"/>
      <c r="E519" s="10"/>
      <c r="F519" s="9"/>
      <c r="G519" s="10"/>
      <c r="H519" s="9"/>
    </row>
    <row r="520">
      <c r="A520" s="8"/>
      <c r="B520" s="9"/>
      <c r="C520" s="10"/>
      <c r="D520" s="9"/>
      <c r="E520" s="10"/>
      <c r="F520" s="9"/>
      <c r="G520" s="10"/>
      <c r="H520" s="9"/>
    </row>
    <row r="521">
      <c r="A521" s="8"/>
      <c r="B521" s="9"/>
      <c r="C521" s="10"/>
      <c r="D521" s="9"/>
      <c r="E521" s="10"/>
      <c r="F521" s="9"/>
      <c r="G521" s="10"/>
      <c r="H521" s="9"/>
    </row>
    <row r="522">
      <c r="A522" s="8"/>
      <c r="B522" s="9"/>
      <c r="C522" s="10"/>
      <c r="D522" s="9"/>
      <c r="E522" s="10"/>
      <c r="F522" s="9"/>
      <c r="G522" s="10"/>
      <c r="H522" s="9"/>
    </row>
    <row r="523">
      <c r="A523" s="8"/>
      <c r="B523" s="9"/>
      <c r="C523" s="10"/>
      <c r="D523" s="9"/>
      <c r="E523" s="10"/>
      <c r="F523" s="9"/>
      <c r="G523" s="10"/>
      <c r="H523" s="9"/>
    </row>
    <row r="524">
      <c r="A524" s="8"/>
      <c r="B524" s="9"/>
      <c r="C524" s="10"/>
      <c r="D524" s="9"/>
      <c r="E524" s="10"/>
      <c r="F524" s="9"/>
      <c r="G524" s="10"/>
      <c r="H524" s="9"/>
    </row>
    <row r="525">
      <c r="A525" s="8"/>
      <c r="B525" s="9"/>
      <c r="C525" s="10"/>
      <c r="D525" s="9"/>
      <c r="E525" s="10"/>
      <c r="F525" s="9"/>
      <c r="G525" s="10"/>
      <c r="H525" s="9"/>
    </row>
    <row r="526">
      <c r="A526" s="8"/>
      <c r="B526" s="9"/>
      <c r="C526" s="10"/>
      <c r="D526" s="9"/>
      <c r="E526" s="10"/>
      <c r="F526" s="9"/>
      <c r="G526" s="10"/>
      <c r="H526" s="9"/>
    </row>
    <row r="527">
      <c r="A527" s="8"/>
      <c r="B527" s="9"/>
      <c r="C527" s="10"/>
      <c r="D527" s="9"/>
      <c r="E527" s="10"/>
      <c r="F527" s="9"/>
      <c r="G527" s="10"/>
      <c r="H527" s="9"/>
    </row>
    <row r="528">
      <c r="A528" s="8"/>
      <c r="B528" s="9"/>
      <c r="C528" s="10"/>
      <c r="D528" s="9"/>
      <c r="E528" s="10"/>
      <c r="F528" s="9"/>
      <c r="G528" s="10"/>
      <c r="H528" s="9"/>
    </row>
    <row r="529">
      <c r="A529" s="8"/>
      <c r="B529" s="9"/>
      <c r="C529" s="10"/>
      <c r="D529" s="9"/>
      <c r="E529" s="10"/>
      <c r="F529" s="9"/>
      <c r="G529" s="10"/>
      <c r="H529" s="9"/>
    </row>
    <row r="530">
      <c r="A530" s="8"/>
      <c r="B530" s="9"/>
      <c r="C530" s="10"/>
      <c r="D530" s="9"/>
      <c r="E530" s="10"/>
      <c r="F530" s="9"/>
      <c r="G530" s="10"/>
      <c r="H530" s="9"/>
    </row>
    <row r="531">
      <c r="A531" s="8"/>
      <c r="B531" s="9"/>
      <c r="C531" s="10"/>
      <c r="D531" s="9"/>
      <c r="E531" s="10"/>
      <c r="F531" s="9"/>
      <c r="G531" s="10"/>
      <c r="H531" s="9"/>
    </row>
    <row r="532">
      <c r="A532" s="8"/>
      <c r="B532" s="9"/>
      <c r="C532" s="10"/>
      <c r="D532" s="9"/>
      <c r="E532" s="10"/>
      <c r="F532" s="9"/>
      <c r="G532" s="10"/>
      <c r="H532" s="9"/>
    </row>
    <row r="533">
      <c r="A533" s="8"/>
      <c r="B533" s="9"/>
      <c r="C533" s="10"/>
      <c r="D533" s="9"/>
      <c r="E533" s="10"/>
      <c r="F533" s="9"/>
      <c r="G533" s="10"/>
      <c r="H533" s="9"/>
    </row>
    <row r="534">
      <c r="A534" s="8"/>
      <c r="B534" s="9"/>
      <c r="C534" s="10"/>
      <c r="D534" s="9"/>
      <c r="E534" s="10"/>
      <c r="F534" s="9"/>
      <c r="G534" s="10"/>
      <c r="H534" s="9"/>
    </row>
    <row r="535">
      <c r="A535" s="8"/>
      <c r="B535" s="9"/>
      <c r="C535" s="10"/>
      <c r="D535" s="9"/>
      <c r="E535" s="10"/>
      <c r="F535" s="9"/>
      <c r="G535" s="10"/>
      <c r="H535" s="9"/>
    </row>
    <row r="536">
      <c r="A536" s="8"/>
      <c r="B536" s="9"/>
      <c r="C536" s="10"/>
      <c r="D536" s="9"/>
      <c r="E536" s="10"/>
      <c r="F536" s="9"/>
      <c r="G536" s="10"/>
      <c r="H536" s="9"/>
    </row>
    <row r="537">
      <c r="A537" s="8"/>
      <c r="B537" s="9"/>
      <c r="C537" s="10"/>
      <c r="D537" s="9"/>
      <c r="E537" s="10"/>
      <c r="F537" s="9"/>
      <c r="G537" s="10"/>
      <c r="H537" s="9"/>
    </row>
    <row r="538">
      <c r="A538" s="8"/>
      <c r="B538" s="9"/>
      <c r="C538" s="10"/>
      <c r="D538" s="9"/>
      <c r="E538" s="10"/>
      <c r="F538" s="9"/>
      <c r="G538" s="10"/>
      <c r="H538" s="9"/>
    </row>
    <row r="539">
      <c r="A539" s="8"/>
      <c r="B539" s="9"/>
      <c r="C539" s="10"/>
      <c r="D539" s="9"/>
      <c r="E539" s="10"/>
      <c r="F539" s="9"/>
      <c r="G539" s="10"/>
      <c r="H539" s="9"/>
    </row>
    <row r="540">
      <c r="A540" s="8"/>
      <c r="B540" s="9"/>
      <c r="C540" s="10"/>
      <c r="D540" s="9"/>
      <c r="E540" s="10"/>
      <c r="F540" s="9"/>
      <c r="G540" s="10"/>
      <c r="H540" s="9"/>
    </row>
    <row r="541">
      <c r="A541" s="8"/>
      <c r="B541" s="9"/>
      <c r="C541" s="10"/>
      <c r="D541" s="9"/>
      <c r="E541" s="10"/>
      <c r="F541" s="9"/>
      <c r="G541" s="10"/>
      <c r="H541" s="9"/>
    </row>
    <row r="542">
      <c r="A542" s="8"/>
      <c r="B542" s="9"/>
      <c r="C542" s="10"/>
      <c r="D542" s="9"/>
      <c r="E542" s="10"/>
      <c r="F542" s="9"/>
      <c r="G542" s="10"/>
      <c r="H542" s="9"/>
    </row>
    <row r="543">
      <c r="A543" s="8"/>
      <c r="B543" s="9"/>
      <c r="C543" s="10"/>
      <c r="D543" s="9"/>
      <c r="E543" s="10"/>
      <c r="F543" s="9"/>
      <c r="G543" s="10"/>
      <c r="H543" s="9"/>
    </row>
    <row r="544">
      <c r="A544" s="8"/>
      <c r="B544" s="9"/>
      <c r="C544" s="10"/>
      <c r="D544" s="9"/>
      <c r="E544" s="10"/>
      <c r="F544" s="9"/>
      <c r="G544" s="10"/>
      <c r="H544" s="9"/>
    </row>
    <row r="545">
      <c r="A545" s="8"/>
      <c r="B545" s="9"/>
      <c r="C545" s="10"/>
      <c r="D545" s="9"/>
      <c r="E545" s="10"/>
      <c r="F545" s="9"/>
      <c r="G545" s="10"/>
      <c r="H545" s="9"/>
    </row>
    <row r="546">
      <c r="A546" s="8"/>
      <c r="B546" s="9"/>
      <c r="C546" s="10"/>
      <c r="D546" s="9"/>
      <c r="E546" s="10"/>
      <c r="F546" s="9"/>
      <c r="G546" s="10"/>
      <c r="H546" s="9"/>
    </row>
    <row r="547">
      <c r="A547" s="8"/>
      <c r="B547" s="9"/>
      <c r="C547" s="10"/>
      <c r="D547" s="9"/>
      <c r="E547" s="10"/>
      <c r="F547" s="9"/>
      <c r="G547" s="10"/>
      <c r="H547" s="9"/>
    </row>
    <row r="548">
      <c r="A548" s="8"/>
      <c r="B548" s="9"/>
      <c r="C548" s="10"/>
      <c r="D548" s="9"/>
      <c r="E548" s="10"/>
      <c r="F548" s="9"/>
      <c r="G548" s="10"/>
      <c r="H548" s="9"/>
    </row>
    <row r="549">
      <c r="A549" s="8"/>
      <c r="B549" s="9"/>
      <c r="C549" s="10"/>
      <c r="D549" s="9"/>
      <c r="E549" s="10"/>
      <c r="F549" s="9"/>
      <c r="G549" s="10"/>
      <c r="H549" s="9"/>
    </row>
    <row r="550">
      <c r="A550" s="8"/>
      <c r="B550" s="9"/>
      <c r="C550" s="10"/>
      <c r="D550" s="9"/>
      <c r="E550" s="10"/>
      <c r="F550" s="9"/>
      <c r="G550" s="10"/>
      <c r="H550" s="9"/>
    </row>
    <row r="551">
      <c r="A551" s="8"/>
      <c r="B551" s="9"/>
      <c r="C551" s="10"/>
      <c r="D551" s="9"/>
      <c r="E551" s="10"/>
      <c r="F551" s="9"/>
      <c r="G551" s="10"/>
      <c r="H551" s="9"/>
    </row>
    <row r="552">
      <c r="A552" s="8"/>
      <c r="B552" s="9"/>
      <c r="C552" s="10"/>
      <c r="D552" s="9"/>
      <c r="E552" s="10"/>
      <c r="F552" s="9"/>
      <c r="G552" s="10"/>
      <c r="H552" s="9"/>
    </row>
    <row r="553">
      <c r="A553" s="8"/>
      <c r="B553" s="9"/>
      <c r="C553" s="10"/>
      <c r="D553" s="9"/>
      <c r="E553" s="10"/>
      <c r="F553" s="9"/>
      <c r="G553" s="10"/>
      <c r="H553" s="9"/>
    </row>
    <row r="554">
      <c r="A554" s="8"/>
      <c r="B554" s="9"/>
      <c r="C554" s="10"/>
      <c r="D554" s="9"/>
      <c r="E554" s="10"/>
      <c r="F554" s="9"/>
      <c r="G554" s="10"/>
      <c r="H554" s="9"/>
    </row>
    <row r="555">
      <c r="A555" s="8"/>
      <c r="B555" s="9"/>
      <c r="C555" s="10"/>
      <c r="D555" s="9"/>
      <c r="E555" s="10"/>
      <c r="F555" s="9"/>
      <c r="G555" s="10"/>
      <c r="H555" s="9"/>
    </row>
    <row r="556">
      <c r="A556" s="8"/>
      <c r="B556" s="9"/>
      <c r="C556" s="10"/>
      <c r="D556" s="9"/>
      <c r="E556" s="10"/>
      <c r="F556" s="9"/>
      <c r="G556" s="10"/>
      <c r="H556" s="9"/>
    </row>
    <row r="557">
      <c r="A557" s="8"/>
      <c r="B557" s="9"/>
      <c r="C557" s="10"/>
      <c r="D557" s="9"/>
      <c r="E557" s="10"/>
      <c r="F557" s="9"/>
      <c r="G557" s="10"/>
      <c r="H557" s="9"/>
    </row>
    <row r="558">
      <c r="A558" s="8"/>
      <c r="B558" s="9"/>
      <c r="C558" s="10"/>
      <c r="D558" s="9"/>
      <c r="E558" s="10"/>
      <c r="F558" s="9"/>
      <c r="G558" s="10"/>
      <c r="H558" s="9"/>
    </row>
    <row r="559">
      <c r="A559" s="8"/>
      <c r="B559" s="9"/>
      <c r="C559" s="10"/>
      <c r="D559" s="9"/>
      <c r="E559" s="10"/>
      <c r="F559" s="9"/>
      <c r="G559" s="10"/>
      <c r="H559" s="9"/>
    </row>
    <row r="560">
      <c r="A560" s="8"/>
      <c r="B560" s="9"/>
      <c r="C560" s="10"/>
      <c r="D560" s="9"/>
      <c r="E560" s="10"/>
      <c r="F560" s="9"/>
      <c r="G560" s="10"/>
      <c r="H560" s="9"/>
    </row>
    <row r="561">
      <c r="A561" s="8"/>
      <c r="B561" s="9"/>
      <c r="C561" s="10"/>
      <c r="D561" s="9"/>
      <c r="E561" s="10"/>
      <c r="F561" s="9"/>
      <c r="G561" s="10"/>
      <c r="H561" s="9"/>
    </row>
    <row r="562">
      <c r="A562" s="8"/>
      <c r="B562" s="9"/>
      <c r="C562" s="10"/>
      <c r="D562" s="9"/>
      <c r="E562" s="10"/>
      <c r="F562" s="9"/>
      <c r="G562" s="10"/>
      <c r="H562" s="9"/>
    </row>
    <row r="563">
      <c r="A563" s="8"/>
      <c r="B563" s="9"/>
      <c r="C563" s="10"/>
      <c r="D563" s="9"/>
      <c r="E563" s="10"/>
      <c r="F563" s="9"/>
      <c r="G563" s="10"/>
      <c r="H563" s="9"/>
    </row>
    <row r="564">
      <c r="A564" s="8"/>
      <c r="B564" s="9"/>
      <c r="C564" s="10"/>
      <c r="D564" s="9"/>
      <c r="E564" s="10"/>
      <c r="F564" s="9"/>
      <c r="G564" s="10"/>
      <c r="H564" s="9"/>
    </row>
    <row r="565">
      <c r="A565" s="8"/>
      <c r="B565" s="9"/>
      <c r="C565" s="10"/>
      <c r="D565" s="9"/>
      <c r="E565" s="10"/>
      <c r="F565" s="9"/>
      <c r="G565" s="10"/>
      <c r="H565" s="9"/>
    </row>
    <row r="566">
      <c r="A566" s="8"/>
      <c r="B566" s="9"/>
      <c r="C566" s="10"/>
      <c r="D566" s="9"/>
      <c r="E566" s="10"/>
      <c r="F566" s="9"/>
      <c r="G566" s="10"/>
      <c r="H566" s="9"/>
    </row>
    <row r="567">
      <c r="A567" s="8"/>
      <c r="B567" s="9"/>
      <c r="C567" s="10"/>
      <c r="D567" s="9"/>
      <c r="E567" s="10"/>
      <c r="F567" s="9"/>
      <c r="G567" s="10"/>
      <c r="H567" s="9"/>
    </row>
    <row r="568">
      <c r="A568" s="8"/>
      <c r="B568" s="9"/>
      <c r="C568" s="10"/>
      <c r="D568" s="9"/>
      <c r="E568" s="10"/>
      <c r="F568" s="9"/>
      <c r="G568" s="10"/>
      <c r="H568" s="9"/>
    </row>
    <row r="569">
      <c r="A569" s="8"/>
      <c r="B569" s="9"/>
      <c r="C569" s="10"/>
      <c r="D569" s="9"/>
      <c r="E569" s="10"/>
      <c r="F569" s="9"/>
      <c r="G569" s="10"/>
      <c r="H569" s="9"/>
    </row>
    <row r="570">
      <c r="A570" s="8"/>
      <c r="B570" s="9"/>
      <c r="C570" s="10"/>
      <c r="D570" s="9"/>
      <c r="E570" s="10"/>
      <c r="F570" s="9"/>
      <c r="G570" s="10"/>
      <c r="H570" s="9"/>
    </row>
    <row r="571">
      <c r="A571" s="8"/>
      <c r="B571" s="9"/>
      <c r="C571" s="10"/>
      <c r="D571" s="9"/>
      <c r="E571" s="10"/>
      <c r="F571" s="9"/>
      <c r="G571" s="10"/>
      <c r="H571" s="9"/>
    </row>
    <row r="572">
      <c r="A572" s="8"/>
      <c r="B572" s="9"/>
      <c r="C572" s="10"/>
      <c r="D572" s="9"/>
      <c r="E572" s="10"/>
      <c r="F572" s="9"/>
      <c r="G572" s="10"/>
      <c r="H572" s="9"/>
    </row>
    <row r="573">
      <c r="A573" s="8"/>
      <c r="B573" s="9"/>
      <c r="C573" s="10"/>
      <c r="D573" s="9"/>
      <c r="E573" s="10"/>
      <c r="F573" s="9"/>
      <c r="G573" s="10"/>
      <c r="H573" s="9"/>
    </row>
    <row r="574">
      <c r="A574" s="8"/>
      <c r="B574" s="9"/>
      <c r="C574" s="10"/>
      <c r="D574" s="9"/>
      <c r="E574" s="10"/>
      <c r="F574" s="9"/>
      <c r="G574" s="10"/>
      <c r="H574" s="9"/>
    </row>
    <row r="575">
      <c r="A575" s="8"/>
      <c r="B575" s="9"/>
      <c r="C575" s="10"/>
      <c r="D575" s="9"/>
      <c r="E575" s="10"/>
      <c r="F575" s="9"/>
      <c r="G575" s="10"/>
      <c r="H575" s="9"/>
    </row>
    <row r="576">
      <c r="A576" s="8"/>
      <c r="B576" s="9"/>
      <c r="C576" s="10"/>
      <c r="D576" s="9"/>
      <c r="E576" s="10"/>
      <c r="F576" s="9"/>
      <c r="G576" s="10"/>
      <c r="H576" s="9"/>
    </row>
    <row r="577">
      <c r="A577" s="8"/>
      <c r="B577" s="9"/>
      <c r="C577" s="10"/>
      <c r="D577" s="9"/>
      <c r="E577" s="10"/>
      <c r="F577" s="9"/>
      <c r="G577" s="10"/>
      <c r="H577" s="9"/>
    </row>
    <row r="578">
      <c r="A578" s="8"/>
      <c r="B578" s="9"/>
      <c r="C578" s="10"/>
      <c r="D578" s="9"/>
      <c r="E578" s="10"/>
      <c r="F578" s="9"/>
      <c r="G578" s="10"/>
      <c r="H578" s="9"/>
    </row>
    <row r="579">
      <c r="A579" s="8"/>
      <c r="B579" s="9"/>
      <c r="C579" s="10"/>
      <c r="D579" s="9"/>
      <c r="E579" s="10"/>
      <c r="F579" s="9"/>
      <c r="G579" s="10"/>
      <c r="H579" s="9"/>
    </row>
    <row r="580">
      <c r="A580" s="8"/>
      <c r="B580" s="9"/>
      <c r="C580" s="10"/>
      <c r="D580" s="9"/>
      <c r="E580" s="10"/>
      <c r="F580" s="9"/>
      <c r="G580" s="10"/>
      <c r="H580" s="9"/>
    </row>
    <row r="581">
      <c r="A581" s="8"/>
      <c r="B581" s="9"/>
      <c r="C581" s="10"/>
      <c r="D581" s="9"/>
      <c r="E581" s="10"/>
      <c r="F581" s="9"/>
      <c r="G581" s="10"/>
      <c r="H581" s="9"/>
    </row>
    <row r="582">
      <c r="A582" s="8"/>
      <c r="B582" s="9"/>
      <c r="C582" s="10"/>
      <c r="D582" s="9"/>
      <c r="E582" s="10"/>
      <c r="F582" s="9"/>
      <c r="G582" s="10"/>
      <c r="H582" s="9"/>
    </row>
    <row r="583">
      <c r="A583" s="8"/>
      <c r="B583" s="9"/>
      <c r="C583" s="10"/>
      <c r="D583" s="9"/>
      <c r="E583" s="10"/>
      <c r="F583" s="9"/>
      <c r="G583" s="10"/>
      <c r="H583" s="9"/>
    </row>
    <row r="584">
      <c r="A584" s="8"/>
      <c r="B584" s="9"/>
      <c r="C584" s="10"/>
      <c r="D584" s="9"/>
      <c r="E584" s="10"/>
      <c r="F584" s="9"/>
      <c r="G584" s="10"/>
      <c r="H584" s="9"/>
    </row>
    <row r="585">
      <c r="A585" s="8"/>
      <c r="B585" s="9"/>
      <c r="C585" s="10"/>
      <c r="D585" s="9"/>
      <c r="E585" s="10"/>
      <c r="F585" s="9"/>
      <c r="G585" s="10"/>
      <c r="H585" s="9"/>
    </row>
    <row r="586">
      <c r="A586" s="8"/>
      <c r="B586" s="9"/>
      <c r="C586" s="10"/>
      <c r="D586" s="9"/>
      <c r="E586" s="10"/>
      <c r="F586" s="9"/>
      <c r="G586" s="10"/>
      <c r="H586" s="9"/>
    </row>
    <row r="587">
      <c r="A587" s="8"/>
      <c r="B587" s="9"/>
      <c r="C587" s="10"/>
      <c r="D587" s="9"/>
      <c r="E587" s="10"/>
      <c r="F587" s="9"/>
      <c r="G587" s="10"/>
      <c r="H587" s="9"/>
    </row>
    <row r="588">
      <c r="A588" s="8"/>
      <c r="B588" s="9"/>
      <c r="C588" s="10"/>
      <c r="D588" s="9"/>
      <c r="E588" s="10"/>
      <c r="F588" s="9"/>
      <c r="G588" s="10"/>
      <c r="H588" s="9"/>
    </row>
    <row r="589">
      <c r="A589" s="8"/>
      <c r="B589" s="9"/>
      <c r="C589" s="10"/>
      <c r="D589" s="9"/>
      <c r="E589" s="10"/>
      <c r="F589" s="9"/>
      <c r="G589" s="10"/>
      <c r="H589" s="9"/>
    </row>
    <row r="590">
      <c r="A590" s="8"/>
      <c r="B590" s="9"/>
      <c r="C590" s="10"/>
      <c r="D590" s="9"/>
      <c r="E590" s="10"/>
      <c r="F590" s="9"/>
      <c r="G590" s="10"/>
      <c r="H590" s="9"/>
    </row>
    <row r="591">
      <c r="A591" s="8"/>
      <c r="B591" s="9"/>
      <c r="C591" s="10"/>
      <c r="D591" s="9"/>
      <c r="E591" s="10"/>
      <c r="F591" s="9"/>
      <c r="G591" s="10"/>
      <c r="H591" s="9"/>
    </row>
    <row r="592">
      <c r="A592" s="8"/>
      <c r="B592" s="9"/>
      <c r="C592" s="10"/>
      <c r="D592" s="9"/>
      <c r="E592" s="10"/>
      <c r="F592" s="9"/>
      <c r="G592" s="10"/>
      <c r="H592" s="9"/>
    </row>
    <row r="593">
      <c r="A593" s="8"/>
      <c r="B593" s="9"/>
      <c r="C593" s="10"/>
      <c r="D593" s="9"/>
      <c r="E593" s="10"/>
      <c r="F593" s="9"/>
      <c r="G593" s="10"/>
      <c r="H593" s="9"/>
    </row>
    <row r="594">
      <c r="A594" s="8"/>
      <c r="B594" s="9"/>
      <c r="C594" s="10"/>
      <c r="D594" s="9"/>
      <c r="E594" s="10"/>
      <c r="F594" s="9"/>
      <c r="G594" s="10"/>
      <c r="H594" s="9"/>
    </row>
    <row r="595">
      <c r="A595" s="8"/>
      <c r="B595" s="9"/>
      <c r="C595" s="10"/>
      <c r="D595" s="9"/>
      <c r="E595" s="10"/>
      <c r="F595" s="9"/>
      <c r="G595" s="10"/>
      <c r="H595" s="9"/>
    </row>
    <row r="596">
      <c r="A596" s="8"/>
      <c r="B596" s="9"/>
      <c r="C596" s="10"/>
      <c r="D596" s="9"/>
      <c r="E596" s="10"/>
      <c r="F596" s="9"/>
      <c r="G596" s="10"/>
      <c r="H596" s="9"/>
    </row>
    <row r="597">
      <c r="A597" s="8"/>
      <c r="B597" s="9"/>
      <c r="C597" s="10"/>
      <c r="D597" s="9"/>
      <c r="E597" s="10"/>
      <c r="F597" s="9"/>
      <c r="G597" s="10"/>
      <c r="H597" s="9"/>
    </row>
    <row r="598">
      <c r="A598" s="8"/>
      <c r="B598" s="9"/>
      <c r="C598" s="10"/>
      <c r="D598" s="9"/>
      <c r="E598" s="10"/>
      <c r="F598" s="9"/>
      <c r="G598" s="10"/>
      <c r="H598" s="9"/>
    </row>
    <row r="599">
      <c r="A599" s="8"/>
      <c r="B599" s="9"/>
      <c r="C599" s="10"/>
      <c r="D599" s="9"/>
      <c r="E599" s="10"/>
      <c r="F599" s="9"/>
      <c r="G599" s="10"/>
      <c r="H599" s="9"/>
    </row>
    <row r="600">
      <c r="A600" s="8"/>
      <c r="B600" s="9"/>
      <c r="C600" s="10"/>
      <c r="D600" s="9"/>
      <c r="E600" s="10"/>
      <c r="F600" s="9"/>
      <c r="G600" s="10"/>
      <c r="H600" s="9"/>
    </row>
    <row r="601">
      <c r="A601" s="8"/>
      <c r="B601" s="9"/>
      <c r="C601" s="10"/>
      <c r="D601" s="9"/>
      <c r="E601" s="10"/>
      <c r="F601" s="9"/>
      <c r="G601" s="10"/>
      <c r="H601" s="9"/>
    </row>
    <row r="602">
      <c r="A602" s="8"/>
      <c r="B602" s="9"/>
      <c r="C602" s="10"/>
      <c r="D602" s="9"/>
      <c r="E602" s="10"/>
      <c r="F602" s="9"/>
      <c r="G602" s="10"/>
      <c r="H602" s="9"/>
    </row>
    <row r="603">
      <c r="A603" s="8"/>
      <c r="B603" s="9"/>
      <c r="C603" s="10"/>
      <c r="D603" s="9"/>
      <c r="E603" s="10"/>
      <c r="F603" s="9"/>
      <c r="G603" s="10"/>
      <c r="H603" s="9"/>
    </row>
    <row r="604">
      <c r="A604" s="8"/>
      <c r="B604" s="9"/>
      <c r="C604" s="10"/>
      <c r="D604" s="9"/>
      <c r="E604" s="10"/>
      <c r="F604" s="9"/>
      <c r="G604" s="10"/>
      <c r="H604" s="9"/>
    </row>
    <row r="605">
      <c r="A605" s="8"/>
      <c r="B605" s="9"/>
      <c r="C605" s="10"/>
      <c r="D605" s="9"/>
      <c r="E605" s="10"/>
      <c r="F605" s="9"/>
      <c r="G605" s="10"/>
      <c r="H605" s="9"/>
    </row>
    <row r="606">
      <c r="A606" s="8"/>
      <c r="B606" s="9"/>
      <c r="C606" s="10"/>
      <c r="D606" s="9"/>
      <c r="E606" s="10"/>
      <c r="F606" s="9"/>
      <c r="G606" s="10"/>
      <c r="H606" s="9"/>
    </row>
    <row r="607">
      <c r="A607" s="8"/>
      <c r="B607" s="9"/>
      <c r="C607" s="10"/>
      <c r="D607" s="9"/>
      <c r="E607" s="10"/>
      <c r="F607" s="9"/>
      <c r="G607" s="10"/>
      <c r="H607" s="9"/>
    </row>
    <row r="608">
      <c r="A608" s="8"/>
      <c r="B608" s="9"/>
      <c r="C608" s="10"/>
      <c r="D608" s="9"/>
      <c r="E608" s="10"/>
      <c r="F608" s="9"/>
      <c r="G608" s="10"/>
      <c r="H608" s="9"/>
    </row>
    <row r="609">
      <c r="A609" s="8"/>
      <c r="B609" s="9"/>
      <c r="C609" s="10"/>
      <c r="D609" s="9"/>
      <c r="E609" s="10"/>
      <c r="F609" s="9"/>
      <c r="G609" s="10"/>
      <c r="H609" s="9"/>
    </row>
    <row r="610">
      <c r="A610" s="8"/>
      <c r="B610" s="9"/>
      <c r="C610" s="10"/>
      <c r="D610" s="9"/>
      <c r="E610" s="10"/>
      <c r="F610" s="9"/>
      <c r="G610" s="10"/>
      <c r="H610" s="9"/>
    </row>
    <row r="611">
      <c r="A611" s="8"/>
      <c r="B611" s="9"/>
      <c r="C611" s="10"/>
      <c r="D611" s="9"/>
      <c r="E611" s="10"/>
      <c r="F611" s="9"/>
      <c r="G611" s="10"/>
      <c r="H611" s="9"/>
    </row>
    <row r="612">
      <c r="A612" s="8"/>
      <c r="B612" s="9"/>
      <c r="C612" s="10"/>
      <c r="D612" s="9"/>
      <c r="E612" s="10"/>
      <c r="F612" s="9"/>
      <c r="G612" s="10"/>
      <c r="H612" s="9"/>
    </row>
    <row r="613">
      <c r="A613" s="8"/>
      <c r="B613" s="9"/>
      <c r="C613" s="10"/>
      <c r="D613" s="9"/>
      <c r="E613" s="10"/>
      <c r="F613" s="9"/>
      <c r="G613" s="10"/>
      <c r="H613" s="9"/>
    </row>
    <row r="614">
      <c r="A614" s="8"/>
      <c r="B614" s="9"/>
      <c r="C614" s="10"/>
      <c r="D614" s="9"/>
      <c r="E614" s="10"/>
      <c r="F614" s="9"/>
      <c r="G614" s="10"/>
      <c r="H614" s="9"/>
    </row>
    <row r="615">
      <c r="A615" s="8"/>
      <c r="B615" s="9"/>
      <c r="C615" s="10"/>
      <c r="D615" s="9"/>
      <c r="E615" s="10"/>
      <c r="F615" s="9"/>
      <c r="G615" s="10"/>
      <c r="H615" s="9"/>
    </row>
    <row r="616">
      <c r="A616" s="8"/>
      <c r="B616" s="9"/>
      <c r="C616" s="10"/>
      <c r="D616" s="9"/>
      <c r="E616" s="10"/>
      <c r="F616" s="9"/>
      <c r="G616" s="10"/>
      <c r="H616" s="9"/>
    </row>
    <row r="617">
      <c r="A617" s="8"/>
      <c r="B617" s="9"/>
      <c r="C617" s="10"/>
      <c r="D617" s="9"/>
      <c r="E617" s="10"/>
      <c r="F617" s="9"/>
      <c r="G617" s="10"/>
      <c r="H617" s="9"/>
    </row>
    <row r="618">
      <c r="A618" s="8"/>
      <c r="B618" s="9"/>
      <c r="C618" s="10"/>
      <c r="D618" s="9"/>
      <c r="E618" s="10"/>
      <c r="F618" s="9"/>
      <c r="G618" s="10"/>
      <c r="H618" s="9"/>
    </row>
    <row r="619">
      <c r="A619" s="8"/>
      <c r="B619" s="9"/>
      <c r="C619" s="10"/>
      <c r="D619" s="9"/>
      <c r="E619" s="10"/>
      <c r="F619" s="9"/>
      <c r="G619" s="10"/>
      <c r="H619" s="9"/>
    </row>
    <row r="620">
      <c r="A620" s="8"/>
      <c r="B620" s="9"/>
      <c r="C620" s="10"/>
      <c r="D620" s="9"/>
      <c r="E620" s="10"/>
      <c r="F620" s="9"/>
      <c r="G620" s="10"/>
      <c r="H620" s="9"/>
    </row>
    <row r="621">
      <c r="A621" s="8"/>
      <c r="B621" s="9"/>
      <c r="C621" s="10"/>
      <c r="D621" s="9"/>
      <c r="E621" s="10"/>
      <c r="F621" s="9"/>
      <c r="G621" s="10"/>
      <c r="H621" s="9"/>
    </row>
    <row r="622">
      <c r="A622" s="8"/>
      <c r="B622" s="9"/>
      <c r="C622" s="10"/>
      <c r="D622" s="9"/>
      <c r="E622" s="10"/>
      <c r="F622" s="9"/>
      <c r="G622" s="10"/>
      <c r="H622" s="9"/>
    </row>
    <row r="623">
      <c r="A623" s="8"/>
      <c r="B623" s="9"/>
      <c r="C623" s="10"/>
      <c r="D623" s="9"/>
      <c r="E623" s="10"/>
      <c r="F623" s="9"/>
      <c r="G623" s="10"/>
      <c r="H623" s="9"/>
    </row>
    <row r="624">
      <c r="A624" s="8"/>
      <c r="B624" s="9"/>
      <c r="C624" s="10"/>
      <c r="D624" s="9"/>
      <c r="E624" s="10"/>
      <c r="F624" s="9"/>
      <c r="G624" s="10"/>
      <c r="H624" s="9"/>
    </row>
    <row r="625">
      <c r="A625" s="8"/>
      <c r="B625" s="9"/>
      <c r="C625" s="10"/>
      <c r="D625" s="9"/>
      <c r="E625" s="10"/>
      <c r="F625" s="9"/>
      <c r="G625" s="10"/>
      <c r="H625" s="9"/>
    </row>
    <row r="626">
      <c r="A626" s="8"/>
      <c r="B626" s="9"/>
      <c r="C626" s="10"/>
      <c r="D626" s="9"/>
      <c r="E626" s="10"/>
      <c r="F626" s="9"/>
      <c r="G626" s="10"/>
      <c r="H626" s="9"/>
    </row>
    <row r="627">
      <c r="A627" s="8"/>
      <c r="B627" s="9"/>
      <c r="C627" s="10"/>
      <c r="D627" s="9"/>
      <c r="E627" s="10"/>
      <c r="F627" s="9"/>
      <c r="G627" s="10"/>
      <c r="H627" s="9"/>
    </row>
    <row r="628">
      <c r="A628" s="8"/>
      <c r="B628" s="9"/>
      <c r="C628" s="10"/>
      <c r="D628" s="9"/>
      <c r="E628" s="10"/>
      <c r="F628" s="9"/>
      <c r="G628" s="10"/>
      <c r="H628" s="9"/>
    </row>
    <row r="629">
      <c r="A629" s="8"/>
      <c r="B629" s="9"/>
      <c r="C629" s="10"/>
      <c r="D629" s="9"/>
      <c r="E629" s="10"/>
      <c r="F629" s="9"/>
      <c r="G629" s="10"/>
      <c r="H629" s="9"/>
    </row>
    <row r="630">
      <c r="A630" s="8"/>
      <c r="B630" s="9"/>
      <c r="C630" s="10"/>
      <c r="D630" s="9"/>
      <c r="E630" s="10"/>
      <c r="F630" s="9"/>
      <c r="G630" s="10"/>
      <c r="H630" s="9"/>
    </row>
    <row r="631">
      <c r="A631" s="8"/>
      <c r="B631" s="9"/>
      <c r="C631" s="10"/>
      <c r="D631" s="9"/>
      <c r="E631" s="10"/>
      <c r="F631" s="9"/>
      <c r="G631" s="10"/>
      <c r="H631" s="9"/>
    </row>
    <row r="632">
      <c r="A632" s="8"/>
      <c r="B632" s="9"/>
      <c r="C632" s="10"/>
      <c r="D632" s="9"/>
      <c r="E632" s="10"/>
      <c r="F632" s="9"/>
      <c r="G632" s="10"/>
      <c r="H632" s="9"/>
    </row>
    <row r="633">
      <c r="A633" s="8"/>
      <c r="B633" s="9"/>
      <c r="C633" s="10"/>
      <c r="D633" s="9"/>
      <c r="E633" s="10"/>
      <c r="F633" s="9"/>
      <c r="G633" s="10"/>
      <c r="H633" s="9"/>
    </row>
    <row r="634">
      <c r="A634" s="8"/>
      <c r="B634" s="9"/>
      <c r="C634" s="10"/>
      <c r="D634" s="9"/>
      <c r="E634" s="10"/>
      <c r="F634" s="9"/>
      <c r="G634" s="10"/>
      <c r="H634" s="9"/>
    </row>
    <row r="635">
      <c r="A635" s="8"/>
      <c r="B635" s="9"/>
      <c r="C635" s="10"/>
      <c r="D635" s="9"/>
      <c r="E635" s="10"/>
      <c r="F635" s="9"/>
      <c r="G635" s="10"/>
      <c r="H635" s="9"/>
    </row>
    <row r="636">
      <c r="A636" s="8"/>
      <c r="B636" s="9"/>
      <c r="C636" s="10"/>
      <c r="D636" s="9"/>
      <c r="E636" s="10"/>
      <c r="F636" s="9"/>
      <c r="G636" s="10"/>
      <c r="H636" s="9"/>
    </row>
    <row r="637">
      <c r="A637" s="8"/>
      <c r="B637" s="9"/>
      <c r="C637" s="10"/>
      <c r="D637" s="9"/>
      <c r="E637" s="10"/>
      <c r="F637" s="9"/>
      <c r="G637" s="10"/>
      <c r="H637" s="9"/>
    </row>
    <row r="638">
      <c r="A638" s="8"/>
      <c r="B638" s="9"/>
      <c r="C638" s="10"/>
      <c r="D638" s="9"/>
      <c r="E638" s="10"/>
      <c r="F638" s="9"/>
      <c r="G638" s="10"/>
      <c r="H638" s="9"/>
    </row>
    <row r="639">
      <c r="A639" s="8"/>
      <c r="B639" s="9"/>
      <c r="C639" s="10"/>
      <c r="D639" s="9"/>
      <c r="E639" s="10"/>
      <c r="F639" s="9"/>
      <c r="G639" s="10"/>
      <c r="H639" s="9"/>
    </row>
    <row r="640">
      <c r="A640" s="8"/>
      <c r="B640" s="9"/>
      <c r="C640" s="10"/>
      <c r="D640" s="9"/>
      <c r="E640" s="10"/>
      <c r="F640" s="9"/>
      <c r="G640" s="10"/>
      <c r="H640" s="9"/>
    </row>
    <row r="641">
      <c r="A641" s="8"/>
      <c r="B641" s="9"/>
      <c r="C641" s="10"/>
      <c r="D641" s="9"/>
      <c r="E641" s="10"/>
      <c r="F641" s="9"/>
      <c r="G641" s="10"/>
      <c r="H641" s="9"/>
    </row>
    <row r="642">
      <c r="A642" s="8"/>
      <c r="B642" s="9"/>
      <c r="C642" s="10"/>
      <c r="D642" s="9"/>
      <c r="E642" s="10"/>
      <c r="F642" s="9"/>
      <c r="G642" s="10"/>
      <c r="H642" s="9"/>
    </row>
    <row r="643">
      <c r="A643" s="8"/>
      <c r="B643" s="9"/>
      <c r="C643" s="10"/>
      <c r="D643" s="9"/>
      <c r="E643" s="10"/>
      <c r="F643" s="9"/>
      <c r="G643" s="10"/>
      <c r="H643" s="9"/>
    </row>
    <row r="644">
      <c r="A644" s="8"/>
      <c r="B644" s="9"/>
      <c r="C644" s="10"/>
      <c r="D644" s="9"/>
      <c r="E644" s="10"/>
      <c r="F644" s="9"/>
      <c r="G644" s="10"/>
      <c r="H644" s="9"/>
    </row>
    <row r="645">
      <c r="A645" s="8"/>
      <c r="B645" s="9"/>
      <c r="C645" s="10"/>
      <c r="D645" s="9"/>
      <c r="E645" s="10"/>
      <c r="F645" s="9"/>
      <c r="G645" s="10"/>
      <c r="H645" s="9"/>
    </row>
    <row r="646">
      <c r="A646" s="8"/>
      <c r="B646" s="9"/>
      <c r="C646" s="10"/>
      <c r="D646" s="9"/>
      <c r="E646" s="10"/>
      <c r="F646" s="9"/>
      <c r="G646" s="10"/>
      <c r="H646" s="9"/>
    </row>
    <row r="647">
      <c r="A647" s="8"/>
      <c r="B647" s="9"/>
      <c r="C647" s="10"/>
      <c r="D647" s="9"/>
      <c r="E647" s="10"/>
      <c r="F647" s="9"/>
      <c r="G647" s="10"/>
      <c r="H647" s="9"/>
    </row>
    <row r="648">
      <c r="A648" s="8"/>
      <c r="B648" s="9"/>
      <c r="C648" s="10"/>
      <c r="D648" s="9"/>
      <c r="E648" s="10"/>
      <c r="F648" s="9"/>
      <c r="G648" s="10"/>
      <c r="H648" s="9"/>
    </row>
    <row r="649">
      <c r="A649" s="8"/>
      <c r="B649" s="9"/>
      <c r="C649" s="10"/>
      <c r="D649" s="9"/>
      <c r="E649" s="10"/>
      <c r="F649" s="9"/>
      <c r="G649" s="10"/>
      <c r="H649" s="9"/>
    </row>
    <row r="650">
      <c r="A650" s="8"/>
      <c r="B650" s="9"/>
      <c r="C650" s="10"/>
      <c r="D650" s="9"/>
      <c r="E650" s="10"/>
      <c r="F650" s="9"/>
      <c r="G650" s="10"/>
      <c r="H650" s="9"/>
    </row>
    <row r="651">
      <c r="A651" s="8"/>
      <c r="B651" s="9"/>
      <c r="C651" s="10"/>
      <c r="D651" s="9"/>
      <c r="E651" s="10"/>
      <c r="F651" s="9"/>
      <c r="G651" s="10"/>
      <c r="H651" s="9"/>
    </row>
    <row r="652">
      <c r="A652" s="8"/>
      <c r="B652" s="9"/>
      <c r="C652" s="10"/>
      <c r="D652" s="9"/>
      <c r="E652" s="10"/>
      <c r="F652" s="9"/>
      <c r="G652" s="10"/>
      <c r="H652" s="9"/>
    </row>
    <row r="653">
      <c r="A653" s="8"/>
      <c r="B653" s="9"/>
      <c r="C653" s="10"/>
      <c r="D653" s="9"/>
      <c r="E653" s="10"/>
      <c r="F653" s="9"/>
      <c r="G653" s="10"/>
      <c r="H653" s="9"/>
    </row>
    <row r="654">
      <c r="A654" s="8"/>
      <c r="B654" s="9"/>
      <c r="C654" s="10"/>
      <c r="D654" s="9"/>
      <c r="E654" s="10"/>
      <c r="F654" s="9"/>
      <c r="G654" s="10"/>
      <c r="H654" s="9"/>
    </row>
    <row r="655">
      <c r="A655" s="8"/>
      <c r="B655" s="9"/>
      <c r="C655" s="10"/>
      <c r="D655" s="9"/>
      <c r="E655" s="10"/>
      <c r="F655" s="9"/>
      <c r="G655" s="10"/>
      <c r="H655" s="9"/>
    </row>
    <row r="656">
      <c r="A656" s="8"/>
      <c r="B656" s="9"/>
      <c r="C656" s="10"/>
      <c r="D656" s="9"/>
      <c r="E656" s="10"/>
      <c r="F656" s="9"/>
      <c r="G656" s="10"/>
      <c r="H656" s="9"/>
    </row>
    <row r="657">
      <c r="A657" s="8"/>
      <c r="B657" s="9"/>
      <c r="C657" s="10"/>
      <c r="D657" s="9"/>
      <c r="E657" s="10"/>
      <c r="F657" s="9"/>
      <c r="G657" s="10"/>
      <c r="H657" s="9"/>
    </row>
    <row r="658">
      <c r="A658" s="8"/>
      <c r="B658" s="9"/>
      <c r="C658" s="10"/>
      <c r="D658" s="9"/>
      <c r="E658" s="10"/>
      <c r="F658" s="9"/>
      <c r="G658" s="10"/>
      <c r="H658" s="9"/>
    </row>
    <row r="659">
      <c r="A659" s="8"/>
      <c r="B659" s="9"/>
      <c r="C659" s="10"/>
      <c r="D659" s="9"/>
      <c r="E659" s="10"/>
      <c r="F659" s="9"/>
      <c r="G659" s="10"/>
      <c r="H659" s="9"/>
    </row>
    <row r="660">
      <c r="A660" s="8"/>
      <c r="B660" s="9"/>
      <c r="C660" s="10"/>
      <c r="D660" s="9"/>
      <c r="E660" s="10"/>
      <c r="F660" s="9"/>
      <c r="G660" s="10"/>
      <c r="H660" s="9"/>
    </row>
    <row r="661">
      <c r="A661" s="8"/>
      <c r="B661" s="9"/>
      <c r="C661" s="10"/>
      <c r="D661" s="9"/>
      <c r="E661" s="10"/>
      <c r="F661" s="9"/>
      <c r="G661" s="10"/>
      <c r="H661" s="9"/>
    </row>
    <row r="662">
      <c r="A662" s="8"/>
      <c r="B662" s="9"/>
      <c r="C662" s="10"/>
      <c r="D662" s="9"/>
      <c r="E662" s="10"/>
      <c r="F662" s="9"/>
      <c r="G662" s="10"/>
      <c r="H662" s="9"/>
    </row>
    <row r="663">
      <c r="A663" s="8"/>
      <c r="B663" s="9"/>
      <c r="C663" s="10"/>
      <c r="D663" s="9"/>
      <c r="E663" s="10"/>
      <c r="F663" s="9"/>
      <c r="G663" s="10"/>
      <c r="H663" s="9"/>
    </row>
    <row r="664">
      <c r="A664" s="8"/>
      <c r="B664" s="9"/>
      <c r="C664" s="10"/>
      <c r="D664" s="9"/>
      <c r="E664" s="10"/>
      <c r="F664" s="9"/>
      <c r="G664" s="10"/>
      <c r="H664" s="9"/>
    </row>
    <row r="665">
      <c r="A665" s="8"/>
      <c r="B665" s="9"/>
      <c r="C665" s="10"/>
      <c r="D665" s="9"/>
      <c r="E665" s="10"/>
      <c r="F665" s="9"/>
      <c r="G665" s="10"/>
      <c r="H665" s="9"/>
    </row>
    <row r="666">
      <c r="A666" s="8"/>
      <c r="B666" s="9"/>
      <c r="C666" s="10"/>
      <c r="D666" s="9"/>
      <c r="E666" s="10"/>
      <c r="F666" s="9"/>
      <c r="G666" s="10"/>
      <c r="H666" s="9"/>
    </row>
    <row r="667">
      <c r="A667" s="8"/>
      <c r="B667" s="9"/>
      <c r="C667" s="10"/>
      <c r="D667" s="9"/>
      <c r="E667" s="10"/>
      <c r="F667" s="9"/>
      <c r="G667" s="10"/>
      <c r="H667" s="9"/>
    </row>
    <row r="668">
      <c r="A668" s="8"/>
      <c r="B668" s="9"/>
      <c r="C668" s="10"/>
      <c r="D668" s="9"/>
      <c r="E668" s="10"/>
      <c r="F668" s="9"/>
      <c r="G668" s="10"/>
      <c r="H668" s="9"/>
    </row>
    <row r="669">
      <c r="A669" s="8"/>
      <c r="B669" s="9"/>
      <c r="C669" s="10"/>
      <c r="D669" s="9"/>
      <c r="E669" s="10"/>
      <c r="F669" s="9"/>
      <c r="G669" s="10"/>
      <c r="H669" s="9"/>
    </row>
    <row r="670">
      <c r="A670" s="8"/>
      <c r="B670" s="9"/>
      <c r="C670" s="10"/>
      <c r="D670" s="9"/>
      <c r="E670" s="10"/>
      <c r="F670" s="9"/>
      <c r="G670" s="10"/>
      <c r="H670" s="9"/>
    </row>
    <row r="671">
      <c r="A671" s="8"/>
      <c r="B671" s="9"/>
      <c r="C671" s="10"/>
      <c r="D671" s="9"/>
      <c r="E671" s="10"/>
      <c r="F671" s="9"/>
      <c r="G671" s="10"/>
      <c r="H671" s="9"/>
    </row>
    <row r="672">
      <c r="A672" s="8"/>
      <c r="B672" s="9"/>
      <c r="C672" s="10"/>
      <c r="D672" s="9"/>
      <c r="E672" s="10"/>
      <c r="F672" s="9"/>
      <c r="G672" s="10"/>
      <c r="H672" s="9"/>
    </row>
    <row r="673">
      <c r="A673" s="8"/>
      <c r="B673" s="9"/>
      <c r="C673" s="10"/>
      <c r="D673" s="9"/>
      <c r="E673" s="10"/>
      <c r="F673" s="9"/>
      <c r="G673" s="10"/>
      <c r="H673" s="9"/>
    </row>
    <row r="674">
      <c r="A674" s="8"/>
      <c r="B674" s="9"/>
      <c r="C674" s="10"/>
      <c r="D674" s="9"/>
      <c r="E674" s="10"/>
      <c r="F674" s="9"/>
      <c r="G674" s="10"/>
      <c r="H674" s="9"/>
    </row>
    <row r="675">
      <c r="A675" s="8"/>
      <c r="B675" s="9"/>
      <c r="C675" s="10"/>
      <c r="D675" s="9"/>
      <c r="E675" s="10"/>
      <c r="F675" s="9"/>
      <c r="G675" s="10"/>
      <c r="H675" s="9"/>
    </row>
    <row r="676">
      <c r="A676" s="8"/>
      <c r="B676" s="9"/>
      <c r="C676" s="10"/>
      <c r="D676" s="9"/>
      <c r="E676" s="10"/>
      <c r="F676" s="9"/>
      <c r="G676" s="10"/>
      <c r="H676" s="9"/>
    </row>
    <row r="677">
      <c r="A677" s="8"/>
      <c r="B677" s="9"/>
      <c r="C677" s="10"/>
      <c r="D677" s="9"/>
      <c r="E677" s="10"/>
      <c r="F677" s="9"/>
      <c r="G677" s="10"/>
      <c r="H677" s="9"/>
    </row>
    <row r="678">
      <c r="A678" s="8"/>
      <c r="B678" s="9"/>
      <c r="C678" s="10"/>
      <c r="D678" s="9"/>
      <c r="E678" s="10"/>
      <c r="F678" s="9"/>
      <c r="G678" s="10"/>
      <c r="H678" s="9"/>
    </row>
    <row r="679">
      <c r="A679" s="8"/>
      <c r="B679" s="9"/>
      <c r="C679" s="10"/>
      <c r="D679" s="9"/>
      <c r="E679" s="10"/>
      <c r="F679" s="9"/>
      <c r="G679" s="10"/>
      <c r="H679" s="9"/>
    </row>
    <row r="680">
      <c r="A680" s="8"/>
      <c r="B680" s="9"/>
      <c r="C680" s="10"/>
      <c r="D680" s="9"/>
      <c r="E680" s="10"/>
      <c r="F680" s="9"/>
      <c r="G680" s="10"/>
      <c r="H680" s="9"/>
    </row>
    <row r="681">
      <c r="A681" s="8"/>
      <c r="B681" s="9"/>
      <c r="C681" s="10"/>
      <c r="D681" s="9"/>
      <c r="E681" s="10"/>
      <c r="F681" s="9"/>
      <c r="G681" s="10"/>
      <c r="H681" s="9"/>
    </row>
    <row r="682">
      <c r="A682" s="8"/>
      <c r="B682" s="9"/>
      <c r="C682" s="10"/>
      <c r="D682" s="9"/>
      <c r="E682" s="10"/>
      <c r="F682" s="9"/>
      <c r="G682" s="10"/>
      <c r="H682" s="9"/>
    </row>
    <row r="683">
      <c r="A683" s="8"/>
      <c r="B683" s="9"/>
      <c r="C683" s="10"/>
      <c r="D683" s="9"/>
      <c r="E683" s="10"/>
      <c r="F683" s="9"/>
      <c r="G683" s="10"/>
      <c r="H683" s="9"/>
    </row>
    <row r="684">
      <c r="A684" s="8"/>
      <c r="B684" s="9"/>
      <c r="C684" s="10"/>
      <c r="D684" s="9"/>
      <c r="E684" s="10"/>
      <c r="F684" s="9"/>
      <c r="G684" s="10"/>
      <c r="H684" s="9"/>
    </row>
    <row r="685">
      <c r="A685" s="8"/>
      <c r="B685" s="9"/>
      <c r="C685" s="10"/>
      <c r="D685" s="9"/>
      <c r="E685" s="10"/>
      <c r="F685" s="9"/>
      <c r="G685" s="10"/>
      <c r="H685" s="9"/>
    </row>
    <row r="686">
      <c r="A686" s="8"/>
      <c r="B686" s="9"/>
      <c r="C686" s="10"/>
      <c r="D686" s="9"/>
      <c r="E686" s="10"/>
      <c r="F686" s="9"/>
      <c r="G686" s="10"/>
      <c r="H686" s="9"/>
    </row>
    <row r="687">
      <c r="A687" s="8"/>
      <c r="B687" s="9"/>
      <c r="C687" s="10"/>
      <c r="D687" s="9"/>
      <c r="E687" s="10"/>
      <c r="F687" s="9"/>
      <c r="G687" s="10"/>
      <c r="H687" s="9"/>
    </row>
    <row r="688">
      <c r="A688" s="8"/>
      <c r="B688" s="9"/>
      <c r="C688" s="10"/>
      <c r="D688" s="9"/>
      <c r="E688" s="10"/>
      <c r="F688" s="9"/>
      <c r="G688" s="10"/>
      <c r="H688" s="9"/>
    </row>
    <row r="689">
      <c r="A689" s="8"/>
      <c r="B689" s="9"/>
      <c r="C689" s="10"/>
      <c r="D689" s="9"/>
      <c r="E689" s="10"/>
      <c r="F689" s="9"/>
      <c r="G689" s="10"/>
      <c r="H689" s="9"/>
    </row>
    <row r="690">
      <c r="A690" s="8"/>
      <c r="B690" s="9"/>
      <c r="C690" s="10"/>
      <c r="D690" s="9"/>
      <c r="E690" s="10"/>
      <c r="F690" s="9"/>
      <c r="G690" s="10"/>
      <c r="H690" s="9"/>
    </row>
    <row r="691">
      <c r="A691" s="8"/>
      <c r="B691" s="9"/>
      <c r="C691" s="10"/>
      <c r="D691" s="9"/>
      <c r="E691" s="10"/>
      <c r="F691" s="9"/>
      <c r="G691" s="10"/>
      <c r="H691" s="9"/>
    </row>
    <row r="692">
      <c r="A692" s="8"/>
      <c r="B692" s="9"/>
      <c r="C692" s="10"/>
      <c r="D692" s="9"/>
      <c r="E692" s="10"/>
      <c r="F692" s="9"/>
      <c r="G692" s="10"/>
      <c r="H692" s="9"/>
    </row>
    <row r="693">
      <c r="A693" s="8"/>
      <c r="B693" s="9"/>
      <c r="C693" s="10"/>
      <c r="D693" s="9"/>
      <c r="E693" s="10"/>
      <c r="F693" s="9"/>
      <c r="G693" s="10"/>
      <c r="H693" s="9"/>
    </row>
    <row r="694">
      <c r="A694" s="8"/>
      <c r="B694" s="9"/>
      <c r="C694" s="10"/>
      <c r="D694" s="9"/>
      <c r="E694" s="10"/>
      <c r="F694" s="9"/>
      <c r="G694" s="10"/>
      <c r="H694" s="9"/>
    </row>
    <row r="695">
      <c r="A695" s="8"/>
      <c r="B695" s="9"/>
      <c r="C695" s="10"/>
      <c r="D695" s="9"/>
      <c r="E695" s="10"/>
      <c r="F695" s="9"/>
      <c r="G695" s="10"/>
      <c r="H695" s="9"/>
    </row>
    <row r="696">
      <c r="A696" s="8"/>
      <c r="B696" s="9"/>
      <c r="C696" s="10"/>
      <c r="D696" s="9"/>
      <c r="E696" s="10"/>
      <c r="F696" s="9"/>
      <c r="G696" s="10"/>
      <c r="H696" s="9"/>
    </row>
    <row r="697">
      <c r="A697" s="8"/>
      <c r="B697" s="9"/>
      <c r="C697" s="10"/>
      <c r="D697" s="9"/>
      <c r="E697" s="10"/>
      <c r="F697" s="9"/>
      <c r="G697" s="10"/>
      <c r="H697" s="9"/>
    </row>
    <row r="698">
      <c r="A698" s="8"/>
      <c r="B698" s="9"/>
      <c r="C698" s="10"/>
      <c r="D698" s="9"/>
      <c r="E698" s="10"/>
      <c r="F698" s="9"/>
      <c r="G698" s="10"/>
      <c r="H698" s="9"/>
    </row>
    <row r="699">
      <c r="A699" s="8"/>
      <c r="B699" s="9"/>
      <c r="C699" s="10"/>
      <c r="D699" s="9"/>
      <c r="E699" s="10"/>
      <c r="F699" s="9"/>
      <c r="G699" s="10"/>
      <c r="H699" s="9"/>
    </row>
    <row r="700">
      <c r="A700" s="8"/>
      <c r="B700" s="9"/>
      <c r="C700" s="10"/>
      <c r="D700" s="9"/>
      <c r="E700" s="10"/>
      <c r="F700" s="9"/>
      <c r="G700" s="10"/>
      <c r="H700" s="9"/>
    </row>
    <row r="701">
      <c r="A701" s="8"/>
      <c r="B701" s="9"/>
      <c r="C701" s="10"/>
      <c r="D701" s="9"/>
      <c r="E701" s="10"/>
      <c r="F701" s="9"/>
      <c r="G701" s="10"/>
      <c r="H701" s="9"/>
    </row>
    <row r="702">
      <c r="A702" s="8"/>
      <c r="B702" s="9"/>
      <c r="C702" s="10"/>
      <c r="D702" s="9"/>
      <c r="E702" s="10"/>
      <c r="F702" s="9"/>
      <c r="G702" s="10"/>
      <c r="H702" s="9"/>
    </row>
    <row r="703">
      <c r="A703" s="8"/>
      <c r="B703" s="9"/>
      <c r="C703" s="10"/>
      <c r="D703" s="9"/>
      <c r="E703" s="10"/>
      <c r="F703" s="9"/>
      <c r="G703" s="10"/>
      <c r="H703" s="9"/>
    </row>
    <row r="704">
      <c r="A704" s="8"/>
      <c r="B704" s="9"/>
      <c r="C704" s="10"/>
      <c r="D704" s="9"/>
      <c r="E704" s="10"/>
      <c r="F704" s="9"/>
      <c r="G704" s="10"/>
      <c r="H704" s="9"/>
    </row>
    <row r="705">
      <c r="A705" s="8"/>
      <c r="B705" s="9"/>
      <c r="C705" s="10"/>
      <c r="D705" s="9"/>
      <c r="E705" s="10"/>
      <c r="F705" s="9"/>
      <c r="G705" s="10"/>
      <c r="H705" s="9"/>
    </row>
    <row r="706">
      <c r="A706" s="8"/>
      <c r="B706" s="9"/>
      <c r="C706" s="10"/>
      <c r="D706" s="9"/>
      <c r="E706" s="10"/>
      <c r="F706" s="9"/>
      <c r="G706" s="10"/>
      <c r="H706" s="9"/>
    </row>
    <row r="707">
      <c r="A707" s="8"/>
      <c r="B707" s="9"/>
      <c r="C707" s="10"/>
      <c r="D707" s="9"/>
      <c r="E707" s="10"/>
      <c r="F707" s="9"/>
      <c r="G707" s="10"/>
      <c r="H707" s="9"/>
    </row>
    <row r="708">
      <c r="A708" s="8"/>
      <c r="B708" s="9"/>
      <c r="C708" s="10"/>
      <c r="D708" s="9"/>
      <c r="E708" s="10"/>
      <c r="F708" s="9"/>
      <c r="G708" s="10"/>
      <c r="H708" s="9"/>
    </row>
    <row r="709">
      <c r="A709" s="8"/>
      <c r="B709" s="9"/>
      <c r="C709" s="10"/>
      <c r="D709" s="9"/>
      <c r="E709" s="10"/>
      <c r="F709" s="9"/>
      <c r="G709" s="10"/>
      <c r="H709" s="9"/>
    </row>
    <row r="710">
      <c r="A710" s="8"/>
      <c r="B710" s="9"/>
      <c r="C710" s="10"/>
      <c r="D710" s="9"/>
      <c r="E710" s="10"/>
      <c r="F710" s="9"/>
      <c r="G710" s="10"/>
      <c r="H710" s="9"/>
    </row>
    <row r="711">
      <c r="A711" s="8"/>
      <c r="B711" s="9"/>
      <c r="C711" s="10"/>
      <c r="D711" s="9"/>
      <c r="E711" s="10"/>
      <c r="F711" s="9"/>
      <c r="G711" s="10"/>
      <c r="H711" s="9"/>
    </row>
    <row r="712">
      <c r="A712" s="8"/>
      <c r="B712" s="9"/>
      <c r="C712" s="10"/>
      <c r="D712" s="9"/>
      <c r="E712" s="10"/>
      <c r="F712" s="9"/>
      <c r="G712" s="10"/>
      <c r="H712" s="9"/>
    </row>
    <row r="713">
      <c r="A713" s="8"/>
      <c r="B713" s="9"/>
      <c r="C713" s="10"/>
      <c r="D713" s="9"/>
      <c r="E713" s="10"/>
      <c r="F713" s="9"/>
      <c r="G713" s="10"/>
      <c r="H713" s="9"/>
    </row>
    <row r="714">
      <c r="A714" s="8"/>
      <c r="B714" s="9"/>
      <c r="C714" s="10"/>
      <c r="D714" s="9"/>
      <c r="E714" s="10"/>
      <c r="F714" s="9"/>
      <c r="G714" s="10"/>
      <c r="H714" s="9"/>
    </row>
    <row r="715">
      <c r="A715" s="8"/>
      <c r="B715" s="9"/>
      <c r="C715" s="10"/>
      <c r="D715" s="9"/>
      <c r="E715" s="10"/>
      <c r="F715" s="9"/>
      <c r="G715" s="10"/>
      <c r="H715" s="9"/>
    </row>
    <row r="716">
      <c r="A716" s="8"/>
      <c r="B716" s="9"/>
      <c r="C716" s="10"/>
      <c r="D716" s="9"/>
      <c r="E716" s="10"/>
      <c r="F716" s="9"/>
      <c r="G716" s="10"/>
      <c r="H716" s="9"/>
    </row>
    <row r="717">
      <c r="A717" s="8"/>
      <c r="B717" s="9"/>
      <c r="C717" s="10"/>
      <c r="D717" s="9"/>
      <c r="E717" s="10"/>
      <c r="F717" s="9"/>
      <c r="G717" s="10"/>
      <c r="H717" s="9"/>
    </row>
    <row r="718">
      <c r="A718" s="8"/>
      <c r="B718" s="9"/>
      <c r="C718" s="10"/>
      <c r="D718" s="9"/>
      <c r="E718" s="10"/>
      <c r="F718" s="9"/>
      <c r="G718" s="10"/>
      <c r="H718" s="9"/>
    </row>
    <row r="719">
      <c r="A719" s="8"/>
      <c r="B719" s="9"/>
      <c r="C719" s="10"/>
      <c r="D719" s="9"/>
      <c r="E719" s="10"/>
      <c r="F719" s="9"/>
      <c r="G719" s="10"/>
      <c r="H719" s="9"/>
    </row>
    <row r="720">
      <c r="A720" s="8"/>
      <c r="B720" s="9"/>
      <c r="C720" s="10"/>
      <c r="D720" s="9"/>
      <c r="E720" s="10"/>
      <c r="F720" s="9"/>
      <c r="G720" s="10"/>
      <c r="H720" s="9"/>
    </row>
    <row r="721">
      <c r="A721" s="8"/>
      <c r="B721" s="9"/>
      <c r="C721" s="10"/>
      <c r="D721" s="9"/>
      <c r="E721" s="10"/>
      <c r="F721" s="9"/>
      <c r="G721" s="10"/>
      <c r="H721" s="9"/>
    </row>
    <row r="722">
      <c r="A722" s="8"/>
      <c r="B722" s="9"/>
      <c r="C722" s="10"/>
      <c r="D722" s="9"/>
      <c r="E722" s="10"/>
      <c r="F722" s="9"/>
      <c r="G722" s="10"/>
      <c r="H722" s="9"/>
    </row>
    <row r="723">
      <c r="A723" s="8"/>
      <c r="B723" s="9"/>
      <c r="C723" s="10"/>
      <c r="D723" s="9"/>
      <c r="E723" s="10"/>
      <c r="F723" s="9"/>
      <c r="G723" s="10"/>
      <c r="H723" s="9"/>
    </row>
    <row r="724">
      <c r="A724" s="8"/>
      <c r="B724" s="9"/>
      <c r="C724" s="10"/>
      <c r="D724" s="9"/>
      <c r="E724" s="10"/>
      <c r="F724" s="9"/>
      <c r="G724" s="10"/>
      <c r="H724" s="9"/>
    </row>
    <row r="725">
      <c r="A725" s="8"/>
      <c r="B725" s="9"/>
      <c r="C725" s="10"/>
      <c r="D725" s="9"/>
      <c r="E725" s="10"/>
      <c r="F725" s="9"/>
      <c r="G725" s="10"/>
      <c r="H725" s="9"/>
    </row>
    <row r="726">
      <c r="A726" s="8"/>
      <c r="B726" s="9"/>
      <c r="C726" s="10"/>
      <c r="D726" s="9"/>
      <c r="E726" s="10"/>
      <c r="F726" s="9"/>
      <c r="G726" s="10"/>
      <c r="H726" s="9"/>
    </row>
    <row r="727">
      <c r="A727" s="8"/>
      <c r="B727" s="9"/>
      <c r="C727" s="10"/>
      <c r="D727" s="9"/>
      <c r="E727" s="10"/>
      <c r="F727" s="9"/>
      <c r="G727" s="10"/>
      <c r="H727" s="9"/>
    </row>
    <row r="728">
      <c r="A728" s="8"/>
      <c r="B728" s="9"/>
      <c r="C728" s="10"/>
      <c r="D728" s="9"/>
      <c r="E728" s="10"/>
      <c r="F728" s="9"/>
      <c r="G728" s="10"/>
      <c r="H728" s="9"/>
    </row>
    <row r="729">
      <c r="A729" s="8"/>
      <c r="B729" s="9"/>
      <c r="C729" s="10"/>
      <c r="D729" s="9"/>
      <c r="E729" s="10"/>
      <c r="F729" s="9"/>
      <c r="G729" s="10"/>
      <c r="H729" s="9"/>
    </row>
    <row r="730">
      <c r="A730" s="8"/>
      <c r="B730" s="9"/>
      <c r="C730" s="10"/>
      <c r="D730" s="9"/>
      <c r="E730" s="10"/>
      <c r="F730" s="9"/>
      <c r="G730" s="10"/>
      <c r="H730" s="9"/>
    </row>
    <row r="731">
      <c r="A731" s="8"/>
      <c r="B731" s="9"/>
      <c r="C731" s="10"/>
      <c r="D731" s="9"/>
      <c r="E731" s="10"/>
      <c r="F731" s="9"/>
      <c r="G731" s="10"/>
      <c r="H731" s="9"/>
    </row>
    <row r="732">
      <c r="A732" s="8"/>
      <c r="B732" s="9"/>
      <c r="C732" s="10"/>
      <c r="D732" s="9"/>
      <c r="E732" s="10"/>
      <c r="F732" s="9"/>
      <c r="G732" s="10"/>
      <c r="H732" s="9"/>
    </row>
    <row r="733">
      <c r="A733" s="8"/>
      <c r="B733" s="9"/>
      <c r="C733" s="10"/>
      <c r="D733" s="9"/>
      <c r="E733" s="10"/>
      <c r="F733" s="9"/>
      <c r="G733" s="10"/>
      <c r="H733" s="9"/>
    </row>
    <row r="734">
      <c r="A734" s="8"/>
      <c r="B734" s="9"/>
      <c r="C734" s="10"/>
      <c r="D734" s="9"/>
      <c r="E734" s="10"/>
      <c r="F734" s="9"/>
      <c r="G734" s="10"/>
      <c r="H734" s="9"/>
    </row>
    <row r="735">
      <c r="A735" s="8"/>
      <c r="B735" s="9"/>
      <c r="C735" s="10"/>
      <c r="D735" s="9"/>
      <c r="E735" s="10"/>
      <c r="F735" s="9"/>
      <c r="G735" s="10"/>
      <c r="H735" s="9"/>
    </row>
    <row r="736">
      <c r="A736" s="8"/>
      <c r="B736" s="9"/>
      <c r="C736" s="10"/>
      <c r="D736" s="9"/>
      <c r="E736" s="10"/>
      <c r="F736" s="9"/>
      <c r="G736" s="10"/>
      <c r="H736" s="9"/>
    </row>
    <row r="737">
      <c r="A737" s="8"/>
      <c r="B737" s="9"/>
      <c r="C737" s="10"/>
      <c r="D737" s="9"/>
      <c r="E737" s="10"/>
      <c r="F737" s="9"/>
      <c r="G737" s="10"/>
      <c r="H737" s="9"/>
    </row>
    <row r="738">
      <c r="A738" s="8"/>
      <c r="B738" s="9"/>
      <c r="C738" s="10"/>
      <c r="D738" s="9"/>
      <c r="E738" s="10"/>
      <c r="F738" s="9"/>
      <c r="G738" s="10"/>
      <c r="H738" s="9"/>
    </row>
    <row r="739">
      <c r="A739" s="8"/>
      <c r="B739" s="9"/>
      <c r="C739" s="10"/>
      <c r="D739" s="9"/>
      <c r="E739" s="10"/>
      <c r="F739" s="9"/>
      <c r="G739" s="10"/>
      <c r="H739" s="9"/>
    </row>
    <row r="740">
      <c r="A740" s="8"/>
      <c r="B740" s="9"/>
      <c r="C740" s="10"/>
      <c r="D740" s="9"/>
      <c r="E740" s="10"/>
      <c r="F740" s="9"/>
      <c r="G740" s="10"/>
      <c r="H740" s="9"/>
    </row>
    <row r="741">
      <c r="A741" s="8"/>
      <c r="B741" s="9"/>
      <c r="C741" s="10"/>
      <c r="D741" s="9"/>
      <c r="E741" s="10"/>
      <c r="F741" s="9"/>
      <c r="G741" s="10"/>
      <c r="H741" s="9"/>
    </row>
    <row r="742">
      <c r="A742" s="8"/>
      <c r="B742" s="9"/>
      <c r="C742" s="10"/>
      <c r="D742" s="9"/>
      <c r="E742" s="10"/>
      <c r="F742" s="9"/>
      <c r="G742" s="10"/>
      <c r="H742" s="9"/>
    </row>
    <row r="743">
      <c r="A743" s="8"/>
      <c r="B743" s="9"/>
      <c r="C743" s="10"/>
      <c r="D743" s="9"/>
      <c r="E743" s="10"/>
      <c r="F743" s="9"/>
      <c r="G743" s="10"/>
      <c r="H743" s="9"/>
    </row>
    <row r="744">
      <c r="A744" s="8"/>
      <c r="B744" s="9"/>
      <c r="C744" s="10"/>
      <c r="D744" s="9"/>
      <c r="E744" s="10"/>
      <c r="F744" s="9"/>
      <c r="G744" s="10"/>
      <c r="H744" s="9"/>
    </row>
    <row r="745">
      <c r="A745" s="8"/>
      <c r="B745" s="9"/>
      <c r="C745" s="10"/>
      <c r="D745" s="9"/>
      <c r="E745" s="10"/>
      <c r="F745" s="9"/>
      <c r="G745" s="10"/>
      <c r="H745" s="9"/>
    </row>
    <row r="746">
      <c r="A746" s="8"/>
      <c r="B746" s="9"/>
      <c r="C746" s="10"/>
      <c r="D746" s="9"/>
      <c r="E746" s="10"/>
      <c r="F746" s="9"/>
      <c r="G746" s="10"/>
      <c r="H746" s="9"/>
    </row>
    <row r="747">
      <c r="A747" s="8"/>
      <c r="B747" s="9"/>
      <c r="C747" s="10"/>
      <c r="D747" s="9"/>
      <c r="E747" s="10"/>
      <c r="F747" s="9"/>
      <c r="G747" s="10"/>
      <c r="H747" s="9"/>
    </row>
    <row r="748">
      <c r="A748" s="8"/>
      <c r="B748" s="9"/>
      <c r="C748" s="10"/>
      <c r="D748" s="9"/>
      <c r="E748" s="10"/>
      <c r="F748" s="9"/>
      <c r="G748" s="10"/>
      <c r="H748" s="9"/>
    </row>
    <row r="749">
      <c r="A749" s="8"/>
      <c r="B749" s="9"/>
      <c r="C749" s="10"/>
      <c r="D749" s="9"/>
      <c r="E749" s="10"/>
      <c r="F749" s="9"/>
      <c r="G749" s="10"/>
      <c r="H749" s="9"/>
    </row>
    <row r="750">
      <c r="A750" s="8"/>
      <c r="B750" s="9"/>
      <c r="C750" s="10"/>
      <c r="D750" s="9"/>
      <c r="E750" s="10"/>
      <c r="F750" s="9"/>
      <c r="G750" s="10"/>
      <c r="H750" s="9"/>
    </row>
    <row r="751">
      <c r="A751" s="8"/>
      <c r="B751" s="9"/>
      <c r="C751" s="10"/>
      <c r="D751" s="9"/>
      <c r="E751" s="10"/>
      <c r="F751" s="9"/>
      <c r="G751" s="10"/>
      <c r="H751" s="9"/>
    </row>
    <row r="752">
      <c r="A752" s="8"/>
      <c r="B752" s="9"/>
      <c r="C752" s="10"/>
      <c r="D752" s="9"/>
      <c r="E752" s="10"/>
      <c r="F752" s="9"/>
      <c r="G752" s="10"/>
      <c r="H752" s="9"/>
    </row>
    <row r="753">
      <c r="A753" s="8"/>
      <c r="B753" s="9"/>
      <c r="C753" s="10"/>
      <c r="D753" s="9"/>
      <c r="E753" s="10"/>
      <c r="F753" s="9"/>
      <c r="G753" s="10"/>
      <c r="H753" s="9"/>
    </row>
    <row r="754">
      <c r="A754" s="8"/>
      <c r="B754" s="9"/>
      <c r="C754" s="10"/>
      <c r="D754" s="9"/>
      <c r="E754" s="10"/>
      <c r="F754" s="9"/>
      <c r="G754" s="10"/>
      <c r="H754" s="9"/>
    </row>
    <row r="755">
      <c r="A755" s="8"/>
      <c r="B755" s="9"/>
      <c r="C755" s="10"/>
      <c r="D755" s="9"/>
      <c r="E755" s="10"/>
      <c r="F755" s="9"/>
      <c r="G755" s="10"/>
      <c r="H755" s="9"/>
    </row>
    <row r="756">
      <c r="A756" s="8"/>
      <c r="B756" s="9"/>
      <c r="C756" s="10"/>
      <c r="D756" s="9"/>
      <c r="E756" s="10"/>
      <c r="F756" s="9"/>
      <c r="G756" s="10"/>
      <c r="H756" s="9"/>
    </row>
    <row r="757">
      <c r="A757" s="8"/>
      <c r="B757" s="9"/>
      <c r="C757" s="10"/>
      <c r="D757" s="9"/>
      <c r="E757" s="10"/>
      <c r="F757" s="9"/>
      <c r="G757" s="10"/>
      <c r="H757" s="9"/>
    </row>
    <row r="758">
      <c r="A758" s="8"/>
      <c r="B758" s="9"/>
      <c r="C758" s="10"/>
      <c r="D758" s="9"/>
      <c r="E758" s="10"/>
      <c r="F758" s="9"/>
      <c r="G758" s="10"/>
      <c r="H758" s="9"/>
    </row>
    <row r="759">
      <c r="A759" s="8"/>
      <c r="B759" s="9"/>
      <c r="C759" s="10"/>
      <c r="D759" s="9"/>
      <c r="E759" s="10"/>
      <c r="F759" s="9"/>
      <c r="G759" s="10"/>
      <c r="H759" s="9"/>
    </row>
    <row r="760">
      <c r="A760" s="8"/>
      <c r="B760" s="9"/>
      <c r="C760" s="10"/>
      <c r="D760" s="9"/>
      <c r="E760" s="10"/>
      <c r="F760" s="9"/>
      <c r="G760" s="10"/>
      <c r="H760" s="9"/>
    </row>
    <row r="761">
      <c r="A761" s="8"/>
      <c r="B761" s="9"/>
      <c r="C761" s="10"/>
      <c r="D761" s="9"/>
      <c r="E761" s="10"/>
      <c r="F761" s="9"/>
      <c r="G761" s="10"/>
      <c r="H761" s="9"/>
    </row>
    <row r="762">
      <c r="A762" s="8"/>
      <c r="B762" s="9"/>
      <c r="C762" s="10"/>
      <c r="D762" s="9"/>
      <c r="E762" s="10"/>
      <c r="F762" s="9"/>
      <c r="G762" s="10"/>
      <c r="H762" s="9"/>
    </row>
    <row r="763">
      <c r="A763" s="8"/>
      <c r="B763" s="9"/>
      <c r="C763" s="10"/>
      <c r="D763" s="9"/>
      <c r="E763" s="10"/>
      <c r="F763" s="9"/>
      <c r="G763" s="10"/>
      <c r="H763" s="9"/>
    </row>
    <row r="764">
      <c r="A764" s="8"/>
      <c r="B764" s="9"/>
      <c r="C764" s="10"/>
      <c r="D764" s="9"/>
      <c r="E764" s="10"/>
      <c r="F764" s="9"/>
      <c r="G764" s="10"/>
      <c r="H764" s="9"/>
    </row>
    <row r="765">
      <c r="A765" s="8"/>
      <c r="B765" s="9"/>
      <c r="C765" s="10"/>
      <c r="D765" s="9"/>
      <c r="E765" s="10"/>
      <c r="F765" s="9"/>
      <c r="G765" s="10"/>
      <c r="H765" s="9"/>
    </row>
    <row r="766">
      <c r="A766" s="8"/>
      <c r="B766" s="9"/>
      <c r="C766" s="10"/>
      <c r="D766" s="9"/>
      <c r="E766" s="10"/>
      <c r="F766" s="9"/>
      <c r="G766" s="10"/>
      <c r="H766" s="9"/>
    </row>
    <row r="767">
      <c r="A767" s="8"/>
      <c r="B767" s="9"/>
      <c r="C767" s="10"/>
      <c r="D767" s="9"/>
      <c r="E767" s="10"/>
      <c r="F767" s="9"/>
      <c r="G767" s="10"/>
      <c r="H767" s="9"/>
    </row>
    <row r="768">
      <c r="A768" s="8"/>
      <c r="B768" s="9"/>
      <c r="C768" s="10"/>
      <c r="D768" s="9"/>
      <c r="E768" s="10"/>
      <c r="F768" s="9"/>
      <c r="G768" s="10"/>
      <c r="H768" s="9"/>
    </row>
    <row r="769">
      <c r="A769" s="8"/>
      <c r="B769" s="9"/>
      <c r="C769" s="10"/>
      <c r="D769" s="9"/>
      <c r="E769" s="10"/>
      <c r="F769" s="9"/>
      <c r="G769" s="10"/>
      <c r="H769" s="9"/>
    </row>
    <row r="770">
      <c r="A770" s="8"/>
      <c r="B770" s="9"/>
      <c r="C770" s="10"/>
      <c r="D770" s="9"/>
      <c r="E770" s="10"/>
      <c r="F770" s="9"/>
      <c r="G770" s="10"/>
      <c r="H770" s="9"/>
    </row>
    <row r="771">
      <c r="A771" s="8"/>
      <c r="B771" s="9"/>
      <c r="C771" s="10"/>
      <c r="D771" s="9"/>
      <c r="E771" s="10"/>
      <c r="F771" s="9"/>
      <c r="G771" s="10"/>
      <c r="H771" s="9"/>
    </row>
    <row r="772">
      <c r="A772" s="8"/>
      <c r="B772" s="9"/>
      <c r="C772" s="10"/>
      <c r="D772" s="9"/>
      <c r="E772" s="10"/>
      <c r="F772" s="9"/>
      <c r="G772" s="10"/>
      <c r="H772" s="9"/>
    </row>
    <row r="773">
      <c r="A773" s="8"/>
      <c r="B773" s="9"/>
      <c r="C773" s="10"/>
      <c r="D773" s="9"/>
      <c r="E773" s="10"/>
      <c r="F773" s="9"/>
      <c r="G773" s="10"/>
      <c r="H773" s="9"/>
    </row>
    <row r="774">
      <c r="A774" s="8"/>
      <c r="B774" s="9"/>
      <c r="C774" s="10"/>
      <c r="D774" s="9"/>
      <c r="E774" s="10"/>
      <c r="F774" s="9"/>
      <c r="G774" s="10"/>
      <c r="H774" s="9"/>
    </row>
    <row r="775">
      <c r="A775" s="8"/>
      <c r="B775" s="9"/>
      <c r="C775" s="10"/>
      <c r="D775" s="9"/>
      <c r="E775" s="10"/>
      <c r="F775" s="9"/>
      <c r="G775" s="10"/>
      <c r="H775" s="9"/>
    </row>
    <row r="776">
      <c r="A776" s="8"/>
      <c r="B776" s="9"/>
      <c r="C776" s="10"/>
      <c r="D776" s="9"/>
      <c r="E776" s="10"/>
      <c r="F776" s="9"/>
      <c r="G776" s="10"/>
      <c r="H776" s="9"/>
    </row>
    <row r="777">
      <c r="A777" s="8"/>
      <c r="B777" s="9"/>
      <c r="C777" s="10"/>
      <c r="D777" s="9"/>
      <c r="E777" s="10"/>
      <c r="F777" s="9"/>
      <c r="G777" s="10"/>
      <c r="H777" s="9"/>
    </row>
    <row r="778">
      <c r="A778" s="8"/>
      <c r="B778" s="9"/>
      <c r="C778" s="10"/>
      <c r="D778" s="9"/>
      <c r="E778" s="10"/>
      <c r="F778" s="9"/>
      <c r="G778" s="10"/>
      <c r="H778" s="9"/>
    </row>
    <row r="779">
      <c r="A779" s="8"/>
      <c r="B779" s="9"/>
      <c r="C779" s="10"/>
      <c r="D779" s="9"/>
      <c r="E779" s="10"/>
      <c r="F779" s="9"/>
      <c r="G779" s="10"/>
      <c r="H779" s="9"/>
    </row>
    <row r="780">
      <c r="A780" s="8"/>
      <c r="B780" s="9"/>
      <c r="C780" s="10"/>
      <c r="D780" s="9"/>
      <c r="E780" s="10"/>
      <c r="F780" s="9"/>
      <c r="G780" s="10"/>
      <c r="H780" s="9"/>
    </row>
    <row r="781">
      <c r="A781" s="8"/>
      <c r="B781" s="9"/>
      <c r="C781" s="10"/>
      <c r="D781" s="9"/>
      <c r="E781" s="10"/>
      <c r="F781" s="9"/>
      <c r="G781" s="10"/>
      <c r="H781" s="9"/>
    </row>
    <row r="782">
      <c r="A782" s="8"/>
      <c r="B782" s="9"/>
      <c r="C782" s="10"/>
      <c r="D782" s="9"/>
      <c r="E782" s="10"/>
      <c r="F782" s="9"/>
      <c r="G782" s="10"/>
      <c r="H782" s="9"/>
    </row>
    <row r="783">
      <c r="A783" s="8"/>
      <c r="B783" s="9"/>
      <c r="C783" s="10"/>
      <c r="D783" s="9"/>
      <c r="E783" s="10"/>
      <c r="F783" s="9"/>
      <c r="G783" s="10"/>
      <c r="H783" s="9"/>
    </row>
    <row r="784">
      <c r="A784" s="8"/>
      <c r="B784" s="9"/>
      <c r="C784" s="10"/>
      <c r="D784" s="9"/>
      <c r="E784" s="10"/>
      <c r="F784" s="9"/>
      <c r="G784" s="10"/>
      <c r="H784" s="9"/>
    </row>
    <row r="785">
      <c r="A785" s="8"/>
      <c r="B785" s="9"/>
      <c r="C785" s="10"/>
      <c r="D785" s="9"/>
      <c r="E785" s="10"/>
      <c r="F785" s="9"/>
      <c r="G785" s="10"/>
      <c r="H785" s="9"/>
    </row>
    <row r="786">
      <c r="A786" s="8"/>
      <c r="B786" s="9"/>
      <c r="C786" s="10"/>
      <c r="D786" s="9"/>
      <c r="E786" s="10"/>
      <c r="F786" s="9"/>
      <c r="G786" s="10"/>
      <c r="H786" s="9"/>
    </row>
    <row r="787">
      <c r="A787" s="8"/>
      <c r="B787" s="9"/>
      <c r="C787" s="10"/>
      <c r="D787" s="9"/>
      <c r="E787" s="10"/>
      <c r="F787" s="9"/>
      <c r="G787" s="10"/>
      <c r="H787" s="9"/>
    </row>
    <row r="788">
      <c r="A788" s="8"/>
      <c r="B788" s="9"/>
      <c r="C788" s="10"/>
      <c r="D788" s="9"/>
      <c r="E788" s="10"/>
      <c r="F788" s="9"/>
      <c r="G788" s="10"/>
      <c r="H788" s="9"/>
    </row>
    <row r="789">
      <c r="A789" s="8"/>
      <c r="B789" s="9"/>
      <c r="C789" s="10"/>
      <c r="D789" s="9"/>
      <c r="E789" s="10"/>
      <c r="F789" s="9"/>
      <c r="G789" s="10"/>
      <c r="H789" s="9"/>
    </row>
    <row r="790">
      <c r="A790" s="8"/>
      <c r="B790" s="9"/>
      <c r="C790" s="10"/>
      <c r="D790" s="9"/>
      <c r="E790" s="10"/>
      <c r="F790" s="9"/>
      <c r="G790" s="10"/>
      <c r="H790" s="9"/>
    </row>
    <row r="791">
      <c r="A791" s="8"/>
      <c r="B791" s="9"/>
      <c r="C791" s="10"/>
      <c r="D791" s="9"/>
      <c r="E791" s="10"/>
      <c r="F791" s="9"/>
      <c r="G791" s="10"/>
      <c r="H791" s="9"/>
    </row>
    <row r="792">
      <c r="A792" s="8"/>
      <c r="B792" s="9"/>
      <c r="C792" s="10"/>
      <c r="D792" s="9"/>
      <c r="E792" s="10"/>
      <c r="F792" s="9"/>
      <c r="G792" s="10"/>
      <c r="H792" s="9"/>
    </row>
    <row r="793">
      <c r="A793" s="8"/>
      <c r="B793" s="9"/>
      <c r="C793" s="10"/>
      <c r="D793" s="9"/>
      <c r="E793" s="10"/>
      <c r="F793" s="9"/>
      <c r="G793" s="10"/>
      <c r="H793" s="9"/>
    </row>
    <row r="794">
      <c r="A794" s="8"/>
      <c r="B794" s="9"/>
      <c r="C794" s="10"/>
      <c r="D794" s="9"/>
      <c r="E794" s="10"/>
      <c r="F794" s="9"/>
      <c r="G794" s="10"/>
      <c r="H794" s="9"/>
    </row>
    <row r="795">
      <c r="A795" s="8"/>
      <c r="B795" s="9"/>
      <c r="C795" s="10"/>
      <c r="D795" s="9"/>
      <c r="E795" s="10"/>
      <c r="F795" s="9"/>
      <c r="G795" s="10"/>
      <c r="H795" s="9"/>
    </row>
    <row r="796">
      <c r="A796" s="8"/>
      <c r="B796" s="9"/>
      <c r="C796" s="10"/>
      <c r="D796" s="9"/>
      <c r="E796" s="10"/>
      <c r="F796" s="9"/>
      <c r="G796" s="10"/>
      <c r="H796" s="9"/>
    </row>
    <row r="797">
      <c r="A797" s="8"/>
      <c r="B797" s="9"/>
      <c r="C797" s="10"/>
      <c r="D797" s="9"/>
      <c r="E797" s="10"/>
      <c r="F797" s="9"/>
      <c r="G797" s="10"/>
      <c r="H797" s="9"/>
    </row>
    <row r="798">
      <c r="A798" s="8"/>
      <c r="B798" s="9"/>
      <c r="C798" s="10"/>
      <c r="D798" s="9"/>
      <c r="E798" s="10"/>
      <c r="F798" s="9"/>
      <c r="G798" s="10"/>
      <c r="H798" s="9"/>
    </row>
    <row r="799">
      <c r="A799" s="8"/>
      <c r="B799" s="9"/>
      <c r="C799" s="10"/>
      <c r="D799" s="9"/>
      <c r="E799" s="10"/>
      <c r="F799" s="9"/>
      <c r="G799" s="10"/>
      <c r="H799" s="9"/>
    </row>
    <row r="800">
      <c r="A800" s="8"/>
      <c r="B800" s="9"/>
      <c r="C800" s="10"/>
      <c r="D800" s="9"/>
      <c r="E800" s="10"/>
      <c r="F800" s="9"/>
      <c r="G800" s="10"/>
      <c r="H800" s="9"/>
    </row>
    <row r="801">
      <c r="A801" s="8"/>
      <c r="B801" s="9"/>
      <c r="C801" s="10"/>
      <c r="D801" s="9"/>
      <c r="E801" s="10"/>
      <c r="F801" s="9"/>
      <c r="G801" s="10"/>
      <c r="H801" s="9"/>
    </row>
    <row r="802">
      <c r="A802" s="8"/>
      <c r="B802" s="9"/>
      <c r="C802" s="10"/>
      <c r="D802" s="9"/>
      <c r="E802" s="10"/>
      <c r="F802" s="9"/>
      <c r="G802" s="10"/>
      <c r="H802" s="9"/>
    </row>
    <row r="803">
      <c r="A803" s="8"/>
      <c r="B803" s="9"/>
      <c r="C803" s="10"/>
      <c r="D803" s="9"/>
      <c r="E803" s="10"/>
      <c r="F803" s="9"/>
      <c r="G803" s="10"/>
      <c r="H803" s="9"/>
    </row>
    <row r="804">
      <c r="A804" s="8"/>
      <c r="B804" s="9"/>
      <c r="C804" s="10"/>
      <c r="D804" s="9"/>
      <c r="E804" s="10"/>
      <c r="F804" s="9"/>
      <c r="G804" s="10"/>
      <c r="H804" s="9"/>
    </row>
    <row r="805">
      <c r="A805" s="8"/>
      <c r="B805" s="9"/>
      <c r="C805" s="10"/>
      <c r="D805" s="9"/>
      <c r="E805" s="10"/>
      <c r="F805" s="9"/>
      <c r="G805" s="10"/>
      <c r="H805" s="9"/>
    </row>
    <row r="806">
      <c r="A806" s="8"/>
      <c r="B806" s="9"/>
      <c r="C806" s="10"/>
      <c r="D806" s="9"/>
      <c r="E806" s="10"/>
      <c r="F806" s="9"/>
      <c r="G806" s="10"/>
      <c r="H806" s="9"/>
    </row>
    <row r="807">
      <c r="A807" s="8"/>
      <c r="B807" s="9"/>
      <c r="C807" s="10"/>
      <c r="D807" s="9"/>
      <c r="E807" s="10"/>
      <c r="F807" s="9"/>
      <c r="G807" s="10"/>
      <c r="H807" s="9"/>
    </row>
    <row r="808">
      <c r="A808" s="8"/>
      <c r="B808" s="9"/>
      <c r="C808" s="10"/>
      <c r="D808" s="9"/>
      <c r="E808" s="10"/>
      <c r="F808" s="9"/>
      <c r="G808" s="10"/>
      <c r="H808" s="9"/>
    </row>
    <row r="809">
      <c r="A809" s="8"/>
      <c r="B809" s="9"/>
      <c r="C809" s="10"/>
      <c r="D809" s="9"/>
      <c r="E809" s="10"/>
      <c r="F809" s="9"/>
      <c r="G809" s="10"/>
      <c r="H809" s="9"/>
    </row>
    <row r="810">
      <c r="A810" s="8"/>
      <c r="B810" s="9"/>
      <c r="C810" s="10"/>
      <c r="D810" s="9"/>
      <c r="E810" s="10"/>
      <c r="F810" s="9"/>
      <c r="G810" s="10"/>
      <c r="H810" s="9"/>
    </row>
    <row r="811">
      <c r="A811" s="8"/>
      <c r="B811" s="9"/>
      <c r="C811" s="10"/>
      <c r="D811" s="9"/>
      <c r="E811" s="10"/>
      <c r="F811" s="9"/>
      <c r="G811" s="10"/>
      <c r="H811" s="9"/>
    </row>
    <row r="812">
      <c r="A812" s="8"/>
      <c r="B812" s="9"/>
      <c r="C812" s="10"/>
      <c r="D812" s="9"/>
      <c r="E812" s="10"/>
      <c r="F812" s="9"/>
      <c r="G812" s="10"/>
      <c r="H812" s="9"/>
    </row>
    <row r="813">
      <c r="A813" s="8"/>
      <c r="B813" s="9"/>
      <c r="C813" s="10"/>
      <c r="D813" s="9"/>
      <c r="E813" s="10"/>
      <c r="F813" s="9"/>
      <c r="G813" s="10"/>
      <c r="H813" s="9"/>
    </row>
    <row r="814">
      <c r="A814" s="8"/>
      <c r="B814" s="9"/>
      <c r="C814" s="10"/>
      <c r="D814" s="9"/>
      <c r="E814" s="10"/>
      <c r="F814" s="9"/>
      <c r="G814" s="10"/>
      <c r="H814" s="9"/>
    </row>
    <row r="815">
      <c r="A815" s="8"/>
      <c r="B815" s="9"/>
      <c r="C815" s="10"/>
      <c r="D815" s="9"/>
      <c r="E815" s="10"/>
      <c r="F815" s="9"/>
      <c r="G815" s="10"/>
      <c r="H815" s="9"/>
    </row>
    <row r="816">
      <c r="A816" s="8"/>
      <c r="B816" s="9"/>
      <c r="C816" s="10"/>
      <c r="D816" s="9"/>
      <c r="E816" s="10"/>
      <c r="F816" s="9"/>
      <c r="G816" s="10"/>
      <c r="H816" s="9"/>
    </row>
    <row r="817">
      <c r="A817" s="8"/>
      <c r="B817" s="9"/>
      <c r="C817" s="10"/>
      <c r="D817" s="9"/>
      <c r="E817" s="10"/>
      <c r="F817" s="9"/>
      <c r="G817" s="10"/>
      <c r="H817" s="9"/>
    </row>
    <row r="818">
      <c r="A818" s="8"/>
      <c r="B818" s="9"/>
      <c r="C818" s="10"/>
      <c r="D818" s="9"/>
      <c r="E818" s="10"/>
      <c r="F818" s="9"/>
      <c r="G818" s="10"/>
      <c r="H818" s="9"/>
    </row>
    <row r="819">
      <c r="A819" s="8"/>
      <c r="B819" s="9"/>
      <c r="C819" s="10"/>
      <c r="D819" s="9"/>
      <c r="E819" s="10"/>
      <c r="F819" s="9"/>
      <c r="G819" s="10"/>
      <c r="H819" s="9"/>
    </row>
    <row r="820">
      <c r="A820" s="8"/>
      <c r="B820" s="9"/>
      <c r="C820" s="10"/>
      <c r="D820" s="9"/>
      <c r="E820" s="10"/>
      <c r="F820" s="9"/>
      <c r="G820" s="10"/>
      <c r="H820" s="9"/>
    </row>
    <row r="821">
      <c r="A821" s="8"/>
      <c r="B821" s="9"/>
      <c r="C821" s="10"/>
      <c r="D821" s="9"/>
      <c r="E821" s="10"/>
      <c r="F821" s="9"/>
      <c r="G821" s="10"/>
      <c r="H821" s="9"/>
    </row>
    <row r="822">
      <c r="A822" s="8"/>
      <c r="B822" s="9"/>
      <c r="C822" s="10"/>
      <c r="D822" s="9"/>
      <c r="E822" s="10"/>
      <c r="F822" s="9"/>
      <c r="G822" s="10"/>
      <c r="H822" s="9"/>
    </row>
    <row r="823">
      <c r="A823" s="8"/>
      <c r="B823" s="9"/>
      <c r="C823" s="10"/>
      <c r="D823" s="9"/>
      <c r="E823" s="10"/>
      <c r="F823" s="9"/>
      <c r="G823" s="10"/>
      <c r="H823" s="9"/>
    </row>
    <row r="824">
      <c r="A824" s="8"/>
      <c r="B824" s="9"/>
      <c r="C824" s="10"/>
      <c r="D824" s="9"/>
      <c r="E824" s="10"/>
      <c r="F824" s="9"/>
      <c r="G824" s="10"/>
      <c r="H824" s="9"/>
    </row>
    <row r="825">
      <c r="A825" s="8"/>
      <c r="B825" s="9"/>
      <c r="C825" s="10"/>
      <c r="D825" s="9"/>
      <c r="E825" s="10"/>
      <c r="F825" s="9"/>
      <c r="G825" s="10"/>
      <c r="H825" s="9"/>
    </row>
    <row r="826">
      <c r="A826" s="8"/>
      <c r="B826" s="9"/>
      <c r="C826" s="10"/>
      <c r="D826" s="9"/>
      <c r="E826" s="10"/>
      <c r="F826" s="9"/>
      <c r="G826" s="10"/>
      <c r="H826" s="9"/>
    </row>
    <row r="827">
      <c r="A827" s="8"/>
      <c r="B827" s="9"/>
      <c r="C827" s="10"/>
      <c r="D827" s="9"/>
      <c r="E827" s="10"/>
      <c r="F827" s="9"/>
      <c r="G827" s="10"/>
      <c r="H827" s="9"/>
    </row>
    <row r="828">
      <c r="A828" s="8"/>
      <c r="B828" s="9"/>
      <c r="C828" s="10"/>
      <c r="D828" s="9"/>
      <c r="E828" s="10"/>
      <c r="F828" s="9"/>
      <c r="G828" s="10"/>
      <c r="H828" s="9"/>
    </row>
    <row r="829">
      <c r="A829" s="8"/>
      <c r="B829" s="9"/>
      <c r="C829" s="10"/>
      <c r="D829" s="9"/>
      <c r="E829" s="10"/>
      <c r="F829" s="9"/>
      <c r="G829" s="10"/>
      <c r="H829" s="9"/>
    </row>
    <row r="830">
      <c r="A830" s="8"/>
      <c r="B830" s="9"/>
      <c r="C830" s="10"/>
      <c r="D830" s="9"/>
      <c r="E830" s="10"/>
      <c r="F830" s="9"/>
      <c r="G830" s="10"/>
      <c r="H830" s="9"/>
    </row>
    <row r="831">
      <c r="A831" s="8"/>
      <c r="B831" s="9"/>
      <c r="C831" s="10"/>
      <c r="D831" s="9"/>
      <c r="E831" s="10"/>
      <c r="F831" s="9"/>
      <c r="G831" s="10"/>
      <c r="H831" s="9"/>
    </row>
    <row r="832">
      <c r="A832" s="8"/>
      <c r="B832" s="9"/>
      <c r="C832" s="10"/>
      <c r="D832" s="9"/>
      <c r="E832" s="10"/>
      <c r="F832" s="9"/>
      <c r="G832" s="10"/>
      <c r="H832" s="9"/>
    </row>
    <row r="833">
      <c r="A833" s="8"/>
      <c r="B833" s="9"/>
      <c r="C833" s="10"/>
      <c r="D833" s="9"/>
      <c r="E833" s="10"/>
      <c r="F833" s="9"/>
      <c r="G833" s="10"/>
      <c r="H833" s="9"/>
    </row>
    <row r="834">
      <c r="A834" s="8"/>
      <c r="B834" s="9"/>
      <c r="C834" s="10"/>
      <c r="D834" s="9"/>
      <c r="E834" s="10"/>
      <c r="F834" s="9"/>
      <c r="G834" s="10"/>
      <c r="H834" s="9"/>
    </row>
    <row r="835">
      <c r="A835" s="8"/>
      <c r="B835" s="9"/>
      <c r="C835" s="10"/>
      <c r="D835" s="9"/>
      <c r="E835" s="10"/>
      <c r="F835" s="9"/>
      <c r="G835" s="10"/>
      <c r="H835" s="9"/>
    </row>
    <row r="836">
      <c r="A836" s="8"/>
      <c r="B836" s="9"/>
      <c r="C836" s="10"/>
      <c r="D836" s="9"/>
      <c r="E836" s="10"/>
      <c r="F836" s="9"/>
      <c r="G836" s="10"/>
      <c r="H836" s="9"/>
    </row>
    <row r="837">
      <c r="A837" s="8"/>
      <c r="B837" s="9"/>
      <c r="C837" s="10"/>
      <c r="D837" s="9"/>
      <c r="E837" s="10"/>
      <c r="F837" s="9"/>
      <c r="G837" s="10"/>
      <c r="H837" s="9"/>
    </row>
    <row r="838">
      <c r="A838" s="8"/>
      <c r="B838" s="9"/>
      <c r="C838" s="10"/>
      <c r="D838" s="9"/>
      <c r="E838" s="10"/>
      <c r="F838" s="9"/>
      <c r="G838" s="10"/>
      <c r="H838" s="9"/>
    </row>
    <row r="839">
      <c r="A839" s="8"/>
      <c r="B839" s="9"/>
      <c r="C839" s="10"/>
      <c r="D839" s="9"/>
      <c r="E839" s="10"/>
      <c r="F839" s="9"/>
      <c r="G839" s="10"/>
      <c r="H839" s="9"/>
    </row>
    <row r="840">
      <c r="A840" s="8"/>
      <c r="B840" s="9"/>
      <c r="C840" s="10"/>
      <c r="D840" s="9"/>
      <c r="E840" s="10"/>
      <c r="F840" s="9"/>
      <c r="G840" s="10"/>
      <c r="H840" s="9"/>
    </row>
    <row r="841">
      <c r="A841" s="8"/>
      <c r="B841" s="9"/>
      <c r="C841" s="10"/>
      <c r="D841" s="9"/>
      <c r="E841" s="10"/>
      <c r="F841" s="9"/>
      <c r="G841" s="10"/>
      <c r="H841" s="9"/>
    </row>
    <row r="842">
      <c r="A842" s="8"/>
      <c r="B842" s="9"/>
      <c r="C842" s="10"/>
      <c r="D842" s="9"/>
      <c r="E842" s="10"/>
      <c r="F842" s="9"/>
      <c r="G842" s="10"/>
      <c r="H842" s="9"/>
    </row>
    <row r="843">
      <c r="A843" s="8"/>
      <c r="B843" s="9"/>
      <c r="C843" s="10"/>
      <c r="D843" s="9"/>
      <c r="E843" s="10"/>
      <c r="F843" s="9"/>
      <c r="G843" s="10"/>
      <c r="H843" s="9"/>
    </row>
    <row r="844">
      <c r="A844" s="8"/>
      <c r="B844" s="9"/>
      <c r="C844" s="10"/>
      <c r="D844" s="9"/>
      <c r="E844" s="10"/>
      <c r="F844" s="9"/>
      <c r="G844" s="10"/>
      <c r="H844" s="9"/>
    </row>
    <row r="845">
      <c r="A845" s="8"/>
      <c r="B845" s="9"/>
      <c r="C845" s="10"/>
      <c r="D845" s="9"/>
      <c r="E845" s="10"/>
      <c r="F845" s="9"/>
      <c r="G845" s="10"/>
      <c r="H845" s="9"/>
    </row>
    <row r="846">
      <c r="A846" s="8"/>
      <c r="B846" s="9"/>
      <c r="C846" s="10"/>
      <c r="D846" s="9"/>
      <c r="E846" s="10"/>
      <c r="F846" s="9"/>
      <c r="G846" s="10"/>
      <c r="H846" s="9"/>
    </row>
    <row r="847">
      <c r="A847" s="8"/>
      <c r="B847" s="9"/>
      <c r="C847" s="10"/>
      <c r="D847" s="9"/>
      <c r="E847" s="10"/>
      <c r="F847" s="9"/>
      <c r="G847" s="10"/>
      <c r="H847" s="9"/>
    </row>
    <row r="848">
      <c r="A848" s="8"/>
      <c r="B848" s="9"/>
      <c r="C848" s="10"/>
      <c r="D848" s="9"/>
      <c r="E848" s="10"/>
      <c r="F848" s="9"/>
      <c r="G848" s="10"/>
      <c r="H848" s="9"/>
    </row>
    <row r="849">
      <c r="A849" s="8"/>
      <c r="B849" s="9"/>
      <c r="C849" s="10"/>
      <c r="D849" s="9"/>
      <c r="E849" s="10"/>
      <c r="F849" s="9"/>
      <c r="G849" s="10"/>
      <c r="H849" s="9"/>
    </row>
    <row r="850">
      <c r="A850" s="8"/>
      <c r="B850" s="9"/>
      <c r="C850" s="10"/>
      <c r="D850" s="9"/>
      <c r="E850" s="10"/>
      <c r="F850" s="9"/>
      <c r="G850" s="10"/>
      <c r="H850" s="9"/>
    </row>
    <row r="851">
      <c r="A851" s="8"/>
      <c r="B851" s="9"/>
      <c r="C851" s="10"/>
      <c r="D851" s="9"/>
      <c r="E851" s="10"/>
      <c r="F851" s="9"/>
      <c r="G851" s="10"/>
      <c r="H851" s="9"/>
    </row>
    <row r="852">
      <c r="A852" s="8"/>
      <c r="B852" s="9"/>
      <c r="C852" s="10"/>
      <c r="D852" s="9"/>
      <c r="E852" s="10"/>
      <c r="F852" s="9"/>
      <c r="G852" s="10"/>
      <c r="H852" s="9"/>
    </row>
    <row r="853">
      <c r="A853" s="8"/>
      <c r="B853" s="9"/>
      <c r="C853" s="10"/>
      <c r="D853" s="9"/>
      <c r="E853" s="10"/>
      <c r="F853" s="9"/>
      <c r="G853" s="10"/>
      <c r="H853" s="9"/>
    </row>
    <row r="854">
      <c r="A854" s="8"/>
      <c r="B854" s="9"/>
      <c r="C854" s="10"/>
      <c r="D854" s="9"/>
      <c r="E854" s="10"/>
      <c r="F854" s="9"/>
      <c r="G854" s="10"/>
      <c r="H854" s="9"/>
    </row>
    <row r="855">
      <c r="A855" s="8"/>
      <c r="B855" s="9"/>
      <c r="C855" s="10"/>
      <c r="D855" s="9"/>
      <c r="E855" s="10"/>
      <c r="F855" s="9"/>
      <c r="G855" s="10"/>
      <c r="H855" s="9"/>
    </row>
    <row r="856">
      <c r="A856" s="8"/>
      <c r="B856" s="9"/>
      <c r="C856" s="10"/>
      <c r="D856" s="9"/>
      <c r="E856" s="10"/>
      <c r="F856" s="9"/>
      <c r="G856" s="10"/>
      <c r="H856" s="9"/>
    </row>
    <row r="857">
      <c r="A857" s="8"/>
      <c r="B857" s="9"/>
      <c r="C857" s="10"/>
      <c r="D857" s="9"/>
      <c r="E857" s="10"/>
      <c r="F857" s="9"/>
      <c r="G857" s="10"/>
      <c r="H857" s="9"/>
    </row>
    <row r="858">
      <c r="A858" s="8"/>
      <c r="B858" s="9"/>
      <c r="C858" s="10"/>
      <c r="D858" s="9"/>
      <c r="E858" s="10"/>
      <c r="F858" s="9"/>
      <c r="G858" s="10"/>
      <c r="H858" s="9"/>
    </row>
    <row r="859">
      <c r="A859" s="8"/>
      <c r="B859" s="9"/>
      <c r="C859" s="10"/>
      <c r="D859" s="9"/>
      <c r="E859" s="10"/>
      <c r="F859" s="9"/>
      <c r="G859" s="10"/>
      <c r="H859" s="9"/>
    </row>
    <row r="860">
      <c r="A860" s="8"/>
      <c r="B860" s="9"/>
      <c r="C860" s="10"/>
      <c r="D860" s="9"/>
      <c r="E860" s="10"/>
      <c r="F860" s="9"/>
      <c r="G860" s="10"/>
      <c r="H860" s="9"/>
    </row>
    <row r="861">
      <c r="A861" s="8"/>
      <c r="B861" s="9"/>
      <c r="C861" s="10"/>
      <c r="D861" s="9"/>
      <c r="E861" s="10"/>
      <c r="F861" s="9"/>
      <c r="G861" s="10"/>
      <c r="H861" s="9"/>
    </row>
    <row r="862">
      <c r="A862" s="8"/>
      <c r="B862" s="9"/>
      <c r="C862" s="10"/>
      <c r="D862" s="9"/>
      <c r="E862" s="10"/>
      <c r="F862" s="9"/>
      <c r="G862" s="10"/>
      <c r="H862" s="9"/>
    </row>
    <row r="863">
      <c r="A863" s="8"/>
      <c r="B863" s="9"/>
      <c r="C863" s="10"/>
      <c r="D863" s="9"/>
      <c r="E863" s="10"/>
      <c r="F863" s="9"/>
      <c r="G863" s="10"/>
      <c r="H863" s="9"/>
    </row>
    <row r="864">
      <c r="A864" s="8"/>
      <c r="B864" s="9"/>
      <c r="C864" s="10"/>
      <c r="D864" s="9"/>
      <c r="E864" s="10"/>
      <c r="F864" s="9"/>
      <c r="G864" s="10"/>
      <c r="H864" s="9"/>
    </row>
    <row r="865">
      <c r="A865" s="8"/>
      <c r="B865" s="9"/>
      <c r="C865" s="10"/>
      <c r="D865" s="9"/>
      <c r="E865" s="10"/>
      <c r="F865" s="9"/>
      <c r="G865" s="10"/>
      <c r="H865" s="9"/>
    </row>
    <row r="866">
      <c r="A866" s="8"/>
      <c r="B866" s="9"/>
      <c r="C866" s="10"/>
      <c r="D866" s="9"/>
      <c r="E866" s="10"/>
      <c r="F866" s="9"/>
      <c r="G866" s="10"/>
      <c r="H866" s="9"/>
    </row>
    <row r="867">
      <c r="A867" s="8"/>
      <c r="B867" s="9"/>
      <c r="C867" s="10"/>
      <c r="D867" s="9"/>
      <c r="E867" s="10"/>
      <c r="F867" s="9"/>
      <c r="G867" s="10"/>
      <c r="H867" s="9"/>
    </row>
    <row r="868">
      <c r="A868" s="8"/>
      <c r="B868" s="9"/>
      <c r="C868" s="10"/>
      <c r="D868" s="9"/>
      <c r="E868" s="10"/>
      <c r="F868" s="9"/>
      <c r="G868" s="10"/>
      <c r="H868" s="9"/>
    </row>
    <row r="869">
      <c r="A869" s="8"/>
      <c r="B869" s="9"/>
      <c r="C869" s="10"/>
      <c r="D869" s="9"/>
      <c r="E869" s="10"/>
      <c r="F869" s="9"/>
      <c r="G869" s="10"/>
      <c r="H869" s="9"/>
    </row>
    <row r="870">
      <c r="A870" s="8"/>
      <c r="B870" s="9"/>
      <c r="C870" s="10"/>
      <c r="D870" s="9"/>
      <c r="E870" s="10"/>
      <c r="F870" s="9"/>
      <c r="G870" s="10"/>
      <c r="H870" s="9"/>
    </row>
    <row r="871">
      <c r="A871" s="8"/>
      <c r="B871" s="9"/>
      <c r="C871" s="10"/>
      <c r="D871" s="9"/>
      <c r="E871" s="10"/>
      <c r="F871" s="9"/>
      <c r="G871" s="10"/>
      <c r="H871" s="9"/>
    </row>
    <row r="872">
      <c r="A872" s="8"/>
      <c r="B872" s="9"/>
      <c r="C872" s="10"/>
      <c r="D872" s="9"/>
      <c r="E872" s="10"/>
      <c r="F872" s="9"/>
      <c r="G872" s="10"/>
      <c r="H872" s="9"/>
    </row>
    <row r="873">
      <c r="A873" s="8"/>
      <c r="B873" s="9"/>
      <c r="C873" s="10"/>
      <c r="D873" s="9"/>
      <c r="E873" s="10"/>
      <c r="F873" s="9"/>
      <c r="G873" s="10"/>
      <c r="H873" s="9"/>
    </row>
    <row r="874">
      <c r="A874" s="8"/>
      <c r="B874" s="9"/>
      <c r="C874" s="10"/>
      <c r="D874" s="9"/>
      <c r="E874" s="10"/>
      <c r="F874" s="9"/>
      <c r="G874" s="10"/>
      <c r="H874" s="9"/>
    </row>
    <row r="875">
      <c r="A875" s="8"/>
      <c r="B875" s="9"/>
      <c r="C875" s="10"/>
      <c r="D875" s="9"/>
      <c r="E875" s="10"/>
      <c r="F875" s="9"/>
      <c r="G875" s="10"/>
      <c r="H875" s="9"/>
    </row>
    <row r="876">
      <c r="A876" s="8"/>
      <c r="B876" s="9"/>
      <c r="C876" s="10"/>
      <c r="D876" s="9"/>
      <c r="E876" s="10"/>
      <c r="F876" s="9"/>
      <c r="G876" s="10"/>
      <c r="H876" s="9"/>
    </row>
    <row r="877">
      <c r="A877" s="8"/>
      <c r="B877" s="9"/>
      <c r="C877" s="10"/>
      <c r="D877" s="9"/>
      <c r="E877" s="10"/>
      <c r="F877" s="9"/>
      <c r="G877" s="10"/>
      <c r="H877" s="9"/>
    </row>
    <row r="878">
      <c r="A878" s="8"/>
      <c r="B878" s="9"/>
      <c r="C878" s="10"/>
      <c r="D878" s="9"/>
      <c r="E878" s="10"/>
      <c r="F878" s="9"/>
      <c r="G878" s="10"/>
      <c r="H878" s="9"/>
    </row>
    <row r="879">
      <c r="A879" s="8"/>
      <c r="B879" s="9"/>
      <c r="C879" s="10"/>
      <c r="D879" s="9"/>
      <c r="E879" s="10"/>
      <c r="F879" s="9"/>
      <c r="G879" s="10"/>
      <c r="H879" s="9"/>
    </row>
    <row r="880">
      <c r="A880" s="8"/>
      <c r="B880" s="9"/>
      <c r="C880" s="10"/>
      <c r="D880" s="9"/>
      <c r="E880" s="10"/>
      <c r="F880" s="9"/>
      <c r="G880" s="10"/>
      <c r="H880" s="9"/>
    </row>
    <row r="881">
      <c r="A881" s="8"/>
      <c r="B881" s="9"/>
      <c r="C881" s="10"/>
      <c r="D881" s="9"/>
      <c r="E881" s="10"/>
      <c r="F881" s="9"/>
      <c r="G881" s="10"/>
      <c r="H881" s="9"/>
    </row>
    <row r="882">
      <c r="A882" s="8"/>
      <c r="B882" s="9"/>
      <c r="C882" s="10"/>
      <c r="D882" s="9"/>
      <c r="E882" s="10"/>
      <c r="F882" s="9"/>
      <c r="G882" s="10"/>
      <c r="H882" s="9"/>
    </row>
    <row r="883">
      <c r="A883" s="8"/>
      <c r="B883" s="9"/>
      <c r="C883" s="10"/>
      <c r="D883" s="9"/>
      <c r="E883" s="10"/>
      <c r="F883" s="9"/>
      <c r="G883" s="10"/>
      <c r="H883" s="9"/>
    </row>
    <row r="884">
      <c r="A884" s="8"/>
      <c r="B884" s="9"/>
      <c r="C884" s="10"/>
      <c r="D884" s="9"/>
      <c r="E884" s="10"/>
      <c r="F884" s="9"/>
      <c r="G884" s="10"/>
      <c r="H884" s="9"/>
    </row>
    <row r="885">
      <c r="A885" s="8"/>
      <c r="B885" s="9"/>
      <c r="C885" s="10"/>
      <c r="D885" s="9"/>
      <c r="E885" s="10"/>
      <c r="F885" s="9"/>
      <c r="G885" s="10"/>
      <c r="H885" s="9"/>
    </row>
    <row r="886">
      <c r="A886" s="8"/>
      <c r="B886" s="9"/>
      <c r="C886" s="10"/>
      <c r="D886" s="9"/>
      <c r="E886" s="10"/>
      <c r="F886" s="9"/>
      <c r="G886" s="10"/>
      <c r="H886" s="9"/>
    </row>
    <row r="887">
      <c r="A887" s="8"/>
      <c r="B887" s="9"/>
      <c r="C887" s="10"/>
      <c r="D887" s="9"/>
      <c r="E887" s="10"/>
      <c r="F887" s="9"/>
      <c r="G887" s="10"/>
      <c r="H887" s="9"/>
    </row>
    <row r="888">
      <c r="A888" s="8"/>
      <c r="B888" s="9"/>
      <c r="C888" s="10"/>
      <c r="D888" s="9"/>
      <c r="E888" s="10"/>
      <c r="F888" s="9"/>
      <c r="G888" s="10"/>
      <c r="H888" s="9"/>
    </row>
    <row r="889">
      <c r="A889" s="8"/>
      <c r="B889" s="9"/>
      <c r="C889" s="10"/>
      <c r="D889" s="9"/>
      <c r="E889" s="10"/>
      <c r="F889" s="9"/>
      <c r="G889" s="10"/>
      <c r="H889" s="9"/>
    </row>
    <row r="890">
      <c r="A890" s="8"/>
      <c r="B890" s="9"/>
      <c r="C890" s="10"/>
      <c r="D890" s="9"/>
      <c r="E890" s="10"/>
      <c r="F890" s="9"/>
      <c r="G890" s="10"/>
      <c r="H890" s="9"/>
    </row>
    <row r="891">
      <c r="A891" s="8"/>
      <c r="B891" s="9"/>
      <c r="C891" s="10"/>
      <c r="D891" s="9"/>
      <c r="E891" s="10"/>
      <c r="F891" s="9"/>
      <c r="G891" s="10"/>
      <c r="H891" s="9"/>
    </row>
    <row r="892">
      <c r="A892" s="8"/>
      <c r="B892" s="9"/>
      <c r="C892" s="10"/>
      <c r="D892" s="9"/>
      <c r="E892" s="10"/>
      <c r="F892" s="9"/>
      <c r="G892" s="10"/>
      <c r="H892" s="9"/>
    </row>
    <row r="893">
      <c r="A893" s="8"/>
      <c r="B893" s="9"/>
      <c r="C893" s="10"/>
      <c r="D893" s="9"/>
      <c r="E893" s="10"/>
      <c r="F893" s="9"/>
      <c r="G893" s="10"/>
      <c r="H893" s="9"/>
    </row>
    <row r="894">
      <c r="A894" s="8"/>
      <c r="B894" s="9"/>
      <c r="C894" s="10"/>
      <c r="D894" s="9"/>
      <c r="E894" s="10"/>
      <c r="F894" s="9"/>
      <c r="G894" s="10"/>
      <c r="H894" s="9"/>
    </row>
    <row r="895">
      <c r="A895" s="8"/>
      <c r="B895" s="9"/>
      <c r="C895" s="10"/>
      <c r="D895" s="9"/>
      <c r="E895" s="10"/>
      <c r="F895" s="9"/>
      <c r="G895" s="10"/>
      <c r="H895" s="9"/>
    </row>
    <row r="896">
      <c r="A896" s="8"/>
      <c r="B896" s="9"/>
      <c r="C896" s="10"/>
      <c r="D896" s="9"/>
      <c r="E896" s="10"/>
      <c r="F896" s="9"/>
      <c r="G896" s="10"/>
      <c r="H896" s="9"/>
    </row>
    <row r="897">
      <c r="A897" s="8"/>
      <c r="B897" s="9"/>
      <c r="C897" s="10"/>
      <c r="D897" s="9"/>
      <c r="E897" s="10"/>
      <c r="F897" s="9"/>
      <c r="G897" s="10"/>
      <c r="H897" s="9"/>
    </row>
    <row r="898">
      <c r="A898" s="8"/>
      <c r="B898" s="9"/>
      <c r="C898" s="10"/>
      <c r="D898" s="9"/>
      <c r="E898" s="10"/>
      <c r="F898" s="9"/>
      <c r="G898" s="10"/>
      <c r="H898" s="9"/>
    </row>
    <row r="899">
      <c r="A899" s="8"/>
      <c r="B899" s="9"/>
      <c r="C899" s="10"/>
      <c r="D899" s="9"/>
      <c r="E899" s="10"/>
      <c r="F899" s="9"/>
      <c r="G899" s="10"/>
      <c r="H899" s="9"/>
    </row>
    <row r="900">
      <c r="A900" s="8"/>
      <c r="B900" s="9"/>
      <c r="C900" s="10"/>
      <c r="D900" s="9"/>
      <c r="E900" s="10"/>
      <c r="F900" s="9"/>
      <c r="G900" s="10"/>
      <c r="H900" s="9"/>
    </row>
    <row r="901">
      <c r="A901" s="8"/>
      <c r="B901" s="9"/>
      <c r="C901" s="10"/>
      <c r="D901" s="9"/>
      <c r="E901" s="10"/>
      <c r="F901" s="9"/>
      <c r="G901" s="10"/>
      <c r="H901" s="9"/>
    </row>
    <row r="902">
      <c r="A902" s="8"/>
      <c r="B902" s="9"/>
      <c r="C902" s="10"/>
      <c r="D902" s="9"/>
      <c r="E902" s="10"/>
      <c r="F902" s="9"/>
      <c r="G902" s="10"/>
      <c r="H902" s="9"/>
    </row>
    <row r="903">
      <c r="A903" s="8"/>
      <c r="B903" s="9"/>
      <c r="C903" s="10"/>
      <c r="D903" s="9"/>
      <c r="E903" s="10"/>
      <c r="F903" s="9"/>
      <c r="G903" s="10"/>
      <c r="H903" s="9"/>
    </row>
    <row r="904">
      <c r="A904" s="8"/>
      <c r="B904" s="9"/>
      <c r="C904" s="10"/>
      <c r="D904" s="9"/>
      <c r="E904" s="10"/>
      <c r="F904" s="9"/>
      <c r="G904" s="10"/>
      <c r="H904" s="9"/>
    </row>
    <row r="905">
      <c r="A905" s="8"/>
      <c r="B905" s="9"/>
      <c r="C905" s="10"/>
      <c r="D905" s="9"/>
      <c r="E905" s="10"/>
      <c r="F905" s="9"/>
      <c r="G905" s="10"/>
      <c r="H905" s="9"/>
    </row>
    <row r="906">
      <c r="A906" s="8"/>
      <c r="B906" s="9"/>
      <c r="C906" s="10"/>
      <c r="D906" s="9"/>
      <c r="E906" s="10"/>
      <c r="F906" s="9"/>
      <c r="G906" s="10"/>
      <c r="H906" s="9"/>
    </row>
    <row r="907">
      <c r="A907" s="8"/>
      <c r="B907" s="9"/>
      <c r="C907" s="10"/>
      <c r="D907" s="9"/>
      <c r="E907" s="10"/>
      <c r="F907" s="9"/>
      <c r="G907" s="10"/>
      <c r="H907" s="9"/>
    </row>
    <row r="908">
      <c r="A908" s="8"/>
      <c r="B908" s="9"/>
      <c r="C908" s="10"/>
      <c r="D908" s="9"/>
      <c r="E908" s="10"/>
      <c r="F908" s="9"/>
      <c r="G908" s="10"/>
      <c r="H908" s="9"/>
    </row>
    <row r="909">
      <c r="A909" s="8"/>
      <c r="B909" s="9"/>
      <c r="C909" s="10"/>
      <c r="D909" s="9"/>
      <c r="E909" s="10"/>
      <c r="F909" s="9"/>
      <c r="G909" s="10"/>
      <c r="H909" s="9"/>
    </row>
    <row r="910">
      <c r="A910" s="8"/>
      <c r="B910" s="9"/>
      <c r="C910" s="10"/>
      <c r="D910" s="9"/>
      <c r="E910" s="10"/>
      <c r="F910" s="9"/>
      <c r="G910" s="10"/>
      <c r="H910" s="9"/>
    </row>
    <row r="911">
      <c r="A911" s="8"/>
      <c r="B911" s="9"/>
      <c r="C911" s="10"/>
      <c r="D911" s="9"/>
      <c r="E911" s="10"/>
      <c r="F911" s="9"/>
      <c r="G911" s="10"/>
      <c r="H911" s="9"/>
    </row>
    <row r="912">
      <c r="A912" s="8"/>
      <c r="B912" s="9"/>
      <c r="C912" s="10"/>
      <c r="D912" s="9"/>
      <c r="E912" s="10"/>
      <c r="F912" s="9"/>
      <c r="G912" s="10"/>
      <c r="H912" s="9"/>
    </row>
    <row r="913">
      <c r="A913" s="8"/>
      <c r="B913" s="9"/>
      <c r="C913" s="10"/>
      <c r="D913" s="9"/>
      <c r="E913" s="10"/>
      <c r="F913" s="9"/>
      <c r="G913" s="10"/>
      <c r="H913" s="9"/>
    </row>
    <row r="914">
      <c r="A914" s="8"/>
      <c r="B914" s="9"/>
      <c r="C914" s="10"/>
      <c r="D914" s="9"/>
      <c r="E914" s="10"/>
      <c r="F914" s="9"/>
      <c r="G914" s="10"/>
      <c r="H914" s="9"/>
    </row>
    <row r="915">
      <c r="A915" s="8"/>
      <c r="B915" s="9"/>
      <c r="C915" s="10"/>
      <c r="D915" s="9"/>
      <c r="E915" s="10"/>
      <c r="F915" s="9"/>
      <c r="G915" s="10"/>
      <c r="H915" s="9"/>
    </row>
    <row r="916">
      <c r="A916" s="8"/>
      <c r="B916" s="9"/>
      <c r="C916" s="10"/>
      <c r="D916" s="9"/>
      <c r="E916" s="10"/>
      <c r="F916" s="9"/>
      <c r="G916" s="10"/>
      <c r="H916" s="9"/>
    </row>
    <row r="917">
      <c r="A917" s="8"/>
      <c r="B917" s="9"/>
      <c r="C917" s="10"/>
      <c r="D917" s="9"/>
      <c r="E917" s="10"/>
      <c r="F917" s="9"/>
      <c r="G917" s="10"/>
      <c r="H917" s="9"/>
    </row>
    <row r="918">
      <c r="A918" s="8"/>
      <c r="B918" s="9"/>
      <c r="C918" s="10"/>
      <c r="D918" s="9"/>
      <c r="E918" s="10"/>
      <c r="F918" s="9"/>
      <c r="G918" s="10"/>
      <c r="H918" s="9"/>
    </row>
    <row r="919">
      <c r="A919" s="8"/>
      <c r="B919" s="9"/>
      <c r="C919" s="10"/>
      <c r="D919" s="9"/>
      <c r="E919" s="10"/>
      <c r="F919" s="9"/>
      <c r="G919" s="10"/>
      <c r="H919" s="9"/>
    </row>
    <row r="920">
      <c r="A920" s="8"/>
      <c r="B920" s="9"/>
      <c r="C920" s="10"/>
      <c r="D920" s="9"/>
      <c r="E920" s="10"/>
      <c r="F920" s="9"/>
      <c r="G920" s="10"/>
      <c r="H920" s="9"/>
    </row>
    <row r="921">
      <c r="A921" s="8"/>
      <c r="B921" s="9"/>
      <c r="C921" s="10"/>
      <c r="D921" s="9"/>
      <c r="E921" s="10"/>
      <c r="F921" s="9"/>
      <c r="G921" s="10"/>
      <c r="H921" s="9"/>
    </row>
    <row r="922">
      <c r="A922" s="8"/>
      <c r="B922" s="9"/>
      <c r="C922" s="10"/>
      <c r="D922" s="9"/>
      <c r="E922" s="10"/>
      <c r="F922" s="9"/>
      <c r="G922" s="10"/>
      <c r="H922" s="9"/>
    </row>
    <row r="923">
      <c r="A923" s="8"/>
      <c r="B923" s="9"/>
      <c r="C923" s="10"/>
      <c r="D923" s="9"/>
      <c r="E923" s="10"/>
      <c r="F923" s="9"/>
      <c r="G923" s="10"/>
      <c r="H923" s="9"/>
    </row>
    <row r="924">
      <c r="A924" s="8"/>
      <c r="B924" s="9"/>
      <c r="C924" s="10"/>
      <c r="D924" s="9"/>
      <c r="E924" s="10"/>
      <c r="F924" s="9"/>
      <c r="G924" s="10"/>
      <c r="H924" s="9"/>
    </row>
    <row r="925">
      <c r="A925" s="8"/>
      <c r="B925" s="9"/>
      <c r="C925" s="10"/>
      <c r="D925" s="9"/>
      <c r="E925" s="10"/>
      <c r="F925" s="9"/>
      <c r="G925" s="10"/>
      <c r="H925" s="9"/>
    </row>
    <row r="926">
      <c r="A926" s="8"/>
      <c r="B926" s="9"/>
      <c r="C926" s="10"/>
      <c r="D926" s="9"/>
      <c r="E926" s="10"/>
      <c r="F926" s="9"/>
      <c r="G926" s="10"/>
      <c r="H926" s="9"/>
    </row>
    <row r="927">
      <c r="A927" s="8"/>
      <c r="B927" s="9"/>
      <c r="C927" s="10"/>
      <c r="D927" s="9"/>
      <c r="E927" s="10"/>
      <c r="F927" s="9"/>
      <c r="G927" s="10"/>
      <c r="H927" s="9"/>
    </row>
    <row r="928">
      <c r="A928" s="8"/>
      <c r="B928" s="9"/>
      <c r="C928" s="10"/>
      <c r="D928" s="9"/>
      <c r="E928" s="10"/>
      <c r="F928" s="9"/>
      <c r="G928" s="10"/>
      <c r="H928" s="9"/>
    </row>
    <row r="929">
      <c r="A929" s="8"/>
      <c r="B929" s="9"/>
      <c r="C929" s="10"/>
      <c r="D929" s="9"/>
      <c r="E929" s="10"/>
      <c r="F929" s="9"/>
      <c r="G929" s="10"/>
      <c r="H929" s="9"/>
    </row>
    <row r="930">
      <c r="A930" s="8"/>
      <c r="B930" s="9"/>
      <c r="C930" s="10"/>
      <c r="D930" s="9"/>
      <c r="E930" s="10"/>
      <c r="F930" s="9"/>
      <c r="G930" s="10"/>
      <c r="H930" s="9"/>
    </row>
    <row r="931">
      <c r="A931" s="8"/>
      <c r="B931" s="9"/>
      <c r="C931" s="10"/>
      <c r="D931" s="9"/>
      <c r="E931" s="10"/>
      <c r="F931" s="9"/>
      <c r="G931" s="10"/>
      <c r="H931" s="9"/>
    </row>
    <row r="932">
      <c r="A932" s="8"/>
      <c r="B932" s="9"/>
      <c r="C932" s="10"/>
      <c r="D932" s="9"/>
      <c r="E932" s="10"/>
      <c r="F932" s="9"/>
      <c r="G932" s="10"/>
      <c r="H932" s="9"/>
    </row>
    <row r="933">
      <c r="A933" s="8"/>
      <c r="B933" s="9"/>
      <c r="C933" s="10"/>
      <c r="D933" s="9"/>
      <c r="E933" s="10"/>
      <c r="F933" s="9"/>
      <c r="G933" s="10"/>
      <c r="H933" s="9"/>
    </row>
    <row r="934">
      <c r="A934" s="8"/>
      <c r="B934" s="9"/>
      <c r="C934" s="10"/>
      <c r="D934" s="9"/>
      <c r="E934" s="10"/>
      <c r="F934" s="9"/>
      <c r="G934" s="10"/>
      <c r="H934" s="9"/>
    </row>
    <row r="935">
      <c r="A935" s="8"/>
      <c r="B935" s="9"/>
      <c r="C935" s="10"/>
      <c r="D935" s="9"/>
      <c r="E935" s="10"/>
      <c r="F935" s="9"/>
      <c r="G935" s="10"/>
      <c r="H935" s="9"/>
    </row>
    <row r="936">
      <c r="A936" s="8"/>
      <c r="B936" s="9"/>
      <c r="C936" s="10"/>
      <c r="D936" s="9"/>
      <c r="E936" s="10"/>
      <c r="F936" s="9"/>
      <c r="G936" s="10"/>
      <c r="H936" s="9"/>
    </row>
    <row r="937">
      <c r="A937" s="8"/>
      <c r="B937" s="9"/>
      <c r="C937" s="10"/>
      <c r="D937" s="9"/>
      <c r="E937" s="10"/>
      <c r="F937" s="9"/>
      <c r="G937" s="10"/>
      <c r="H937" s="9"/>
    </row>
    <row r="938">
      <c r="A938" s="8"/>
      <c r="B938" s="9"/>
      <c r="C938" s="10"/>
      <c r="D938" s="9"/>
      <c r="E938" s="10"/>
      <c r="F938" s="9"/>
      <c r="G938" s="10"/>
      <c r="H938" s="9"/>
    </row>
    <row r="939">
      <c r="A939" s="8"/>
      <c r="B939" s="9"/>
      <c r="C939" s="10"/>
      <c r="D939" s="9"/>
      <c r="E939" s="10"/>
      <c r="F939" s="9"/>
      <c r="G939" s="10"/>
      <c r="H939" s="9"/>
    </row>
    <row r="940">
      <c r="A940" s="8"/>
      <c r="B940" s="9"/>
      <c r="C940" s="10"/>
      <c r="D940" s="9"/>
      <c r="E940" s="10"/>
      <c r="F940" s="9"/>
      <c r="G940" s="10"/>
      <c r="H940" s="9"/>
    </row>
    <row r="941">
      <c r="A941" s="8"/>
      <c r="B941" s="9"/>
      <c r="C941" s="10"/>
      <c r="D941" s="9"/>
      <c r="E941" s="10"/>
      <c r="F941" s="9"/>
      <c r="G941" s="10"/>
      <c r="H941" s="9"/>
    </row>
    <row r="942">
      <c r="A942" s="8"/>
      <c r="B942" s="9"/>
      <c r="C942" s="10"/>
      <c r="D942" s="9"/>
      <c r="E942" s="10"/>
      <c r="F942" s="9"/>
      <c r="G942" s="10"/>
      <c r="H942" s="9"/>
    </row>
    <row r="943">
      <c r="A943" s="8"/>
      <c r="B943" s="9"/>
      <c r="C943" s="10"/>
      <c r="D943" s="9"/>
      <c r="E943" s="10"/>
      <c r="F943" s="9"/>
      <c r="G943" s="10"/>
      <c r="H943" s="9"/>
    </row>
    <row r="944">
      <c r="A944" s="8"/>
      <c r="B944" s="9"/>
      <c r="C944" s="10"/>
      <c r="D944" s="9"/>
      <c r="E944" s="10"/>
      <c r="F944" s="9"/>
      <c r="G944" s="10"/>
      <c r="H944" s="9"/>
    </row>
    <row r="945">
      <c r="A945" s="8"/>
      <c r="B945" s="9"/>
      <c r="C945" s="10"/>
      <c r="D945" s="9"/>
      <c r="E945" s="10"/>
      <c r="F945" s="9"/>
      <c r="G945" s="10"/>
      <c r="H945" s="9"/>
    </row>
    <row r="946">
      <c r="A946" s="8"/>
      <c r="B946" s="9"/>
      <c r="C946" s="10"/>
      <c r="D946" s="9"/>
      <c r="E946" s="10"/>
      <c r="F946" s="9"/>
      <c r="G946" s="10"/>
      <c r="H946" s="9"/>
    </row>
    <row r="947">
      <c r="A947" s="8"/>
      <c r="B947" s="9"/>
      <c r="C947" s="10"/>
      <c r="D947" s="9"/>
      <c r="E947" s="10"/>
      <c r="F947" s="9"/>
      <c r="G947" s="10"/>
      <c r="H947" s="9"/>
    </row>
    <row r="948">
      <c r="A948" s="8"/>
      <c r="B948" s="9"/>
      <c r="C948" s="10"/>
      <c r="D948" s="9"/>
      <c r="E948" s="10"/>
      <c r="F948" s="9"/>
      <c r="G948" s="10"/>
      <c r="H948" s="9"/>
    </row>
    <row r="949">
      <c r="A949" s="8"/>
      <c r="B949" s="9"/>
      <c r="C949" s="10"/>
      <c r="D949" s="9"/>
      <c r="E949" s="10"/>
      <c r="F949" s="9"/>
      <c r="G949" s="10"/>
      <c r="H949" s="9"/>
    </row>
    <row r="950">
      <c r="A950" s="8"/>
      <c r="B950" s="9"/>
      <c r="C950" s="10"/>
      <c r="D950" s="9"/>
      <c r="E950" s="10"/>
      <c r="F950" s="9"/>
      <c r="G950" s="10"/>
      <c r="H950" s="9"/>
    </row>
    <row r="951">
      <c r="A951" s="8"/>
      <c r="B951" s="9"/>
      <c r="C951" s="10"/>
      <c r="D951" s="9"/>
      <c r="E951" s="10"/>
      <c r="F951" s="9"/>
      <c r="G951" s="10"/>
      <c r="H951" s="9"/>
    </row>
    <row r="952">
      <c r="A952" s="8"/>
      <c r="B952" s="9"/>
      <c r="C952" s="10"/>
      <c r="D952" s="9"/>
      <c r="E952" s="10"/>
      <c r="F952" s="9"/>
      <c r="G952" s="10"/>
      <c r="H952" s="9"/>
    </row>
    <row r="953">
      <c r="A953" s="8"/>
      <c r="B953" s="9"/>
      <c r="C953" s="10"/>
      <c r="D953" s="9"/>
      <c r="E953" s="10"/>
      <c r="F953" s="9"/>
      <c r="G953" s="10"/>
      <c r="H953" s="9"/>
    </row>
    <row r="954">
      <c r="A954" s="8"/>
      <c r="B954" s="9"/>
      <c r="C954" s="10"/>
      <c r="D954" s="9"/>
      <c r="E954" s="10"/>
      <c r="F954" s="9"/>
      <c r="G954" s="10"/>
      <c r="H954" s="9"/>
    </row>
    <row r="955">
      <c r="A955" s="8"/>
      <c r="B955" s="9"/>
      <c r="C955" s="10"/>
      <c r="D955" s="9"/>
      <c r="E955" s="10"/>
      <c r="F955" s="9"/>
      <c r="G955" s="10"/>
      <c r="H955" s="9"/>
    </row>
    <row r="956">
      <c r="A956" s="8"/>
      <c r="B956" s="9"/>
      <c r="C956" s="10"/>
      <c r="D956" s="9"/>
      <c r="E956" s="10"/>
      <c r="F956" s="9"/>
      <c r="G956" s="10"/>
      <c r="H956" s="9"/>
    </row>
    <row r="957">
      <c r="A957" s="8"/>
      <c r="B957" s="9"/>
      <c r="C957" s="10"/>
      <c r="D957" s="9"/>
      <c r="E957" s="10"/>
      <c r="F957" s="9"/>
      <c r="G957" s="10"/>
      <c r="H957" s="9"/>
    </row>
    <row r="958">
      <c r="A958" s="8"/>
      <c r="B958" s="9"/>
      <c r="C958" s="10"/>
      <c r="D958" s="9"/>
      <c r="E958" s="10"/>
      <c r="F958" s="9"/>
      <c r="G958" s="10"/>
      <c r="H958" s="9"/>
    </row>
    <row r="959">
      <c r="A959" s="8"/>
      <c r="B959" s="9"/>
      <c r="C959" s="10"/>
      <c r="D959" s="9"/>
      <c r="E959" s="10"/>
      <c r="F959" s="9"/>
      <c r="G959" s="10"/>
      <c r="H959" s="9"/>
    </row>
    <row r="960">
      <c r="A960" s="8"/>
      <c r="B960" s="9"/>
      <c r="C960" s="10"/>
      <c r="D960" s="9"/>
      <c r="E960" s="10"/>
      <c r="F960" s="9"/>
      <c r="G960" s="10"/>
      <c r="H960" s="9"/>
    </row>
    <row r="961">
      <c r="A961" s="8"/>
      <c r="B961" s="9"/>
      <c r="C961" s="10"/>
      <c r="D961" s="9"/>
      <c r="E961" s="10"/>
      <c r="F961" s="9"/>
      <c r="G961" s="10"/>
      <c r="H961" s="9"/>
    </row>
    <row r="962">
      <c r="A962" s="8"/>
      <c r="B962" s="9"/>
      <c r="C962" s="10"/>
      <c r="D962" s="9"/>
      <c r="E962" s="10"/>
      <c r="F962" s="9"/>
      <c r="G962" s="10"/>
      <c r="H962" s="9"/>
    </row>
    <row r="963">
      <c r="A963" s="8"/>
      <c r="B963" s="9"/>
      <c r="C963" s="10"/>
      <c r="D963" s="9"/>
      <c r="E963" s="10"/>
      <c r="F963" s="9"/>
      <c r="G963" s="10"/>
      <c r="H963" s="9"/>
    </row>
    <row r="964">
      <c r="A964" s="8"/>
      <c r="B964" s="9"/>
      <c r="C964" s="10"/>
      <c r="D964" s="9"/>
      <c r="E964" s="10"/>
      <c r="F964" s="9"/>
      <c r="G964" s="10"/>
      <c r="H964" s="9"/>
    </row>
    <row r="965">
      <c r="A965" s="8"/>
      <c r="B965" s="9"/>
      <c r="C965" s="10"/>
      <c r="D965" s="9"/>
      <c r="E965" s="10"/>
      <c r="F965" s="9"/>
      <c r="G965" s="10"/>
      <c r="H965" s="9"/>
    </row>
    <row r="966">
      <c r="A966" s="8"/>
      <c r="B966" s="9"/>
      <c r="C966" s="10"/>
      <c r="D966" s="9"/>
      <c r="E966" s="10"/>
      <c r="F966" s="9"/>
      <c r="G966" s="10"/>
      <c r="H966" s="9"/>
    </row>
    <row r="967">
      <c r="A967" s="8"/>
      <c r="B967" s="9"/>
      <c r="C967" s="10"/>
      <c r="D967" s="9"/>
      <c r="E967" s="10"/>
      <c r="F967" s="9"/>
      <c r="G967" s="10"/>
      <c r="H967" s="9"/>
    </row>
    <row r="968">
      <c r="A968" s="8"/>
      <c r="B968" s="9"/>
      <c r="C968" s="10"/>
      <c r="D968" s="9"/>
      <c r="E968" s="10"/>
      <c r="F968" s="9"/>
      <c r="G968" s="10"/>
      <c r="H968" s="9"/>
    </row>
    <row r="969">
      <c r="A969" s="8"/>
      <c r="B969" s="9"/>
      <c r="C969" s="10"/>
      <c r="D969" s="9"/>
      <c r="E969" s="10"/>
      <c r="F969" s="9"/>
      <c r="G969" s="10"/>
      <c r="H969" s="9"/>
    </row>
    <row r="970">
      <c r="A970" s="8"/>
      <c r="B970" s="9"/>
      <c r="C970" s="10"/>
      <c r="D970" s="9"/>
      <c r="E970" s="10"/>
      <c r="F970" s="9"/>
      <c r="G970" s="10"/>
      <c r="H970" s="9"/>
    </row>
    <row r="971">
      <c r="A971" s="8"/>
      <c r="B971" s="9"/>
      <c r="C971" s="10"/>
      <c r="D971" s="9"/>
      <c r="E971" s="10"/>
      <c r="F971" s="9"/>
      <c r="G971" s="10"/>
      <c r="H971" s="9"/>
    </row>
    <row r="972">
      <c r="A972" s="8"/>
      <c r="B972" s="9"/>
      <c r="C972" s="10"/>
      <c r="D972" s="9"/>
      <c r="E972" s="10"/>
      <c r="F972" s="9"/>
      <c r="G972" s="10"/>
      <c r="H972" s="9"/>
    </row>
    <row r="973">
      <c r="A973" s="8"/>
      <c r="B973" s="9"/>
      <c r="C973" s="10"/>
      <c r="D973" s="9"/>
      <c r="E973" s="10"/>
      <c r="F973" s="9"/>
      <c r="G973" s="10"/>
      <c r="H973" s="9"/>
    </row>
    <row r="974">
      <c r="A974" s="8"/>
      <c r="B974" s="9"/>
      <c r="C974" s="10"/>
      <c r="D974" s="9"/>
      <c r="E974" s="10"/>
      <c r="F974" s="9"/>
      <c r="G974" s="10"/>
      <c r="H974" s="9"/>
    </row>
    <row r="975">
      <c r="A975" s="8"/>
      <c r="B975" s="9"/>
      <c r="C975" s="10"/>
      <c r="D975" s="9"/>
      <c r="E975" s="10"/>
      <c r="F975" s="9"/>
      <c r="G975" s="10"/>
      <c r="H975" s="9"/>
    </row>
    <row r="976">
      <c r="A976" s="8"/>
      <c r="B976" s="9"/>
      <c r="C976" s="10"/>
      <c r="D976" s="9"/>
      <c r="E976" s="10"/>
      <c r="F976" s="9"/>
      <c r="G976" s="10"/>
      <c r="H976" s="9"/>
    </row>
    <row r="977">
      <c r="A977" s="8"/>
      <c r="B977" s="9"/>
      <c r="C977" s="10"/>
      <c r="D977" s="9"/>
      <c r="E977" s="10"/>
      <c r="F977" s="9"/>
      <c r="G977" s="10"/>
      <c r="H977" s="9"/>
    </row>
    <row r="978">
      <c r="A978" s="8"/>
      <c r="B978" s="9"/>
      <c r="C978" s="10"/>
      <c r="D978" s="9"/>
      <c r="E978" s="10"/>
      <c r="F978" s="9"/>
      <c r="G978" s="10"/>
      <c r="H978" s="9"/>
    </row>
    <row r="979">
      <c r="A979" s="8"/>
      <c r="B979" s="9"/>
      <c r="C979" s="10"/>
      <c r="D979" s="9"/>
      <c r="E979" s="10"/>
      <c r="F979" s="9"/>
      <c r="G979" s="10"/>
      <c r="H979" s="9"/>
    </row>
    <row r="980">
      <c r="A980" s="8"/>
      <c r="B980" s="9"/>
      <c r="C980" s="10"/>
      <c r="D980" s="9"/>
      <c r="E980" s="10"/>
      <c r="F980" s="9"/>
      <c r="G980" s="10"/>
      <c r="H980" s="9"/>
    </row>
    <row r="981">
      <c r="A981" s="8"/>
      <c r="B981" s="9"/>
      <c r="C981" s="10"/>
      <c r="D981" s="9"/>
      <c r="E981" s="10"/>
      <c r="F981" s="9"/>
      <c r="G981" s="10"/>
      <c r="H981" s="9"/>
    </row>
    <row r="982">
      <c r="A982" s="8"/>
      <c r="B982" s="9"/>
      <c r="C982" s="10"/>
      <c r="D982" s="9"/>
      <c r="E982" s="10"/>
      <c r="F982" s="9"/>
      <c r="G982" s="10"/>
      <c r="H982" s="9"/>
    </row>
    <row r="983">
      <c r="A983" s="8"/>
      <c r="B983" s="9"/>
      <c r="C983" s="10"/>
      <c r="D983" s="9"/>
      <c r="E983" s="10"/>
      <c r="F983" s="9"/>
      <c r="G983" s="10"/>
      <c r="H983" s="9"/>
    </row>
    <row r="984">
      <c r="A984" s="8"/>
      <c r="B984" s="9"/>
      <c r="C984" s="10"/>
      <c r="D984" s="9"/>
      <c r="E984" s="10"/>
      <c r="F984" s="9"/>
      <c r="G984" s="10"/>
      <c r="H984" s="9"/>
    </row>
    <row r="985">
      <c r="A985" s="8"/>
      <c r="B985" s="9"/>
      <c r="C985" s="10"/>
      <c r="D985" s="9"/>
      <c r="E985" s="10"/>
      <c r="F985" s="9"/>
      <c r="G985" s="10"/>
      <c r="H985" s="9"/>
    </row>
    <row r="986">
      <c r="A986" s="8"/>
      <c r="B986" s="9"/>
      <c r="C986" s="10"/>
      <c r="D986" s="9"/>
      <c r="E986" s="10"/>
      <c r="F986" s="9"/>
      <c r="G986" s="10"/>
      <c r="H986" s="9"/>
    </row>
    <row r="987">
      <c r="A987" s="8"/>
      <c r="B987" s="9"/>
      <c r="C987" s="10"/>
      <c r="D987" s="9"/>
      <c r="E987" s="10"/>
      <c r="F987" s="9"/>
      <c r="G987" s="10"/>
      <c r="H987" s="9"/>
    </row>
    <row r="988">
      <c r="A988" s="8"/>
      <c r="B988" s="9"/>
      <c r="C988" s="10"/>
      <c r="D988" s="9"/>
      <c r="E988" s="10"/>
      <c r="F988" s="9"/>
      <c r="G988" s="10"/>
      <c r="H988" s="9"/>
    </row>
    <row r="989">
      <c r="A989" s="8"/>
      <c r="B989" s="9"/>
      <c r="C989" s="10"/>
      <c r="D989" s="9"/>
      <c r="E989" s="10"/>
      <c r="F989" s="9"/>
      <c r="G989" s="10"/>
      <c r="H989" s="9"/>
    </row>
    <row r="990">
      <c r="A990" s="8"/>
      <c r="B990" s="9"/>
      <c r="C990" s="10"/>
      <c r="D990" s="9"/>
      <c r="E990" s="10"/>
      <c r="F990" s="9"/>
      <c r="G990" s="10"/>
      <c r="H990" s="9"/>
    </row>
    <row r="991">
      <c r="A991" s="8"/>
      <c r="B991" s="9"/>
      <c r="C991" s="10"/>
      <c r="D991" s="9"/>
      <c r="E991" s="10"/>
      <c r="F991" s="9"/>
      <c r="G991" s="10"/>
      <c r="H991" s="9"/>
    </row>
    <row r="992">
      <c r="A992" s="8"/>
      <c r="B992" s="9"/>
      <c r="C992" s="10"/>
      <c r="D992" s="9"/>
      <c r="E992" s="10"/>
      <c r="F992" s="9"/>
      <c r="G992" s="10"/>
      <c r="H992" s="9"/>
    </row>
    <row r="993">
      <c r="A993" s="8"/>
      <c r="B993" s="9"/>
      <c r="C993" s="10"/>
      <c r="D993" s="9"/>
      <c r="E993" s="10"/>
      <c r="F993" s="9"/>
      <c r="G993" s="10"/>
      <c r="H993" s="9"/>
    </row>
    <row r="994">
      <c r="A994" s="8"/>
      <c r="B994" s="9"/>
      <c r="C994" s="10"/>
      <c r="D994" s="9"/>
      <c r="E994" s="10"/>
      <c r="F994" s="9"/>
      <c r="G994" s="10"/>
      <c r="H994" s="9"/>
    </row>
    <row r="995">
      <c r="A995" s="8"/>
      <c r="B995" s="9"/>
      <c r="C995" s="10"/>
      <c r="D995" s="9"/>
      <c r="E995" s="10"/>
      <c r="F995" s="9"/>
      <c r="G995" s="10"/>
      <c r="H995" s="9"/>
    </row>
    <row r="996">
      <c r="A996" s="8"/>
      <c r="B996" s="9"/>
      <c r="C996" s="10"/>
      <c r="D996" s="9"/>
      <c r="E996" s="10"/>
      <c r="F996" s="9"/>
      <c r="G996" s="10"/>
      <c r="H996" s="9"/>
    </row>
    <row r="997">
      <c r="A997" s="8"/>
      <c r="B997" s="9"/>
      <c r="C997" s="10"/>
      <c r="D997" s="9"/>
      <c r="E997" s="10"/>
      <c r="F997" s="9"/>
      <c r="G997" s="10"/>
      <c r="H997" s="9"/>
    </row>
    <row r="998">
      <c r="A998" s="8"/>
      <c r="B998" s="9"/>
      <c r="C998" s="10"/>
      <c r="D998" s="9"/>
      <c r="E998" s="10"/>
      <c r="F998" s="9"/>
      <c r="G998" s="10"/>
      <c r="H998" s="9"/>
    </row>
    <row r="999">
      <c r="A999" s="8"/>
      <c r="B999" s="9"/>
      <c r="C999" s="10"/>
      <c r="D999" s="9"/>
      <c r="E999" s="10"/>
      <c r="F999" s="9"/>
      <c r="G999" s="10"/>
      <c r="H999" s="9"/>
    </row>
    <row r="1000">
      <c r="A1000" s="8"/>
      <c r="B1000" s="9"/>
      <c r="C1000" s="10"/>
      <c r="D1000" s="9"/>
      <c r="E1000" s="10"/>
      <c r="F1000" s="9"/>
      <c r="G1000" s="10"/>
      <c r="H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tr">
        <f>IFERROR(__xludf.DUMMYFUNCTION("QUERY({'2009'!A2:G267},""select Col3 label Col3 'precipitation'"",0)"),"precipitation")</f>
        <v>precipitation</v>
      </c>
    </row>
    <row r="2">
      <c r="A2" s="11"/>
    </row>
    <row r="3">
      <c r="A3" s="11"/>
    </row>
    <row r="4">
      <c r="A4" s="11">
        <f>IFERROR(__xludf.DUMMYFUNCTION("""COMPUTED_VALUE"""),327.0)</f>
        <v>327</v>
      </c>
    </row>
    <row r="5">
      <c r="A5" s="11"/>
    </row>
    <row r="6">
      <c r="A6" s="11">
        <f>IFERROR(__xludf.DUMMYFUNCTION("""COMPUTED_VALUE"""),1010.0)</f>
        <v>1010</v>
      </c>
    </row>
    <row r="7">
      <c r="A7" s="11">
        <f>IFERROR(__xludf.DUMMYFUNCTION("""COMPUTED_VALUE"""),1485.0)</f>
        <v>1485</v>
      </c>
    </row>
    <row r="8">
      <c r="A8" s="11"/>
    </row>
    <row r="9">
      <c r="A9" s="11"/>
    </row>
    <row r="10">
      <c r="A10" s="11">
        <f>IFERROR(__xludf.DUMMYFUNCTION("""COMPUTED_VALUE"""),78.0)</f>
        <v>78</v>
      </c>
    </row>
    <row r="11">
      <c r="A11" s="11">
        <f>IFERROR(__xludf.DUMMYFUNCTION("""COMPUTED_VALUE"""),591.0)</f>
        <v>591</v>
      </c>
    </row>
    <row r="12">
      <c r="A12" s="11">
        <f>IFERROR(__xludf.DUMMYFUNCTION("""COMPUTED_VALUE"""),562.0)</f>
        <v>562</v>
      </c>
    </row>
    <row r="13">
      <c r="A13" s="11"/>
    </row>
    <row r="14">
      <c r="A14" s="11">
        <f>IFERROR(__xludf.DUMMYFUNCTION("""COMPUTED_VALUE"""),1030.0)</f>
        <v>1030</v>
      </c>
    </row>
    <row r="15">
      <c r="A15" s="11">
        <f>IFERROR(__xludf.DUMMYFUNCTION("""COMPUTED_VALUE"""),534.0)</f>
        <v>534</v>
      </c>
    </row>
    <row r="16">
      <c r="A16" s="11">
        <f>IFERROR(__xludf.DUMMYFUNCTION("""COMPUTED_VALUE"""),1110.0)</f>
        <v>1110</v>
      </c>
    </row>
    <row r="17">
      <c r="A17" s="11">
        <f>IFERROR(__xludf.DUMMYFUNCTION("""COMPUTED_VALUE"""),447.0)</f>
        <v>447</v>
      </c>
    </row>
    <row r="18">
      <c r="A18" s="11">
        <f>IFERROR(__xludf.DUMMYFUNCTION("""COMPUTED_VALUE"""),1274.0)</f>
        <v>1274</v>
      </c>
    </row>
    <row r="19">
      <c r="A19" s="11">
        <f>IFERROR(__xludf.DUMMYFUNCTION("""COMPUTED_VALUE"""),847.0)</f>
        <v>847</v>
      </c>
    </row>
    <row r="20">
      <c r="A20" s="11">
        <f>IFERROR(__xludf.DUMMYFUNCTION("""COMPUTED_VALUE"""),1039.0)</f>
        <v>1039</v>
      </c>
    </row>
    <row r="21">
      <c r="A21" s="11">
        <f>IFERROR(__xludf.DUMMYFUNCTION("""COMPUTED_VALUE"""),748.0)</f>
        <v>748</v>
      </c>
    </row>
    <row r="22">
      <c r="A22" s="11">
        <f>IFERROR(__xludf.DUMMYFUNCTION("""COMPUTED_VALUE"""),2666.0)</f>
        <v>2666</v>
      </c>
    </row>
    <row r="23">
      <c r="A23" s="11">
        <f>IFERROR(__xludf.DUMMYFUNCTION("""COMPUTED_VALUE"""),608.0)</f>
        <v>608</v>
      </c>
    </row>
    <row r="24">
      <c r="A24" s="11">
        <f>IFERROR(__xludf.DUMMYFUNCTION("""COMPUTED_VALUE"""),83.0)</f>
        <v>83</v>
      </c>
    </row>
    <row r="25">
      <c r="A25" s="11">
        <f>IFERROR(__xludf.DUMMYFUNCTION("""COMPUTED_VALUE"""),1292.0)</f>
        <v>1292</v>
      </c>
    </row>
    <row r="26">
      <c r="A26" s="11">
        <f>IFERROR(__xludf.DUMMYFUNCTION("""COMPUTED_VALUE"""),1028.0)</f>
        <v>1028</v>
      </c>
    </row>
    <row r="27">
      <c r="A27" s="11">
        <f>IFERROR(__xludf.DUMMYFUNCTION("""COMPUTED_VALUE"""),618.0)</f>
        <v>618</v>
      </c>
    </row>
    <row r="28">
      <c r="A28" s="11">
        <f>IFERROR(__xludf.DUMMYFUNCTION("""COMPUTED_VALUE"""),1705.0)</f>
        <v>1705</v>
      </c>
    </row>
    <row r="29">
      <c r="A29" s="11"/>
    </row>
    <row r="30">
      <c r="A30" s="11">
        <f>IFERROR(__xludf.DUMMYFUNCTION("""COMPUTED_VALUE"""),1146.0)</f>
        <v>1146</v>
      </c>
    </row>
    <row r="31">
      <c r="A31" s="11">
        <f>IFERROR(__xludf.DUMMYFUNCTION("""COMPUTED_VALUE"""),1761.0)</f>
        <v>1761</v>
      </c>
    </row>
    <row r="32">
      <c r="A32" s="11">
        <f>IFERROR(__xludf.DUMMYFUNCTION("""COMPUTED_VALUE"""),1422.0)</f>
        <v>1422</v>
      </c>
    </row>
    <row r="33">
      <c r="A33" s="11">
        <f>IFERROR(__xludf.DUMMYFUNCTION("""COMPUTED_VALUE"""),2722.0)</f>
        <v>2722</v>
      </c>
    </row>
    <row r="34">
      <c r="A34" s="11">
        <f>IFERROR(__xludf.DUMMYFUNCTION("""COMPUTED_VALUE"""),2200.0)</f>
        <v>2200</v>
      </c>
    </row>
    <row r="35">
      <c r="A35" s="11">
        <f>IFERROR(__xludf.DUMMYFUNCTION("""COMPUTED_VALUE"""),416.0)</f>
        <v>416</v>
      </c>
    </row>
    <row r="36">
      <c r="A36" s="11">
        <f>IFERROR(__xludf.DUMMYFUNCTION("""COMPUTED_VALUE"""),1343.0)</f>
        <v>1343</v>
      </c>
    </row>
    <row r="37">
      <c r="A37" s="11">
        <f>IFERROR(__xludf.DUMMYFUNCTION("""COMPUTED_VALUE"""),537.0)</f>
        <v>537</v>
      </c>
    </row>
    <row r="38">
      <c r="A38" s="11"/>
    </row>
    <row r="39">
      <c r="A39" s="11">
        <f>IFERROR(__xludf.DUMMYFUNCTION("""COMPUTED_VALUE"""),1537.0)</f>
        <v>1537</v>
      </c>
    </row>
    <row r="40">
      <c r="A40" s="11"/>
    </row>
    <row r="41">
      <c r="A41" s="11">
        <f>IFERROR(__xludf.DUMMYFUNCTION("""COMPUTED_VALUE"""),1522.0)</f>
        <v>1522</v>
      </c>
    </row>
    <row r="42">
      <c r="A42" s="11">
        <f>IFERROR(__xludf.DUMMYFUNCTION("""COMPUTED_VALUE"""),645.0)</f>
        <v>645</v>
      </c>
    </row>
    <row r="43">
      <c r="A43" s="11">
        <f>IFERROR(__xludf.DUMMYFUNCTION("""COMPUTED_VALUE"""),1348.0)</f>
        <v>1348</v>
      </c>
    </row>
    <row r="44">
      <c r="A44" s="11">
        <f>IFERROR(__xludf.DUMMYFUNCTION("""COMPUTED_VALUE"""),1604.0)</f>
        <v>1604</v>
      </c>
    </row>
    <row r="45">
      <c r="A45" s="11">
        <f>IFERROR(__xludf.DUMMYFUNCTION("""COMPUTED_VALUE"""),1543.0)</f>
        <v>1543</v>
      </c>
    </row>
    <row r="46">
      <c r="A46" s="11">
        <f>IFERROR(__xludf.DUMMYFUNCTION("""COMPUTED_VALUE"""),1646.0)</f>
        <v>1646</v>
      </c>
    </row>
    <row r="47">
      <c r="A47" s="11">
        <f>IFERROR(__xludf.DUMMYFUNCTION("""COMPUTED_VALUE"""),3240.0)</f>
        <v>3240</v>
      </c>
    </row>
    <row r="48">
      <c r="A48" s="11">
        <f>IFERROR(__xludf.DUMMYFUNCTION("""COMPUTED_VALUE"""),900.0)</f>
        <v>900</v>
      </c>
    </row>
    <row r="49">
      <c r="A49" s="11">
        <f>IFERROR(__xludf.DUMMYFUNCTION("""COMPUTED_VALUE"""),228.0)</f>
        <v>228</v>
      </c>
    </row>
    <row r="50">
      <c r="A50" s="11">
        <f>IFERROR(__xludf.DUMMYFUNCTION("""COMPUTED_VALUE"""),2926.0)</f>
        <v>2926</v>
      </c>
    </row>
    <row r="51">
      <c r="A51" s="11"/>
    </row>
    <row r="52">
      <c r="A52" s="11">
        <f>IFERROR(__xludf.DUMMYFUNCTION("""COMPUTED_VALUE"""),1335.0)</f>
        <v>1335</v>
      </c>
    </row>
    <row r="53">
      <c r="A53" s="11"/>
    </row>
    <row r="54">
      <c r="A54" s="11"/>
    </row>
    <row r="55">
      <c r="A55" s="11">
        <f>IFERROR(__xludf.DUMMYFUNCTION("""COMPUTED_VALUE"""),498.0)</f>
        <v>498</v>
      </c>
    </row>
    <row r="56">
      <c r="A56" s="11">
        <f>IFERROR(__xludf.DUMMYFUNCTION("""COMPUTED_VALUE"""),677.0)</f>
        <v>677</v>
      </c>
    </row>
    <row r="57">
      <c r="A57" s="11">
        <f>IFERROR(__xludf.DUMMYFUNCTION("""COMPUTED_VALUE"""),700.0)</f>
        <v>700</v>
      </c>
    </row>
    <row r="58">
      <c r="A58" s="11">
        <f>IFERROR(__xludf.DUMMYFUNCTION("""COMPUTED_VALUE"""),220.0)</f>
        <v>220</v>
      </c>
    </row>
    <row r="59">
      <c r="A59" s="11">
        <f>IFERROR(__xludf.DUMMYFUNCTION("""COMPUTED_VALUE"""),2083.0)</f>
        <v>2083</v>
      </c>
    </row>
    <row r="60">
      <c r="A60" s="11">
        <f>IFERROR(__xludf.DUMMYFUNCTION("""COMPUTED_VALUE"""),703.0)</f>
        <v>703</v>
      </c>
    </row>
    <row r="61">
      <c r="A61" s="11">
        <f>IFERROR(__xludf.DUMMYFUNCTION("""COMPUTED_VALUE"""),1410.0)</f>
        <v>1410</v>
      </c>
    </row>
    <row r="62">
      <c r="A62" s="11">
        <f>IFERROR(__xludf.DUMMYFUNCTION("""COMPUTED_VALUE"""),89.0)</f>
        <v>89</v>
      </c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>
        <f>IFERROR(__xludf.DUMMYFUNCTION("""COMPUTED_VALUE"""),2274.0)</f>
        <v>2274</v>
      </c>
    </row>
    <row r="69">
      <c r="A69" s="11">
        <f>IFERROR(__xludf.DUMMYFUNCTION("""COMPUTED_VALUE"""),18.1)</f>
        <v>18.1</v>
      </c>
    </row>
    <row r="70">
      <c r="A70" s="11"/>
    </row>
    <row r="71">
      <c r="A71" s="11">
        <f>IFERROR(__xludf.DUMMYFUNCTION("""COMPUTED_VALUE"""),384.0)</f>
        <v>384</v>
      </c>
    </row>
    <row r="72">
      <c r="A72" s="11">
        <f>IFERROR(__xludf.DUMMYFUNCTION("""COMPUTED_VALUE"""),636.0)</f>
        <v>636</v>
      </c>
    </row>
    <row r="73">
      <c r="A73" s="11">
        <f>IFERROR(__xludf.DUMMYFUNCTION("""COMPUTED_VALUE"""),626.0)</f>
        <v>626</v>
      </c>
    </row>
    <row r="74">
      <c r="A74" s="11">
        <f>IFERROR(__xludf.DUMMYFUNCTION("""COMPUTED_VALUE"""),848.0)</f>
        <v>848</v>
      </c>
    </row>
    <row r="75">
      <c r="A75" s="11"/>
    </row>
    <row r="76">
      <c r="A76" s="11"/>
    </row>
    <row r="77">
      <c r="A77" s="11">
        <f>IFERROR(__xludf.DUMMYFUNCTION("""COMPUTED_VALUE"""),536.0)</f>
        <v>536</v>
      </c>
    </row>
    <row r="78">
      <c r="A78" s="11">
        <f>IFERROR(__xludf.DUMMYFUNCTION("""COMPUTED_VALUE"""),2592.0)</f>
        <v>2592</v>
      </c>
    </row>
    <row r="79">
      <c r="A79" s="11">
        <f>IFERROR(__xludf.DUMMYFUNCTION("""COMPUTED_VALUE"""),867.0)</f>
        <v>867</v>
      </c>
    </row>
    <row r="80">
      <c r="A80" s="11"/>
    </row>
    <row r="81">
      <c r="A81" s="11"/>
    </row>
    <row r="82">
      <c r="A82" s="11">
        <f>IFERROR(__xludf.DUMMYFUNCTION("""COMPUTED_VALUE"""),1831.0)</f>
        <v>1831</v>
      </c>
    </row>
    <row r="83">
      <c r="A83" s="11">
        <f>IFERROR(__xludf.DUMMYFUNCTION("""COMPUTED_VALUE"""),1220.0)</f>
        <v>1220</v>
      </c>
    </row>
    <row r="84">
      <c r="A84" s="11">
        <f>IFERROR(__xludf.DUMMYFUNCTION("""COMPUTED_VALUE"""),1026.0)</f>
        <v>1026</v>
      </c>
    </row>
    <row r="85">
      <c r="A85" s="11">
        <f>IFERROR(__xludf.DUMMYFUNCTION("""COMPUTED_VALUE"""),1187.0)</f>
        <v>1187</v>
      </c>
    </row>
    <row r="86">
      <c r="A86" s="11"/>
    </row>
    <row r="87">
      <c r="A87" s="11">
        <f>IFERROR(__xludf.DUMMYFUNCTION("""COMPUTED_VALUE"""),1651.0)</f>
        <v>1651</v>
      </c>
    </row>
    <row r="88">
      <c r="A88" s="11">
        <f>IFERROR(__xludf.DUMMYFUNCTION("""COMPUTED_VALUE"""),836.0)</f>
        <v>836</v>
      </c>
    </row>
    <row r="89">
      <c r="A89" s="11">
        <f>IFERROR(__xludf.DUMMYFUNCTION("""COMPUTED_VALUE"""),1577.0)</f>
        <v>1577</v>
      </c>
    </row>
    <row r="90">
      <c r="A90" s="11">
        <f>IFERROR(__xludf.DUMMYFUNCTION("""COMPUTED_VALUE"""),2156.0)</f>
        <v>2156</v>
      </c>
    </row>
    <row r="91">
      <c r="A91" s="11">
        <f>IFERROR(__xludf.DUMMYFUNCTION("""COMPUTED_VALUE"""),652.0)</f>
        <v>652</v>
      </c>
    </row>
    <row r="92">
      <c r="A92" s="11">
        <f>IFERROR(__xludf.DUMMYFUNCTION("""COMPUTED_VALUE"""),2350.0)</f>
        <v>2350</v>
      </c>
    </row>
    <row r="93">
      <c r="A93" s="11"/>
    </row>
    <row r="94">
      <c r="A94" s="11">
        <f>IFERROR(__xludf.DUMMYFUNCTION("""COMPUTED_VALUE"""),1996.0)</f>
        <v>1996</v>
      </c>
    </row>
    <row r="95">
      <c r="A95" s="11"/>
    </row>
    <row r="96">
      <c r="A96" s="11">
        <f>IFERROR(__xludf.DUMMYFUNCTION("""COMPUTED_VALUE"""),2387.0)</f>
        <v>2387</v>
      </c>
    </row>
    <row r="97">
      <c r="A97" s="11"/>
    </row>
    <row r="98">
      <c r="A98" s="11"/>
    </row>
    <row r="99">
      <c r="A99" s="11">
        <f>IFERROR(__xludf.DUMMYFUNCTION("""COMPUTED_VALUE"""),1976.0)</f>
        <v>1976</v>
      </c>
    </row>
    <row r="100">
      <c r="A100" s="11"/>
    </row>
    <row r="101">
      <c r="A101" s="11">
        <f>IFERROR(__xludf.DUMMYFUNCTION("""COMPUTED_VALUE"""),1113.0)</f>
        <v>1113</v>
      </c>
    </row>
    <row r="102">
      <c r="A102" s="11">
        <f>IFERROR(__xludf.DUMMYFUNCTION("""COMPUTED_VALUE"""),1440.0)</f>
        <v>1440</v>
      </c>
    </row>
    <row r="103">
      <c r="A103" s="11">
        <f>IFERROR(__xludf.DUMMYFUNCTION("""COMPUTED_VALUE"""),589.0)</f>
        <v>589</v>
      </c>
    </row>
    <row r="104">
      <c r="A104" s="11"/>
    </row>
    <row r="105">
      <c r="A105" s="11"/>
    </row>
    <row r="106">
      <c r="A106" s="11"/>
    </row>
    <row r="107">
      <c r="A107" s="11"/>
    </row>
    <row r="108">
      <c r="A108" s="11">
        <f>IFERROR(__xludf.DUMMYFUNCTION("""COMPUTED_VALUE"""),2702.0)</f>
        <v>2702</v>
      </c>
    </row>
    <row r="109">
      <c r="A109" s="11"/>
    </row>
    <row r="110">
      <c r="A110" s="11"/>
    </row>
    <row r="111">
      <c r="A111" s="11">
        <f>IFERROR(__xludf.DUMMYFUNCTION("""COMPUTED_VALUE"""),1083.0)</f>
        <v>1083</v>
      </c>
    </row>
    <row r="112">
      <c r="A112" s="11"/>
    </row>
    <row r="113">
      <c r="A113" s="11">
        <f>IFERROR(__xludf.DUMMYFUNCTION("""COMPUTED_VALUE"""),1118.0)</f>
        <v>1118</v>
      </c>
    </row>
    <row r="114">
      <c r="A114" s="11">
        <f>IFERROR(__xludf.DUMMYFUNCTION("""COMPUTED_VALUE"""),228.0)</f>
        <v>228</v>
      </c>
    </row>
    <row r="115">
      <c r="A115" s="11">
        <f>IFERROR(__xludf.DUMMYFUNCTION("""COMPUTED_VALUE"""),216.0)</f>
        <v>216</v>
      </c>
    </row>
    <row r="116">
      <c r="A116" s="11">
        <f>IFERROR(__xludf.DUMMYFUNCTION("""COMPUTED_VALUE"""),1940.0)</f>
        <v>1940</v>
      </c>
    </row>
    <row r="117">
      <c r="A117" s="11">
        <f>IFERROR(__xludf.DUMMYFUNCTION("""COMPUTED_VALUE"""),435.0)</f>
        <v>435</v>
      </c>
    </row>
    <row r="118">
      <c r="A118" s="11">
        <f>IFERROR(__xludf.DUMMYFUNCTION("""COMPUTED_VALUE"""),832.0)</f>
        <v>832</v>
      </c>
    </row>
    <row r="119">
      <c r="A119" s="11">
        <f>IFERROR(__xludf.DUMMYFUNCTION("""COMPUTED_VALUE"""),2051.0)</f>
        <v>2051</v>
      </c>
    </row>
    <row r="120">
      <c r="A120" s="11">
        <f>IFERROR(__xludf.DUMMYFUNCTION("""COMPUTED_VALUE"""),111.0)</f>
        <v>111</v>
      </c>
    </row>
    <row r="121">
      <c r="A121" s="11">
        <f>IFERROR(__xludf.DUMMYFUNCTION("""COMPUTED_VALUE"""),1668.0)</f>
        <v>1668</v>
      </c>
    </row>
    <row r="122">
      <c r="A122" s="11">
        <f>IFERROR(__xludf.DUMMYFUNCTION("""COMPUTED_VALUE"""),250.0)</f>
        <v>250</v>
      </c>
    </row>
    <row r="123">
      <c r="A123" s="11">
        <f>IFERROR(__xludf.DUMMYFUNCTION("""COMPUTED_VALUE"""),630.0)</f>
        <v>630</v>
      </c>
    </row>
    <row r="124">
      <c r="A124" s="11">
        <f>IFERROR(__xludf.DUMMYFUNCTION("""COMPUTED_VALUE"""),533.0)</f>
        <v>533</v>
      </c>
    </row>
    <row r="125">
      <c r="A125" s="11">
        <f>IFERROR(__xludf.DUMMYFUNCTION("""COMPUTED_VALUE"""),1904.0)</f>
        <v>1904</v>
      </c>
    </row>
    <row r="126">
      <c r="A126" s="11"/>
    </row>
    <row r="127">
      <c r="A127" s="11">
        <f>IFERROR(__xludf.DUMMYFUNCTION("""COMPUTED_VALUE"""),1427.0)</f>
        <v>1427</v>
      </c>
    </row>
    <row r="128">
      <c r="A128" s="11">
        <f>IFERROR(__xludf.DUMMYFUNCTION("""COMPUTED_VALUE"""),1274.0)</f>
        <v>1274</v>
      </c>
    </row>
    <row r="129">
      <c r="A129" s="11">
        <f>IFERROR(__xludf.DUMMYFUNCTION("""COMPUTED_VALUE"""),121.0)</f>
        <v>121</v>
      </c>
    </row>
    <row r="130">
      <c r="A130" s="11"/>
    </row>
    <row r="131">
      <c r="A131" s="11">
        <f>IFERROR(__xludf.DUMMYFUNCTION("""COMPUTED_VALUE"""),1834.0)</f>
        <v>1834</v>
      </c>
    </row>
    <row r="132">
      <c r="A132" s="11">
        <f>IFERROR(__xludf.DUMMYFUNCTION("""COMPUTED_VALUE"""),661.0)</f>
        <v>661</v>
      </c>
    </row>
    <row r="133">
      <c r="A133" s="11">
        <f>IFERROR(__xludf.DUMMYFUNCTION("""COMPUTED_VALUE"""),2391.0)</f>
        <v>2391</v>
      </c>
    </row>
    <row r="134">
      <c r="A134" s="11">
        <f>IFERROR(__xludf.DUMMYFUNCTION("""COMPUTED_VALUE"""),56.0)</f>
        <v>56</v>
      </c>
    </row>
    <row r="135">
      <c r="A135" s="11">
        <f>IFERROR(__xludf.DUMMYFUNCTION("""COMPUTED_VALUE"""),2301.0)</f>
        <v>2301</v>
      </c>
    </row>
    <row r="136">
      <c r="A136" s="11"/>
    </row>
    <row r="137">
      <c r="A137" s="11"/>
    </row>
    <row r="138">
      <c r="A138" s="11"/>
    </row>
    <row r="139">
      <c r="A139" s="11"/>
    </row>
    <row r="140">
      <c r="A140" s="11">
        <f>IFERROR(__xludf.DUMMYFUNCTION("""COMPUTED_VALUE"""),1712.0)</f>
        <v>1712</v>
      </c>
    </row>
    <row r="141">
      <c r="A141" s="11"/>
    </row>
    <row r="142">
      <c r="A142" s="11"/>
    </row>
    <row r="143">
      <c r="A143" s="11">
        <f>IFERROR(__xludf.DUMMYFUNCTION("""COMPUTED_VALUE"""),788.0)</f>
        <v>788</v>
      </c>
    </row>
    <row r="144">
      <c r="A144" s="11"/>
    </row>
    <row r="145">
      <c r="A145" s="11">
        <f>IFERROR(__xludf.DUMMYFUNCTION("""COMPUTED_VALUE"""),656.0)</f>
        <v>656</v>
      </c>
    </row>
    <row r="146">
      <c r="A146" s="11">
        <f>IFERROR(__xludf.DUMMYFUNCTION("""COMPUTED_VALUE"""),934.0)</f>
        <v>934</v>
      </c>
    </row>
    <row r="147">
      <c r="A147" s="11">
        <f>IFERROR(__xludf.DUMMYFUNCTION("""COMPUTED_VALUE"""),667.0)</f>
        <v>667</v>
      </c>
    </row>
    <row r="148">
      <c r="A148" s="11"/>
    </row>
    <row r="149">
      <c r="A149" s="11"/>
    </row>
    <row r="150">
      <c r="A150" s="11">
        <f>IFERROR(__xludf.DUMMYFUNCTION("""COMPUTED_VALUE"""),346.0)</f>
        <v>346</v>
      </c>
    </row>
    <row r="151">
      <c r="A151" s="11"/>
    </row>
    <row r="152">
      <c r="A152" s="11">
        <f>IFERROR(__xludf.DUMMYFUNCTION("""COMPUTED_VALUE"""),450.0)</f>
        <v>450</v>
      </c>
    </row>
    <row r="153">
      <c r="A153" s="11">
        <f>IFERROR(__xludf.DUMMYFUNCTION("""COMPUTED_VALUE"""),1513.0)</f>
        <v>1513</v>
      </c>
    </row>
    <row r="154">
      <c r="A154" s="11">
        <f>IFERROR(__xludf.DUMMYFUNCTION("""COMPUTED_VALUE"""),1972.0)</f>
        <v>1972</v>
      </c>
    </row>
    <row r="155">
      <c r="A155" s="11"/>
    </row>
    <row r="156">
      <c r="A156" s="11">
        <f>IFERROR(__xludf.DUMMYFUNCTION("""COMPUTED_VALUE"""),758.0)</f>
        <v>758</v>
      </c>
    </row>
    <row r="157">
      <c r="A157" s="11"/>
    </row>
    <row r="158">
      <c r="A158" s="11"/>
    </row>
    <row r="159">
      <c r="A159" s="11">
        <f>IFERROR(__xludf.DUMMYFUNCTION("""COMPUTED_VALUE"""),619.0)</f>
        <v>619</v>
      </c>
    </row>
    <row r="160">
      <c r="A160" s="11">
        <f>IFERROR(__xludf.DUMMYFUNCTION("""COMPUTED_VALUE"""),282.0)</f>
        <v>282</v>
      </c>
    </row>
    <row r="161">
      <c r="A161" s="11">
        <f>IFERROR(__xludf.DUMMYFUNCTION("""COMPUTED_VALUE"""),560.0)</f>
        <v>560</v>
      </c>
    </row>
    <row r="162">
      <c r="A162" s="11">
        <f>IFERROR(__xludf.DUMMYFUNCTION("""COMPUTED_VALUE"""),2091.0)</f>
        <v>2091</v>
      </c>
    </row>
    <row r="163">
      <c r="A163" s="11"/>
    </row>
    <row r="164">
      <c r="A164" s="11"/>
    </row>
    <row r="165">
      <c r="A165" s="11">
        <f>IFERROR(__xludf.DUMMYFUNCTION("""COMPUTED_VALUE"""),241.0)</f>
        <v>241</v>
      </c>
    </row>
    <row r="166">
      <c r="A166" s="11"/>
    </row>
    <row r="167">
      <c r="A167" s="11">
        <f>IFERROR(__xludf.DUMMYFUNCTION("""COMPUTED_VALUE"""),1032.0)</f>
        <v>1032</v>
      </c>
    </row>
    <row r="168">
      <c r="A168" s="11">
        <f>IFERROR(__xludf.DUMMYFUNCTION("""COMPUTED_VALUE"""),92.0)</f>
        <v>92</v>
      </c>
    </row>
    <row r="169">
      <c r="A169" s="11">
        <f>IFERROR(__xludf.DUMMYFUNCTION("""COMPUTED_VALUE"""),2041.0)</f>
        <v>2041</v>
      </c>
    </row>
    <row r="170">
      <c r="A170" s="11">
        <f>IFERROR(__xludf.DUMMYFUNCTION("""COMPUTED_VALUE"""),1181.0)</f>
        <v>1181</v>
      </c>
    </row>
    <row r="171">
      <c r="A171" s="11">
        <f>IFERROR(__xludf.DUMMYFUNCTION("""COMPUTED_VALUE"""),2875.0)</f>
        <v>2875</v>
      </c>
    </row>
    <row r="172">
      <c r="A172" s="11"/>
    </row>
    <row r="173">
      <c r="A173" s="11">
        <f>IFERROR(__xludf.DUMMYFUNCTION("""COMPUTED_VALUE"""),285.0)</f>
        <v>285</v>
      </c>
    </row>
    <row r="174">
      <c r="A174" s="11"/>
    </row>
    <row r="175">
      <c r="A175" s="11">
        <f>IFERROR(__xludf.DUMMYFUNCTION("""COMPUTED_VALUE"""),151.0)</f>
        <v>151</v>
      </c>
    </row>
    <row r="176">
      <c r="A176" s="11">
        <f>IFERROR(__xludf.DUMMYFUNCTION("""COMPUTED_VALUE"""),1150.0)</f>
        <v>1150</v>
      </c>
    </row>
    <row r="177">
      <c r="A177" s="11">
        <f>IFERROR(__xludf.DUMMYFUNCTION("""COMPUTED_VALUE"""),2280.0)</f>
        <v>2280</v>
      </c>
    </row>
    <row r="178">
      <c r="A178" s="11">
        <f>IFERROR(__xludf.DUMMYFUNCTION("""COMPUTED_VALUE"""),778.0)</f>
        <v>778</v>
      </c>
    </row>
    <row r="179">
      <c r="A179" s="11">
        <f>IFERROR(__xludf.DUMMYFUNCTION("""COMPUTED_VALUE"""),1414.0)</f>
        <v>1414</v>
      </c>
    </row>
    <row r="180">
      <c r="A180" s="11">
        <f>IFERROR(__xludf.DUMMYFUNCTION("""COMPUTED_VALUE"""),1500.0)</f>
        <v>1500</v>
      </c>
    </row>
    <row r="181">
      <c r="A181" s="11"/>
    </row>
    <row r="182">
      <c r="A182" s="11">
        <f>IFERROR(__xludf.DUMMYFUNCTION("""COMPUTED_VALUE"""),1732.0)</f>
        <v>1732</v>
      </c>
    </row>
    <row r="183">
      <c r="A183" s="11"/>
    </row>
    <row r="184">
      <c r="A184" s="11">
        <f>IFERROR(__xludf.DUMMYFUNCTION("""COMPUTED_VALUE"""),125.0)</f>
        <v>125</v>
      </c>
    </row>
    <row r="185">
      <c r="A185" s="11"/>
    </row>
    <row r="186">
      <c r="A186" s="11">
        <f>IFERROR(__xludf.DUMMYFUNCTION("""COMPUTED_VALUE"""),494.0)</f>
        <v>494</v>
      </c>
    </row>
    <row r="187">
      <c r="A187" s="11">
        <f>IFERROR(__xludf.DUMMYFUNCTION("""COMPUTED_VALUE"""),2928.0)</f>
        <v>2928</v>
      </c>
    </row>
    <row r="188">
      <c r="A188" s="11">
        <f>IFERROR(__xludf.DUMMYFUNCTION("""COMPUTED_VALUE"""),1738.0)</f>
        <v>1738</v>
      </c>
    </row>
    <row r="189">
      <c r="A189" s="11">
        <f>IFERROR(__xludf.DUMMYFUNCTION("""COMPUTED_VALUE"""),2348.0)</f>
        <v>2348</v>
      </c>
    </row>
    <row r="190">
      <c r="A190" s="11"/>
    </row>
    <row r="191">
      <c r="A191" s="11">
        <f>IFERROR(__xludf.DUMMYFUNCTION("""COMPUTED_VALUE"""),3142.0)</f>
        <v>3142</v>
      </c>
    </row>
    <row r="192">
      <c r="A192" s="11">
        <f>IFERROR(__xludf.DUMMYFUNCTION("""COMPUTED_VALUE"""),600.0)</f>
        <v>600</v>
      </c>
    </row>
    <row r="193">
      <c r="A193" s="11"/>
    </row>
    <row r="194">
      <c r="A194" s="11">
        <f>IFERROR(__xludf.DUMMYFUNCTION("""COMPUTED_VALUE"""),2054.0)</f>
        <v>2054</v>
      </c>
    </row>
    <row r="195">
      <c r="A195" s="11">
        <f>IFERROR(__xludf.DUMMYFUNCTION("""COMPUTED_VALUE"""),1054.0)</f>
        <v>1054</v>
      </c>
    </row>
    <row r="196">
      <c r="A196" s="11">
        <f>IFERROR(__xludf.DUMMYFUNCTION("""COMPUTED_VALUE"""),854.0)</f>
        <v>854</v>
      </c>
    </row>
    <row r="197">
      <c r="A197" s="11">
        <f>IFERROR(__xludf.DUMMYFUNCTION("""COMPUTED_VALUE"""),1130.0)</f>
        <v>1130</v>
      </c>
    </row>
    <row r="198">
      <c r="A198" s="11">
        <f>IFERROR(__xludf.DUMMYFUNCTION("""COMPUTED_VALUE"""),402.0)</f>
        <v>402</v>
      </c>
    </row>
    <row r="199">
      <c r="A199" s="11"/>
    </row>
    <row r="200">
      <c r="A200" s="11"/>
    </row>
    <row r="201">
      <c r="A201" s="11"/>
    </row>
    <row r="202">
      <c r="A202" s="11">
        <f>IFERROR(__xludf.DUMMYFUNCTION("""COMPUTED_VALUE"""),74.0)</f>
        <v>74</v>
      </c>
    </row>
    <row r="203">
      <c r="A203" s="11">
        <f>IFERROR(__xludf.DUMMYFUNCTION("""COMPUTED_VALUE"""),637.0)</f>
        <v>637</v>
      </c>
    </row>
    <row r="204">
      <c r="A204" s="11">
        <f>IFERROR(__xludf.DUMMYFUNCTION("""COMPUTED_VALUE"""),460.0)</f>
        <v>460</v>
      </c>
    </row>
    <row r="205">
      <c r="A205" s="11">
        <f>IFERROR(__xludf.DUMMYFUNCTION("""COMPUTED_VALUE"""),1212.0)</f>
        <v>1212</v>
      </c>
    </row>
    <row r="206">
      <c r="A206" s="11"/>
    </row>
    <row r="207">
      <c r="A207" s="11">
        <f>IFERROR(__xludf.DUMMYFUNCTION("""COMPUTED_VALUE"""),59.0)</f>
        <v>59</v>
      </c>
    </row>
    <row r="208">
      <c r="A208" s="11"/>
    </row>
    <row r="209">
      <c r="A209" s="11">
        <f>IFERROR(__xludf.DUMMYFUNCTION("""COMPUTED_VALUE"""),686.0)</f>
        <v>686</v>
      </c>
    </row>
    <row r="210">
      <c r="A210" s="11">
        <f>IFERROR(__xludf.DUMMYFUNCTION("""COMPUTED_VALUE"""),2497.0)</f>
        <v>2497</v>
      </c>
    </row>
    <row r="211">
      <c r="A211" s="11">
        <f>IFERROR(__xludf.DUMMYFUNCTION("""COMPUTED_VALUE"""),3028.0)</f>
        <v>3028</v>
      </c>
    </row>
    <row r="212">
      <c r="A212" s="11">
        <f>IFERROR(__xludf.DUMMYFUNCTION("""COMPUTED_VALUE"""),2526.0)</f>
        <v>2526</v>
      </c>
    </row>
    <row r="213">
      <c r="A213" s="11">
        <f>IFERROR(__xludf.DUMMYFUNCTION("""COMPUTED_VALUE"""),1784.0)</f>
        <v>1784</v>
      </c>
    </row>
    <row r="214">
      <c r="A214" s="11"/>
    </row>
    <row r="215">
      <c r="A215" s="11">
        <f>IFERROR(__xludf.DUMMYFUNCTION("""COMPUTED_VALUE"""),282.0)</f>
        <v>282</v>
      </c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>
        <f>IFERROR(__xludf.DUMMYFUNCTION("""COMPUTED_VALUE"""),3200.0)</f>
        <v>3200</v>
      </c>
    </row>
    <row r="222">
      <c r="A222" s="11">
        <f>IFERROR(__xludf.DUMMYFUNCTION("""COMPUTED_VALUE"""),2331.0)</f>
        <v>2331</v>
      </c>
    </row>
    <row r="223">
      <c r="A223" s="11">
        <f>IFERROR(__xludf.DUMMYFUNCTION("""COMPUTED_VALUE"""),824.0)</f>
        <v>824</v>
      </c>
    </row>
    <row r="224">
      <c r="A224" s="11">
        <f>IFERROR(__xludf.DUMMYFUNCTION("""COMPUTED_VALUE"""),1162.0)</f>
        <v>1162</v>
      </c>
    </row>
    <row r="225">
      <c r="A225" s="11">
        <f>IFERROR(__xludf.DUMMYFUNCTION("""COMPUTED_VALUE"""),624.0)</f>
        <v>624</v>
      </c>
    </row>
    <row r="226">
      <c r="A226" s="11">
        <f>IFERROR(__xludf.DUMMYFUNCTION("""COMPUTED_VALUE"""),788.0)</f>
        <v>788</v>
      </c>
    </row>
    <row r="227">
      <c r="A227" s="11"/>
    </row>
    <row r="228">
      <c r="A228" s="11">
        <f>IFERROR(__xludf.DUMMYFUNCTION("""COMPUTED_VALUE"""),2330.0)</f>
        <v>2330</v>
      </c>
    </row>
    <row r="229">
      <c r="A229" s="11">
        <f>IFERROR(__xludf.DUMMYFUNCTION("""COMPUTED_VALUE"""),252.0)</f>
        <v>252</v>
      </c>
    </row>
    <row r="230">
      <c r="A230" s="11"/>
    </row>
    <row r="231">
      <c r="A231" s="11">
        <f>IFERROR(__xludf.DUMMYFUNCTION("""COMPUTED_VALUE"""),322.0)</f>
        <v>322</v>
      </c>
    </row>
    <row r="232">
      <c r="A232" s="11"/>
    </row>
    <row r="233">
      <c r="A233" s="11"/>
    </row>
    <row r="234">
      <c r="A234" s="11">
        <f>IFERROR(__xludf.DUMMYFUNCTION("""COMPUTED_VALUE"""),1168.0)</f>
        <v>1168</v>
      </c>
    </row>
    <row r="235">
      <c r="A235" s="11">
        <f>IFERROR(__xludf.DUMMYFUNCTION("""COMPUTED_VALUE"""),1622.0)</f>
        <v>1622</v>
      </c>
    </row>
    <row r="236">
      <c r="A236" s="11">
        <f>IFERROR(__xludf.DUMMYFUNCTION("""COMPUTED_VALUE"""),691.0)</f>
        <v>691</v>
      </c>
    </row>
    <row r="237">
      <c r="A237" s="11">
        <f>IFERROR(__xludf.DUMMYFUNCTION("""COMPUTED_VALUE"""),161.0)</f>
        <v>161</v>
      </c>
    </row>
    <row r="238">
      <c r="A238" s="11"/>
    </row>
    <row r="239">
      <c r="A239" s="11">
        <f>IFERROR(__xludf.DUMMYFUNCTION("""COMPUTED_VALUE"""),1500.0)</f>
        <v>1500</v>
      </c>
    </row>
    <row r="240">
      <c r="A240" s="11"/>
    </row>
    <row r="241">
      <c r="A241" s="11"/>
    </row>
    <row r="242">
      <c r="A242" s="11"/>
    </row>
    <row r="243">
      <c r="A243" s="11"/>
    </row>
    <row r="244">
      <c r="A244" s="11">
        <f>IFERROR(__xludf.DUMMYFUNCTION("""COMPUTED_VALUE"""),2200.0)</f>
        <v>2200</v>
      </c>
    </row>
    <row r="245">
      <c r="A245" s="11">
        <f>IFERROR(__xludf.DUMMYFUNCTION("""COMPUTED_VALUE"""),207.0)</f>
        <v>207</v>
      </c>
    </row>
    <row r="246">
      <c r="A246" s="11">
        <f>IFERROR(__xludf.DUMMYFUNCTION("""COMPUTED_VALUE"""),593.0)</f>
        <v>593</v>
      </c>
    </row>
    <row r="247">
      <c r="A247" s="11"/>
    </row>
    <row r="248">
      <c r="A248" s="11">
        <f>IFERROR(__xludf.DUMMYFUNCTION("""COMPUTED_VALUE"""),1071.0)</f>
        <v>1071</v>
      </c>
    </row>
    <row r="249">
      <c r="A249" s="11">
        <f>IFERROR(__xludf.DUMMYFUNCTION("""COMPUTED_VALUE"""),1180.0)</f>
        <v>1180</v>
      </c>
    </row>
    <row r="250">
      <c r="A250" s="11">
        <f>IFERROR(__xludf.DUMMYFUNCTION("""COMPUTED_VALUE"""),565.0)</f>
        <v>565</v>
      </c>
    </row>
    <row r="251">
      <c r="A251" s="11"/>
    </row>
    <row r="252">
      <c r="A252" s="11">
        <f>IFERROR(__xludf.DUMMYFUNCTION("""COMPUTED_VALUE"""),1300.0)</f>
        <v>1300</v>
      </c>
    </row>
    <row r="253">
      <c r="A253" s="11">
        <f>IFERROR(__xludf.DUMMYFUNCTION("""COMPUTED_VALUE"""),715.0)</f>
        <v>715</v>
      </c>
    </row>
    <row r="254">
      <c r="A254" s="11">
        <f>IFERROR(__xludf.DUMMYFUNCTION("""COMPUTED_VALUE"""),206.0)</f>
        <v>206</v>
      </c>
    </row>
    <row r="255">
      <c r="A255" s="11">
        <f>IFERROR(__xludf.DUMMYFUNCTION("""COMPUTED_VALUE"""),1583.0)</f>
        <v>1583</v>
      </c>
    </row>
    <row r="256">
      <c r="A256" s="11">
        <f>IFERROR(__xludf.DUMMYFUNCTION("""COMPUTED_VALUE"""),2044.0)</f>
        <v>2044</v>
      </c>
    </row>
    <row r="257">
      <c r="A257" s="11"/>
    </row>
    <row r="258">
      <c r="A258" s="11"/>
    </row>
    <row r="259">
      <c r="A259" s="11">
        <f>IFERROR(__xludf.DUMMYFUNCTION("""COMPUTED_VALUE"""),1821.0)</f>
        <v>1821</v>
      </c>
    </row>
    <row r="260">
      <c r="A260" s="11">
        <f>IFERROR(__xludf.DUMMYFUNCTION("""COMPUTED_VALUE"""),2000.0)</f>
        <v>2000</v>
      </c>
    </row>
    <row r="261">
      <c r="A261" s="11"/>
    </row>
    <row r="262">
      <c r="A262" s="11">
        <f>IFERROR(__xludf.DUMMYFUNCTION("""COMPUTED_VALUE"""),2880.0)</f>
        <v>2880</v>
      </c>
    </row>
    <row r="263">
      <c r="A263" s="11"/>
    </row>
    <row r="264">
      <c r="A264" s="11">
        <f>IFERROR(__xludf.DUMMYFUNCTION("""COMPUTED_VALUE"""),167.0)</f>
        <v>167</v>
      </c>
    </row>
    <row r="265">
      <c r="A265" s="11">
        <f>IFERROR(__xludf.DUMMYFUNCTION("""COMPUTED_VALUE"""),495.0)</f>
        <v>495</v>
      </c>
    </row>
    <row r="266">
      <c r="A266" s="11">
        <f>IFERROR(__xludf.DUMMYFUNCTION("""COMPUTED_VALUE"""),1020.0)</f>
        <v>1020</v>
      </c>
    </row>
    <row r="267">
      <c r="A267" s="11">
        <f>IFERROR(__xludf.DUMMYFUNCTION("""COMPUTED_VALUE"""),657.0)</f>
        <v>657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tr">
        <f>IFERROR(__xludf.DUMMYFUNCTION("QUERY({'2009'!A2:G267},""select Col4 label Col4 'extreme climate'"",0)"),"extreme climate")</f>
        <v>extreme climate</v>
      </c>
    </row>
    <row r="2">
      <c r="A2" s="11"/>
    </row>
    <row r="3">
      <c r="A3" s="11"/>
    </row>
    <row r="4">
      <c r="A4" s="11">
        <f>IFERROR(__xludf.DUMMYFUNCTION("""COMPUTED_VALUE"""),1.05929016894999)</f>
        <v>1.059290169</v>
      </c>
    </row>
    <row r="5">
      <c r="A5" s="11"/>
    </row>
    <row r="6">
      <c r="A6" s="11">
        <f>IFERROR(__xludf.DUMMYFUNCTION("""COMPUTED_VALUE"""),1.01176467635625)</f>
        <v>1.011764676</v>
      </c>
    </row>
    <row r="7">
      <c r="A7" s="11">
        <f>IFERROR(__xludf.DUMMYFUNCTION("""COMPUTED_VALUE"""),5.26957699339956)</f>
        <v>5.269576993</v>
      </c>
    </row>
    <row r="8">
      <c r="A8" s="11"/>
    </row>
    <row r="9">
      <c r="A9" s="11"/>
    </row>
    <row r="10">
      <c r="A10" s="11"/>
    </row>
    <row r="11">
      <c r="A11" s="11">
        <f>IFERROR(__xludf.DUMMYFUNCTION("""COMPUTED_VALUE"""),0.167189950512828)</f>
        <v>0.1671899505</v>
      </c>
    </row>
    <row r="12">
      <c r="A12" s="11">
        <f>IFERROR(__xludf.DUMMYFUNCTION("""COMPUTED_VALUE"""),0.478231100921505)</f>
        <v>0.4782311009</v>
      </c>
    </row>
    <row r="13">
      <c r="A13" s="11">
        <f>IFERROR(__xludf.DUMMYFUNCTION("""COMPUTED_VALUE"""),2.61754979888E-4)</f>
        <v>0.0002617549799</v>
      </c>
    </row>
    <row r="14">
      <c r="A14" s="11"/>
    </row>
    <row r="15">
      <c r="A15" s="11">
        <f>IFERROR(__xludf.DUMMYFUNCTION("""COMPUTED_VALUE"""),3.04709860649413)</f>
        <v>3.047098606</v>
      </c>
    </row>
    <row r="16">
      <c r="A16" s="11">
        <f>IFERROR(__xludf.DUMMYFUNCTION("""COMPUTED_VALUE"""),0.038152978279634)</f>
        <v>0.03815297828</v>
      </c>
    </row>
    <row r="17">
      <c r="A17" s="11">
        <f>IFERROR(__xludf.DUMMYFUNCTION("""COMPUTED_VALUE"""),1.10556506666241)</f>
        <v>1.105565067</v>
      </c>
    </row>
    <row r="18">
      <c r="A18" s="11">
        <f>IFERROR(__xludf.DUMMYFUNCTION("""COMPUTED_VALUE"""),2.37741128892302)</f>
        <v>2.377411289</v>
      </c>
    </row>
    <row r="19">
      <c r="A19" s="11">
        <f>IFERROR(__xludf.DUMMYFUNCTION("""COMPUTED_VALUE"""),0.00169216806015)</f>
        <v>0.00169216806</v>
      </c>
    </row>
    <row r="20">
      <c r="A20" s="11">
        <f>IFERROR(__xludf.DUMMYFUNCTION("""COMPUTED_VALUE"""),0.858274799264926)</f>
        <v>0.8582747993</v>
      </c>
    </row>
    <row r="21">
      <c r="A21" s="11">
        <f>IFERROR(__xludf.DUMMYFUNCTION("""COMPUTED_VALUE"""),1.250036827358)</f>
        <v>1.250036827</v>
      </c>
    </row>
    <row r="22">
      <c r="A22" s="11">
        <f>IFERROR(__xludf.DUMMYFUNCTION("""COMPUTED_VALUE"""),4.58469425909382)</f>
        <v>4.584694259</v>
      </c>
    </row>
    <row r="23">
      <c r="A23" s="11">
        <f>IFERROR(__xludf.DUMMYFUNCTION("""COMPUTED_VALUE"""),0.008553160446462)</f>
        <v>0.008553160446</v>
      </c>
    </row>
    <row r="24">
      <c r="A24" s="11"/>
    </row>
    <row r="25">
      <c r="A25" s="11"/>
    </row>
    <row r="26">
      <c r="A26" s="11">
        <f>IFERROR(__xludf.DUMMYFUNCTION("""COMPUTED_VALUE"""),0.493228498579901)</f>
        <v>0.4932284986</v>
      </c>
    </row>
    <row r="27">
      <c r="A27" s="11">
        <f>IFERROR(__xludf.DUMMYFUNCTION("""COMPUTED_VALUE"""),0.021958551526537)</f>
        <v>0.02195855153</v>
      </c>
    </row>
    <row r="28">
      <c r="A28" s="11">
        <f>IFERROR(__xludf.DUMMYFUNCTION("""COMPUTED_VALUE"""),0.806085588817727)</f>
        <v>0.8060855888</v>
      </c>
    </row>
    <row r="29">
      <c r="A29" s="11"/>
    </row>
    <row r="30">
      <c r="A30" s="11">
        <f>IFERROR(__xludf.DUMMYFUNCTION("""COMPUTED_VALUE"""),1.29742916356694)</f>
        <v>1.297429164</v>
      </c>
    </row>
    <row r="31">
      <c r="A31" s="11">
        <f>IFERROR(__xludf.DUMMYFUNCTION("""COMPUTED_VALUE"""),0.482451027992547)</f>
        <v>0.482451028</v>
      </c>
    </row>
    <row r="32">
      <c r="A32" s="11"/>
    </row>
    <row r="33">
      <c r="A33" s="11"/>
    </row>
    <row r="34">
      <c r="A34" s="11">
        <f>IFERROR(__xludf.DUMMYFUNCTION("""COMPUTED_VALUE"""),0.013501102533786)</f>
        <v>0.01350110253</v>
      </c>
    </row>
    <row r="35">
      <c r="A35" s="11">
        <f>IFERROR(__xludf.DUMMYFUNCTION("""COMPUTED_VALUE"""),0.740418784027821)</f>
        <v>0.740418784</v>
      </c>
    </row>
    <row r="36">
      <c r="A36" s="11">
        <f>IFERROR(__xludf.DUMMYFUNCTION("""COMPUTED_VALUE"""),0.18249850803147)</f>
        <v>0.182498508</v>
      </c>
    </row>
    <row r="37">
      <c r="A37" s="11">
        <f>IFERROR(__xludf.DUMMYFUNCTION("""COMPUTED_VALUE"""),0.010743237666977)</f>
        <v>0.01074323767</v>
      </c>
    </row>
    <row r="38">
      <c r="A38" s="11"/>
    </row>
    <row r="39">
      <c r="A39" s="11">
        <f>IFERROR(__xludf.DUMMYFUNCTION("""COMPUTED_VALUE"""),0.003887884124289)</f>
        <v>0.003887884124</v>
      </c>
    </row>
    <row r="40">
      <c r="A40" s="11"/>
    </row>
    <row r="41">
      <c r="A41" s="11">
        <f>IFERROR(__xludf.DUMMYFUNCTION("""COMPUTED_VALUE"""),0.260470805127432)</f>
        <v>0.2604708051</v>
      </c>
    </row>
    <row r="42">
      <c r="A42" s="11">
        <f>IFERROR(__xludf.DUMMYFUNCTION("""COMPUTED_VALUE"""),7.95097147464036)</f>
        <v>7.950971475</v>
      </c>
    </row>
    <row r="43">
      <c r="A43" s="11">
        <f>IFERROR(__xludf.DUMMYFUNCTION("""COMPUTED_VALUE"""),7.57403639121E-4)</f>
        <v>0.0007574036391</v>
      </c>
    </row>
    <row r="44">
      <c r="A44" s="11">
        <f>IFERROR(__xludf.DUMMYFUNCTION("""COMPUTED_VALUE"""),0.072372204665497)</f>
        <v>0.07237220467</v>
      </c>
    </row>
    <row r="45">
      <c r="A45" s="11">
        <f>IFERROR(__xludf.DUMMYFUNCTION("""COMPUTED_VALUE"""),0.017890962277006)</f>
        <v>0.01789096228</v>
      </c>
    </row>
    <row r="46">
      <c r="A46" s="11">
        <f>IFERROR(__xludf.DUMMYFUNCTION("""COMPUTED_VALUE"""),0.262896436973433)</f>
        <v>0.262896437</v>
      </c>
    </row>
    <row r="47">
      <c r="A47" s="11">
        <f>IFERROR(__xludf.DUMMYFUNCTION("""COMPUTED_VALUE"""),0.657133753962299)</f>
        <v>0.657133754</v>
      </c>
    </row>
    <row r="48">
      <c r="A48" s="11">
        <f>IFERROR(__xludf.DUMMYFUNCTION("""COMPUTED_VALUE"""),0.022191158545354)</f>
        <v>0.02219115855</v>
      </c>
    </row>
    <row r="49">
      <c r="A49" s="11">
        <f>IFERROR(__xludf.DUMMYFUNCTION("""COMPUTED_VALUE"""),0.009841223589798)</f>
        <v>0.00984122359</v>
      </c>
    </row>
    <row r="50">
      <c r="A50" s="11">
        <f>IFERROR(__xludf.DUMMYFUNCTION("""COMPUTED_VALUE"""),0.701045625679748)</f>
        <v>0.7010456257</v>
      </c>
    </row>
    <row r="51">
      <c r="A51" s="11"/>
    </row>
    <row r="52">
      <c r="A52" s="11">
        <f>IFERROR(__xludf.DUMMYFUNCTION("""COMPUTED_VALUE"""),0.727438085825858)</f>
        <v>0.7274380858</v>
      </c>
    </row>
    <row r="53">
      <c r="A53" s="11"/>
    </row>
    <row r="54">
      <c r="A54" s="11"/>
    </row>
    <row r="55">
      <c r="A55" s="11">
        <f>IFERROR(__xludf.DUMMYFUNCTION("""COMPUTED_VALUE"""),0.00267815502329)</f>
        <v>0.002678155023</v>
      </c>
    </row>
    <row r="56">
      <c r="A56" s="11">
        <f>IFERROR(__xludf.DUMMYFUNCTION("""COMPUTED_VALUE"""),0.155745987792062)</f>
        <v>0.1557459878</v>
      </c>
    </row>
    <row r="57">
      <c r="A57" s="11">
        <f>IFERROR(__xludf.DUMMYFUNCTION("""COMPUTED_VALUE"""),0.032824573685482)</f>
        <v>0.03282457369</v>
      </c>
    </row>
    <row r="58">
      <c r="A58" s="11">
        <f>IFERROR(__xludf.DUMMYFUNCTION("""COMPUTED_VALUE"""),6.79684704554282)</f>
        <v>6.796847046</v>
      </c>
    </row>
    <row r="59">
      <c r="A59" s="11"/>
    </row>
    <row r="60">
      <c r="A60" s="11">
        <f>IFERROR(__xludf.DUMMYFUNCTION("""COMPUTED_VALUE"""),0.0)</f>
        <v>0</v>
      </c>
    </row>
    <row r="61">
      <c r="A61" s="11">
        <f>IFERROR(__xludf.DUMMYFUNCTION("""COMPUTED_VALUE"""),0.078705434970172)</f>
        <v>0.07870543497</v>
      </c>
    </row>
    <row r="62">
      <c r="A62" s="11">
        <f>IFERROR(__xludf.DUMMYFUNCTION("""COMPUTED_VALUE"""),0.039222940364266)</f>
        <v>0.03922294036</v>
      </c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>
        <f>IFERROR(__xludf.DUMMYFUNCTION("""COMPUTED_VALUE"""),0.336468818221031)</f>
        <v>0.3364688182</v>
      </c>
    </row>
    <row r="69">
      <c r="A69" s="11">
        <f>IFERROR(__xludf.DUMMYFUNCTION("""COMPUTED_VALUE"""),0.01221347652012)</f>
        <v>0.01221347652</v>
      </c>
    </row>
    <row r="70">
      <c r="A70" s="11"/>
    </row>
    <row r="71">
      <c r="A71" s="11">
        <f>IFERROR(__xludf.DUMMYFUNCTION("""COMPUTED_VALUE"""),7.32348285594532)</f>
        <v>7.323482856</v>
      </c>
    </row>
    <row r="72">
      <c r="A72" s="11">
        <f>IFERROR(__xludf.DUMMYFUNCTION("""COMPUTED_VALUE"""),0.729193518337962)</f>
        <v>0.7291935183</v>
      </c>
    </row>
    <row r="73">
      <c r="A73" s="11">
        <f>IFERROR(__xludf.DUMMYFUNCTION("""COMPUTED_VALUE"""),0.0)</f>
        <v>0</v>
      </c>
    </row>
    <row r="74">
      <c r="A74" s="11">
        <f>IFERROR(__xludf.DUMMYFUNCTION("""COMPUTED_VALUE"""),3.26301816870463)</f>
        <v>3.263018169</v>
      </c>
    </row>
    <row r="75">
      <c r="A75" s="11"/>
    </row>
    <row r="76">
      <c r="A76" s="11"/>
    </row>
    <row r="77">
      <c r="A77" s="11">
        <f>IFERROR(__xludf.DUMMYFUNCTION("""COMPUTED_VALUE"""),3.87043470111E-4)</f>
        <v>0.0003870434701</v>
      </c>
    </row>
    <row r="78">
      <c r="A78" s="11">
        <f>IFERROR(__xludf.DUMMYFUNCTION("""COMPUTED_VALUE"""),1.72863661924856)</f>
        <v>1.728636619</v>
      </c>
    </row>
    <row r="79">
      <c r="A79" s="11">
        <f>IFERROR(__xludf.DUMMYFUNCTION("""COMPUTED_VALUE"""),0.005717645929267)</f>
        <v>0.005717645929</v>
      </c>
    </row>
    <row r="80">
      <c r="A80" s="11"/>
    </row>
    <row r="81">
      <c r="A81" s="11">
        <f>IFERROR(__xludf.DUMMYFUNCTION("""COMPUTED_VALUE"""),1.34981355700244)</f>
        <v>1.349813557</v>
      </c>
    </row>
    <row r="82">
      <c r="A82" s="11"/>
    </row>
    <row r="83">
      <c r="A83" s="11">
        <f>IFERROR(__xludf.DUMMYFUNCTION("""COMPUTED_VALUE"""),0.032407018945073)</f>
        <v>0.03240701895</v>
      </c>
    </row>
    <row r="84">
      <c r="A84" s="11">
        <f>IFERROR(__xludf.DUMMYFUNCTION("""COMPUTED_VALUE"""),0.770433848504126)</f>
        <v>0.7704338485</v>
      </c>
    </row>
    <row r="85">
      <c r="A85" s="11">
        <f>IFERROR(__xludf.DUMMYFUNCTION("""COMPUTED_VALUE"""),0.974438236973891)</f>
        <v>0.974438237</v>
      </c>
    </row>
    <row r="86">
      <c r="A86" s="11"/>
    </row>
    <row r="87">
      <c r="A87" s="11">
        <f>IFERROR(__xludf.DUMMYFUNCTION("""COMPUTED_VALUE"""),0.180212227284055)</f>
        <v>0.1802122273</v>
      </c>
    </row>
    <row r="88">
      <c r="A88" s="11">
        <f>IFERROR(__xludf.DUMMYFUNCTION("""COMPUTED_VALUE"""),0.19719002671623)</f>
        <v>0.1971900267</v>
      </c>
    </row>
    <row r="89">
      <c r="A89" s="11">
        <f>IFERROR(__xludf.DUMMYFUNCTION("""COMPUTED_VALUE"""),0.540905804297409)</f>
        <v>0.5409058043</v>
      </c>
    </row>
    <row r="90">
      <c r="A90" s="11"/>
    </row>
    <row r="91">
      <c r="A91" s="11">
        <f>IFERROR(__xludf.DUMMYFUNCTION("""COMPUTED_VALUE"""),0.006583138661805)</f>
        <v>0.006583138662</v>
      </c>
    </row>
    <row r="92">
      <c r="A92" s="11"/>
    </row>
    <row r="93">
      <c r="A93" s="11"/>
    </row>
    <row r="94">
      <c r="A94" s="11">
        <f>IFERROR(__xludf.DUMMYFUNCTION("""COMPUTED_VALUE"""),1.30682366289927)</f>
        <v>1.306823663</v>
      </c>
    </row>
    <row r="95">
      <c r="A95" s="11"/>
    </row>
    <row r="96">
      <c r="A96" s="11">
        <f>IFERROR(__xludf.DUMMYFUNCTION("""COMPUTED_VALUE"""),7.17062421244385)</f>
        <v>7.170624212</v>
      </c>
    </row>
    <row r="97">
      <c r="A97" s="11"/>
    </row>
    <row r="98">
      <c r="A98" s="11">
        <f>IFERROR(__xludf.DUMMYFUNCTION("""COMPUTED_VALUE"""),0.004354372654077)</f>
        <v>0.004354372654</v>
      </c>
    </row>
    <row r="99">
      <c r="A99" s="11">
        <f>IFERROR(__xludf.DUMMYFUNCTION("""COMPUTED_VALUE"""),1.25529122608881)</f>
        <v>1.255291226</v>
      </c>
    </row>
    <row r="100">
      <c r="A100" s="11"/>
    </row>
    <row r="101">
      <c r="A101" s="11">
        <f>IFERROR(__xludf.DUMMYFUNCTION("""COMPUTED_VALUE"""),0.002494288688618)</f>
        <v>0.002494288689</v>
      </c>
    </row>
    <row r="102">
      <c r="A102" s="11">
        <f>IFERROR(__xludf.DUMMYFUNCTION("""COMPUTED_VALUE"""),0.840315026319036)</f>
        <v>0.8403150263</v>
      </c>
    </row>
    <row r="103">
      <c r="A103" s="11">
        <f>IFERROR(__xludf.DUMMYFUNCTION("""COMPUTED_VALUE"""),0.088105351286893)</f>
        <v>0.08810535129</v>
      </c>
    </row>
    <row r="104">
      <c r="A104" s="11"/>
    </row>
    <row r="105">
      <c r="A105" s="11"/>
    </row>
    <row r="106">
      <c r="A106" s="11"/>
    </row>
    <row r="107">
      <c r="A107" s="11"/>
    </row>
    <row r="108">
      <c r="A108" s="11">
        <f>IFERROR(__xludf.DUMMYFUNCTION("""COMPUTED_VALUE"""),0.160589721908345)</f>
        <v>0.1605897219</v>
      </c>
    </row>
    <row r="109">
      <c r="A109" s="11"/>
    </row>
    <row r="110">
      <c r="A110" s="11"/>
    </row>
    <row r="111">
      <c r="A111" s="11">
        <f>IFERROR(__xludf.DUMMYFUNCTION("""COMPUTED_VALUE"""),4.3561089920649)</f>
        <v>4.356108992</v>
      </c>
    </row>
    <row r="112">
      <c r="A112" s="11"/>
    </row>
    <row r="113">
      <c r="A113" s="11">
        <f>IFERROR(__xludf.DUMMYFUNCTION("""COMPUTED_VALUE"""),0.00490736939921)</f>
        <v>0.004907369399</v>
      </c>
    </row>
    <row r="114">
      <c r="A114" s="11">
        <f>IFERROR(__xludf.DUMMYFUNCTION("""COMPUTED_VALUE"""),3.05679191703282)</f>
        <v>3.056791917</v>
      </c>
    </row>
    <row r="115">
      <c r="A115" s="11">
        <f>IFERROR(__xludf.DUMMYFUNCTION("""COMPUTED_VALUE"""),0.014837959324101)</f>
        <v>0.01483795932</v>
      </c>
    </row>
    <row r="116">
      <c r="A116" s="11"/>
    </row>
    <row r="117">
      <c r="A117" s="11">
        <f>IFERROR(__xludf.DUMMYFUNCTION("""COMPUTED_VALUE"""),8.10924778618E-4)</f>
        <v>0.0008109247786</v>
      </c>
    </row>
    <row r="118">
      <c r="A118" s="11">
        <f>IFERROR(__xludf.DUMMYFUNCTION("""COMPUTED_VALUE"""),0.007102219068959)</f>
        <v>0.007102219069</v>
      </c>
    </row>
    <row r="119">
      <c r="A119" s="11">
        <f>IFERROR(__xludf.DUMMYFUNCTION("""COMPUTED_VALUE"""),1.14346077633162)</f>
        <v>1.143460776</v>
      </c>
    </row>
    <row r="120">
      <c r="A120" s="11">
        <f>IFERROR(__xludf.DUMMYFUNCTION("""COMPUTED_VALUE"""),0.369473469445725)</f>
        <v>0.3694734694</v>
      </c>
    </row>
    <row r="121">
      <c r="A121" s="11">
        <f>IFERROR(__xludf.DUMMYFUNCTION("""COMPUTED_VALUE"""),0.020951550145542)</f>
        <v>0.02095155015</v>
      </c>
    </row>
    <row r="122">
      <c r="A122" s="11">
        <f>IFERROR(__xludf.DUMMYFUNCTION("""COMPUTED_VALUE"""),0.217161218770403)</f>
        <v>0.2171612188</v>
      </c>
    </row>
    <row r="123">
      <c r="A123" s="11">
        <f>IFERROR(__xludf.DUMMYFUNCTION("""COMPUTED_VALUE"""),6.47785323086186)</f>
        <v>6.477853231</v>
      </c>
    </row>
    <row r="124">
      <c r="A124" s="11">
        <f>IFERROR(__xludf.DUMMYFUNCTION("""COMPUTED_VALUE"""),2.0654640264514)</f>
        <v>2.065464026</v>
      </c>
    </row>
    <row r="125">
      <c r="A125" s="11">
        <f>IFERROR(__xludf.DUMMYFUNCTION("""COMPUTED_VALUE"""),6.64379105434942)</f>
        <v>6.643791054</v>
      </c>
    </row>
    <row r="126">
      <c r="A126" s="11">
        <f>IFERROR(__xludf.DUMMYFUNCTION("""COMPUTED_VALUE"""),5.0029987647945)</f>
        <v>5.002998765</v>
      </c>
    </row>
    <row r="127">
      <c r="A127" s="11"/>
    </row>
    <row r="128">
      <c r="A128" s="11">
        <f>IFERROR(__xludf.DUMMYFUNCTION("""COMPUTED_VALUE"""),0.080255411325391)</f>
        <v>0.08025541133</v>
      </c>
    </row>
    <row r="129">
      <c r="A129" s="11">
        <f>IFERROR(__xludf.DUMMYFUNCTION("""COMPUTED_VALUE"""),5.67073206174E-4)</f>
        <v>0.0005670732062</v>
      </c>
    </row>
    <row r="130">
      <c r="A130" s="11"/>
    </row>
    <row r="131">
      <c r="A131" s="11">
        <f>IFERROR(__xludf.DUMMYFUNCTION("""COMPUTED_VALUE"""),2.69310157959222)</f>
        <v>2.69310158</v>
      </c>
    </row>
    <row r="132">
      <c r="A132" s="11">
        <f>IFERROR(__xludf.DUMMYFUNCTION("""COMPUTED_VALUE"""),0.023082325176574)</f>
        <v>0.02308232518</v>
      </c>
    </row>
    <row r="133">
      <c r="A133" s="11">
        <f>IFERROR(__xludf.DUMMYFUNCTION("""COMPUTED_VALUE"""),1.87230419871342)</f>
        <v>1.872304199</v>
      </c>
    </row>
    <row r="134">
      <c r="A134" s="11">
        <f>IFERROR(__xludf.DUMMYFUNCTION("""COMPUTED_VALUE"""),0.0)</f>
        <v>0</v>
      </c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>
        <f>IFERROR(__xludf.DUMMYFUNCTION("""COMPUTED_VALUE"""),2.16003002858256)</f>
        <v>2.160030029</v>
      </c>
    </row>
    <row r="141">
      <c r="A141" s="11"/>
    </row>
    <row r="142">
      <c r="A142" s="11"/>
    </row>
    <row r="143">
      <c r="A143" s="11">
        <f>IFERROR(__xludf.DUMMYFUNCTION("""COMPUTED_VALUE"""),3.40265096330442)</f>
        <v>3.402650963</v>
      </c>
    </row>
    <row r="144">
      <c r="A144" s="11"/>
    </row>
    <row r="145">
      <c r="A145" s="11">
        <f>IFERROR(__xludf.DUMMYFUNCTION("""COMPUTED_VALUE"""),0.0)</f>
        <v>0</v>
      </c>
    </row>
    <row r="146">
      <c r="A146" s="11">
        <f>IFERROR(__xludf.DUMMYFUNCTION("""COMPUTED_VALUE"""),0.0)</f>
        <v>0</v>
      </c>
    </row>
    <row r="147">
      <c r="A147" s="11">
        <f>IFERROR(__xludf.DUMMYFUNCTION("""COMPUTED_VALUE"""),0.0)</f>
        <v>0</v>
      </c>
    </row>
    <row r="148">
      <c r="A148" s="11"/>
    </row>
    <row r="149">
      <c r="A149" s="11"/>
    </row>
    <row r="150">
      <c r="A150" s="11">
        <f>IFERROR(__xludf.DUMMYFUNCTION("""COMPUTED_VALUE"""),0.075712586358112)</f>
        <v>0.07571258636</v>
      </c>
    </row>
    <row r="151">
      <c r="A151" s="11"/>
    </row>
    <row r="152">
      <c r="A152" s="11">
        <f>IFERROR(__xludf.DUMMYFUNCTION("""COMPUTED_VALUE"""),0.343810821553105)</f>
        <v>0.3438108216</v>
      </c>
    </row>
    <row r="153">
      <c r="A153" s="11">
        <f>IFERROR(__xludf.DUMMYFUNCTION("""COMPUTED_VALUE"""),0.864615090391493)</f>
        <v>0.8646150904</v>
      </c>
    </row>
    <row r="154">
      <c r="A154" s="11">
        <f>IFERROR(__xludf.DUMMYFUNCTION("""COMPUTED_VALUE"""),0.0306479542537)</f>
        <v>0.03064795425</v>
      </c>
    </row>
    <row r="155">
      <c r="A155" s="11"/>
    </row>
    <row r="156">
      <c r="A156" s="11">
        <f>IFERROR(__xludf.DUMMYFUNCTION("""COMPUTED_VALUE"""),0.149843277332355)</f>
        <v>0.1498432773</v>
      </c>
    </row>
    <row r="157">
      <c r="A157" s="11">
        <f>IFERROR(__xludf.DUMMYFUNCTION("""COMPUTED_VALUE"""),0.05841422892731)</f>
        <v>0.05841422893</v>
      </c>
    </row>
    <row r="158">
      <c r="A158" s="11"/>
    </row>
    <row r="159">
      <c r="A159" s="11">
        <f>IFERROR(__xludf.DUMMYFUNCTION("""COMPUTED_VALUE"""),0.30457878073609)</f>
        <v>0.3045787807</v>
      </c>
    </row>
    <row r="160">
      <c r="A160" s="11">
        <f>IFERROR(__xludf.DUMMYFUNCTION("""COMPUTED_VALUE"""),0.652855128388168)</f>
        <v>0.6528551284</v>
      </c>
    </row>
    <row r="161">
      <c r="A161" s="11"/>
    </row>
    <row r="162">
      <c r="A162" s="11">
        <f>IFERROR(__xludf.DUMMYFUNCTION("""COMPUTED_VALUE"""),0.092410935442981)</f>
        <v>0.09241093544</v>
      </c>
    </row>
    <row r="163">
      <c r="A163" s="11"/>
    </row>
    <row r="164">
      <c r="A164" s="11">
        <f>IFERROR(__xludf.DUMMYFUNCTION("""COMPUTED_VALUE"""),0.012174282462376)</f>
        <v>0.01217428246</v>
      </c>
    </row>
    <row r="165">
      <c r="A165" s="11">
        <f>IFERROR(__xludf.DUMMYFUNCTION("""COMPUTED_VALUE"""),2.56134223793038)</f>
        <v>2.561342238</v>
      </c>
    </row>
    <row r="166">
      <c r="A166" s="11"/>
    </row>
    <row r="167">
      <c r="A167" s="11">
        <f>IFERROR(__xludf.DUMMYFUNCTION("""COMPUTED_VALUE"""),3.66244795624385)</f>
        <v>3.662447956</v>
      </c>
    </row>
    <row r="168">
      <c r="A168" s="11">
        <f>IFERROR(__xludf.DUMMYFUNCTION("""COMPUTED_VALUE"""),3.08197364994656)</f>
        <v>3.08197365</v>
      </c>
    </row>
    <row r="169">
      <c r="A169" s="11">
        <f>IFERROR(__xludf.DUMMYFUNCTION("""COMPUTED_VALUE"""),0.0)</f>
        <v>0</v>
      </c>
    </row>
    <row r="170">
      <c r="A170" s="11">
        <f>IFERROR(__xludf.DUMMYFUNCTION("""COMPUTED_VALUE"""),8.82049278721445)</f>
        <v>8.820492787</v>
      </c>
    </row>
    <row r="171">
      <c r="A171" s="11">
        <f>IFERROR(__xludf.DUMMYFUNCTION("""COMPUTED_VALUE"""),0.096926904360311)</f>
        <v>0.09692690436</v>
      </c>
    </row>
    <row r="172">
      <c r="A172" s="11"/>
    </row>
    <row r="173">
      <c r="A173" s="11">
        <f>IFERROR(__xludf.DUMMYFUNCTION("""COMPUTED_VALUE"""),3.40143396341144)</f>
        <v>3.401433963</v>
      </c>
    </row>
    <row r="174">
      <c r="A174" s="11"/>
    </row>
    <row r="175">
      <c r="A175" s="11">
        <f>IFERROR(__xludf.DUMMYFUNCTION("""COMPUTED_VALUE"""),7.52506573921943)</f>
        <v>7.525065739</v>
      </c>
    </row>
    <row r="176">
      <c r="A176" s="11">
        <f>IFERROR(__xludf.DUMMYFUNCTION("""COMPUTED_VALUE"""),0.055033264427481)</f>
        <v>0.05503326443</v>
      </c>
    </row>
    <row r="177">
      <c r="A177" s="11">
        <f>IFERROR(__xludf.DUMMYFUNCTION("""COMPUTED_VALUE"""),0.833598367171441)</f>
        <v>0.8335983672</v>
      </c>
    </row>
    <row r="178">
      <c r="A178" s="11">
        <f>IFERROR(__xludf.DUMMYFUNCTION("""COMPUTED_VALUE"""),0.004737860810846)</f>
        <v>0.004737860811</v>
      </c>
    </row>
    <row r="179">
      <c r="A179" s="11">
        <f>IFERROR(__xludf.DUMMYFUNCTION("""COMPUTED_VALUE"""),0.006795587956721)</f>
        <v>0.006795587957</v>
      </c>
    </row>
    <row r="180">
      <c r="A180" s="11">
        <f>IFERROR(__xludf.DUMMYFUNCTION("""COMPUTED_VALUE"""),0.703796514298647)</f>
        <v>0.7037965143</v>
      </c>
    </row>
    <row r="181">
      <c r="A181" s="11"/>
    </row>
    <row r="182">
      <c r="A182" s="11">
        <f>IFERROR(__xludf.DUMMYFUNCTION("""COMPUTED_VALUE"""),0.010853984529359)</f>
        <v>0.01085398453</v>
      </c>
    </row>
    <row r="183">
      <c r="A183" s="11"/>
    </row>
    <row r="184">
      <c r="A184" s="11"/>
    </row>
    <row r="185">
      <c r="A185" s="11"/>
    </row>
    <row r="186">
      <c r="A186" s="11">
        <f>IFERROR(__xludf.DUMMYFUNCTION("""COMPUTED_VALUE"""),1.05534239110308)</f>
        <v>1.055342391</v>
      </c>
    </row>
    <row r="187">
      <c r="A187" s="11">
        <f>IFERROR(__xludf.DUMMYFUNCTION("""COMPUTED_VALUE"""),0.196361451621855)</f>
        <v>0.1963614516</v>
      </c>
    </row>
    <row r="188">
      <c r="A188" s="11">
        <f>IFERROR(__xludf.DUMMYFUNCTION("""COMPUTED_VALUE"""),1.9523808134554)</f>
        <v>1.952380813</v>
      </c>
    </row>
    <row r="189">
      <c r="A189" s="11">
        <f>IFERROR(__xludf.DUMMYFUNCTION("""COMPUTED_VALUE"""),0.806384865170547)</f>
        <v>0.8063848652</v>
      </c>
    </row>
    <row r="190">
      <c r="A190" s="11"/>
    </row>
    <row r="191">
      <c r="A191" s="11">
        <f>IFERROR(__xludf.DUMMYFUNCTION("""COMPUTED_VALUE"""),0.730797898489713)</f>
        <v>0.7307978985</v>
      </c>
    </row>
    <row r="192">
      <c r="A192" s="11">
        <f>IFERROR(__xludf.DUMMYFUNCTION("""COMPUTED_VALUE"""),0.032017102157757)</f>
        <v>0.03201710216</v>
      </c>
    </row>
    <row r="193">
      <c r="A193" s="11"/>
    </row>
    <row r="194">
      <c r="A194" s="11">
        <f>IFERROR(__xludf.DUMMYFUNCTION("""COMPUTED_VALUE"""),0.016497321256545)</f>
        <v>0.01649732126</v>
      </c>
    </row>
    <row r="195">
      <c r="A195" s="11">
        <f>IFERROR(__xludf.DUMMYFUNCTION("""COMPUTED_VALUE"""),2.49688110166948)</f>
        <v>2.496881102</v>
      </c>
    </row>
    <row r="196">
      <c r="A196" s="11">
        <f>IFERROR(__xludf.DUMMYFUNCTION("""COMPUTED_VALUE"""),0.001802335302822)</f>
        <v>0.001802335303</v>
      </c>
    </row>
    <row r="197">
      <c r="A197" s="11">
        <f>IFERROR(__xludf.DUMMYFUNCTION("""COMPUTED_VALUE"""),0.71477345485624)</f>
        <v>0.7147734549</v>
      </c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>
        <f>IFERROR(__xludf.DUMMYFUNCTION("""COMPUTED_VALUE"""),0.084970987899511)</f>
        <v>0.0849709879</v>
      </c>
    </row>
    <row r="204">
      <c r="A204" s="11">
        <f>IFERROR(__xludf.DUMMYFUNCTION("""COMPUTED_VALUE"""),0.13270049736118)</f>
        <v>0.1327004974</v>
      </c>
    </row>
    <row r="205">
      <c r="A205" s="11">
        <f>IFERROR(__xludf.DUMMYFUNCTION("""COMPUTED_VALUE"""),1.29597316565611)</f>
        <v>1.295973166</v>
      </c>
    </row>
    <row r="206">
      <c r="A206" s="11"/>
    </row>
    <row r="207">
      <c r="A207" s="11">
        <f>IFERROR(__xludf.DUMMYFUNCTION("""COMPUTED_VALUE"""),0.005660491140626)</f>
        <v>0.005660491141</v>
      </c>
    </row>
    <row r="208">
      <c r="A208" s="11">
        <f>IFERROR(__xludf.DUMMYFUNCTION("""COMPUTED_VALUE"""),2.76541558191951)</f>
        <v>2.765415582</v>
      </c>
    </row>
    <row r="209">
      <c r="A209" s="11">
        <f>IFERROR(__xludf.DUMMYFUNCTION("""COMPUTED_VALUE"""),0.597670115011869)</f>
        <v>0.597670115</v>
      </c>
    </row>
    <row r="210">
      <c r="A210" s="11"/>
    </row>
    <row r="211">
      <c r="A211" s="11">
        <f>IFERROR(__xludf.DUMMYFUNCTION("""COMPUTED_VALUE"""),0.090344056609733)</f>
        <v>0.09034405661</v>
      </c>
    </row>
    <row r="212">
      <c r="A212" s="11">
        <f>IFERROR(__xludf.DUMMYFUNCTION("""COMPUTED_VALUE"""),0.247016283746712)</f>
        <v>0.2470162837</v>
      </c>
    </row>
    <row r="213">
      <c r="A213" s="11">
        <f>IFERROR(__xludf.DUMMYFUNCTION("""COMPUTED_VALUE"""),0.360637004160202)</f>
        <v>0.3606370042</v>
      </c>
    </row>
    <row r="214">
      <c r="A214" s="11"/>
    </row>
    <row r="215">
      <c r="A215" s="11">
        <f>IFERROR(__xludf.DUMMYFUNCTION("""COMPUTED_VALUE"""),4.60368934052831)</f>
        <v>4.603689341</v>
      </c>
    </row>
    <row r="216">
      <c r="A216" s="11">
        <f>IFERROR(__xludf.DUMMYFUNCTION("""COMPUTED_VALUE"""),0.010660574339664)</f>
        <v>0.01066057434</v>
      </c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>
        <f>IFERROR(__xludf.DUMMYFUNCTION("""COMPUTED_VALUE"""),0.339835427358562)</f>
        <v>0.3398354274</v>
      </c>
    </row>
    <row r="223">
      <c r="A223" s="11">
        <f>IFERROR(__xludf.DUMMYFUNCTION("""COMPUTED_VALUE"""),0.044927135496176)</f>
        <v>0.0449271355</v>
      </c>
    </row>
    <row r="224">
      <c r="A224" s="11">
        <f>IFERROR(__xludf.DUMMYFUNCTION("""COMPUTED_VALUE"""),0.0)</f>
        <v>0</v>
      </c>
    </row>
    <row r="225">
      <c r="A225" s="11">
        <f>IFERROR(__xludf.DUMMYFUNCTION("""COMPUTED_VALUE"""),0.0)</f>
        <v>0</v>
      </c>
    </row>
    <row r="226">
      <c r="A226" s="11">
        <f>IFERROR(__xludf.DUMMYFUNCTION("""COMPUTED_VALUE"""),9.22658630792033)</f>
        <v>9.226586308</v>
      </c>
    </row>
    <row r="227">
      <c r="A227" s="11"/>
    </row>
    <row r="228">
      <c r="A228" s="11">
        <f>IFERROR(__xludf.DUMMYFUNCTION("""COMPUTED_VALUE"""),0.078021323954167)</f>
        <v>0.07802132395</v>
      </c>
    </row>
    <row r="229">
      <c r="A229" s="11">
        <f>IFERROR(__xludf.DUMMYFUNCTION("""COMPUTED_VALUE"""),0.507772234430497)</f>
        <v>0.5077722344</v>
      </c>
    </row>
    <row r="230">
      <c r="A230" s="11"/>
    </row>
    <row r="231">
      <c r="A231" s="11">
        <f>IFERROR(__xludf.DUMMYFUNCTION("""COMPUTED_VALUE"""),2.71464102500458)</f>
        <v>2.714641025</v>
      </c>
    </row>
    <row r="232">
      <c r="A232" s="11"/>
    </row>
    <row r="233">
      <c r="A233" s="11"/>
    </row>
    <row r="234">
      <c r="A234" s="11">
        <f>IFERROR(__xludf.DUMMYFUNCTION("""COMPUTED_VALUE"""),0.508477884982821)</f>
        <v>0.508477885</v>
      </c>
    </row>
    <row r="235">
      <c r="A235" s="11">
        <f>IFERROR(__xludf.DUMMYFUNCTION("""COMPUTED_VALUE"""),3.75109895493503)</f>
        <v>3.751098955</v>
      </c>
    </row>
    <row r="236">
      <c r="A236" s="11">
        <f>IFERROR(__xludf.DUMMYFUNCTION("""COMPUTED_VALUE"""),5.37808586974649)</f>
        <v>5.37808587</v>
      </c>
    </row>
    <row r="237">
      <c r="A237" s="11">
        <f>IFERROR(__xludf.DUMMYFUNCTION("""COMPUTED_VALUE"""),4.75378280003E-4)</f>
        <v>0.00047537828</v>
      </c>
    </row>
    <row r="238">
      <c r="A238" s="11"/>
    </row>
    <row r="239">
      <c r="A239" s="11">
        <f>IFERROR(__xludf.DUMMYFUNCTION("""COMPUTED_VALUE"""),0.025120381272184)</f>
        <v>0.02512038127</v>
      </c>
    </row>
    <row r="240">
      <c r="A240" s="11"/>
    </row>
    <row r="241">
      <c r="A241" s="11"/>
    </row>
    <row r="242">
      <c r="A242" s="11"/>
    </row>
    <row r="243">
      <c r="A243" s="11"/>
    </row>
    <row r="244">
      <c r="A244" s="11">
        <f>IFERROR(__xludf.DUMMYFUNCTION("""COMPUTED_VALUE"""),8.17749398672E-4)</f>
        <v>0.0008177493987</v>
      </c>
    </row>
    <row r="245">
      <c r="A245" s="11">
        <f>IFERROR(__xludf.DUMMYFUNCTION("""COMPUTED_VALUE"""),0.098450336468041)</f>
        <v>0.09845033647</v>
      </c>
    </row>
    <row r="246">
      <c r="A246" s="11">
        <f>IFERROR(__xludf.DUMMYFUNCTION("""COMPUTED_VALUE"""),0.136563067437583)</f>
        <v>0.1365630674</v>
      </c>
    </row>
    <row r="247">
      <c r="A247" s="11"/>
    </row>
    <row r="248">
      <c r="A248" s="11">
        <f>IFERROR(__xludf.DUMMYFUNCTION("""COMPUTED_VALUE"""),1.49586357405237)</f>
        <v>1.495863574</v>
      </c>
    </row>
    <row r="249">
      <c r="A249" s="11">
        <f>IFERROR(__xludf.DUMMYFUNCTION("""COMPUTED_VALUE"""),0.85120346991391)</f>
        <v>0.8512034699</v>
      </c>
    </row>
    <row r="250">
      <c r="A250" s="11">
        <f>IFERROR(__xludf.DUMMYFUNCTION("""COMPUTED_VALUE"""),0.269239353924442)</f>
        <v>0.2692393539</v>
      </c>
    </row>
    <row r="251">
      <c r="A251" s="11"/>
    </row>
    <row r="252">
      <c r="A252" s="11">
        <f>IFERROR(__xludf.DUMMYFUNCTION("""COMPUTED_VALUE"""),0.264742966821956)</f>
        <v>0.2647429668</v>
      </c>
    </row>
    <row r="253">
      <c r="A253" s="11">
        <f>IFERROR(__xludf.DUMMYFUNCTION("""COMPUTED_VALUE"""),0.214155722534503)</f>
        <v>0.2141557225</v>
      </c>
    </row>
    <row r="254">
      <c r="A254" s="11">
        <f>IFERROR(__xludf.DUMMYFUNCTION("""COMPUTED_VALUE"""),0.123694001358125)</f>
        <v>0.1236940014</v>
      </c>
    </row>
    <row r="255">
      <c r="A255" s="11">
        <f>IFERROR(__xludf.DUMMYFUNCTION("""COMPUTED_VALUE"""),0.00923653993672)</f>
        <v>0.009236539937</v>
      </c>
    </row>
    <row r="256">
      <c r="A256" s="11">
        <f>IFERROR(__xludf.DUMMYFUNCTION("""COMPUTED_VALUE"""),0.155204204310207)</f>
        <v>0.1552042043</v>
      </c>
    </row>
    <row r="257">
      <c r="A257" s="11"/>
    </row>
    <row r="258">
      <c r="A258" s="11"/>
    </row>
    <row r="259">
      <c r="A259" s="11">
        <f>IFERROR(__xludf.DUMMYFUNCTION("""COMPUTED_VALUE"""),1.59936168053814)</f>
        <v>1.599361681</v>
      </c>
    </row>
    <row r="260">
      <c r="A260" s="11">
        <f>IFERROR(__xludf.DUMMYFUNCTION("""COMPUTED_VALUE"""),0.105703889988763)</f>
        <v>0.10570389</v>
      </c>
    </row>
    <row r="261">
      <c r="A261" s="11"/>
    </row>
    <row r="262">
      <c r="A262" s="11">
        <f>IFERROR(__xludf.DUMMYFUNCTION("""COMPUTED_VALUE"""),0.0)</f>
        <v>0</v>
      </c>
    </row>
    <row r="263">
      <c r="A263" s="11"/>
    </row>
    <row r="264">
      <c r="A264" s="11">
        <f>IFERROR(__xludf.DUMMYFUNCTION("""COMPUTED_VALUE"""),0.099410698545419)</f>
        <v>0.09941069855</v>
      </c>
    </row>
    <row r="265">
      <c r="A265" s="11">
        <f>IFERROR(__xludf.DUMMYFUNCTION("""COMPUTED_VALUE"""),1.8056505619928)</f>
        <v>1.805650562</v>
      </c>
    </row>
    <row r="266">
      <c r="A266" s="11">
        <f>IFERROR(__xludf.DUMMYFUNCTION("""COMPUTED_VALUE"""),4.19967674421609)</f>
        <v>4.199676744</v>
      </c>
    </row>
    <row r="267">
      <c r="A267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tr">
        <f>IFERROR(__xludf.DUMMYFUNCTION("QUERY({'2009'!A2:G267},""select Col6,Col3 label Col6 'forest cover', Col3 'precipitation'"",0)"),"forest cover")</f>
        <v>forest cover</v>
      </c>
      <c r="B1" s="11" t="str">
        <f>IFERROR(__xludf.DUMMYFUNCTION("""COMPUTED_VALUE"""),"precipitation")</f>
        <v>precipitation</v>
      </c>
    </row>
    <row r="2">
      <c r="A2" s="11">
        <f>IFERROR(__xludf.DUMMYFUNCTION("""COMPUTED_VALUE"""),2.33333333333333)</f>
        <v>2.333333333</v>
      </c>
      <c r="B2" s="11"/>
    </row>
    <row r="3">
      <c r="A3" s="11">
        <f>IFERROR(__xludf.DUMMYFUNCTION("""COMPUTED_VALUE"""),36.90659570026)</f>
        <v>36.9065957</v>
      </c>
      <c r="B3" s="11"/>
    </row>
    <row r="4">
      <c r="A4" s="11">
        <f>IFERROR(__xludf.DUMMYFUNCTION("""COMPUTED_VALUE"""),1.85099408755323)</f>
        <v>1.850994088</v>
      </c>
      <c r="B4" s="11">
        <f>IFERROR(__xludf.DUMMYFUNCTION("""COMPUTED_VALUE"""),327.0)</f>
        <v>327</v>
      </c>
    </row>
    <row r="5">
      <c r="A5" s="11">
        <f>IFERROR(__xludf.DUMMYFUNCTION("""COMPUTED_VALUE"""),20.7661387298829)</f>
        <v>20.76613873</v>
      </c>
      <c r="B5" s="11"/>
    </row>
    <row r="6">
      <c r="A6" s="11">
        <f>IFERROR(__xludf.DUMMYFUNCTION("""COMPUTED_VALUE"""),58.3244252827465)</f>
        <v>58.32442528</v>
      </c>
      <c r="B6" s="11">
        <f>IFERROR(__xludf.DUMMYFUNCTION("""COMPUTED_VALUE"""),1010.0)</f>
        <v>1010</v>
      </c>
    </row>
    <row r="7">
      <c r="A7" s="11">
        <f>IFERROR(__xludf.DUMMYFUNCTION("""COMPUTED_VALUE"""),28.4960948905109)</f>
        <v>28.49609489</v>
      </c>
      <c r="B7" s="11">
        <f>IFERROR(__xludf.DUMMYFUNCTION("""COMPUTED_VALUE"""),1485.0)</f>
        <v>1485</v>
      </c>
    </row>
    <row r="8">
      <c r="A8" s="11">
        <f>IFERROR(__xludf.DUMMYFUNCTION("""COMPUTED_VALUE"""),34.0425531914894)</f>
        <v>34.04255319</v>
      </c>
      <c r="B8" s="11"/>
    </row>
    <row r="9">
      <c r="A9" s="11">
        <f>IFERROR(__xludf.DUMMYFUNCTION("""COMPUTED_VALUE"""),1.70537729981661)</f>
        <v>1.7053773</v>
      </c>
      <c r="B9" s="11"/>
    </row>
    <row r="10">
      <c r="A10" s="11">
        <f>IFERROR(__xludf.DUMMYFUNCTION("""COMPUTED_VALUE"""),4.45667417628837)</f>
        <v>4.456674176</v>
      </c>
      <c r="B10" s="11">
        <f>IFERROR(__xludf.DUMMYFUNCTION("""COMPUTED_VALUE"""),78.0)</f>
        <v>78</v>
      </c>
    </row>
    <row r="11">
      <c r="A11" s="11">
        <f>IFERROR(__xludf.DUMMYFUNCTION("""COMPUTED_VALUE"""),11.1559584753845)</f>
        <v>11.15595848</v>
      </c>
      <c r="B11" s="11">
        <f>IFERROR(__xludf.DUMMYFUNCTION("""COMPUTED_VALUE"""),591.0)</f>
        <v>591</v>
      </c>
    </row>
    <row r="12">
      <c r="A12" s="11">
        <f>IFERROR(__xludf.DUMMYFUNCTION("""COMPUTED_VALUE"""),11.618124341412)</f>
        <v>11.61812434</v>
      </c>
      <c r="B12" s="11">
        <f>IFERROR(__xludf.DUMMYFUNCTION("""COMPUTED_VALUE"""),562.0)</f>
        <v>562</v>
      </c>
    </row>
    <row r="13">
      <c r="A13" s="11">
        <f>IFERROR(__xludf.DUMMYFUNCTION("""COMPUTED_VALUE"""),87.3)</f>
        <v>87.3</v>
      </c>
      <c r="B13" s="11"/>
    </row>
    <row r="14">
      <c r="A14" s="11">
        <f>IFERROR(__xludf.DUMMYFUNCTION("""COMPUTED_VALUE"""),20.1068181818182)</f>
        <v>20.10681818</v>
      </c>
      <c r="B14" s="11">
        <f>IFERROR(__xludf.DUMMYFUNCTION("""COMPUTED_VALUE"""),1030.0)</f>
        <v>1030</v>
      </c>
    </row>
    <row r="15">
      <c r="A15" s="11">
        <f>IFERROR(__xludf.DUMMYFUNCTION("""COMPUTED_VALUE"""),16.8924540827617)</f>
        <v>16.89245408</v>
      </c>
      <c r="B15" s="11">
        <f>IFERROR(__xludf.DUMMYFUNCTION("""COMPUTED_VALUE"""),534.0)</f>
        <v>534</v>
      </c>
    </row>
    <row r="16">
      <c r="A16" s="11">
        <f>IFERROR(__xludf.DUMMYFUNCTION("""COMPUTED_VALUE"""),46.7520889340987)</f>
        <v>46.75208893</v>
      </c>
      <c r="B16" s="11">
        <f>IFERROR(__xludf.DUMMYFUNCTION("""COMPUTED_VALUE"""),1110.0)</f>
        <v>1110</v>
      </c>
    </row>
    <row r="17">
      <c r="A17" s="11">
        <f>IFERROR(__xludf.DUMMYFUNCTION("""COMPUTED_VALUE"""),12.441808477161)</f>
        <v>12.44180848</v>
      </c>
      <c r="B17" s="11">
        <f>IFERROR(__xludf.DUMMYFUNCTION("""COMPUTED_VALUE"""),447.0)</f>
        <v>447</v>
      </c>
    </row>
    <row r="18">
      <c r="A18" s="11">
        <f>IFERROR(__xludf.DUMMYFUNCTION("""COMPUTED_VALUE"""),7.55218068535826)</f>
        <v>7.552180685</v>
      </c>
      <c r="B18" s="11">
        <f>IFERROR(__xludf.DUMMYFUNCTION("""COMPUTED_VALUE"""),1274.0)</f>
        <v>1274</v>
      </c>
    </row>
    <row r="19">
      <c r="A19" s="11">
        <f>IFERROR(__xludf.DUMMYFUNCTION("""COMPUTED_VALUE"""),22.7084874504624)</f>
        <v>22.70848745</v>
      </c>
      <c r="B19" s="11">
        <f>IFERROR(__xludf.DUMMYFUNCTION("""COMPUTED_VALUE"""),847.0)</f>
        <v>847</v>
      </c>
    </row>
    <row r="20">
      <c r="A20" s="11">
        <f>IFERROR(__xludf.DUMMYFUNCTION("""COMPUTED_VALUE"""),32.6813586378148)</f>
        <v>32.68135864</v>
      </c>
      <c r="B20" s="11">
        <f>IFERROR(__xludf.DUMMYFUNCTION("""COMPUTED_VALUE"""),1039.0)</f>
        <v>1039</v>
      </c>
    </row>
    <row r="21">
      <c r="A21" s="11">
        <f>IFERROR(__xludf.DUMMYFUNCTION("""COMPUTED_VALUE"""),24.7313596491228)</f>
        <v>24.73135965</v>
      </c>
      <c r="B21" s="11">
        <f>IFERROR(__xludf.DUMMYFUNCTION("""COMPUTED_VALUE"""),748.0)</f>
        <v>748</v>
      </c>
    </row>
    <row r="22">
      <c r="A22" s="11">
        <f>IFERROR(__xludf.DUMMYFUNCTION("""COMPUTED_VALUE"""),14.5313098256127)</f>
        <v>14.53130983</v>
      </c>
      <c r="B22" s="11">
        <f>IFERROR(__xludf.DUMMYFUNCTION("""COMPUTED_VALUE"""),2666.0)</f>
        <v>2666</v>
      </c>
    </row>
    <row r="23">
      <c r="A23" s="11">
        <f>IFERROR(__xludf.DUMMYFUNCTION("""COMPUTED_VALUE"""),34.0899042004421)</f>
        <v>34.0899042</v>
      </c>
      <c r="B23" s="11">
        <f>IFERROR(__xludf.DUMMYFUNCTION("""COMPUTED_VALUE"""),608.0)</f>
        <v>608</v>
      </c>
    </row>
    <row r="24">
      <c r="A24" s="11">
        <f>IFERROR(__xludf.DUMMYFUNCTION("""COMPUTED_VALUE"""),0.664473684210526)</f>
        <v>0.6644736842</v>
      </c>
      <c r="B24" s="11">
        <f>IFERROR(__xludf.DUMMYFUNCTION("""COMPUTED_VALUE"""),83.0)</f>
        <v>83</v>
      </c>
    </row>
    <row r="25">
      <c r="A25" s="11">
        <f>IFERROR(__xludf.DUMMYFUNCTION("""COMPUTED_VALUE"""),50.9350649350649)</f>
        <v>50.93506494</v>
      </c>
      <c r="B25" s="11">
        <f>IFERROR(__xludf.DUMMYFUNCTION("""COMPUTED_VALUE"""),1292.0)</f>
        <v>1292</v>
      </c>
    </row>
    <row r="26">
      <c r="A26" s="11">
        <f>IFERROR(__xludf.DUMMYFUNCTION("""COMPUTED_VALUE"""),41.08513671875)</f>
        <v>41.08513672</v>
      </c>
      <c r="B26" s="11">
        <f>IFERROR(__xludf.DUMMYFUNCTION("""COMPUTED_VALUE"""),1028.0)</f>
        <v>1028</v>
      </c>
    </row>
    <row r="27">
      <c r="A27" s="11">
        <f>IFERROR(__xludf.DUMMYFUNCTION("""COMPUTED_VALUE"""),42.3740262301548)</f>
        <v>42.37402623</v>
      </c>
      <c r="B27" s="11">
        <f>IFERROR(__xludf.DUMMYFUNCTION("""COMPUTED_VALUE"""),618.0)</f>
        <v>618</v>
      </c>
    </row>
    <row r="28">
      <c r="A28" s="11">
        <f>IFERROR(__xludf.DUMMYFUNCTION("""COMPUTED_VALUE"""),61.2968434896975)</f>
        <v>61.29684349</v>
      </c>
      <c r="B28" s="11">
        <f>IFERROR(__xludf.DUMMYFUNCTION("""COMPUTED_VALUE"""),1705.0)</f>
        <v>1705</v>
      </c>
    </row>
    <row r="29">
      <c r="A29" s="11">
        <f>IFERROR(__xludf.DUMMYFUNCTION("""COMPUTED_VALUE"""),18.5185185185185)</f>
        <v>18.51851852</v>
      </c>
      <c r="B29" s="11"/>
    </row>
    <row r="30">
      <c r="A30" s="11">
        <f>IFERROR(__xludf.DUMMYFUNCTION("""COMPUTED_VALUE"""),49.1900193852119)</f>
        <v>49.19001939</v>
      </c>
      <c r="B30" s="11">
        <f>IFERROR(__xludf.DUMMYFUNCTION("""COMPUTED_VALUE"""),1146.0)</f>
        <v>1146</v>
      </c>
    </row>
    <row r="31">
      <c r="A31" s="11">
        <f>IFERROR(__xludf.DUMMYFUNCTION("""COMPUTED_VALUE"""),61.6801692721108)</f>
        <v>61.68016927</v>
      </c>
      <c r="B31" s="11">
        <f>IFERROR(__xludf.DUMMYFUNCTION("""COMPUTED_VALUE"""),1761.0)</f>
        <v>1761</v>
      </c>
    </row>
    <row r="32">
      <c r="A32" s="11">
        <f>IFERROR(__xludf.DUMMYFUNCTION("""COMPUTED_VALUE"""),14.6511627906977)</f>
        <v>14.65116279</v>
      </c>
      <c r="B32" s="11">
        <f>IFERROR(__xludf.DUMMYFUNCTION("""COMPUTED_VALUE"""),1422.0)</f>
        <v>1422</v>
      </c>
    </row>
    <row r="33">
      <c r="A33" s="11">
        <f>IFERROR(__xludf.DUMMYFUNCTION("""COMPUTED_VALUE"""),72.4288425047438)</f>
        <v>72.4288425</v>
      </c>
      <c r="B33" s="11">
        <f>IFERROR(__xludf.DUMMYFUNCTION("""COMPUTED_VALUE"""),2722.0)</f>
        <v>2722</v>
      </c>
    </row>
    <row r="34">
      <c r="A34" s="11">
        <f>IFERROR(__xludf.DUMMYFUNCTION("""COMPUTED_VALUE"""),70.7128315449799)</f>
        <v>70.71283154</v>
      </c>
      <c r="B34" s="11">
        <f>IFERROR(__xludf.DUMMYFUNCTION("""COMPUTED_VALUE"""),2200.0)</f>
        <v>2200</v>
      </c>
    </row>
    <row r="35">
      <c r="A35" s="11">
        <f>IFERROR(__xludf.DUMMYFUNCTION("""COMPUTED_VALUE"""),29.2132055829054)</f>
        <v>29.21320558</v>
      </c>
      <c r="B35" s="11">
        <f>IFERROR(__xludf.DUMMYFUNCTION("""COMPUTED_VALUE"""),416.0)</f>
        <v>416</v>
      </c>
    </row>
    <row r="36">
      <c r="A36" s="11">
        <f>IFERROR(__xludf.DUMMYFUNCTION("""COMPUTED_VALUE"""),36.3302192686764)</f>
        <v>36.33021927</v>
      </c>
      <c r="B36" s="11">
        <f>IFERROR(__xludf.DUMMYFUNCTION("""COMPUTED_VALUE"""),1343.0)</f>
        <v>1343</v>
      </c>
    </row>
    <row r="37">
      <c r="A37" s="11">
        <f>IFERROR(__xludf.DUMMYFUNCTION("""COMPUTED_VALUE"""),38.7448217016393)</f>
        <v>38.7448217</v>
      </c>
      <c r="B37" s="11">
        <f>IFERROR(__xludf.DUMMYFUNCTION("""COMPUTED_VALUE"""),537.0)</f>
        <v>537</v>
      </c>
    </row>
    <row r="38">
      <c r="A38" s="11">
        <f>IFERROR(__xludf.DUMMYFUNCTION("""COMPUTED_VALUE"""),33.6111900074702)</f>
        <v>33.61119001</v>
      </c>
      <c r="B38" s="11"/>
    </row>
    <row r="39">
      <c r="A39" s="11">
        <f>IFERROR(__xludf.DUMMYFUNCTION("""COMPUTED_VALUE"""),31.1485474238283)</f>
        <v>31.14854742</v>
      </c>
      <c r="B39" s="11">
        <f>IFERROR(__xludf.DUMMYFUNCTION("""COMPUTED_VALUE"""),1537.0)</f>
        <v>1537</v>
      </c>
    </row>
    <row r="40">
      <c r="A40" s="11">
        <f>IFERROR(__xludf.DUMMYFUNCTION("""COMPUTED_VALUE"""),5.05555555555556)</f>
        <v>5.055555556</v>
      </c>
      <c r="B40" s="11"/>
    </row>
    <row r="41">
      <c r="A41" s="11">
        <f>IFERROR(__xludf.DUMMYFUNCTION("""COMPUTED_VALUE"""),22.3721911094613)</f>
        <v>22.37219111</v>
      </c>
      <c r="B41" s="11">
        <f>IFERROR(__xludf.DUMMYFUNCTION("""COMPUTED_VALUE"""),1522.0)</f>
        <v>1522</v>
      </c>
    </row>
    <row r="42">
      <c r="A42" s="11">
        <f>IFERROR(__xludf.DUMMYFUNCTION("""COMPUTED_VALUE"""),21.0350872157688)</f>
        <v>21.03508722</v>
      </c>
      <c r="B42" s="11">
        <f>IFERROR(__xludf.DUMMYFUNCTION("""COMPUTED_VALUE"""),645.0)</f>
        <v>645</v>
      </c>
    </row>
    <row r="43">
      <c r="A43" s="11">
        <f>IFERROR(__xludf.DUMMYFUNCTION("""COMPUTED_VALUE"""),12.8253679245283)</f>
        <v>12.82536792</v>
      </c>
      <c r="B43" s="11">
        <f>IFERROR(__xludf.DUMMYFUNCTION("""COMPUTED_VALUE"""),1348.0)</f>
        <v>1348</v>
      </c>
    </row>
    <row r="44">
      <c r="A44" s="11">
        <f>IFERROR(__xludf.DUMMYFUNCTION("""COMPUTED_VALUE"""),44.3616191745468)</f>
        <v>44.36161917</v>
      </c>
      <c r="B44" s="11">
        <f>IFERROR(__xludf.DUMMYFUNCTION("""COMPUTED_VALUE"""),1604.0)</f>
        <v>1604</v>
      </c>
    </row>
    <row r="45">
      <c r="A45" s="11">
        <f>IFERROR(__xludf.DUMMYFUNCTION("""COMPUTED_VALUE"""),60.8023643060365)</f>
        <v>60.80236431</v>
      </c>
      <c r="B45" s="11">
        <f>IFERROR(__xludf.DUMMYFUNCTION("""COMPUTED_VALUE"""),1543.0)</f>
        <v>1543</v>
      </c>
    </row>
    <row r="46">
      <c r="A46" s="11">
        <f>IFERROR(__xludf.DUMMYFUNCTION("""COMPUTED_VALUE"""),64.6764275256223)</f>
        <v>64.67642753</v>
      </c>
      <c r="B46" s="11">
        <f>IFERROR(__xludf.DUMMYFUNCTION("""COMPUTED_VALUE"""),1646.0)</f>
        <v>1646</v>
      </c>
    </row>
    <row r="47">
      <c r="A47" s="11">
        <f>IFERROR(__xludf.DUMMYFUNCTION("""COMPUTED_VALUE"""),54.9802262280307)</f>
        <v>54.98022623</v>
      </c>
      <c r="B47" s="11">
        <f>IFERROR(__xludf.DUMMYFUNCTION("""COMPUTED_VALUE"""),3240.0)</f>
        <v>3240</v>
      </c>
    </row>
    <row r="48">
      <c r="A48" s="11">
        <f>IFERROR(__xludf.DUMMYFUNCTION("""COMPUTED_VALUE"""),20.2783449758194)</f>
        <v>20.27834498</v>
      </c>
      <c r="B48" s="11">
        <f>IFERROR(__xludf.DUMMYFUNCTION("""COMPUTED_VALUE"""),900.0)</f>
        <v>900</v>
      </c>
    </row>
    <row r="49">
      <c r="A49" s="11">
        <f>IFERROR(__xludf.DUMMYFUNCTION("""COMPUTED_VALUE"""),10.5260545905707)</f>
        <v>10.52605459</v>
      </c>
      <c r="B49" s="11">
        <f>IFERROR(__xludf.DUMMYFUNCTION("""COMPUTED_VALUE"""),228.0)</f>
        <v>228</v>
      </c>
    </row>
    <row r="50">
      <c r="A50" s="11">
        <f>IFERROR(__xludf.DUMMYFUNCTION("""COMPUTED_VALUE"""),56.2045045045045)</f>
        <v>56.2045045</v>
      </c>
      <c r="B50" s="11">
        <f>IFERROR(__xludf.DUMMYFUNCTION("""COMPUTED_VALUE"""),2926.0)</f>
        <v>2926</v>
      </c>
    </row>
    <row r="51">
      <c r="A51" s="11">
        <f>IFERROR(__xludf.DUMMYFUNCTION("""COMPUTED_VALUE"""),90.5640187723848)</f>
        <v>90.56401877</v>
      </c>
      <c r="B51" s="11"/>
    </row>
    <row r="52">
      <c r="A52" s="11">
        <f>IFERROR(__xludf.DUMMYFUNCTION("""COMPUTED_VALUE"""),27.0791055993987)</f>
        <v>27.0791056</v>
      </c>
      <c r="B52" s="11">
        <f>IFERROR(__xludf.DUMMYFUNCTION("""COMPUTED_VALUE"""),1335.0)</f>
        <v>1335</v>
      </c>
    </row>
    <row r="53">
      <c r="A53" s="11"/>
      <c r="B53" s="11"/>
    </row>
    <row r="54">
      <c r="A54" s="11">
        <f>IFERROR(__xludf.DUMMYFUNCTION("""COMPUTED_VALUE"""),53.0875)</f>
        <v>53.0875</v>
      </c>
      <c r="B54" s="11"/>
    </row>
    <row r="55">
      <c r="A55" s="11">
        <f>IFERROR(__xludf.DUMMYFUNCTION("""COMPUTED_VALUE"""),18.692316017316)</f>
        <v>18.69231602</v>
      </c>
      <c r="B55" s="11">
        <f>IFERROR(__xludf.DUMMYFUNCTION("""COMPUTED_VALUE"""),498.0)</f>
        <v>498</v>
      </c>
    </row>
    <row r="56">
      <c r="A56" s="11">
        <f>IFERROR(__xludf.DUMMYFUNCTION("""COMPUTED_VALUE"""),34.3737346278317)</f>
        <v>34.37373463</v>
      </c>
      <c r="B56" s="11">
        <f>IFERROR(__xludf.DUMMYFUNCTION("""COMPUTED_VALUE"""),677.0)</f>
        <v>677</v>
      </c>
    </row>
    <row r="57">
      <c r="A57" s="11">
        <f>IFERROR(__xludf.DUMMYFUNCTION("""COMPUTED_VALUE"""),32.7113393190098)</f>
        <v>32.71133932</v>
      </c>
      <c r="B57" s="11">
        <f>IFERROR(__xludf.DUMMYFUNCTION("""COMPUTED_VALUE"""),700.0)</f>
        <v>700</v>
      </c>
    </row>
    <row r="58">
      <c r="A58" s="11">
        <f>IFERROR(__xludf.DUMMYFUNCTION("""COMPUTED_VALUE"""),0.241587575496117)</f>
        <v>0.2415875755</v>
      </c>
      <c r="B58" s="11">
        <f>IFERROR(__xludf.DUMMYFUNCTION("""COMPUTED_VALUE"""),220.0)</f>
        <v>220</v>
      </c>
    </row>
    <row r="59">
      <c r="A59" s="11">
        <f>IFERROR(__xludf.DUMMYFUNCTION("""COMPUTED_VALUE"""),63.8266666666667)</f>
        <v>63.82666667</v>
      </c>
      <c r="B59" s="11">
        <f>IFERROR(__xludf.DUMMYFUNCTION("""COMPUTED_VALUE"""),2083.0)</f>
        <v>2083</v>
      </c>
    </row>
    <row r="60">
      <c r="A60" s="11">
        <f>IFERROR(__xludf.DUMMYFUNCTION("""COMPUTED_VALUE"""),13.7874381333962)</f>
        <v>13.78743813</v>
      </c>
      <c r="B60" s="11">
        <f>IFERROR(__xludf.DUMMYFUNCTION("""COMPUTED_VALUE"""),703.0)</f>
        <v>703</v>
      </c>
    </row>
    <row r="61">
      <c r="A61" s="11">
        <f>IFERROR(__xludf.DUMMYFUNCTION("""COMPUTED_VALUE"""),42.7045125232871)</f>
        <v>42.70451252</v>
      </c>
      <c r="B61" s="11">
        <f>IFERROR(__xludf.DUMMYFUNCTION("""COMPUTED_VALUE"""),1410.0)</f>
        <v>1410</v>
      </c>
    </row>
    <row r="62">
      <c r="A62" s="11">
        <f>IFERROR(__xludf.DUMMYFUNCTION("""COMPUTED_VALUE"""),0.791060317247055)</f>
        <v>0.7910603172</v>
      </c>
      <c r="B62" s="11">
        <f>IFERROR(__xludf.DUMMYFUNCTION("""COMPUTED_VALUE"""),89.0)</f>
        <v>89</v>
      </c>
    </row>
    <row r="63">
      <c r="A63" s="11">
        <f>IFERROR(__xludf.DUMMYFUNCTION("""COMPUTED_VALUE"""),29.9960904166004)</f>
        <v>29.99609042</v>
      </c>
      <c r="B63" s="11"/>
    </row>
    <row r="64">
      <c r="A64" s="11">
        <f>IFERROR(__xludf.DUMMYFUNCTION("""COMPUTED_VALUE"""),23.6966677767164)</f>
        <v>23.69666778</v>
      </c>
      <c r="B64" s="11"/>
    </row>
    <row r="65">
      <c r="A65" s="11">
        <f>IFERROR(__xludf.DUMMYFUNCTION("""COMPUTED_VALUE"""),26.6907267575481)</f>
        <v>26.69072676</v>
      </c>
      <c r="B65" s="11"/>
    </row>
    <row r="66">
      <c r="A66" s="11">
        <f>IFERROR(__xludf.DUMMYFUNCTION("""COMPUTED_VALUE"""),39.2674589996609)</f>
        <v>39.267459</v>
      </c>
      <c r="B66" s="11"/>
    </row>
    <row r="67">
      <c r="A67" s="11">
        <f>IFERROR(__xludf.DUMMYFUNCTION("""COMPUTED_VALUE"""),38.2887788236219)</f>
        <v>38.28877882</v>
      </c>
      <c r="B67" s="11"/>
    </row>
    <row r="68">
      <c r="A68" s="11">
        <f>IFERROR(__xludf.DUMMYFUNCTION("""COMPUTED_VALUE"""),52.7396561443067)</f>
        <v>52.73965614</v>
      </c>
      <c r="B68" s="11">
        <f>IFERROR(__xludf.DUMMYFUNCTION("""COMPUTED_VALUE"""),2274.0)</f>
        <v>2274</v>
      </c>
    </row>
    <row r="69">
      <c r="A69" s="11">
        <f>IFERROR(__xludf.DUMMYFUNCTION("""COMPUTED_VALUE"""),0.065294088100859)</f>
        <v>0.0652940881</v>
      </c>
      <c r="B69" s="11">
        <f>IFERROR(__xludf.DUMMYFUNCTION("""COMPUTED_VALUE"""),18.1)</f>
        <v>18.1</v>
      </c>
    </row>
    <row r="70">
      <c r="A70" s="11">
        <f>IFERROR(__xludf.DUMMYFUNCTION("""COMPUTED_VALUE"""),37.8716732220959)</f>
        <v>37.87167322</v>
      </c>
      <c r="B70" s="11"/>
    </row>
    <row r="71">
      <c r="A71" s="11">
        <f>IFERROR(__xludf.DUMMYFUNCTION("""COMPUTED_VALUE"""),10.7922772277228)</f>
        <v>10.79227723</v>
      </c>
      <c r="B71" s="11">
        <f>IFERROR(__xludf.DUMMYFUNCTION("""COMPUTED_VALUE"""),384.0)</f>
        <v>384</v>
      </c>
    </row>
    <row r="72">
      <c r="A72" s="11">
        <f>IFERROR(__xludf.DUMMYFUNCTION("""COMPUTED_VALUE"""),36.8992880920868)</f>
        <v>36.89928809</v>
      </c>
      <c r="B72" s="11">
        <f>IFERROR(__xludf.DUMMYFUNCTION("""COMPUTED_VALUE"""),636.0)</f>
        <v>636</v>
      </c>
    </row>
    <row r="73">
      <c r="A73" s="11">
        <f>IFERROR(__xludf.DUMMYFUNCTION("""COMPUTED_VALUE"""),54.8786742156169)</f>
        <v>54.87867422</v>
      </c>
      <c r="B73" s="11">
        <f>IFERROR(__xludf.DUMMYFUNCTION("""COMPUTED_VALUE"""),626.0)</f>
        <v>626</v>
      </c>
    </row>
    <row r="74">
      <c r="A74" s="11">
        <f>IFERROR(__xludf.DUMMYFUNCTION("""COMPUTED_VALUE"""),15.8256966388377)</f>
        <v>15.82569664</v>
      </c>
      <c r="B74" s="11">
        <f>IFERROR(__xludf.DUMMYFUNCTION("""COMPUTED_VALUE"""),848.0)</f>
        <v>848</v>
      </c>
    </row>
    <row r="75">
      <c r="A75" s="11">
        <f>IFERROR(__xludf.DUMMYFUNCTION("""COMPUTED_VALUE"""),39.0552571796124)</f>
        <v>39.05525718</v>
      </c>
      <c r="B75" s="11"/>
    </row>
    <row r="76">
      <c r="A76" s="11">
        <f>IFERROR(__xludf.DUMMYFUNCTION("""COMPUTED_VALUE"""),26.5317517512294)</f>
        <v>26.53175175</v>
      </c>
      <c r="B76" s="11"/>
    </row>
    <row r="77">
      <c r="A77" s="11">
        <f>IFERROR(__xludf.DUMMYFUNCTION("""COMPUTED_VALUE"""),73.2555577492596)</f>
        <v>73.25555775</v>
      </c>
      <c r="B77" s="11">
        <f>IFERROR(__xludf.DUMMYFUNCTION("""COMPUTED_VALUE"""),536.0)</f>
        <v>536</v>
      </c>
    </row>
    <row r="78">
      <c r="A78" s="11">
        <f>IFERROR(__xludf.DUMMYFUNCTION("""COMPUTED_VALUE"""),58.3778325123153)</f>
        <v>58.37783251</v>
      </c>
      <c r="B78" s="11">
        <f>IFERROR(__xludf.DUMMYFUNCTION("""COMPUTED_VALUE"""),2592.0)</f>
        <v>2592</v>
      </c>
    </row>
    <row r="79">
      <c r="A79" s="11">
        <f>IFERROR(__xludf.DUMMYFUNCTION("""COMPUTED_VALUE"""),29.7793654359272)</f>
        <v>29.77936544</v>
      </c>
      <c r="B79" s="11">
        <f>IFERROR(__xludf.DUMMYFUNCTION("""COMPUTED_VALUE"""),867.0)</f>
        <v>867</v>
      </c>
    </row>
    <row r="80">
      <c r="A80" s="11">
        <f>IFERROR(__xludf.DUMMYFUNCTION("""COMPUTED_VALUE"""),0.05730659025788)</f>
        <v>0.05730659026</v>
      </c>
      <c r="B80" s="11"/>
    </row>
    <row r="81">
      <c r="A81" s="11">
        <f>IFERROR(__xludf.DUMMYFUNCTION("""COMPUTED_VALUE"""),91.5757142857143)</f>
        <v>91.57571429</v>
      </c>
      <c r="B81" s="11"/>
    </row>
    <row r="82">
      <c r="A82" s="11">
        <f>IFERROR(__xludf.DUMMYFUNCTION("""COMPUTED_VALUE"""),91.8014087786704)</f>
        <v>91.80140878</v>
      </c>
      <c r="B82" s="11">
        <f>IFERROR(__xludf.DUMMYFUNCTION("""COMPUTED_VALUE"""),1831.0)</f>
        <v>1831</v>
      </c>
    </row>
    <row r="83">
      <c r="A83" s="11">
        <f>IFERROR(__xludf.DUMMYFUNCTION("""COMPUTED_VALUE"""),12.6007522837184)</f>
        <v>12.60075228</v>
      </c>
      <c r="B83" s="11">
        <f>IFERROR(__xludf.DUMMYFUNCTION("""COMPUTED_VALUE"""),1220.0)</f>
        <v>1220</v>
      </c>
    </row>
    <row r="84">
      <c r="A84" s="11">
        <f>IFERROR(__xludf.DUMMYFUNCTION("""COMPUTED_VALUE"""),40.5269822996115)</f>
        <v>40.5269823</v>
      </c>
      <c r="B84" s="11">
        <f>IFERROR(__xludf.DUMMYFUNCTION("""COMPUTED_VALUE"""),1026.0)</f>
        <v>1026</v>
      </c>
    </row>
    <row r="85">
      <c r="A85" s="11">
        <f>IFERROR(__xludf.DUMMYFUNCTION("""COMPUTED_VALUE"""),35.3058714951217)</f>
        <v>35.3058715</v>
      </c>
      <c r="B85" s="11">
        <f>IFERROR(__xludf.DUMMYFUNCTION("""COMPUTED_VALUE"""),1187.0)</f>
        <v>1187</v>
      </c>
    </row>
    <row r="86">
      <c r="A86" s="11">
        <f>IFERROR(__xludf.DUMMYFUNCTION("""COMPUTED_VALUE"""),0.0)</f>
        <v>0</v>
      </c>
      <c r="B86" s="11"/>
    </row>
    <row r="87">
      <c r="A87" s="11">
        <f>IFERROR(__xludf.DUMMYFUNCTION("""COMPUTED_VALUE"""),26.8801888328178)</f>
        <v>26.88018883</v>
      </c>
      <c r="B87" s="11">
        <f>IFERROR(__xludf.DUMMYFUNCTION("""COMPUTED_VALUE"""),1651.0)</f>
        <v>1651</v>
      </c>
    </row>
    <row r="88">
      <c r="A88" s="11">
        <f>IFERROR(__xludf.DUMMYFUNCTION("""COMPUTED_VALUE"""),30.2107707509881)</f>
        <v>30.21077075</v>
      </c>
      <c r="B88" s="11">
        <f>IFERROR(__xludf.DUMMYFUNCTION("""COMPUTED_VALUE"""),836.0)</f>
        <v>836</v>
      </c>
    </row>
    <row r="89">
      <c r="A89" s="11">
        <f>IFERROR(__xludf.DUMMYFUNCTION("""COMPUTED_VALUE"""),73.7153271692745)</f>
        <v>73.71532717</v>
      </c>
      <c r="B89" s="11">
        <f>IFERROR(__xludf.DUMMYFUNCTION("""COMPUTED_VALUE"""),1577.0)</f>
        <v>1577</v>
      </c>
    </row>
    <row r="90">
      <c r="A90" s="11">
        <f>IFERROR(__xludf.DUMMYFUNCTION("""COMPUTED_VALUE"""),90.5656684491979)</f>
        <v>90.56566845</v>
      </c>
      <c r="B90" s="11">
        <f>IFERROR(__xludf.DUMMYFUNCTION("""COMPUTED_VALUE"""),2156.0)</f>
        <v>2156</v>
      </c>
    </row>
    <row r="91">
      <c r="A91" s="11">
        <f>IFERROR(__xludf.DUMMYFUNCTION("""COMPUTED_VALUE"""),30.0360411171451)</f>
        <v>30.03604112</v>
      </c>
      <c r="B91" s="11">
        <f>IFERROR(__xludf.DUMMYFUNCTION("""COMPUTED_VALUE"""),652.0)</f>
        <v>652</v>
      </c>
    </row>
    <row r="92">
      <c r="A92" s="11">
        <f>IFERROR(__xludf.DUMMYFUNCTION("""COMPUTED_VALUE"""),52.0588235294118)</f>
        <v>52.05882353</v>
      </c>
      <c r="B92" s="11">
        <f>IFERROR(__xludf.DUMMYFUNCTION("""COMPUTED_VALUE"""),2350.0)</f>
        <v>2350</v>
      </c>
    </row>
    <row r="93">
      <c r="A93" s="11">
        <f>IFERROR(__xludf.DUMMYFUNCTION("""COMPUTED_VALUE"""),5.3599707638E-4)</f>
        <v>0.0005359970764</v>
      </c>
      <c r="B93" s="11"/>
    </row>
    <row r="94">
      <c r="A94" s="11">
        <f>IFERROR(__xludf.DUMMYFUNCTION("""COMPUTED_VALUE"""),35.1927958193356)</f>
        <v>35.19279582</v>
      </c>
      <c r="B94" s="11">
        <f>IFERROR(__xludf.DUMMYFUNCTION("""COMPUTED_VALUE"""),1996.0)</f>
        <v>1996</v>
      </c>
    </row>
    <row r="95">
      <c r="A95" s="11">
        <f>IFERROR(__xludf.DUMMYFUNCTION("""COMPUTED_VALUE"""),44.4444444444444)</f>
        <v>44.44444444</v>
      </c>
      <c r="B95" s="11"/>
    </row>
    <row r="96">
      <c r="A96" s="11">
        <f>IFERROR(__xludf.DUMMYFUNCTION("""COMPUTED_VALUE"""),94.1033832867666)</f>
        <v>94.10338329</v>
      </c>
      <c r="B96" s="11">
        <f>IFERROR(__xludf.DUMMYFUNCTION("""COMPUTED_VALUE"""),2387.0)</f>
        <v>2387</v>
      </c>
    </row>
    <row r="97">
      <c r="A97" s="11">
        <f>IFERROR(__xludf.DUMMYFUNCTION("""COMPUTED_VALUE"""),28.9862492015129)</f>
        <v>28.9862492</v>
      </c>
      <c r="B97" s="11"/>
    </row>
    <row r="98">
      <c r="A98" s="11"/>
      <c r="B98" s="11"/>
    </row>
    <row r="99">
      <c r="A99" s="11">
        <f>IFERROR(__xludf.DUMMYFUNCTION("""COMPUTED_VALUE"""),58.9485208687103)</f>
        <v>58.94852087</v>
      </c>
      <c r="B99" s="11">
        <f>IFERROR(__xludf.DUMMYFUNCTION("""COMPUTED_VALUE"""),1976.0)</f>
        <v>1976</v>
      </c>
    </row>
    <row r="100">
      <c r="A100" s="11">
        <f>IFERROR(__xludf.DUMMYFUNCTION("""COMPUTED_VALUE"""),30.9032348676385)</f>
        <v>30.90323487</v>
      </c>
      <c r="B100" s="11"/>
    </row>
    <row r="101">
      <c r="A101" s="11">
        <f>IFERROR(__xludf.DUMMYFUNCTION("""COMPUTED_VALUE"""),34.2476769120801)</f>
        <v>34.24767691</v>
      </c>
      <c r="B101" s="11">
        <f>IFERROR(__xludf.DUMMYFUNCTION("""COMPUTED_VALUE"""),1113.0)</f>
        <v>1113</v>
      </c>
    </row>
    <row r="102">
      <c r="A102" s="11">
        <f>IFERROR(__xludf.DUMMYFUNCTION("""COMPUTED_VALUE"""),13.7375544267054)</f>
        <v>13.73755443</v>
      </c>
      <c r="B102" s="11">
        <f>IFERROR(__xludf.DUMMYFUNCTION("""COMPUTED_VALUE"""),1440.0)</f>
        <v>1440</v>
      </c>
    </row>
    <row r="103">
      <c r="A103" s="11">
        <f>IFERROR(__xludf.DUMMYFUNCTION("""COMPUTED_VALUE"""),22.4662321882249)</f>
        <v>22.46623219</v>
      </c>
      <c r="B103" s="11">
        <f>IFERROR(__xludf.DUMMYFUNCTION("""COMPUTED_VALUE"""),589.0)</f>
        <v>589</v>
      </c>
    </row>
    <row r="104">
      <c r="A104" s="11">
        <f>IFERROR(__xludf.DUMMYFUNCTION("""COMPUTED_VALUE"""),34.2222456635604)</f>
        <v>34.22224566</v>
      </c>
      <c r="B104" s="11"/>
    </row>
    <row r="105">
      <c r="A105" s="11">
        <f>IFERROR(__xludf.DUMMYFUNCTION("""COMPUTED_VALUE"""),32.9881357654275)</f>
        <v>32.98813577</v>
      </c>
      <c r="B105" s="11"/>
    </row>
    <row r="106">
      <c r="A106" s="11">
        <f>IFERROR(__xludf.DUMMYFUNCTION("""COMPUTED_VALUE"""),29.0926718740371)</f>
        <v>29.09267187</v>
      </c>
      <c r="B106" s="11"/>
    </row>
    <row r="107">
      <c r="A107" s="11">
        <f>IFERROR(__xludf.DUMMYFUNCTION("""COMPUTED_VALUE"""),30.6401361065783)</f>
        <v>30.64013611</v>
      </c>
      <c r="B107" s="11"/>
    </row>
    <row r="108">
      <c r="A108" s="11">
        <f>IFERROR(__xludf.DUMMYFUNCTION("""COMPUTED_VALUE"""),55.1020827238252)</f>
        <v>55.10208272</v>
      </c>
      <c r="B108" s="11">
        <f>IFERROR(__xludf.DUMMYFUNCTION("""COMPUTED_VALUE"""),2702.0)</f>
        <v>2702</v>
      </c>
    </row>
    <row r="109">
      <c r="A109" s="11">
        <f>IFERROR(__xludf.DUMMYFUNCTION("""COMPUTED_VALUE"""),28.7196163870921)</f>
        <v>28.71961639</v>
      </c>
      <c r="B109" s="11"/>
    </row>
    <row r="110">
      <c r="A110" s="11">
        <f>IFERROR(__xludf.DUMMYFUNCTION("""COMPUTED_VALUE"""),6.07017543859649)</f>
        <v>6.070175439</v>
      </c>
      <c r="B110" s="11"/>
    </row>
    <row r="111">
      <c r="A111" s="11">
        <f>IFERROR(__xludf.DUMMYFUNCTION("""COMPUTED_VALUE"""),23.3101483591698)</f>
        <v>23.31014836</v>
      </c>
      <c r="B111" s="11">
        <f>IFERROR(__xludf.DUMMYFUNCTION("""COMPUTED_VALUE"""),1083.0)</f>
        <v>1083</v>
      </c>
    </row>
    <row r="112">
      <c r="A112" s="11"/>
      <c r="B112" s="11"/>
    </row>
    <row r="113">
      <c r="A113" s="11">
        <f>IFERROR(__xludf.DUMMYFUNCTION("""COMPUTED_VALUE"""),10.3262882856728)</f>
        <v>10.32628829</v>
      </c>
      <c r="B113" s="11">
        <f>IFERROR(__xludf.DUMMYFUNCTION("""COMPUTED_VALUE"""),1118.0)</f>
        <v>1118</v>
      </c>
    </row>
    <row r="114">
      <c r="A114" s="11">
        <f>IFERROR(__xludf.DUMMYFUNCTION("""COMPUTED_VALUE"""),6.480603649402)</f>
        <v>6.480603649</v>
      </c>
      <c r="B114" s="11">
        <f>IFERROR(__xludf.DUMMYFUNCTION("""COMPUTED_VALUE"""),228.0)</f>
        <v>228</v>
      </c>
    </row>
    <row r="115">
      <c r="A115" s="11">
        <f>IFERROR(__xludf.DUMMYFUNCTION("""COMPUTED_VALUE"""),1.89790937557561)</f>
        <v>1.897909376</v>
      </c>
      <c r="B115" s="11">
        <f>IFERROR(__xludf.DUMMYFUNCTION("""COMPUTED_VALUE"""),216.0)</f>
        <v>216</v>
      </c>
    </row>
    <row r="116">
      <c r="A116" s="11">
        <f>IFERROR(__xludf.DUMMYFUNCTION("""COMPUTED_VALUE"""),0.430783042394015)</f>
        <v>0.4307830424</v>
      </c>
      <c r="B116" s="11">
        <f>IFERROR(__xludf.DUMMYFUNCTION("""COMPUTED_VALUE"""),1940.0)</f>
        <v>1940</v>
      </c>
    </row>
    <row r="117">
      <c r="A117" s="11">
        <f>IFERROR(__xludf.DUMMYFUNCTION("""COMPUTED_VALUE"""),7.11182994454714)</f>
        <v>7.111829945</v>
      </c>
      <c r="B117" s="11">
        <f>IFERROR(__xludf.DUMMYFUNCTION("""COMPUTED_VALUE"""),435.0)</f>
        <v>435</v>
      </c>
    </row>
    <row r="118">
      <c r="A118" s="11">
        <f>IFERROR(__xludf.DUMMYFUNCTION("""COMPUTED_VALUE"""),30.4690317535867)</f>
        <v>30.46903175</v>
      </c>
      <c r="B118" s="11">
        <f>IFERROR(__xludf.DUMMYFUNCTION("""COMPUTED_VALUE"""),832.0)</f>
        <v>832</v>
      </c>
    </row>
    <row r="119">
      <c r="A119" s="11">
        <f>IFERROR(__xludf.DUMMYFUNCTION("""COMPUTED_VALUE"""),51.219298245614)</f>
        <v>51.21929825</v>
      </c>
      <c r="B119" s="11">
        <f>IFERROR(__xludf.DUMMYFUNCTION("""COMPUTED_VALUE"""),2051.0)</f>
        <v>2051</v>
      </c>
    </row>
    <row r="120">
      <c r="A120" s="11">
        <f>IFERROR(__xludf.DUMMYFUNCTION("""COMPUTED_VALUE"""),1.09822031989187)</f>
        <v>1.09822032</v>
      </c>
      <c r="B120" s="11">
        <f>IFERROR(__xludf.DUMMYFUNCTION("""COMPUTED_VALUE"""),111.0)</f>
        <v>111</v>
      </c>
    </row>
    <row r="121">
      <c r="A121" s="11">
        <f>IFERROR(__xludf.DUMMYFUNCTION("""COMPUTED_VALUE"""),68.4691358024691)</f>
        <v>68.4691358</v>
      </c>
      <c r="B121" s="11">
        <f>IFERROR(__xludf.DUMMYFUNCTION("""COMPUTED_VALUE"""),1668.0)</f>
        <v>1668</v>
      </c>
    </row>
    <row r="122">
      <c r="A122" s="11">
        <f>IFERROR(__xludf.DUMMYFUNCTION("""COMPUTED_VALUE"""),1.14444349372152)</f>
        <v>1.144443494</v>
      </c>
      <c r="B122" s="11">
        <f>IFERROR(__xludf.DUMMYFUNCTION("""COMPUTED_VALUE"""),250.0)</f>
        <v>250</v>
      </c>
    </row>
    <row r="123">
      <c r="A123" s="11">
        <f>IFERROR(__xludf.DUMMYFUNCTION("""COMPUTED_VALUE"""),6.41463436061426)</f>
        <v>6.414634361</v>
      </c>
      <c r="B123" s="11">
        <f>IFERROR(__xludf.DUMMYFUNCTION("""COMPUTED_VALUE"""),630.0)</f>
        <v>630</v>
      </c>
    </row>
    <row r="124">
      <c r="A124" s="11">
        <f>IFERROR(__xludf.DUMMYFUNCTION("""COMPUTED_VALUE"""),6.38582898852972)</f>
        <v>6.385828989</v>
      </c>
      <c r="B124" s="11">
        <f>IFERROR(__xludf.DUMMYFUNCTION("""COMPUTED_VALUE"""),533.0)</f>
        <v>533</v>
      </c>
    </row>
    <row r="125">
      <c r="A125" s="11">
        <f>IFERROR(__xludf.DUMMYFUNCTION("""COMPUTED_VALUE"""),60.0974790392024)</f>
        <v>60.09747904</v>
      </c>
      <c r="B125" s="11">
        <f>IFERROR(__xludf.DUMMYFUNCTION("""COMPUTED_VALUE"""),1904.0)</f>
        <v>1904</v>
      </c>
    </row>
    <row r="126">
      <c r="A126" s="11">
        <f>IFERROR(__xludf.DUMMYFUNCTION("""COMPUTED_VALUE"""),1.45679012345679)</f>
        <v>1.456790123</v>
      </c>
      <c r="B126" s="11"/>
    </row>
    <row r="127">
      <c r="A127" s="11">
        <f>IFERROR(__xludf.DUMMYFUNCTION("""COMPUTED_VALUE"""),42.3076923076923)</f>
        <v>42.30769231</v>
      </c>
      <c r="B127" s="11">
        <f>IFERROR(__xludf.DUMMYFUNCTION("""COMPUTED_VALUE"""),1427.0)</f>
        <v>1427</v>
      </c>
    </row>
    <row r="128">
      <c r="A128" s="11">
        <f>IFERROR(__xludf.DUMMYFUNCTION("""COMPUTED_VALUE"""),65.8963527714816)</f>
        <v>65.89635277</v>
      </c>
      <c r="B128" s="11">
        <f>IFERROR(__xludf.DUMMYFUNCTION("""COMPUTED_VALUE"""),1274.0)</f>
        <v>1274</v>
      </c>
    </row>
    <row r="129">
      <c r="A129" s="11">
        <f>IFERROR(__xludf.DUMMYFUNCTION("""COMPUTED_VALUE"""),0.342873176206509)</f>
        <v>0.3428731762</v>
      </c>
      <c r="B129" s="11">
        <f>IFERROR(__xludf.DUMMYFUNCTION("""COMPUTED_VALUE"""),121.0)</f>
        <v>121</v>
      </c>
    </row>
    <row r="130">
      <c r="A130" s="11">
        <f>IFERROR(__xludf.DUMMYFUNCTION("""COMPUTED_VALUE"""),49.3235464739613)</f>
        <v>49.32354647</v>
      </c>
      <c r="B130" s="11"/>
    </row>
    <row r="131">
      <c r="A131" s="11">
        <f>IFERROR(__xludf.DUMMYFUNCTION("""COMPUTED_VALUE"""),73.6089688041595)</f>
        <v>73.6089688</v>
      </c>
      <c r="B131" s="11">
        <f>IFERROR(__xludf.DUMMYFUNCTION("""COMPUTED_VALUE"""),1834.0)</f>
        <v>1834</v>
      </c>
    </row>
    <row r="132">
      <c r="A132" s="11">
        <f>IFERROR(__xludf.DUMMYFUNCTION("""COMPUTED_VALUE"""),13.4343108504399)</f>
        <v>13.43431085</v>
      </c>
      <c r="B132" s="11">
        <f>IFERROR(__xludf.DUMMYFUNCTION("""COMPUTED_VALUE"""),661.0)</f>
        <v>661</v>
      </c>
    </row>
    <row r="133">
      <c r="A133" s="11">
        <f>IFERROR(__xludf.DUMMYFUNCTION("""COMPUTED_VALUE"""),82.5404900332226)</f>
        <v>82.54049003</v>
      </c>
      <c r="B133" s="11">
        <f>IFERROR(__xludf.DUMMYFUNCTION("""COMPUTED_VALUE"""),2391.0)</f>
        <v>2391</v>
      </c>
    </row>
    <row r="134">
      <c r="A134" s="11">
        <f>IFERROR(__xludf.DUMMYFUNCTION("""COMPUTED_VALUE"""),0.123327687918433)</f>
        <v>0.1233276879</v>
      </c>
      <c r="B134" s="11">
        <f>IFERROR(__xludf.DUMMYFUNCTION("""COMPUTED_VALUE"""),56.0)</f>
        <v>56</v>
      </c>
    </row>
    <row r="135">
      <c r="A135" s="11">
        <f>IFERROR(__xludf.DUMMYFUNCTION("""COMPUTED_VALUE"""),34.0885245901639)</f>
        <v>34.08852459</v>
      </c>
      <c r="B135" s="11">
        <f>IFERROR(__xludf.DUMMYFUNCTION("""COMPUTED_VALUE"""),2301.0)</f>
        <v>2301</v>
      </c>
    </row>
    <row r="136">
      <c r="A136" s="11">
        <f>IFERROR(__xludf.DUMMYFUNCTION("""COMPUTED_VALUE"""),48.1835579341275)</f>
        <v>48.18355793</v>
      </c>
      <c r="B136" s="11"/>
    </row>
    <row r="137">
      <c r="A137" s="11">
        <f>IFERROR(__xludf.DUMMYFUNCTION("""COMPUTED_VALUE"""),30.7560252837062)</f>
        <v>30.75602528</v>
      </c>
      <c r="B137" s="11"/>
    </row>
    <row r="138">
      <c r="A138" s="11">
        <f>IFERROR(__xludf.DUMMYFUNCTION("""COMPUTED_VALUE"""),24.082720229668)</f>
        <v>24.08272023</v>
      </c>
      <c r="B138" s="11"/>
    </row>
    <row r="139">
      <c r="A139" s="11">
        <f>IFERROR(__xludf.DUMMYFUNCTION("""COMPUTED_VALUE"""),41.870625)</f>
        <v>41.870625</v>
      </c>
      <c r="B139" s="11"/>
    </row>
    <row r="140">
      <c r="A140" s="11">
        <f>IFERROR(__xludf.DUMMYFUNCTION("""COMPUTED_VALUE"""),33.6453516185616)</f>
        <v>33.64535162</v>
      </c>
      <c r="B140" s="11">
        <f>IFERROR(__xludf.DUMMYFUNCTION("""COMPUTED_VALUE"""),1712.0)</f>
        <v>1712</v>
      </c>
    </row>
    <row r="141">
      <c r="A141" s="11">
        <f>IFERROR(__xludf.DUMMYFUNCTION("""COMPUTED_VALUE"""),27.5521792098651)</f>
        <v>27.55217921</v>
      </c>
      <c r="B141" s="11"/>
    </row>
    <row r="142">
      <c r="A142" s="11">
        <f>IFERROR(__xludf.DUMMYFUNCTION("""COMPUTED_VALUE"""),32.9391074322051)</f>
        <v>32.93910743</v>
      </c>
      <c r="B142" s="11"/>
    </row>
    <row r="143">
      <c r="A143" s="11">
        <f>IFERROR(__xludf.DUMMYFUNCTION("""COMPUTED_VALUE"""),1.13702239789196)</f>
        <v>1.137022398</v>
      </c>
      <c r="B143" s="11">
        <f>IFERROR(__xludf.DUMMYFUNCTION("""COMPUTED_VALUE"""),788.0)</f>
        <v>788</v>
      </c>
    </row>
    <row r="144">
      <c r="A144" s="11">
        <f>IFERROR(__xludf.DUMMYFUNCTION("""COMPUTED_VALUE"""),39.3552520017382)</f>
        <v>39.355252</v>
      </c>
      <c r="B144" s="11"/>
    </row>
    <row r="145">
      <c r="A145" s="11">
        <f>IFERROR(__xludf.DUMMYFUNCTION("""COMPUTED_VALUE"""),34.3837255684085)</f>
        <v>34.38372557</v>
      </c>
      <c r="B145" s="11">
        <f>IFERROR(__xludf.DUMMYFUNCTION("""COMPUTED_VALUE"""),656.0)</f>
        <v>656</v>
      </c>
    </row>
    <row r="146">
      <c r="A146" s="11">
        <f>IFERROR(__xludf.DUMMYFUNCTION("""COMPUTED_VALUE"""),36.4197530864198)</f>
        <v>36.41975309</v>
      </c>
      <c r="B146" s="11">
        <f>IFERROR(__xludf.DUMMYFUNCTION("""COMPUTED_VALUE"""),934.0)</f>
        <v>934</v>
      </c>
    </row>
    <row r="147">
      <c r="A147" s="11">
        <f>IFERROR(__xludf.DUMMYFUNCTION("""COMPUTED_VALUE"""),54.0207140559666)</f>
        <v>54.02071406</v>
      </c>
      <c r="B147" s="11">
        <f>IFERROR(__xludf.DUMMYFUNCTION("""COMPUTED_VALUE"""),667.0)</f>
        <v>667</v>
      </c>
    </row>
    <row r="148">
      <c r="A148" s="11"/>
      <c r="B148" s="11"/>
    </row>
    <row r="149">
      <c r="A149" s="11">
        <f>IFERROR(__xludf.DUMMYFUNCTION("""COMPUTED_VALUE"""),18.3823529411765)</f>
        <v>18.38235294</v>
      </c>
      <c r="B149" s="11"/>
    </row>
    <row r="150">
      <c r="A150" s="11">
        <f>IFERROR(__xludf.DUMMYFUNCTION("""COMPUTED_VALUE"""),12.6770490701322)</f>
        <v>12.67704907</v>
      </c>
      <c r="B150" s="11">
        <f>IFERROR(__xludf.DUMMYFUNCTION("""COMPUTED_VALUE"""),346.0)</f>
        <v>346</v>
      </c>
    </row>
    <row r="151">
      <c r="A151" s="11">
        <f>IFERROR(__xludf.DUMMYFUNCTION("""COMPUTED_VALUE"""),0.0)</f>
        <v>0</v>
      </c>
      <c r="B151" s="11"/>
    </row>
    <row r="152">
      <c r="A152" s="11">
        <f>IFERROR(__xludf.DUMMYFUNCTION("""COMPUTED_VALUE"""),11.2949224688355)</f>
        <v>11.29492247</v>
      </c>
      <c r="B152" s="11">
        <f>IFERROR(__xludf.DUMMYFUNCTION("""COMPUTED_VALUE"""),450.0)</f>
        <v>450</v>
      </c>
    </row>
    <row r="153">
      <c r="A153" s="11">
        <f>IFERROR(__xludf.DUMMYFUNCTION("""COMPUTED_VALUE"""),21.6818258417306)</f>
        <v>21.68182584</v>
      </c>
      <c r="B153" s="11">
        <f>IFERROR(__xludf.DUMMYFUNCTION("""COMPUTED_VALUE"""),1513.0)</f>
        <v>1513</v>
      </c>
    </row>
    <row r="154">
      <c r="A154" s="11">
        <f>IFERROR(__xludf.DUMMYFUNCTION("""COMPUTED_VALUE"""),2.73333333333333)</f>
        <v>2.733333333</v>
      </c>
      <c r="B154" s="11">
        <f>IFERROR(__xludf.DUMMYFUNCTION("""COMPUTED_VALUE"""),1972.0)</f>
        <v>1972</v>
      </c>
    </row>
    <row r="155">
      <c r="A155" s="11">
        <f>IFERROR(__xludf.DUMMYFUNCTION("""COMPUTED_VALUE"""),2.01638014372119)</f>
        <v>2.016380144</v>
      </c>
      <c r="B155" s="11"/>
    </row>
    <row r="156">
      <c r="A156" s="11">
        <f>IFERROR(__xludf.DUMMYFUNCTION("""COMPUTED_VALUE"""),34.510719925924)</f>
        <v>34.51071993</v>
      </c>
      <c r="B156" s="11">
        <f>IFERROR(__xludf.DUMMYFUNCTION("""COMPUTED_VALUE"""),758.0)</f>
        <v>758</v>
      </c>
    </row>
    <row r="157">
      <c r="A157" s="11">
        <f>IFERROR(__xludf.DUMMYFUNCTION("""COMPUTED_VALUE"""),52.2222222222222)</f>
        <v>52.22222222</v>
      </c>
      <c r="B157" s="11"/>
    </row>
    <row r="158">
      <c r="A158" s="11">
        <f>IFERROR(__xludf.DUMMYFUNCTION("""COMPUTED_VALUE"""),34.3356797259478)</f>
        <v>34.33567973</v>
      </c>
      <c r="B158" s="11"/>
    </row>
    <row r="159">
      <c r="A159" s="11">
        <f>IFERROR(__xludf.DUMMYFUNCTION("""COMPUTED_VALUE"""),38.0706582077716)</f>
        <v>38.07065821</v>
      </c>
      <c r="B159" s="11">
        <f>IFERROR(__xludf.DUMMYFUNCTION("""COMPUTED_VALUE"""),619.0)</f>
        <v>619</v>
      </c>
    </row>
    <row r="160">
      <c r="A160" s="11">
        <f>IFERROR(__xludf.DUMMYFUNCTION("""COMPUTED_VALUE"""),10.896663634352)</f>
        <v>10.89666363</v>
      </c>
      <c r="B160" s="11">
        <f>IFERROR(__xludf.DUMMYFUNCTION("""COMPUTED_VALUE"""),282.0)</f>
        <v>282</v>
      </c>
    </row>
    <row r="161">
      <c r="A161" s="11">
        <f>IFERROR(__xludf.DUMMYFUNCTION("""COMPUTED_VALUE"""),1.09375)</f>
        <v>1.09375</v>
      </c>
      <c r="B161" s="11">
        <f>IFERROR(__xludf.DUMMYFUNCTION("""COMPUTED_VALUE"""),560.0)</f>
        <v>560</v>
      </c>
    </row>
    <row r="162">
      <c r="A162" s="11">
        <f>IFERROR(__xludf.DUMMYFUNCTION("""COMPUTED_VALUE"""),48.6510194397673)</f>
        <v>48.65101944</v>
      </c>
      <c r="B162" s="11">
        <f>IFERROR(__xludf.DUMMYFUNCTION("""COMPUTED_VALUE"""),2091.0)</f>
        <v>2091</v>
      </c>
    </row>
    <row r="163">
      <c r="A163" s="11">
        <f>IFERROR(__xludf.DUMMYFUNCTION("""COMPUTED_VALUE"""),2.45030163321406)</f>
        <v>2.450301633</v>
      </c>
      <c r="B163" s="11"/>
    </row>
    <row r="164">
      <c r="A164" s="11">
        <f>IFERROR(__xludf.DUMMYFUNCTION("""COMPUTED_VALUE"""),59.9925650557621)</f>
        <v>59.99256506</v>
      </c>
      <c r="B164" s="11"/>
    </row>
    <row r="165">
      <c r="A165" s="11">
        <f>IFERROR(__xludf.DUMMYFUNCTION("""COMPUTED_VALUE"""),9.13508329256675)</f>
        <v>9.135083293</v>
      </c>
      <c r="B165" s="11">
        <f>IFERROR(__xludf.DUMMYFUNCTION("""COMPUTED_VALUE"""),241.0)</f>
        <v>241</v>
      </c>
    </row>
    <row r="166">
      <c r="A166" s="11">
        <f>IFERROR(__xludf.DUMMYFUNCTION("""COMPUTED_VALUE"""),66.2695652173913)</f>
        <v>66.26956522</v>
      </c>
      <c r="B166" s="11"/>
    </row>
    <row r="167">
      <c r="A167" s="11">
        <f>IFERROR(__xludf.DUMMYFUNCTION("""COMPUTED_VALUE"""),49.8406953381317)</f>
        <v>49.84069534</v>
      </c>
      <c r="B167" s="11">
        <f>IFERROR(__xludf.DUMMYFUNCTION("""COMPUTED_VALUE"""),1032.0)</f>
        <v>1032</v>
      </c>
    </row>
    <row r="168">
      <c r="A168" s="11">
        <f>IFERROR(__xludf.DUMMYFUNCTION("""COMPUTED_VALUE"""),0.361579509071505)</f>
        <v>0.3615795091</v>
      </c>
      <c r="B168" s="11">
        <f>IFERROR(__xludf.DUMMYFUNCTION("""COMPUTED_VALUE"""),92.0)</f>
        <v>92</v>
      </c>
    </row>
    <row r="169">
      <c r="A169" s="11">
        <f>IFERROR(__xludf.DUMMYFUNCTION("""COMPUTED_VALUE"""),19.0857142857143)</f>
        <v>19.08571429</v>
      </c>
      <c r="B169" s="11">
        <f>IFERROR(__xludf.DUMMYFUNCTION("""COMPUTED_VALUE"""),2041.0)</f>
        <v>2041</v>
      </c>
    </row>
    <row r="170">
      <c r="A170" s="11">
        <f>IFERROR(__xludf.DUMMYFUNCTION("""COMPUTED_VALUE"""),28.6773440814595)</f>
        <v>28.67734408</v>
      </c>
      <c r="B170" s="11">
        <f>IFERROR(__xludf.DUMMYFUNCTION("""COMPUTED_VALUE"""),1181.0)</f>
        <v>1181</v>
      </c>
    </row>
    <row r="171">
      <c r="A171" s="11">
        <f>IFERROR(__xludf.DUMMYFUNCTION("""COMPUTED_VALUE"""),57.8968802313194)</f>
        <v>57.89688023</v>
      </c>
      <c r="B171" s="11">
        <f>IFERROR(__xludf.DUMMYFUNCTION("""COMPUTED_VALUE"""),2875.0)</f>
        <v>2875</v>
      </c>
    </row>
    <row r="172">
      <c r="A172" s="11">
        <f>IFERROR(__xludf.DUMMYFUNCTION("""COMPUTED_VALUE"""),36.1933677261892)</f>
        <v>36.19336773</v>
      </c>
      <c r="B172" s="11"/>
    </row>
    <row r="173">
      <c r="A173" s="11">
        <f>IFERROR(__xludf.DUMMYFUNCTION("""COMPUTED_VALUE"""),9.01261936863074)</f>
        <v>9.012619369</v>
      </c>
      <c r="B173" s="11">
        <f>IFERROR(__xludf.DUMMYFUNCTION("""COMPUTED_VALUE"""),285.0)</f>
        <v>285</v>
      </c>
    </row>
    <row r="174">
      <c r="A174" s="11">
        <f>IFERROR(__xludf.DUMMYFUNCTION("""COMPUTED_VALUE"""),45.8918490153173)</f>
        <v>45.89184902</v>
      </c>
      <c r="B174" s="11"/>
    </row>
    <row r="175">
      <c r="A175" s="11">
        <f>IFERROR(__xludf.DUMMYFUNCTION("""COMPUTED_VALUE"""),0.960227362437831)</f>
        <v>0.9602273624</v>
      </c>
      <c r="B175" s="11">
        <f>IFERROR(__xludf.DUMMYFUNCTION("""COMPUTED_VALUE"""),151.0)</f>
        <v>151</v>
      </c>
    </row>
    <row r="176">
      <c r="A176" s="11">
        <f>IFERROR(__xludf.DUMMYFUNCTION("""COMPUTED_VALUE"""),25.7181132448368)</f>
        <v>25.71811324</v>
      </c>
      <c r="B176" s="11">
        <f>IFERROR(__xludf.DUMMYFUNCTION("""COMPUTED_VALUE"""),1150.0)</f>
        <v>1150</v>
      </c>
    </row>
    <row r="177">
      <c r="A177" s="11">
        <f>IFERROR(__xludf.DUMMYFUNCTION("""COMPUTED_VALUE"""),35.8090992188798)</f>
        <v>35.80909922</v>
      </c>
      <c r="B177" s="11">
        <f>IFERROR(__xludf.DUMMYFUNCTION("""COMPUTED_VALUE"""),2280.0)</f>
        <v>2280</v>
      </c>
    </row>
    <row r="178">
      <c r="A178" s="11">
        <f>IFERROR(__xludf.DUMMYFUNCTION("""COMPUTED_VALUE"""),11.0311888526534)</f>
        <v>11.03118885</v>
      </c>
      <c r="B178" s="11">
        <f>IFERROR(__xludf.DUMMYFUNCTION("""COMPUTED_VALUE"""),778.0)</f>
        <v>778</v>
      </c>
    </row>
    <row r="179">
      <c r="A179" s="11">
        <f>IFERROR(__xludf.DUMMYFUNCTION("""COMPUTED_VALUE"""),33.1370262071382)</f>
        <v>33.13702621</v>
      </c>
      <c r="B179" s="11">
        <f>IFERROR(__xludf.DUMMYFUNCTION("""COMPUTED_VALUE"""),1414.0)</f>
        <v>1414</v>
      </c>
    </row>
    <row r="180">
      <c r="A180" s="11">
        <f>IFERROR(__xludf.DUMMYFUNCTION("""COMPUTED_VALUE"""),41.464269271015)</f>
        <v>41.46426927</v>
      </c>
      <c r="B180" s="11">
        <f>IFERROR(__xludf.DUMMYFUNCTION("""COMPUTED_VALUE"""),1500.0)</f>
        <v>1500</v>
      </c>
    </row>
    <row r="181">
      <c r="A181" s="11">
        <f>IFERROR(__xludf.DUMMYFUNCTION("""COMPUTED_VALUE"""),0.0)</f>
        <v>0</v>
      </c>
      <c r="B181" s="11"/>
    </row>
    <row r="182">
      <c r="A182" s="11">
        <f>IFERROR(__xludf.DUMMYFUNCTION("""COMPUTED_VALUE"""),37.4021191751168)</f>
        <v>37.40211918</v>
      </c>
      <c r="B182" s="11">
        <f>IFERROR(__xludf.DUMMYFUNCTION("""COMPUTED_VALUE"""),1732.0)</f>
        <v>1732</v>
      </c>
    </row>
    <row r="183">
      <c r="A183" s="11">
        <f>IFERROR(__xludf.DUMMYFUNCTION("""COMPUTED_VALUE"""),32.5506510367584)</f>
        <v>32.55065104</v>
      </c>
      <c r="B183" s="11"/>
    </row>
    <row r="184">
      <c r="A184" s="11">
        <f>IFERROR(__xludf.DUMMYFUNCTION("""COMPUTED_VALUE"""),0.009693053311793)</f>
        <v>0.009693053312</v>
      </c>
      <c r="B184" s="11">
        <f>IFERROR(__xludf.DUMMYFUNCTION("""COMPUTED_VALUE"""),125.0)</f>
        <v>125</v>
      </c>
    </row>
    <row r="185">
      <c r="A185" s="11">
        <f>IFERROR(__xludf.DUMMYFUNCTION("""COMPUTED_VALUE"""),29.8665052115086)</f>
        <v>29.86650521</v>
      </c>
      <c r="B185" s="11"/>
    </row>
    <row r="186">
      <c r="A186" s="11">
        <f>IFERROR(__xludf.DUMMYFUNCTION("""COMPUTED_VALUE"""),5.36462614155251)</f>
        <v>5.364626142</v>
      </c>
      <c r="B186" s="11">
        <f>IFERROR(__xludf.DUMMYFUNCTION("""COMPUTED_VALUE"""),494.0)</f>
        <v>494</v>
      </c>
    </row>
    <row r="187">
      <c r="A187" s="11">
        <f>IFERROR(__xludf.DUMMYFUNCTION("""COMPUTED_VALUE"""),58.3724105461394)</f>
        <v>58.37241055</v>
      </c>
      <c r="B187" s="11">
        <f>IFERROR(__xludf.DUMMYFUNCTION("""COMPUTED_VALUE"""),2928.0)</f>
        <v>2928</v>
      </c>
    </row>
    <row r="188">
      <c r="A188" s="11">
        <f>IFERROR(__xludf.DUMMYFUNCTION("""COMPUTED_VALUE"""),57.94890859375)</f>
        <v>57.94890859</v>
      </c>
      <c r="B188" s="11">
        <f>IFERROR(__xludf.DUMMYFUNCTION("""COMPUTED_VALUE"""),1738.0)</f>
        <v>1738</v>
      </c>
    </row>
    <row r="189">
      <c r="A189" s="11">
        <f>IFERROR(__xludf.DUMMYFUNCTION("""COMPUTED_VALUE"""),23.0964684575913)</f>
        <v>23.09646846</v>
      </c>
      <c r="B189" s="11">
        <f>IFERROR(__xludf.DUMMYFUNCTION("""COMPUTED_VALUE"""),2348.0)</f>
        <v>2348</v>
      </c>
    </row>
    <row r="190">
      <c r="A190" s="11">
        <f>IFERROR(__xludf.DUMMYFUNCTION("""COMPUTED_VALUE"""),87.9608695652174)</f>
        <v>87.96086957</v>
      </c>
      <c r="B190" s="11"/>
    </row>
    <row r="191">
      <c r="A191" s="11">
        <f>IFERROR(__xludf.DUMMYFUNCTION("""COMPUTED_VALUE"""),79.9116579075211)</f>
        <v>79.91165791</v>
      </c>
      <c r="B191" s="11">
        <f>IFERROR(__xludf.DUMMYFUNCTION("""COMPUTED_VALUE"""),3142.0)</f>
        <v>3142</v>
      </c>
    </row>
    <row r="192">
      <c r="A192" s="11">
        <f>IFERROR(__xludf.DUMMYFUNCTION("""COMPUTED_VALUE"""),30.3709024422097)</f>
        <v>30.37090244</v>
      </c>
      <c r="B192" s="11">
        <f>IFERROR(__xludf.DUMMYFUNCTION("""COMPUTED_VALUE"""),600.0)</f>
        <v>600</v>
      </c>
    </row>
    <row r="193">
      <c r="A193" s="11">
        <f>IFERROR(__xludf.DUMMYFUNCTION("""COMPUTED_VALUE"""),30.1198262973604)</f>
        <v>30.1198263</v>
      </c>
      <c r="B193" s="11"/>
    </row>
    <row r="194">
      <c r="A194" s="11">
        <f>IFERROR(__xludf.DUMMYFUNCTION("""COMPUTED_VALUE"""),54.7034949267193)</f>
        <v>54.70349493</v>
      </c>
      <c r="B194" s="11">
        <f>IFERROR(__xludf.DUMMYFUNCTION("""COMPUTED_VALUE"""),2054.0)</f>
        <v>2054</v>
      </c>
    </row>
    <row r="195">
      <c r="A195" s="11">
        <f>IFERROR(__xludf.DUMMYFUNCTION("""COMPUTED_VALUE"""),52.0191014035379)</f>
        <v>52.0191014</v>
      </c>
      <c r="B195" s="11">
        <f>IFERROR(__xludf.DUMMYFUNCTION("""COMPUTED_VALUE"""),1054.0)</f>
        <v>1054</v>
      </c>
    </row>
    <row r="196">
      <c r="A196" s="11">
        <f>IFERROR(__xludf.DUMMYFUNCTION("""COMPUTED_VALUE"""),35.5377224587837)</f>
        <v>35.53772246</v>
      </c>
      <c r="B196" s="11">
        <f>IFERROR(__xludf.DUMMYFUNCTION("""COMPUTED_VALUE"""),854.0)</f>
        <v>854</v>
      </c>
    </row>
    <row r="197">
      <c r="A197" s="11">
        <f>IFERROR(__xludf.DUMMYFUNCTION("""COMPUTED_VALUE"""),50.1191895293229)</f>
        <v>50.11918953</v>
      </c>
      <c r="B197" s="11">
        <f>IFERROR(__xludf.DUMMYFUNCTION("""COMPUTED_VALUE"""),1130.0)</f>
        <v>1130</v>
      </c>
    </row>
    <row r="198">
      <c r="A198" s="11">
        <f>IFERROR(__xludf.DUMMYFUNCTION("""COMPUTED_VALUE"""),1.5232558266269)</f>
        <v>1.523255827</v>
      </c>
      <c r="B198" s="11">
        <f>IFERROR(__xludf.DUMMYFUNCTION("""COMPUTED_VALUE"""),402.0)</f>
        <v>402</v>
      </c>
    </row>
    <row r="199">
      <c r="A199" s="11">
        <f>IFERROR(__xludf.DUMMYFUNCTION("""COMPUTED_VALUE"""),67.4757320872274)</f>
        <v>67.47573209</v>
      </c>
      <c r="B199" s="11"/>
    </row>
    <row r="200">
      <c r="A200" s="11">
        <f>IFERROR(__xludf.DUMMYFUNCTION("""COMPUTED_VALUE"""),31.843256337483)</f>
        <v>31.84325634</v>
      </c>
      <c r="B200" s="11"/>
    </row>
    <row r="201">
      <c r="A201" s="11">
        <f>IFERROR(__xludf.DUMMYFUNCTION("""COMPUTED_VALUE"""),40.8112021857924)</f>
        <v>40.81120219</v>
      </c>
      <c r="B201" s="11"/>
    </row>
    <row r="202">
      <c r="A202" s="11">
        <f>IFERROR(__xludf.DUMMYFUNCTION("""COMPUTED_VALUE"""),0.0)</f>
        <v>0</v>
      </c>
      <c r="B202" s="11">
        <f>IFERROR(__xludf.DUMMYFUNCTION("""COMPUTED_VALUE"""),74.0)</f>
        <v>74</v>
      </c>
    </row>
    <row r="203">
      <c r="A203" s="11">
        <f>IFERROR(__xludf.DUMMYFUNCTION("""COMPUTED_VALUE"""),28.2539337564114)</f>
        <v>28.25393376</v>
      </c>
      <c r="B203" s="11">
        <f>IFERROR(__xludf.DUMMYFUNCTION("""COMPUTED_VALUE"""),637.0)</f>
        <v>637</v>
      </c>
    </row>
    <row r="204">
      <c r="A204" s="11">
        <f>IFERROR(__xludf.DUMMYFUNCTION("""COMPUTED_VALUE"""),49.7377636874446)</f>
        <v>49.73776369</v>
      </c>
      <c r="B204" s="11">
        <f>IFERROR(__xludf.DUMMYFUNCTION("""COMPUTED_VALUE"""),460.0)</f>
        <v>460</v>
      </c>
    </row>
    <row r="205">
      <c r="A205" s="11">
        <f>IFERROR(__xludf.DUMMYFUNCTION("""COMPUTED_VALUE"""),10.8309687880016)</f>
        <v>10.83096879</v>
      </c>
      <c r="B205" s="11">
        <f>IFERROR(__xludf.DUMMYFUNCTION("""COMPUTED_VALUE"""),1212.0)</f>
        <v>1212</v>
      </c>
    </row>
    <row r="206">
      <c r="A206" s="11">
        <f>IFERROR(__xludf.DUMMYFUNCTION("""COMPUTED_VALUE"""),18.2939408920782)</f>
        <v>18.29394089</v>
      </c>
      <c r="B206" s="11"/>
    </row>
    <row r="207">
      <c r="A207" s="11">
        <f>IFERROR(__xludf.DUMMYFUNCTION("""COMPUTED_VALUE"""),0.454484134921779)</f>
        <v>0.4544841349</v>
      </c>
      <c r="B207" s="11">
        <f>IFERROR(__xludf.DUMMYFUNCTION("""COMPUTED_VALUE"""),59.0)</f>
        <v>59</v>
      </c>
    </row>
    <row r="208">
      <c r="A208" s="11"/>
      <c r="B208" s="11"/>
    </row>
    <row r="209">
      <c r="A209" s="11">
        <f>IFERROR(__xludf.DUMMYFUNCTION("""COMPUTED_VALUE"""),44.1835558094842)</f>
        <v>44.18355581</v>
      </c>
      <c r="B209" s="11">
        <f>IFERROR(__xludf.DUMMYFUNCTION("""COMPUTED_VALUE"""),686.0)</f>
        <v>686</v>
      </c>
    </row>
    <row r="210">
      <c r="A210" s="11">
        <f>IFERROR(__xludf.DUMMYFUNCTION("""COMPUTED_VALUE"""),25.2395714285714)</f>
        <v>25.23957143</v>
      </c>
      <c r="B210" s="11">
        <f>IFERROR(__xludf.DUMMYFUNCTION("""COMPUTED_VALUE"""),2497.0)</f>
        <v>2497</v>
      </c>
    </row>
    <row r="211">
      <c r="A211" s="11">
        <f>IFERROR(__xludf.DUMMYFUNCTION("""COMPUTED_VALUE"""),90.4255805644873)</f>
        <v>90.42558056</v>
      </c>
      <c r="B211" s="11">
        <f>IFERROR(__xludf.DUMMYFUNCTION("""COMPUTED_VALUE"""),3028.0)</f>
        <v>3028</v>
      </c>
    </row>
    <row r="212">
      <c r="A212" s="11">
        <f>IFERROR(__xludf.DUMMYFUNCTION("""COMPUTED_VALUE"""),38.1253394292048)</f>
        <v>38.12533943</v>
      </c>
      <c r="B212" s="11">
        <f>IFERROR(__xludf.DUMMYFUNCTION("""COMPUTED_VALUE"""),2526.0)</f>
        <v>2526</v>
      </c>
    </row>
    <row r="213">
      <c r="A213" s="11">
        <f>IFERROR(__xludf.DUMMYFUNCTION("""COMPUTED_VALUE"""),30.5685328185328)</f>
        <v>30.56853282</v>
      </c>
      <c r="B213" s="11">
        <f>IFERROR(__xludf.DUMMYFUNCTION("""COMPUTED_VALUE"""),1784.0)</f>
        <v>1784</v>
      </c>
    </row>
    <row r="214">
      <c r="A214" s="11">
        <f>IFERROR(__xludf.DUMMYFUNCTION("""COMPUTED_VALUE"""),16.6666666666667)</f>
        <v>16.66666667</v>
      </c>
      <c r="B214" s="11"/>
    </row>
    <row r="215">
      <c r="A215" s="11">
        <f>IFERROR(__xludf.DUMMYFUNCTION("""COMPUTED_VALUE"""),10.8780724965728)</f>
        <v>10.8780725</v>
      </c>
      <c r="B215" s="11">
        <f>IFERROR(__xludf.DUMMYFUNCTION("""COMPUTED_VALUE"""),282.0)</f>
        <v>282</v>
      </c>
    </row>
    <row r="216">
      <c r="A216" s="11">
        <f>IFERROR(__xludf.DUMMYFUNCTION("""COMPUTED_VALUE"""),30.7306197118683)</f>
        <v>30.73061971</v>
      </c>
      <c r="B216" s="11"/>
    </row>
    <row r="217">
      <c r="A217" s="11">
        <f>IFERROR(__xludf.DUMMYFUNCTION("""COMPUTED_VALUE"""),30.0737287982235)</f>
        <v>30.0737288</v>
      </c>
      <c r="B217" s="11"/>
    </row>
    <row r="218">
      <c r="A218" s="11"/>
      <c r="B218" s="11"/>
    </row>
    <row r="219">
      <c r="A219" s="11">
        <f>IFERROR(__xludf.DUMMYFUNCTION("""COMPUTED_VALUE"""),30.0746583943571)</f>
        <v>30.07465839</v>
      </c>
      <c r="B219" s="11"/>
    </row>
    <row r="220">
      <c r="A220" s="11">
        <f>IFERROR(__xludf.DUMMYFUNCTION("""COMPUTED_VALUE"""),40.6627537655796)</f>
        <v>40.66275377</v>
      </c>
      <c r="B220" s="11"/>
    </row>
    <row r="221">
      <c r="A221" s="11">
        <f>IFERROR(__xludf.DUMMYFUNCTION("""COMPUTED_VALUE"""),60.5479166666667)</f>
        <v>60.54791667</v>
      </c>
      <c r="B221" s="11">
        <f>IFERROR(__xludf.DUMMYFUNCTION("""COMPUTED_VALUE"""),3200.0)</f>
        <v>3200</v>
      </c>
    </row>
    <row r="222">
      <c r="A222" s="11">
        <f>IFERROR(__xludf.DUMMYFUNCTION("""COMPUTED_VALUE"""),98.1023141025641)</f>
        <v>98.1023141</v>
      </c>
      <c r="B222" s="11">
        <f>IFERROR(__xludf.DUMMYFUNCTION("""COMPUTED_VALUE"""),2331.0)</f>
        <v>2331</v>
      </c>
    </row>
    <row r="223">
      <c r="A223" s="11">
        <f>IFERROR(__xludf.DUMMYFUNCTION("""COMPUTED_VALUE"""),39.8473695154918)</f>
        <v>39.84736952</v>
      </c>
      <c r="B223" s="11">
        <f>IFERROR(__xludf.DUMMYFUNCTION("""COMPUTED_VALUE"""),824.0)</f>
        <v>824</v>
      </c>
    </row>
    <row r="224">
      <c r="A224" s="11">
        <f>IFERROR(__xludf.DUMMYFUNCTION("""COMPUTED_VALUE"""),61.8292646606241)</f>
        <v>61.82926466</v>
      </c>
      <c r="B224" s="11">
        <f>IFERROR(__xludf.DUMMYFUNCTION("""COMPUTED_VALUE"""),1162.0)</f>
        <v>1162</v>
      </c>
    </row>
    <row r="225">
      <c r="A225" s="11">
        <f>IFERROR(__xludf.DUMMYFUNCTION("""COMPUTED_VALUE"""),68.4359311790223)</f>
        <v>68.43593118</v>
      </c>
      <c r="B225" s="11">
        <f>IFERROR(__xludf.DUMMYFUNCTION("""COMPUTED_VALUE"""),624.0)</f>
        <v>624</v>
      </c>
    </row>
    <row r="226">
      <c r="A226" s="11">
        <f>IFERROR(__xludf.DUMMYFUNCTION("""COMPUTED_VALUE"""),28.1520348837209)</f>
        <v>28.15203488</v>
      </c>
      <c r="B226" s="11">
        <f>IFERROR(__xludf.DUMMYFUNCTION("""COMPUTED_VALUE"""),788.0)</f>
        <v>788</v>
      </c>
    </row>
    <row r="227">
      <c r="A227" s="11"/>
      <c r="B227" s="11"/>
    </row>
    <row r="228">
      <c r="A228" s="11">
        <f>IFERROR(__xludf.DUMMYFUNCTION("""COMPUTED_VALUE"""),73.2608695652174)</f>
        <v>73.26086957</v>
      </c>
      <c r="B228" s="11">
        <f>IFERROR(__xludf.DUMMYFUNCTION("""COMPUTED_VALUE"""),2330.0)</f>
        <v>2330</v>
      </c>
    </row>
    <row r="229">
      <c r="A229" s="11">
        <f>IFERROR(__xludf.DUMMYFUNCTION("""COMPUTED_VALUE"""),2.6469178828142)</f>
        <v>2.646917883</v>
      </c>
      <c r="B229" s="11">
        <f>IFERROR(__xludf.DUMMYFUNCTION("""COMPUTED_VALUE"""),252.0)</f>
        <v>252</v>
      </c>
    </row>
    <row r="230">
      <c r="A230" s="11">
        <f>IFERROR(__xludf.DUMMYFUNCTION("""COMPUTED_VALUE"""),11.0736842105263)</f>
        <v>11.07368421</v>
      </c>
      <c r="B230" s="11"/>
    </row>
    <row r="231">
      <c r="A231" s="11">
        <f>IFERROR(__xludf.DUMMYFUNCTION("""COMPUTED_VALUE"""),4.45703621346887)</f>
        <v>4.457036213</v>
      </c>
      <c r="B231" s="11">
        <f>IFERROR(__xludf.DUMMYFUNCTION("""COMPUTED_VALUE"""),322.0)</f>
        <v>322</v>
      </c>
    </row>
    <row r="232">
      <c r="A232" s="11">
        <f>IFERROR(__xludf.DUMMYFUNCTION("""COMPUTED_VALUE"""),29.8294967602935)</f>
        <v>29.82949676</v>
      </c>
      <c r="B232" s="11"/>
    </row>
    <row r="233">
      <c r="A233" s="11">
        <f>IFERROR(__xludf.DUMMYFUNCTION("""COMPUTED_VALUE"""),39.1366293670389)</f>
        <v>39.13662937</v>
      </c>
      <c r="B233" s="11"/>
    </row>
    <row r="234">
      <c r="A234" s="11">
        <f>IFERROR(__xludf.DUMMYFUNCTION("""COMPUTED_VALUE"""),22.8319433719434)</f>
        <v>22.83194337</v>
      </c>
      <c r="B234" s="11">
        <f>IFERROR(__xludf.DUMMYFUNCTION("""COMPUTED_VALUE"""),1168.0)</f>
        <v>1168</v>
      </c>
    </row>
    <row r="235">
      <c r="A235" s="11">
        <f>IFERROR(__xludf.DUMMYFUNCTION("""COMPUTED_VALUE"""),39.0798410616767)</f>
        <v>39.07984106</v>
      </c>
      <c r="B235" s="11">
        <f>IFERROR(__xludf.DUMMYFUNCTION("""COMPUTED_VALUE"""),1622.0)</f>
        <v>1622</v>
      </c>
    </row>
    <row r="236">
      <c r="A236" s="11">
        <f>IFERROR(__xludf.DUMMYFUNCTION("""COMPUTED_VALUE"""),2.92940840240069)</f>
        <v>2.929408402</v>
      </c>
      <c r="B236" s="11">
        <f>IFERROR(__xludf.DUMMYFUNCTION("""COMPUTED_VALUE"""),691.0)</f>
        <v>691</v>
      </c>
    </row>
    <row r="237">
      <c r="A237" s="11">
        <f>IFERROR(__xludf.DUMMYFUNCTION("""COMPUTED_VALUE"""),8.78215904496414)</f>
        <v>8.782159045</v>
      </c>
      <c r="B237" s="11">
        <f>IFERROR(__xludf.DUMMYFUNCTION("""COMPUTED_VALUE"""),161.0)</f>
        <v>161</v>
      </c>
    </row>
    <row r="238">
      <c r="A238" s="11">
        <f>IFERROR(__xludf.DUMMYFUNCTION("""COMPUTED_VALUE"""),48.2950980514253)</f>
        <v>48.29509805</v>
      </c>
      <c r="B238" s="11"/>
    </row>
    <row r="239">
      <c r="A239" s="11">
        <f>IFERROR(__xludf.DUMMYFUNCTION("""COMPUTED_VALUE"""),62.9791526563551)</f>
        <v>62.97915266</v>
      </c>
      <c r="B239" s="11">
        <f>IFERROR(__xludf.DUMMYFUNCTION("""COMPUTED_VALUE"""),1500.0)</f>
        <v>1500</v>
      </c>
    </row>
    <row r="240">
      <c r="A240" s="11">
        <f>IFERROR(__xludf.DUMMYFUNCTION("""COMPUTED_VALUE"""),2.45094791477279)</f>
        <v>2.450947915</v>
      </c>
      <c r="B240" s="11"/>
    </row>
    <row r="241">
      <c r="A241" s="11">
        <f>IFERROR(__xludf.DUMMYFUNCTION("""COMPUTED_VALUE"""),12.4305555555556)</f>
        <v>12.43055556</v>
      </c>
      <c r="B241" s="11"/>
    </row>
    <row r="242">
      <c r="A242" s="11">
        <f>IFERROR(__xludf.DUMMYFUNCTION("""COMPUTED_VALUE"""),18.2939408920782)</f>
        <v>18.29394089</v>
      </c>
      <c r="B242" s="11"/>
    </row>
    <row r="243">
      <c r="A243" s="11">
        <f>IFERROR(__xludf.DUMMYFUNCTION("""COMPUTED_VALUE"""),30.0746583943571)</f>
        <v>30.07465839</v>
      </c>
      <c r="B243" s="11"/>
    </row>
    <row r="244">
      <c r="A244" s="11">
        <f>IFERROR(__xludf.DUMMYFUNCTION("""COMPUTED_VALUE"""),45.3867446393762)</f>
        <v>45.38674464</v>
      </c>
      <c r="B244" s="11">
        <f>IFERROR(__xludf.DUMMYFUNCTION("""COMPUTED_VALUE"""),2200.0)</f>
        <v>2200</v>
      </c>
    </row>
    <row r="245">
      <c r="A245" s="11">
        <f>IFERROR(__xludf.DUMMYFUNCTION("""COMPUTED_VALUE"""),4.41215242018538)</f>
        <v>4.41215242</v>
      </c>
      <c r="B245" s="11">
        <f>IFERROR(__xludf.DUMMYFUNCTION("""COMPUTED_VALUE"""),207.0)</f>
        <v>207</v>
      </c>
    </row>
    <row r="246">
      <c r="A246" s="11">
        <f>IFERROR(__xludf.DUMMYFUNCTION("""COMPUTED_VALUE"""),27.2723347582605)</f>
        <v>27.27233476</v>
      </c>
      <c r="B246" s="11">
        <f>IFERROR(__xludf.DUMMYFUNCTION("""COMPUTED_VALUE"""),593.0)</f>
        <v>593</v>
      </c>
    </row>
    <row r="247">
      <c r="A247" s="11">
        <f>IFERROR(__xludf.DUMMYFUNCTION("""COMPUTED_VALUE"""),33.3333333333333)</f>
        <v>33.33333333</v>
      </c>
      <c r="B247" s="11"/>
    </row>
    <row r="248">
      <c r="A248" s="11">
        <f>IFERROR(__xludf.DUMMYFUNCTION("""COMPUTED_VALUE"""),56.8096748701739)</f>
        <v>56.80967487</v>
      </c>
      <c r="B248" s="11">
        <f>IFERROR(__xludf.DUMMYFUNCTION("""COMPUTED_VALUE"""),1071.0)</f>
        <v>1071</v>
      </c>
    </row>
    <row r="249">
      <c r="A249" s="11">
        <f>IFERROR(__xludf.DUMMYFUNCTION("""COMPUTED_VALUE"""),13.9716380561533)</f>
        <v>13.97163806</v>
      </c>
      <c r="B249" s="11">
        <f>IFERROR(__xludf.DUMMYFUNCTION("""COMPUTED_VALUE"""),1180.0)</f>
        <v>1180</v>
      </c>
    </row>
    <row r="250">
      <c r="A250" s="11">
        <f>IFERROR(__xludf.DUMMYFUNCTION("""COMPUTED_VALUE"""),16.4748325623144)</f>
        <v>16.47483256</v>
      </c>
      <c r="B250" s="11">
        <f>IFERROR(__xludf.DUMMYFUNCTION("""COMPUTED_VALUE"""),565.0)</f>
        <v>565</v>
      </c>
    </row>
    <row r="251">
      <c r="A251" s="11">
        <f>IFERROR(__xludf.DUMMYFUNCTION("""COMPUTED_VALUE"""),37.5668895016344)</f>
        <v>37.5668895</v>
      </c>
      <c r="B251" s="11"/>
    </row>
    <row r="252">
      <c r="A252" s="11">
        <f>IFERROR(__xludf.DUMMYFUNCTION("""COMPUTED_VALUE"""),9.68500742772255)</f>
        <v>9.685007428</v>
      </c>
      <c r="B252" s="11">
        <f>IFERROR(__xludf.DUMMYFUNCTION("""COMPUTED_VALUE"""),1300.0)</f>
        <v>1300</v>
      </c>
    </row>
    <row r="253">
      <c r="A253" s="11">
        <f>IFERROR(__xludf.DUMMYFUNCTION("""COMPUTED_VALUE"""),33.6927352193296)</f>
        <v>33.69273522</v>
      </c>
      <c r="B253" s="11">
        <f>IFERROR(__xludf.DUMMYFUNCTION("""COMPUTED_VALUE"""),715.0)</f>
        <v>715</v>
      </c>
    </row>
    <row r="254">
      <c r="A254" s="11">
        <f>IFERROR(__xludf.DUMMYFUNCTION("""COMPUTED_VALUE"""),7.78275999059709)</f>
        <v>7.782759991</v>
      </c>
      <c r="B254" s="11">
        <f>IFERROR(__xludf.DUMMYFUNCTION("""COMPUTED_VALUE"""),206.0)</f>
        <v>206</v>
      </c>
    </row>
    <row r="255">
      <c r="A255" s="11">
        <f>IFERROR(__xludf.DUMMYFUNCTION("""COMPUTED_VALUE"""),73.1794871794872)</f>
        <v>73.17948718</v>
      </c>
      <c r="B255" s="11">
        <f>IFERROR(__xludf.DUMMYFUNCTION("""COMPUTED_VALUE"""),1583.0)</f>
        <v>1583</v>
      </c>
    </row>
    <row r="256">
      <c r="A256" s="11">
        <f>IFERROR(__xludf.DUMMYFUNCTION("""COMPUTED_VALUE"""),54.0441018082875)</f>
        <v>54.04410181</v>
      </c>
      <c r="B256" s="11">
        <f>IFERROR(__xludf.DUMMYFUNCTION("""COMPUTED_VALUE"""),2044.0)</f>
        <v>2044</v>
      </c>
    </row>
    <row r="257">
      <c r="A257" s="11">
        <f>IFERROR(__xludf.DUMMYFUNCTION("""COMPUTED_VALUE"""),24.2866666666667)</f>
        <v>24.28666667</v>
      </c>
      <c r="B257" s="11"/>
    </row>
    <row r="258">
      <c r="A258" s="11">
        <f>IFERROR(__xludf.DUMMYFUNCTION("""COMPUTED_VALUE"""),53.24)</f>
        <v>53.24</v>
      </c>
      <c r="B258" s="11"/>
    </row>
    <row r="259">
      <c r="A259" s="11">
        <f>IFERROR(__xludf.DUMMYFUNCTION("""COMPUTED_VALUE"""),42.6602509110846)</f>
        <v>42.66025091</v>
      </c>
      <c r="B259" s="11">
        <f>IFERROR(__xludf.DUMMYFUNCTION("""COMPUTED_VALUE"""),1821.0)</f>
        <v>1821</v>
      </c>
    </row>
    <row r="260">
      <c r="A260" s="11">
        <f>IFERROR(__xludf.DUMMYFUNCTION("""COMPUTED_VALUE"""),36.2838392124692)</f>
        <v>36.28383921</v>
      </c>
      <c r="B260" s="11">
        <f>IFERROR(__xludf.DUMMYFUNCTION("""COMPUTED_VALUE"""),2000.0)</f>
        <v>2000</v>
      </c>
    </row>
    <row r="261">
      <c r="A261" s="11">
        <f>IFERROR(__xludf.DUMMYFUNCTION("""COMPUTED_VALUE"""),30.8967480813429)</f>
        <v>30.89674808</v>
      </c>
      <c r="B261" s="11"/>
    </row>
    <row r="262">
      <c r="A262" s="11">
        <f>IFERROR(__xludf.DUMMYFUNCTION("""COMPUTED_VALUE"""),59.0007067137809)</f>
        <v>59.00070671</v>
      </c>
      <c r="B262" s="11">
        <f>IFERROR(__xludf.DUMMYFUNCTION("""COMPUTED_VALUE"""),2880.0)</f>
        <v>2880</v>
      </c>
    </row>
    <row r="263">
      <c r="A263" s="11"/>
      <c r="B263" s="11"/>
    </row>
    <row r="264">
      <c r="A264" s="11">
        <f>IFERROR(__xludf.DUMMYFUNCTION("""COMPUTED_VALUE"""),1.03983180862549)</f>
        <v>1.039831809</v>
      </c>
      <c r="B264" s="11">
        <f>IFERROR(__xludf.DUMMYFUNCTION("""COMPUTED_VALUE"""),167.0)</f>
        <v>167</v>
      </c>
    </row>
    <row r="265">
      <c r="A265" s="11">
        <f>IFERROR(__xludf.DUMMYFUNCTION("""COMPUTED_VALUE"""),14.385156913337)</f>
        <v>14.38515691</v>
      </c>
      <c r="B265" s="11">
        <f>IFERROR(__xludf.DUMMYFUNCTION("""COMPUTED_VALUE"""),495.0)</f>
        <v>495</v>
      </c>
    </row>
    <row r="266">
      <c r="A266" s="11">
        <f>IFERROR(__xludf.DUMMYFUNCTION("""COMPUTED_VALUE"""),62.8631001224122)</f>
        <v>62.86310012</v>
      </c>
      <c r="B266" s="11">
        <f>IFERROR(__xludf.DUMMYFUNCTION("""COMPUTED_VALUE"""),1020.0)</f>
        <v>1020</v>
      </c>
    </row>
    <row r="267">
      <c r="A267" s="11">
        <f>IFERROR(__xludf.DUMMYFUNCTION("""COMPUTED_VALUE"""),46.4039033217009)</f>
        <v>46.40390332</v>
      </c>
      <c r="B267" s="11">
        <f>IFERROR(__xludf.DUMMYFUNCTION("""COMPUTED_VALUE"""),657.0)</f>
        <v>657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tr">
        <f>IFERROR(__xludf.DUMMYFUNCTION("QUERY({'2009'!A2:G267},""select Col6 label Col6 'forest cover'"",0)"),"forest cover")</f>
        <v>forest cover</v>
      </c>
    </row>
    <row r="2">
      <c r="A2" s="11">
        <f>IFERROR(__xludf.DUMMYFUNCTION("""COMPUTED_VALUE"""),2.33333333333333)</f>
        <v>2.333333333</v>
      </c>
    </row>
    <row r="3">
      <c r="A3" s="11">
        <f>IFERROR(__xludf.DUMMYFUNCTION("""COMPUTED_VALUE"""),36.90659570026)</f>
        <v>36.9065957</v>
      </c>
    </row>
    <row r="4">
      <c r="A4" s="11">
        <f>IFERROR(__xludf.DUMMYFUNCTION("""COMPUTED_VALUE"""),1.85099408755323)</f>
        <v>1.850994088</v>
      </c>
    </row>
    <row r="5">
      <c r="A5" s="11">
        <f>IFERROR(__xludf.DUMMYFUNCTION("""COMPUTED_VALUE"""),20.7661387298829)</f>
        <v>20.76613873</v>
      </c>
    </row>
    <row r="6">
      <c r="A6" s="11">
        <f>IFERROR(__xludf.DUMMYFUNCTION("""COMPUTED_VALUE"""),58.3244252827465)</f>
        <v>58.32442528</v>
      </c>
    </row>
    <row r="7">
      <c r="A7" s="11">
        <f>IFERROR(__xludf.DUMMYFUNCTION("""COMPUTED_VALUE"""),28.4960948905109)</f>
        <v>28.49609489</v>
      </c>
    </row>
    <row r="8">
      <c r="A8" s="11">
        <f>IFERROR(__xludf.DUMMYFUNCTION("""COMPUTED_VALUE"""),34.0425531914894)</f>
        <v>34.04255319</v>
      </c>
    </row>
    <row r="9">
      <c r="A9" s="11">
        <f>IFERROR(__xludf.DUMMYFUNCTION("""COMPUTED_VALUE"""),1.70537729981661)</f>
        <v>1.7053773</v>
      </c>
    </row>
    <row r="10">
      <c r="A10" s="11">
        <f>IFERROR(__xludf.DUMMYFUNCTION("""COMPUTED_VALUE"""),4.45667417628837)</f>
        <v>4.456674176</v>
      </c>
    </row>
    <row r="11">
      <c r="A11" s="11">
        <f>IFERROR(__xludf.DUMMYFUNCTION("""COMPUTED_VALUE"""),11.1559584753845)</f>
        <v>11.15595848</v>
      </c>
    </row>
    <row r="12">
      <c r="A12" s="11">
        <f>IFERROR(__xludf.DUMMYFUNCTION("""COMPUTED_VALUE"""),11.618124341412)</f>
        <v>11.61812434</v>
      </c>
    </row>
    <row r="13">
      <c r="A13" s="11">
        <f>IFERROR(__xludf.DUMMYFUNCTION("""COMPUTED_VALUE"""),87.3)</f>
        <v>87.3</v>
      </c>
    </row>
    <row r="14">
      <c r="A14" s="11">
        <f>IFERROR(__xludf.DUMMYFUNCTION("""COMPUTED_VALUE"""),20.1068181818182)</f>
        <v>20.10681818</v>
      </c>
    </row>
    <row r="15">
      <c r="A15" s="11">
        <f>IFERROR(__xludf.DUMMYFUNCTION("""COMPUTED_VALUE"""),16.8924540827617)</f>
        <v>16.89245408</v>
      </c>
    </row>
    <row r="16">
      <c r="A16" s="11">
        <f>IFERROR(__xludf.DUMMYFUNCTION("""COMPUTED_VALUE"""),46.7520889340987)</f>
        <v>46.75208893</v>
      </c>
    </row>
    <row r="17">
      <c r="A17" s="11">
        <f>IFERROR(__xludf.DUMMYFUNCTION("""COMPUTED_VALUE"""),12.441808477161)</f>
        <v>12.44180848</v>
      </c>
    </row>
    <row r="18">
      <c r="A18" s="11">
        <f>IFERROR(__xludf.DUMMYFUNCTION("""COMPUTED_VALUE"""),7.55218068535826)</f>
        <v>7.552180685</v>
      </c>
    </row>
    <row r="19">
      <c r="A19" s="11">
        <f>IFERROR(__xludf.DUMMYFUNCTION("""COMPUTED_VALUE"""),22.7084874504624)</f>
        <v>22.70848745</v>
      </c>
    </row>
    <row r="20">
      <c r="A20" s="11">
        <f>IFERROR(__xludf.DUMMYFUNCTION("""COMPUTED_VALUE"""),32.6813586378148)</f>
        <v>32.68135864</v>
      </c>
    </row>
    <row r="21">
      <c r="A21" s="11">
        <f>IFERROR(__xludf.DUMMYFUNCTION("""COMPUTED_VALUE"""),24.7313596491228)</f>
        <v>24.73135965</v>
      </c>
    </row>
    <row r="22">
      <c r="A22" s="11">
        <f>IFERROR(__xludf.DUMMYFUNCTION("""COMPUTED_VALUE"""),14.5313098256127)</f>
        <v>14.53130983</v>
      </c>
    </row>
    <row r="23">
      <c r="A23" s="11">
        <f>IFERROR(__xludf.DUMMYFUNCTION("""COMPUTED_VALUE"""),34.0899042004421)</f>
        <v>34.0899042</v>
      </c>
    </row>
    <row r="24">
      <c r="A24" s="11">
        <f>IFERROR(__xludf.DUMMYFUNCTION("""COMPUTED_VALUE"""),0.664473684210526)</f>
        <v>0.6644736842</v>
      </c>
    </row>
    <row r="25">
      <c r="A25" s="11">
        <f>IFERROR(__xludf.DUMMYFUNCTION("""COMPUTED_VALUE"""),50.9350649350649)</f>
        <v>50.93506494</v>
      </c>
    </row>
    <row r="26">
      <c r="A26" s="11">
        <f>IFERROR(__xludf.DUMMYFUNCTION("""COMPUTED_VALUE"""),41.08513671875)</f>
        <v>41.08513672</v>
      </c>
    </row>
    <row r="27">
      <c r="A27" s="11">
        <f>IFERROR(__xludf.DUMMYFUNCTION("""COMPUTED_VALUE"""),42.3740262301548)</f>
        <v>42.37402623</v>
      </c>
    </row>
    <row r="28">
      <c r="A28" s="11">
        <f>IFERROR(__xludf.DUMMYFUNCTION("""COMPUTED_VALUE"""),61.2968434896975)</f>
        <v>61.29684349</v>
      </c>
    </row>
    <row r="29">
      <c r="A29" s="11">
        <f>IFERROR(__xludf.DUMMYFUNCTION("""COMPUTED_VALUE"""),18.5185185185185)</f>
        <v>18.51851852</v>
      </c>
    </row>
    <row r="30">
      <c r="A30" s="11">
        <f>IFERROR(__xludf.DUMMYFUNCTION("""COMPUTED_VALUE"""),49.1900193852119)</f>
        <v>49.19001939</v>
      </c>
    </row>
    <row r="31">
      <c r="A31" s="11">
        <f>IFERROR(__xludf.DUMMYFUNCTION("""COMPUTED_VALUE"""),61.6801692721108)</f>
        <v>61.68016927</v>
      </c>
    </row>
    <row r="32">
      <c r="A32" s="11">
        <f>IFERROR(__xludf.DUMMYFUNCTION("""COMPUTED_VALUE"""),14.6511627906977)</f>
        <v>14.65116279</v>
      </c>
    </row>
    <row r="33">
      <c r="A33" s="11">
        <f>IFERROR(__xludf.DUMMYFUNCTION("""COMPUTED_VALUE"""),72.4288425047438)</f>
        <v>72.4288425</v>
      </c>
    </row>
    <row r="34">
      <c r="A34" s="11">
        <f>IFERROR(__xludf.DUMMYFUNCTION("""COMPUTED_VALUE"""),70.7128315449799)</f>
        <v>70.71283154</v>
      </c>
    </row>
    <row r="35">
      <c r="A35" s="11">
        <f>IFERROR(__xludf.DUMMYFUNCTION("""COMPUTED_VALUE"""),29.2132055829054)</f>
        <v>29.21320558</v>
      </c>
    </row>
    <row r="36">
      <c r="A36" s="11">
        <f>IFERROR(__xludf.DUMMYFUNCTION("""COMPUTED_VALUE"""),36.3302192686764)</f>
        <v>36.33021927</v>
      </c>
    </row>
    <row r="37">
      <c r="A37" s="11">
        <f>IFERROR(__xludf.DUMMYFUNCTION("""COMPUTED_VALUE"""),38.7448217016393)</f>
        <v>38.7448217</v>
      </c>
    </row>
    <row r="38">
      <c r="A38" s="11">
        <f>IFERROR(__xludf.DUMMYFUNCTION("""COMPUTED_VALUE"""),33.6111900074702)</f>
        <v>33.61119001</v>
      </c>
    </row>
    <row r="39">
      <c r="A39" s="11">
        <f>IFERROR(__xludf.DUMMYFUNCTION("""COMPUTED_VALUE"""),31.1485474238283)</f>
        <v>31.14854742</v>
      </c>
    </row>
    <row r="40">
      <c r="A40" s="11">
        <f>IFERROR(__xludf.DUMMYFUNCTION("""COMPUTED_VALUE"""),5.05555555555556)</f>
        <v>5.055555556</v>
      </c>
    </row>
    <row r="41">
      <c r="A41" s="11">
        <f>IFERROR(__xludf.DUMMYFUNCTION("""COMPUTED_VALUE"""),22.3721911094613)</f>
        <v>22.37219111</v>
      </c>
    </row>
    <row r="42">
      <c r="A42" s="11">
        <f>IFERROR(__xludf.DUMMYFUNCTION("""COMPUTED_VALUE"""),21.0350872157688)</f>
        <v>21.03508722</v>
      </c>
    </row>
    <row r="43">
      <c r="A43" s="11">
        <f>IFERROR(__xludf.DUMMYFUNCTION("""COMPUTED_VALUE"""),12.8253679245283)</f>
        <v>12.82536792</v>
      </c>
    </row>
    <row r="44">
      <c r="A44" s="11">
        <f>IFERROR(__xludf.DUMMYFUNCTION("""COMPUTED_VALUE"""),44.3616191745468)</f>
        <v>44.36161917</v>
      </c>
    </row>
    <row r="45">
      <c r="A45" s="11">
        <f>IFERROR(__xludf.DUMMYFUNCTION("""COMPUTED_VALUE"""),60.8023643060365)</f>
        <v>60.80236431</v>
      </c>
    </row>
    <row r="46">
      <c r="A46" s="11">
        <f>IFERROR(__xludf.DUMMYFUNCTION("""COMPUTED_VALUE"""),64.6764275256223)</f>
        <v>64.67642753</v>
      </c>
    </row>
    <row r="47">
      <c r="A47" s="11">
        <f>IFERROR(__xludf.DUMMYFUNCTION("""COMPUTED_VALUE"""),54.9802262280307)</f>
        <v>54.98022623</v>
      </c>
    </row>
    <row r="48">
      <c r="A48" s="11">
        <f>IFERROR(__xludf.DUMMYFUNCTION("""COMPUTED_VALUE"""),20.2783449758194)</f>
        <v>20.27834498</v>
      </c>
    </row>
    <row r="49">
      <c r="A49" s="11">
        <f>IFERROR(__xludf.DUMMYFUNCTION("""COMPUTED_VALUE"""),10.5260545905707)</f>
        <v>10.52605459</v>
      </c>
    </row>
    <row r="50">
      <c r="A50" s="11">
        <f>IFERROR(__xludf.DUMMYFUNCTION("""COMPUTED_VALUE"""),56.2045045045045)</f>
        <v>56.2045045</v>
      </c>
    </row>
    <row r="51">
      <c r="A51" s="11">
        <f>IFERROR(__xludf.DUMMYFUNCTION("""COMPUTED_VALUE"""),90.5640187723848)</f>
        <v>90.56401877</v>
      </c>
    </row>
    <row r="52">
      <c r="A52" s="11">
        <f>IFERROR(__xludf.DUMMYFUNCTION("""COMPUTED_VALUE"""),27.0791055993987)</f>
        <v>27.0791056</v>
      </c>
    </row>
    <row r="53">
      <c r="A53" s="11"/>
    </row>
    <row r="54">
      <c r="A54" s="11">
        <f>IFERROR(__xludf.DUMMYFUNCTION("""COMPUTED_VALUE"""),53.0875)</f>
        <v>53.0875</v>
      </c>
    </row>
    <row r="55">
      <c r="A55" s="11">
        <f>IFERROR(__xludf.DUMMYFUNCTION("""COMPUTED_VALUE"""),18.692316017316)</f>
        <v>18.69231602</v>
      </c>
    </row>
    <row r="56">
      <c r="A56" s="11">
        <f>IFERROR(__xludf.DUMMYFUNCTION("""COMPUTED_VALUE"""),34.3737346278317)</f>
        <v>34.37373463</v>
      </c>
    </row>
    <row r="57">
      <c r="A57" s="11">
        <f>IFERROR(__xludf.DUMMYFUNCTION("""COMPUTED_VALUE"""),32.7113393190098)</f>
        <v>32.71133932</v>
      </c>
    </row>
    <row r="58">
      <c r="A58" s="11">
        <f>IFERROR(__xludf.DUMMYFUNCTION("""COMPUTED_VALUE"""),0.241587575496117)</f>
        <v>0.2415875755</v>
      </c>
    </row>
    <row r="59">
      <c r="A59" s="11">
        <f>IFERROR(__xludf.DUMMYFUNCTION("""COMPUTED_VALUE"""),63.8266666666667)</f>
        <v>63.82666667</v>
      </c>
    </row>
    <row r="60">
      <c r="A60" s="11">
        <f>IFERROR(__xludf.DUMMYFUNCTION("""COMPUTED_VALUE"""),13.7874381333962)</f>
        <v>13.78743813</v>
      </c>
    </row>
    <row r="61">
      <c r="A61" s="11">
        <f>IFERROR(__xludf.DUMMYFUNCTION("""COMPUTED_VALUE"""),42.7045125232871)</f>
        <v>42.70451252</v>
      </c>
    </row>
    <row r="62">
      <c r="A62" s="11">
        <f>IFERROR(__xludf.DUMMYFUNCTION("""COMPUTED_VALUE"""),0.791060317247055)</f>
        <v>0.7910603172</v>
      </c>
    </row>
    <row r="63">
      <c r="A63" s="11">
        <f>IFERROR(__xludf.DUMMYFUNCTION("""COMPUTED_VALUE"""),29.9960904166004)</f>
        <v>29.99609042</v>
      </c>
    </row>
    <row r="64">
      <c r="A64" s="11">
        <f>IFERROR(__xludf.DUMMYFUNCTION("""COMPUTED_VALUE"""),23.6966677767164)</f>
        <v>23.69666778</v>
      </c>
    </row>
    <row r="65">
      <c r="A65" s="11">
        <f>IFERROR(__xludf.DUMMYFUNCTION("""COMPUTED_VALUE"""),26.6907267575481)</f>
        <v>26.69072676</v>
      </c>
    </row>
    <row r="66">
      <c r="A66" s="11">
        <f>IFERROR(__xludf.DUMMYFUNCTION("""COMPUTED_VALUE"""),39.2674589996609)</f>
        <v>39.267459</v>
      </c>
    </row>
    <row r="67">
      <c r="A67" s="11">
        <f>IFERROR(__xludf.DUMMYFUNCTION("""COMPUTED_VALUE"""),38.2887788236219)</f>
        <v>38.28877882</v>
      </c>
    </row>
    <row r="68">
      <c r="A68" s="11">
        <f>IFERROR(__xludf.DUMMYFUNCTION("""COMPUTED_VALUE"""),52.7396561443067)</f>
        <v>52.73965614</v>
      </c>
    </row>
    <row r="69">
      <c r="A69" s="11">
        <f>IFERROR(__xludf.DUMMYFUNCTION("""COMPUTED_VALUE"""),0.065294088100859)</f>
        <v>0.0652940881</v>
      </c>
    </row>
    <row r="70">
      <c r="A70" s="11">
        <f>IFERROR(__xludf.DUMMYFUNCTION("""COMPUTED_VALUE"""),37.8716732220959)</f>
        <v>37.87167322</v>
      </c>
    </row>
    <row r="71">
      <c r="A71" s="11">
        <f>IFERROR(__xludf.DUMMYFUNCTION("""COMPUTED_VALUE"""),10.7922772277228)</f>
        <v>10.79227723</v>
      </c>
    </row>
    <row r="72">
      <c r="A72" s="11">
        <f>IFERROR(__xludf.DUMMYFUNCTION("""COMPUTED_VALUE"""),36.8992880920868)</f>
        <v>36.89928809</v>
      </c>
    </row>
    <row r="73">
      <c r="A73" s="11">
        <f>IFERROR(__xludf.DUMMYFUNCTION("""COMPUTED_VALUE"""),54.8786742156169)</f>
        <v>54.87867422</v>
      </c>
    </row>
    <row r="74">
      <c r="A74" s="11">
        <f>IFERROR(__xludf.DUMMYFUNCTION("""COMPUTED_VALUE"""),15.8256966388377)</f>
        <v>15.82569664</v>
      </c>
    </row>
    <row r="75">
      <c r="A75" s="11">
        <f>IFERROR(__xludf.DUMMYFUNCTION("""COMPUTED_VALUE"""),39.0552571796124)</f>
        <v>39.05525718</v>
      </c>
    </row>
    <row r="76">
      <c r="A76" s="11">
        <f>IFERROR(__xludf.DUMMYFUNCTION("""COMPUTED_VALUE"""),26.5317517512294)</f>
        <v>26.53175175</v>
      </c>
    </row>
    <row r="77">
      <c r="A77" s="11">
        <f>IFERROR(__xludf.DUMMYFUNCTION("""COMPUTED_VALUE"""),73.2555577492596)</f>
        <v>73.25555775</v>
      </c>
    </row>
    <row r="78">
      <c r="A78" s="11">
        <f>IFERROR(__xludf.DUMMYFUNCTION("""COMPUTED_VALUE"""),58.3778325123153)</f>
        <v>58.37783251</v>
      </c>
    </row>
    <row r="79">
      <c r="A79" s="11">
        <f>IFERROR(__xludf.DUMMYFUNCTION("""COMPUTED_VALUE"""),29.7793654359272)</f>
        <v>29.77936544</v>
      </c>
    </row>
    <row r="80">
      <c r="A80" s="11">
        <f>IFERROR(__xludf.DUMMYFUNCTION("""COMPUTED_VALUE"""),0.05730659025788)</f>
        <v>0.05730659026</v>
      </c>
    </row>
    <row r="81">
      <c r="A81" s="11">
        <f>IFERROR(__xludf.DUMMYFUNCTION("""COMPUTED_VALUE"""),91.5757142857143)</f>
        <v>91.57571429</v>
      </c>
    </row>
    <row r="82">
      <c r="A82" s="11">
        <f>IFERROR(__xludf.DUMMYFUNCTION("""COMPUTED_VALUE"""),91.8014087786704)</f>
        <v>91.80140878</v>
      </c>
    </row>
    <row r="83">
      <c r="A83" s="11">
        <f>IFERROR(__xludf.DUMMYFUNCTION("""COMPUTED_VALUE"""),12.6007522837184)</f>
        <v>12.60075228</v>
      </c>
    </row>
    <row r="84">
      <c r="A84" s="11">
        <f>IFERROR(__xludf.DUMMYFUNCTION("""COMPUTED_VALUE"""),40.5269822996115)</f>
        <v>40.5269823</v>
      </c>
    </row>
    <row r="85">
      <c r="A85" s="11">
        <f>IFERROR(__xludf.DUMMYFUNCTION("""COMPUTED_VALUE"""),35.3058714951217)</f>
        <v>35.3058715</v>
      </c>
    </row>
    <row r="86">
      <c r="A86" s="11">
        <f>IFERROR(__xludf.DUMMYFUNCTION("""COMPUTED_VALUE"""),0.0)</f>
        <v>0</v>
      </c>
    </row>
    <row r="87">
      <c r="A87" s="11">
        <f>IFERROR(__xludf.DUMMYFUNCTION("""COMPUTED_VALUE"""),26.8801888328178)</f>
        <v>26.88018883</v>
      </c>
    </row>
    <row r="88">
      <c r="A88" s="11">
        <f>IFERROR(__xludf.DUMMYFUNCTION("""COMPUTED_VALUE"""),30.2107707509881)</f>
        <v>30.21077075</v>
      </c>
    </row>
    <row r="89">
      <c r="A89" s="11">
        <f>IFERROR(__xludf.DUMMYFUNCTION("""COMPUTED_VALUE"""),73.7153271692745)</f>
        <v>73.71532717</v>
      </c>
    </row>
    <row r="90">
      <c r="A90" s="11">
        <f>IFERROR(__xludf.DUMMYFUNCTION("""COMPUTED_VALUE"""),90.5656684491979)</f>
        <v>90.56566845</v>
      </c>
    </row>
    <row r="91">
      <c r="A91" s="11">
        <f>IFERROR(__xludf.DUMMYFUNCTION("""COMPUTED_VALUE"""),30.0360411171451)</f>
        <v>30.03604112</v>
      </c>
    </row>
    <row r="92">
      <c r="A92" s="11">
        <f>IFERROR(__xludf.DUMMYFUNCTION("""COMPUTED_VALUE"""),52.0588235294118)</f>
        <v>52.05882353</v>
      </c>
    </row>
    <row r="93">
      <c r="A93" s="11">
        <f>IFERROR(__xludf.DUMMYFUNCTION("""COMPUTED_VALUE"""),5.3599707638E-4)</f>
        <v>0.0005359970764</v>
      </c>
    </row>
    <row r="94">
      <c r="A94" s="11">
        <f>IFERROR(__xludf.DUMMYFUNCTION("""COMPUTED_VALUE"""),35.1927958193356)</f>
        <v>35.19279582</v>
      </c>
    </row>
    <row r="95">
      <c r="A95" s="11">
        <f>IFERROR(__xludf.DUMMYFUNCTION("""COMPUTED_VALUE"""),44.4444444444444)</f>
        <v>44.44444444</v>
      </c>
    </row>
    <row r="96">
      <c r="A96" s="11">
        <f>IFERROR(__xludf.DUMMYFUNCTION("""COMPUTED_VALUE"""),94.1033832867666)</f>
        <v>94.10338329</v>
      </c>
    </row>
    <row r="97">
      <c r="A97" s="11">
        <f>IFERROR(__xludf.DUMMYFUNCTION("""COMPUTED_VALUE"""),28.9862492015129)</f>
        <v>28.9862492</v>
      </c>
    </row>
    <row r="98">
      <c r="A98" s="11"/>
    </row>
    <row r="99">
      <c r="A99" s="11">
        <f>IFERROR(__xludf.DUMMYFUNCTION("""COMPUTED_VALUE"""),58.9485208687103)</f>
        <v>58.94852087</v>
      </c>
    </row>
    <row r="100">
      <c r="A100" s="11">
        <f>IFERROR(__xludf.DUMMYFUNCTION("""COMPUTED_VALUE"""),30.9032348676385)</f>
        <v>30.90323487</v>
      </c>
    </row>
    <row r="101">
      <c r="A101" s="11">
        <f>IFERROR(__xludf.DUMMYFUNCTION("""COMPUTED_VALUE"""),34.2476769120801)</f>
        <v>34.24767691</v>
      </c>
    </row>
    <row r="102">
      <c r="A102" s="11">
        <f>IFERROR(__xludf.DUMMYFUNCTION("""COMPUTED_VALUE"""),13.7375544267054)</f>
        <v>13.73755443</v>
      </c>
    </row>
    <row r="103">
      <c r="A103" s="11">
        <f>IFERROR(__xludf.DUMMYFUNCTION("""COMPUTED_VALUE"""),22.4662321882249)</f>
        <v>22.46623219</v>
      </c>
    </row>
    <row r="104">
      <c r="A104" s="11">
        <f>IFERROR(__xludf.DUMMYFUNCTION("""COMPUTED_VALUE"""),34.2222456635604)</f>
        <v>34.22224566</v>
      </c>
    </row>
    <row r="105">
      <c r="A105" s="11">
        <f>IFERROR(__xludf.DUMMYFUNCTION("""COMPUTED_VALUE"""),32.9881357654275)</f>
        <v>32.98813577</v>
      </c>
    </row>
    <row r="106">
      <c r="A106" s="11">
        <f>IFERROR(__xludf.DUMMYFUNCTION("""COMPUTED_VALUE"""),29.0926718740371)</f>
        <v>29.09267187</v>
      </c>
    </row>
    <row r="107">
      <c r="A107" s="11">
        <f>IFERROR(__xludf.DUMMYFUNCTION("""COMPUTED_VALUE"""),30.6401361065783)</f>
        <v>30.64013611</v>
      </c>
    </row>
    <row r="108">
      <c r="A108" s="11">
        <f>IFERROR(__xludf.DUMMYFUNCTION("""COMPUTED_VALUE"""),55.1020827238252)</f>
        <v>55.10208272</v>
      </c>
    </row>
    <row r="109">
      <c r="A109" s="11">
        <f>IFERROR(__xludf.DUMMYFUNCTION("""COMPUTED_VALUE"""),28.7196163870921)</f>
        <v>28.71961639</v>
      </c>
    </row>
    <row r="110">
      <c r="A110" s="11">
        <f>IFERROR(__xludf.DUMMYFUNCTION("""COMPUTED_VALUE"""),6.07017543859649)</f>
        <v>6.070175439</v>
      </c>
    </row>
    <row r="111">
      <c r="A111" s="11">
        <f>IFERROR(__xludf.DUMMYFUNCTION("""COMPUTED_VALUE"""),23.3101483591698)</f>
        <v>23.31014836</v>
      </c>
    </row>
    <row r="112">
      <c r="A112" s="11"/>
    </row>
    <row r="113">
      <c r="A113" s="11">
        <f>IFERROR(__xludf.DUMMYFUNCTION("""COMPUTED_VALUE"""),10.3262882856728)</f>
        <v>10.32628829</v>
      </c>
    </row>
    <row r="114">
      <c r="A114" s="11">
        <f>IFERROR(__xludf.DUMMYFUNCTION("""COMPUTED_VALUE"""),6.480603649402)</f>
        <v>6.480603649</v>
      </c>
    </row>
    <row r="115">
      <c r="A115" s="11">
        <f>IFERROR(__xludf.DUMMYFUNCTION("""COMPUTED_VALUE"""),1.89790937557561)</f>
        <v>1.897909376</v>
      </c>
    </row>
    <row r="116">
      <c r="A116" s="11">
        <f>IFERROR(__xludf.DUMMYFUNCTION("""COMPUTED_VALUE"""),0.430783042394015)</f>
        <v>0.4307830424</v>
      </c>
    </row>
    <row r="117">
      <c r="A117" s="11">
        <f>IFERROR(__xludf.DUMMYFUNCTION("""COMPUTED_VALUE"""),7.11182994454714)</f>
        <v>7.111829945</v>
      </c>
    </row>
    <row r="118">
      <c r="A118" s="11">
        <f>IFERROR(__xludf.DUMMYFUNCTION("""COMPUTED_VALUE"""),30.4690317535867)</f>
        <v>30.46903175</v>
      </c>
    </row>
    <row r="119">
      <c r="A119" s="11">
        <f>IFERROR(__xludf.DUMMYFUNCTION("""COMPUTED_VALUE"""),51.219298245614)</f>
        <v>51.21929825</v>
      </c>
    </row>
    <row r="120">
      <c r="A120" s="11">
        <f>IFERROR(__xludf.DUMMYFUNCTION("""COMPUTED_VALUE"""),1.09822031989187)</f>
        <v>1.09822032</v>
      </c>
    </row>
    <row r="121">
      <c r="A121" s="11">
        <f>IFERROR(__xludf.DUMMYFUNCTION("""COMPUTED_VALUE"""),68.4691358024691)</f>
        <v>68.4691358</v>
      </c>
    </row>
    <row r="122">
      <c r="A122" s="11">
        <f>IFERROR(__xludf.DUMMYFUNCTION("""COMPUTED_VALUE"""),1.14444349372152)</f>
        <v>1.144443494</v>
      </c>
    </row>
    <row r="123">
      <c r="A123" s="11">
        <f>IFERROR(__xludf.DUMMYFUNCTION("""COMPUTED_VALUE"""),6.41463436061426)</f>
        <v>6.414634361</v>
      </c>
    </row>
    <row r="124">
      <c r="A124" s="11">
        <f>IFERROR(__xludf.DUMMYFUNCTION("""COMPUTED_VALUE"""),6.38582898852972)</f>
        <v>6.385828989</v>
      </c>
    </row>
    <row r="125">
      <c r="A125" s="11">
        <f>IFERROR(__xludf.DUMMYFUNCTION("""COMPUTED_VALUE"""),60.0974790392024)</f>
        <v>60.09747904</v>
      </c>
    </row>
    <row r="126">
      <c r="A126" s="11">
        <f>IFERROR(__xludf.DUMMYFUNCTION("""COMPUTED_VALUE"""),1.45679012345679)</f>
        <v>1.456790123</v>
      </c>
    </row>
    <row r="127">
      <c r="A127" s="11">
        <f>IFERROR(__xludf.DUMMYFUNCTION("""COMPUTED_VALUE"""),42.3076923076923)</f>
        <v>42.30769231</v>
      </c>
    </row>
    <row r="128">
      <c r="A128" s="11">
        <f>IFERROR(__xludf.DUMMYFUNCTION("""COMPUTED_VALUE"""),65.8963527714816)</f>
        <v>65.89635277</v>
      </c>
    </row>
    <row r="129">
      <c r="A129" s="11">
        <f>IFERROR(__xludf.DUMMYFUNCTION("""COMPUTED_VALUE"""),0.342873176206509)</f>
        <v>0.3428731762</v>
      </c>
    </row>
    <row r="130">
      <c r="A130" s="11">
        <f>IFERROR(__xludf.DUMMYFUNCTION("""COMPUTED_VALUE"""),49.3235464739613)</f>
        <v>49.32354647</v>
      </c>
    </row>
    <row r="131">
      <c r="A131" s="11">
        <f>IFERROR(__xludf.DUMMYFUNCTION("""COMPUTED_VALUE"""),73.6089688041595)</f>
        <v>73.6089688</v>
      </c>
    </row>
    <row r="132">
      <c r="A132" s="11">
        <f>IFERROR(__xludf.DUMMYFUNCTION("""COMPUTED_VALUE"""),13.4343108504399)</f>
        <v>13.43431085</v>
      </c>
    </row>
    <row r="133">
      <c r="A133" s="11">
        <f>IFERROR(__xludf.DUMMYFUNCTION("""COMPUTED_VALUE"""),82.5404900332226)</f>
        <v>82.54049003</v>
      </c>
    </row>
    <row r="134">
      <c r="A134" s="11">
        <f>IFERROR(__xludf.DUMMYFUNCTION("""COMPUTED_VALUE"""),0.123327687918433)</f>
        <v>0.1233276879</v>
      </c>
    </row>
    <row r="135">
      <c r="A135" s="11">
        <f>IFERROR(__xludf.DUMMYFUNCTION("""COMPUTED_VALUE"""),34.0885245901639)</f>
        <v>34.08852459</v>
      </c>
    </row>
    <row r="136">
      <c r="A136" s="11">
        <f>IFERROR(__xludf.DUMMYFUNCTION("""COMPUTED_VALUE"""),48.1835579341275)</f>
        <v>48.18355793</v>
      </c>
    </row>
    <row r="137">
      <c r="A137" s="11">
        <f>IFERROR(__xludf.DUMMYFUNCTION("""COMPUTED_VALUE"""),30.7560252837062)</f>
        <v>30.75602528</v>
      </c>
    </row>
    <row r="138">
      <c r="A138" s="11">
        <f>IFERROR(__xludf.DUMMYFUNCTION("""COMPUTED_VALUE"""),24.082720229668)</f>
        <v>24.08272023</v>
      </c>
    </row>
    <row r="139">
      <c r="A139" s="11">
        <f>IFERROR(__xludf.DUMMYFUNCTION("""COMPUTED_VALUE"""),41.870625)</f>
        <v>41.870625</v>
      </c>
    </row>
    <row r="140">
      <c r="A140" s="11">
        <f>IFERROR(__xludf.DUMMYFUNCTION("""COMPUTED_VALUE"""),33.6453516185616)</f>
        <v>33.64535162</v>
      </c>
    </row>
    <row r="141">
      <c r="A141" s="11">
        <f>IFERROR(__xludf.DUMMYFUNCTION("""COMPUTED_VALUE"""),27.5521792098651)</f>
        <v>27.55217921</v>
      </c>
    </row>
    <row r="142">
      <c r="A142" s="11">
        <f>IFERROR(__xludf.DUMMYFUNCTION("""COMPUTED_VALUE"""),32.9391074322051)</f>
        <v>32.93910743</v>
      </c>
    </row>
    <row r="143">
      <c r="A143" s="11">
        <f>IFERROR(__xludf.DUMMYFUNCTION("""COMPUTED_VALUE"""),1.13702239789196)</f>
        <v>1.137022398</v>
      </c>
    </row>
    <row r="144">
      <c r="A144" s="11">
        <f>IFERROR(__xludf.DUMMYFUNCTION("""COMPUTED_VALUE"""),39.3552520017382)</f>
        <v>39.355252</v>
      </c>
    </row>
    <row r="145">
      <c r="A145" s="11">
        <f>IFERROR(__xludf.DUMMYFUNCTION("""COMPUTED_VALUE"""),34.3837255684085)</f>
        <v>34.38372557</v>
      </c>
    </row>
    <row r="146">
      <c r="A146" s="11">
        <f>IFERROR(__xludf.DUMMYFUNCTION("""COMPUTED_VALUE"""),36.4197530864198)</f>
        <v>36.41975309</v>
      </c>
    </row>
    <row r="147">
      <c r="A147" s="11">
        <f>IFERROR(__xludf.DUMMYFUNCTION("""COMPUTED_VALUE"""),54.0207140559666)</f>
        <v>54.02071406</v>
      </c>
    </row>
    <row r="148">
      <c r="A148" s="11"/>
    </row>
    <row r="149">
      <c r="A149" s="11">
        <f>IFERROR(__xludf.DUMMYFUNCTION("""COMPUTED_VALUE"""),18.3823529411765)</f>
        <v>18.38235294</v>
      </c>
    </row>
    <row r="150">
      <c r="A150" s="11">
        <f>IFERROR(__xludf.DUMMYFUNCTION("""COMPUTED_VALUE"""),12.6770490701322)</f>
        <v>12.67704907</v>
      </c>
    </row>
    <row r="151">
      <c r="A151" s="11">
        <f>IFERROR(__xludf.DUMMYFUNCTION("""COMPUTED_VALUE"""),0.0)</f>
        <v>0</v>
      </c>
    </row>
    <row r="152">
      <c r="A152" s="11">
        <f>IFERROR(__xludf.DUMMYFUNCTION("""COMPUTED_VALUE"""),11.2949224688355)</f>
        <v>11.29492247</v>
      </c>
    </row>
    <row r="153">
      <c r="A153" s="11">
        <f>IFERROR(__xludf.DUMMYFUNCTION("""COMPUTED_VALUE"""),21.6818258417306)</f>
        <v>21.68182584</v>
      </c>
    </row>
    <row r="154">
      <c r="A154" s="11">
        <f>IFERROR(__xludf.DUMMYFUNCTION("""COMPUTED_VALUE"""),2.73333333333333)</f>
        <v>2.733333333</v>
      </c>
    </row>
    <row r="155">
      <c r="A155" s="11">
        <f>IFERROR(__xludf.DUMMYFUNCTION("""COMPUTED_VALUE"""),2.01638014372119)</f>
        <v>2.016380144</v>
      </c>
    </row>
    <row r="156">
      <c r="A156" s="11">
        <f>IFERROR(__xludf.DUMMYFUNCTION("""COMPUTED_VALUE"""),34.510719925924)</f>
        <v>34.51071993</v>
      </c>
    </row>
    <row r="157">
      <c r="A157" s="11">
        <f>IFERROR(__xludf.DUMMYFUNCTION("""COMPUTED_VALUE"""),52.2222222222222)</f>
        <v>52.22222222</v>
      </c>
    </row>
    <row r="158">
      <c r="A158" s="11">
        <f>IFERROR(__xludf.DUMMYFUNCTION("""COMPUTED_VALUE"""),34.3356797259478)</f>
        <v>34.33567973</v>
      </c>
    </row>
    <row r="159">
      <c r="A159" s="11">
        <f>IFERROR(__xludf.DUMMYFUNCTION("""COMPUTED_VALUE"""),38.0706582077716)</f>
        <v>38.07065821</v>
      </c>
    </row>
    <row r="160">
      <c r="A160" s="11">
        <f>IFERROR(__xludf.DUMMYFUNCTION("""COMPUTED_VALUE"""),10.896663634352)</f>
        <v>10.89666363</v>
      </c>
    </row>
    <row r="161">
      <c r="A161" s="11">
        <f>IFERROR(__xludf.DUMMYFUNCTION("""COMPUTED_VALUE"""),1.09375)</f>
        <v>1.09375</v>
      </c>
    </row>
    <row r="162">
      <c r="A162" s="11">
        <f>IFERROR(__xludf.DUMMYFUNCTION("""COMPUTED_VALUE"""),48.6510194397673)</f>
        <v>48.65101944</v>
      </c>
    </row>
    <row r="163">
      <c r="A163" s="11">
        <f>IFERROR(__xludf.DUMMYFUNCTION("""COMPUTED_VALUE"""),2.45030163321406)</f>
        <v>2.450301633</v>
      </c>
    </row>
    <row r="164">
      <c r="A164" s="11">
        <f>IFERROR(__xludf.DUMMYFUNCTION("""COMPUTED_VALUE"""),59.9925650557621)</f>
        <v>59.99256506</v>
      </c>
    </row>
    <row r="165">
      <c r="A165" s="11">
        <f>IFERROR(__xludf.DUMMYFUNCTION("""COMPUTED_VALUE"""),9.13508329256675)</f>
        <v>9.135083293</v>
      </c>
    </row>
    <row r="166">
      <c r="A166" s="11">
        <f>IFERROR(__xludf.DUMMYFUNCTION("""COMPUTED_VALUE"""),66.2695652173913)</f>
        <v>66.26956522</v>
      </c>
    </row>
    <row r="167">
      <c r="A167" s="11">
        <f>IFERROR(__xludf.DUMMYFUNCTION("""COMPUTED_VALUE"""),49.8406953381317)</f>
        <v>49.84069534</v>
      </c>
    </row>
    <row r="168">
      <c r="A168" s="11">
        <f>IFERROR(__xludf.DUMMYFUNCTION("""COMPUTED_VALUE"""),0.361579509071505)</f>
        <v>0.3615795091</v>
      </c>
    </row>
    <row r="169">
      <c r="A169" s="11">
        <f>IFERROR(__xludf.DUMMYFUNCTION("""COMPUTED_VALUE"""),19.0857142857143)</f>
        <v>19.08571429</v>
      </c>
    </row>
    <row r="170">
      <c r="A170" s="11">
        <f>IFERROR(__xludf.DUMMYFUNCTION("""COMPUTED_VALUE"""),28.6773440814595)</f>
        <v>28.67734408</v>
      </c>
    </row>
    <row r="171">
      <c r="A171" s="11">
        <f>IFERROR(__xludf.DUMMYFUNCTION("""COMPUTED_VALUE"""),57.8968802313194)</f>
        <v>57.89688023</v>
      </c>
    </row>
    <row r="172">
      <c r="A172" s="11">
        <f>IFERROR(__xludf.DUMMYFUNCTION("""COMPUTED_VALUE"""),36.1933677261892)</f>
        <v>36.19336773</v>
      </c>
    </row>
    <row r="173">
      <c r="A173" s="11">
        <f>IFERROR(__xludf.DUMMYFUNCTION("""COMPUTED_VALUE"""),9.01261936863074)</f>
        <v>9.012619369</v>
      </c>
    </row>
    <row r="174">
      <c r="A174" s="11">
        <f>IFERROR(__xludf.DUMMYFUNCTION("""COMPUTED_VALUE"""),45.8918490153173)</f>
        <v>45.89184902</v>
      </c>
    </row>
    <row r="175">
      <c r="A175" s="11">
        <f>IFERROR(__xludf.DUMMYFUNCTION("""COMPUTED_VALUE"""),0.960227362437831)</f>
        <v>0.9602273624</v>
      </c>
    </row>
    <row r="176">
      <c r="A176" s="11">
        <f>IFERROR(__xludf.DUMMYFUNCTION("""COMPUTED_VALUE"""),25.7181132448368)</f>
        <v>25.71811324</v>
      </c>
    </row>
    <row r="177">
      <c r="A177" s="11">
        <f>IFERROR(__xludf.DUMMYFUNCTION("""COMPUTED_VALUE"""),35.8090992188798)</f>
        <v>35.80909922</v>
      </c>
    </row>
    <row r="178">
      <c r="A178" s="11">
        <f>IFERROR(__xludf.DUMMYFUNCTION("""COMPUTED_VALUE"""),11.0311888526534)</f>
        <v>11.03118885</v>
      </c>
    </row>
    <row r="179">
      <c r="A179" s="11">
        <f>IFERROR(__xludf.DUMMYFUNCTION("""COMPUTED_VALUE"""),33.1370262071382)</f>
        <v>33.13702621</v>
      </c>
    </row>
    <row r="180">
      <c r="A180" s="11">
        <f>IFERROR(__xludf.DUMMYFUNCTION("""COMPUTED_VALUE"""),41.464269271015)</f>
        <v>41.46426927</v>
      </c>
    </row>
    <row r="181">
      <c r="A181" s="11">
        <f>IFERROR(__xludf.DUMMYFUNCTION("""COMPUTED_VALUE"""),0.0)</f>
        <v>0</v>
      </c>
    </row>
    <row r="182">
      <c r="A182" s="11">
        <f>IFERROR(__xludf.DUMMYFUNCTION("""COMPUTED_VALUE"""),37.4021191751168)</f>
        <v>37.40211918</v>
      </c>
    </row>
    <row r="183">
      <c r="A183" s="11">
        <f>IFERROR(__xludf.DUMMYFUNCTION("""COMPUTED_VALUE"""),32.5506510367584)</f>
        <v>32.55065104</v>
      </c>
    </row>
    <row r="184">
      <c r="A184" s="11">
        <f>IFERROR(__xludf.DUMMYFUNCTION("""COMPUTED_VALUE"""),0.009693053311793)</f>
        <v>0.009693053312</v>
      </c>
    </row>
    <row r="185">
      <c r="A185" s="11">
        <f>IFERROR(__xludf.DUMMYFUNCTION("""COMPUTED_VALUE"""),29.8665052115086)</f>
        <v>29.86650521</v>
      </c>
    </row>
    <row r="186">
      <c r="A186" s="11">
        <f>IFERROR(__xludf.DUMMYFUNCTION("""COMPUTED_VALUE"""),5.36462614155251)</f>
        <v>5.364626142</v>
      </c>
    </row>
    <row r="187">
      <c r="A187" s="11">
        <f>IFERROR(__xludf.DUMMYFUNCTION("""COMPUTED_VALUE"""),58.3724105461394)</f>
        <v>58.37241055</v>
      </c>
    </row>
    <row r="188">
      <c r="A188" s="11">
        <f>IFERROR(__xludf.DUMMYFUNCTION("""COMPUTED_VALUE"""),57.94890859375)</f>
        <v>57.94890859</v>
      </c>
    </row>
    <row r="189">
      <c r="A189" s="11">
        <f>IFERROR(__xludf.DUMMYFUNCTION("""COMPUTED_VALUE"""),23.0964684575913)</f>
        <v>23.09646846</v>
      </c>
    </row>
    <row r="190">
      <c r="A190" s="11">
        <f>IFERROR(__xludf.DUMMYFUNCTION("""COMPUTED_VALUE"""),87.9608695652174)</f>
        <v>87.96086957</v>
      </c>
    </row>
    <row r="191">
      <c r="A191" s="11">
        <f>IFERROR(__xludf.DUMMYFUNCTION("""COMPUTED_VALUE"""),79.9116579075211)</f>
        <v>79.91165791</v>
      </c>
    </row>
    <row r="192">
      <c r="A192" s="11">
        <f>IFERROR(__xludf.DUMMYFUNCTION("""COMPUTED_VALUE"""),30.3709024422097)</f>
        <v>30.37090244</v>
      </c>
    </row>
    <row r="193">
      <c r="A193" s="11">
        <f>IFERROR(__xludf.DUMMYFUNCTION("""COMPUTED_VALUE"""),30.1198262973604)</f>
        <v>30.1198263</v>
      </c>
    </row>
    <row r="194">
      <c r="A194" s="11">
        <f>IFERROR(__xludf.DUMMYFUNCTION("""COMPUTED_VALUE"""),54.7034949267193)</f>
        <v>54.70349493</v>
      </c>
    </row>
    <row r="195">
      <c r="A195" s="11">
        <f>IFERROR(__xludf.DUMMYFUNCTION("""COMPUTED_VALUE"""),52.0191014035379)</f>
        <v>52.0191014</v>
      </c>
    </row>
    <row r="196">
      <c r="A196" s="11">
        <f>IFERROR(__xludf.DUMMYFUNCTION("""COMPUTED_VALUE"""),35.5377224587837)</f>
        <v>35.53772246</v>
      </c>
    </row>
    <row r="197">
      <c r="A197" s="11">
        <f>IFERROR(__xludf.DUMMYFUNCTION("""COMPUTED_VALUE"""),50.1191895293229)</f>
        <v>50.11918953</v>
      </c>
    </row>
    <row r="198">
      <c r="A198" s="11">
        <f>IFERROR(__xludf.DUMMYFUNCTION("""COMPUTED_VALUE"""),1.5232558266269)</f>
        <v>1.523255827</v>
      </c>
    </row>
    <row r="199">
      <c r="A199" s="11">
        <f>IFERROR(__xludf.DUMMYFUNCTION("""COMPUTED_VALUE"""),67.4757320872274)</f>
        <v>67.47573209</v>
      </c>
    </row>
    <row r="200">
      <c r="A200" s="11">
        <f>IFERROR(__xludf.DUMMYFUNCTION("""COMPUTED_VALUE"""),31.843256337483)</f>
        <v>31.84325634</v>
      </c>
    </row>
    <row r="201">
      <c r="A201" s="11">
        <f>IFERROR(__xludf.DUMMYFUNCTION("""COMPUTED_VALUE"""),40.8112021857924)</f>
        <v>40.81120219</v>
      </c>
    </row>
    <row r="202">
      <c r="A202" s="11">
        <f>IFERROR(__xludf.DUMMYFUNCTION("""COMPUTED_VALUE"""),0.0)</f>
        <v>0</v>
      </c>
    </row>
    <row r="203">
      <c r="A203" s="11">
        <f>IFERROR(__xludf.DUMMYFUNCTION("""COMPUTED_VALUE"""),28.2539337564114)</f>
        <v>28.25393376</v>
      </c>
    </row>
    <row r="204">
      <c r="A204" s="11">
        <f>IFERROR(__xludf.DUMMYFUNCTION("""COMPUTED_VALUE"""),49.7377636874446)</f>
        <v>49.73776369</v>
      </c>
    </row>
    <row r="205">
      <c r="A205" s="11">
        <f>IFERROR(__xludf.DUMMYFUNCTION("""COMPUTED_VALUE"""),10.8309687880016)</f>
        <v>10.83096879</v>
      </c>
    </row>
    <row r="206">
      <c r="A206" s="11">
        <f>IFERROR(__xludf.DUMMYFUNCTION("""COMPUTED_VALUE"""),18.2939408920782)</f>
        <v>18.29394089</v>
      </c>
    </row>
    <row r="207">
      <c r="A207" s="11">
        <f>IFERROR(__xludf.DUMMYFUNCTION("""COMPUTED_VALUE"""),0.454484134921779)</f>
        <v>0.4544841349</v>
      </c>
    </row>
    <row r="208">
      <c r="A208" s="11"/>
    </row>
    <row r="209">
      <c r="A209" s="11">
        <f>IFERROR(__xludf.DUMMYFUNCTION("""COMPUTED_VALUE"""),44.1835558094842)</f>
        <v>44.18355581</v>
      </c>
    </row>
    <row r="210">
      <c r="A210" s="11">
        <f>IFERROR(__xludf.DUMMYFUNCTION("""COMPUTED_VALUE"""),25.2395714285714)</f>
        <v>25.23957143</v>
      </c>
    </row>
    <row r="211">
      <c r="A211" s="11">
        <f>IFERROR(__xludf.DUMMYFUNCTION("""COMPUTED_VALUE"""),90.4255805644873)</f>
        <v>90.42558056</v>
      </c>
    </row>
    <row r="212">
      <c r="A212" s="11">
        <f>IFERROR(__xludf.DUMMYFUNCTION("""COMPUTED_VALUE"""),38.1253394292048)</f>
        <v>38.12533943</v>
      </c>
    </row>
    <row r="213">
      <c r="A213" s="11">
        <f>IFERROR(__xludf.DUMMYFUNCTION("""COMPUTED_VALUE"""),30.5685328185328)</f>
        <v>30.56853282</v>
      </c>
    </row>
    <row r="214">
      <c r="A214" s="11">
        <f>IFERROR(__xludf.DUMMYFUNCTION("""COMPUTED_VALUE"""),16.6666666666667)</f>
        <v>16.66666667</v>
      </c>
    </row>
    <row r="215">
      <c r="A215" s="11">
        <f>IFERROR(__xludf.DUMMYFUNCTION("""COMPUTED_VALUE"""),10.8780724965728)</f>
        <v>10.8780725</v>
      </c>
    </row>
    <row r="216">
      <c r="A216" s="11">
        <f>IFERROR(__xludf.DUMMYFUNCTION("""COMPUTED_VALUE"""),30.7306197118683)</f>
        <v>30.73061971</v>
      </c>
    </row>
    <row r="217">
      <c r="A217" s="11">
        <f>IFERROR(__xludf.DUMMYFUNCTION("""COMPUTED_VALUE"""),30.0737287982235)</f>
        <v>30.0737288</v>
      </c>
    </row>
    <row r="218">
      <c r="A218" s="11"/>
    </row>
    <row r="219">
      <c r="A219" s="11">
        <f>IFERROR(__xludf.DUMMYFUNCTION("""COMPUTED_VALUE"""),30.0746583943571)</f>
        <v>30.07465839</v>
      </c>
    </row>
    <row r="220">
      <c r="A220" s="11">
        <f>IFERROR(__xludf.DUMMYFUNCTION("""COMPUTED_VALUE"""),40.6627537655796)</f>
        <v>40.66275377</v>
      </c>
    </row>
    <row r="221">
      <c r="A221" s="11">
        <f>IFERROR(__xludf.DUMMYFUNCTION("""COMPUTED_VALUE"""),60.5479166666667)</f>
        <v>60.54791667</v>
      </c>
    </row>
    <row r="222">
      <c r="A222" s="11">
        <f>IFERROR(__xludf.DUMMYFUNCTION("""COMPUTED_VALUE"""),98.1023141025641)</f>
        <v>98.1023141</v>
      </c>
    </row>
    <row r="223">
      <c r="A223" s="11">
        <f>IFERROR(__xludf.DUMMYFUNCTION("""COMPUTED_VALUE"""),39.8473695154918)</f>
        <v>39.84736952</v>
      </c>
    </row>
    <row r="224">
      <c r="A224" s="11">
        <f>IFERROR(__xludf.DUMMYFUNCTION("""COMPUTED_VALUE"""),61.8292646606241)</f>
        <v>61.82926466</v>
      </c>
    </row>
    <row r="225">
      <c r="A225" s="11">
        <f>IFERROR(__xludf.DUMMYFUNCTION("""COMPUTED_VALUE"""),68.4359311790223)</f>
        <v>68.43593118</v>
      </c>
    </row>
    <row r="226">
      <c r="A226" s="11">
        <f>IFERROR(__xludf.DUMMYFUNCTION("""COMPUTED_VALUE"""),28.1520348837209)</f>
        <v>28.15203488</v>
      </c>
    </row>
    <row r="227">
      <c r="A227" s="11"/>
    </row>
    <row r="228">
      <c r="A228" s="11">
        <f>IFERROR(__xludf.DUMMYFUNCTION("""COMPUTED_VALUE"""),73.2608695652174)</f>
        <v>73.26086957</v>
      </c>
    </row>
    <row r="229">
      <c r="A229" s="11">
        <f>IFERROR(__xludf.DUMMYFUNCTION("""COMPUTED_VALUE"""),2.6469178828142)</f>
        <v>2.646917883</v>
      </c>
    </row>
    <row r="230">
      <c r="A230" s="11">
        <f>IFERROR(__xludf.DUMMYFUNCTION("""COMPUTED_VALUE"""),11.0736842105263)</f>
        <v>11.07368421</v>
      </c>
    </row>
    <row r="231">
      <c r="A231" s="11">
        <f>IFERROR(__xludf.DUMMYFUNCTION("""COMPUTED_VALUE"""),4.45703621346887)</f>
        <v>4.457036213</v>
      </c>
    </row>
    <row r="232">
      <c r="A232" s="11">
        <f>IFERROR(__xludf.DUMMYFUNCTION("""COMPUTED_VALUE"""),29.8294967602935)</f>
        <v>29.82949676</v>
      </c>
    </row>
    <row r="233">
      <c r="A233" s="11">
        <f>IFERROR(__xludf.DUMMYFUNCTION("""COMPUTED_VALUE"""),39.1366293670389)</f>
        <v>39.13662937</v>
      </c>
    </row>
    <row r="234">
      <c r="A234" s="11">
        <f>IFERROR(__xludf.DUMMYFUNCTION("""COMPUTED_VALUE"""),22.8319433719434)</f>
        <v>22.83194337</v>
      </c>
    </row>
    <row r="235">
      <c r="A235" s="11">
        <f>IFERROR(__xludf.DUMMYFUNCTION("""COMPUTED_VALUE"""),39.0798410616767)</f>
        <v>39.07984106</v>
      </c>
    </row>
    <row r="236">
      <c r="A236" s="11">
        <f>IFERROR(__xludf.DUMMYFUNCTION("""COMPUTED_VALUE"""),2.92940840240069)</f>
        <v>2.929408402</v>
      </c>
    </row>
    <row r="237">
      <c r="A237" s="11">
        <f>IFERROR(__xludf.DUMMYFUNCTION("""COMPUTED_VALUE"""),8.78215904496414)</f>
        <v>8.782159045</v>
      </c>
    </row>
    <row r="238">
      <c r="A238" s="11">
        <f>IFERROR(__xludf.DUMMYFUNCTION("""COMPUTED_VALUE"""),48.2950980514253)</f>
        <v>48.29509805</v>
      </c>
    </row>
    <row r="239">
      <c r="A239" s="11">
        <f>IFERROR(__xludf.DUMMYFUNCTION("""COMPUTED_VALUE"""),62.9791526563551)</f>
        <v>62.97915266</v>
      </c>
    </row>
    <row r="240">
      <c r="A240" s="11">
        <f>IFERROR(__xludf.DUMMYFUNCTION("""COMPUTED_VALUE"""),2.45094791477279)</f>
        <v>2.450947915</v>
      </c>
    </row>
    <row r="241">
      <c r="A241" s="11">
        <f>IFERROR(__xludf.DUMMYFUNCTION("""COMPUTED_VALUE"""),12.4305555555556)</f>
        <v>12.43055556</v>
      </c>
    </row>
    <row r="242">
      <c r="A242" s="11">
        <f>IFERROR(__xludf.DUMMYFUNCTION("""COMPUTED_VALUE"""),18.2939408920782)</f>
        <v>18.29394089</v>
      </c>
    </row>
    <row r="243">
      <c r="A243" s="11">
        <f>IFERROR(__xludf.DUMMYFUNCTION("""COMPUTED_VALUE"""),30.0746583943571)</f>
        <v>30.07465839</v>
      </c>
    </row>
    <row r="244">
      <c r="A244" s="11">
        <f>IFERROR(__xludf.DUMMYFUNCTION("""COMPUTED_VALUE"""),45.3867446393762)</f>
        <v>45.38674464</v>
      </c>
    </row>
    <row r="245">
      <c r="A245" s="11">
        <f>IFERROR(__xludf.DUMMYFUNCTION("""COMPUTED_VALUE"""),4.41215242018538)</f>
        <v>4.41215242</v>
      </c>
    </row>
    <row r="246">
      <c r="A246" s="11">
        <f>IFERROR(__xludf.DUMMYFUNCTION("""COMPUTED_VALUE"""),27.2723347582605)</f>
        <v>27.27233476</v>
      </c>
    </row>
    <row r="247">
      <c r="A247" s="11">
        <f>IFERROR(__xludf.DUMMYFUNCTION("""COMPUTED_VALUE"""),33.3333333333333)</f>
        <v>33.33333333</v>
      </c>
    </row>
    <row r="248">
      <c r="A248" s="11">
        <f>IFERROR(__xludf.DUMMYFUNCTION("""COMPUTED_VALUE"""),56.8096748701739)</f>
        <v>56.80967487</v>
      </c>
    </row>
    <row r="249">
      <c r="A249" s="11">
        <f>IFERROR(__xludf.DUMMYFUNCTION("""COMPUTED_VALUE"""),13.9716380561533)</f>
        <v>13.97163806</v>
      </c>
    </row>
    <row r="250">
      <c r="A250" s="11">
        <f>IFERROR(__xludf.DUMMYFUNCTION("""COMPUTED_VALUE"""),16.4748325623144)</f>
        <v>16.47483256</v>
      </c>
    </row>
    <row r="251">
      <c r="A251" s="11">
        <f>IFERROR(__xludf.DUMMYFUNCTION("""COMPUTED_VALUE"""),37.5668895016344)</f>
        <v>37.5668895</v>
      </c>
    </row>
    <row r="252">
      <c r="A252" s="11">
        <f>IFERROR(__xludf.DUMMYFUNCTION("""COMPUTED_VALUE"""),9.68500742772255)</f>
        <v>9.685007428</v>
      </c>
    </row>
    <row r="253">
      <c r="A253" s="11">
        <f>IFERROR(__xludf.DUMMYFUNCTION("""COMPUTED_VALUE"""),33.6927352193296)</f>
        <v>33.69273522</v>
      </c>
    </row>
    <row r="254">
      <c r="A254" s="11">
        <f>IFERROR(__xludf.DUMMYFUNCTION("""COMPUTED_VALUE"""),7.78275999059709)</f>
        <v>7.782759991</v>
      </c>
    </row>
    <row r="255">
      <c r="A255" s="11">
        <f>IFERROR(__xludf.DUMMYFUNCTION("""COMPUTED_VALUE"""),73.1794871794872)</f>
        <v>73.17948718</v>
      </c>
    </row>
    <row r="256">
      <c r="A256" s="11">
        <f>IFERROR(__xludf.DUMMYFUNCTION("""COMPUTED_VALUE"""),54.0441018082875)</f>
        <v>54.04410181</v>
      </c>
    </row>
    <row r="257">
      <c r="A257" s="11">
        <f>IFERROR(__xludf.DUMMYFUNCTION("""COMPUTED_VALUE"""),24.2866666666667)</f>
        <v>24.28666667</v>
      </c>
    </row>
    <row r="258">
      <c r="A258" s="11">
        <f>IFERROR(__xludf.DUMMYFUNCTION("""COMPUTED_VALUE"""),53.24)</f>
        <v>53.24</v>
      </c>
    </row>
    <row r="259">
      <c r="A259" s="11">
        <f>IFERROR(__xludf.DUMMYFUNCTION("""COMPUTED_VALUE"""),42.6602509110846)</f>
        <v>42.66025091</v>
      </c>
    </row>
    <row r="260">
      <c r="A260" s="11">
        <f>IFERROR(__xludf.DUMMYFUNCTION("""COMPUTED_VALUE"""),36.2838392124692)</f>
        <v>36.28383921</v>
      </c>
    </row>
    <row r="261">
      <c r="A261" s="11">
        <f>IFERROR(__xludf.DUMMYFUNCTION("""COMPUTED_VALUE"""),30.8967480813429)</f>
        <v>30.89674808</v>
      </c>
    </row>
    <row r="262">
      <c r="A262" s="11">
        <f>IFERROR(__xludf.DUMMYFUNCTION("""COMPUTED_VALUE"""),59.0007067137809)</f>
        <v>59.00070671</v>
      </c>
    </row>
    <row r="263">
      <c r="A263" s="11"/>
    </row>
    <row r="264">
      <c r="A264" s="11">
        <f>IFERROR(__xludf.DUMMYFUNCTION("""COMPUTED_VALUE"""),1.03983180862549)</f>
        <v>1.039831809</v>
      </c>
    </row>
    <row r="265">
      <c r="A265" s="11">
        <f>IFERROR(__xludf.DUMMYFUNCTION("""COMPUTED_VALUE"""),14.385156913337)</f>
        <v>14.38515691</v>
      </c>
    </row>
    <row r="266">
      <c r="A266" s="11">
        <f>IFERROR(__xludf.DUMMYFUNCTION("""COMPUTED_VALUE"""),62.8631001224122)</f>
        <v>62.86310012</v>
      </c>
    </row>
    <row r="267">
      <c r="A267" s="11">
        <f>IFERROR(__xludf.DUMMYFUNCTION("""COMPUTED_VALUE"""),46.4039033217009)</f>
        <v>46.40390332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tr">
        <f>IFERROR(__xludf.DUMMYFUNCTION("QUERY({'2009'!A2:H267},""select Col8 label Col8 'log population density'"",0)"),"log population density")</f>
        <v>log population density</v>
      </c>
    </row>
    <row r="2">
      <c r="A2" s="11">
        <f>IFERROR(__xludf.DUMMYFUNCTION("""COMPUTED_VALUE"""),2.7509881079260112)</f>
        <v>2.750988108</v>
      </c>
    </row>
    <row r="3">
      <c r="A3" s="11">
        <f>IFERROR(__xludf.DUMMYFUNCTION("""COMPUTED_VALUE"""),1.5325066216774976)</f>
        <v>1.532506622</v>
      </c>
    </row>
    <row r="4">
      <c r="A4" s="11">
        <f>IFERROR(__xludf.DUMMYFUNCTION("""COMPUTED_VALUE"""),1.6384188451437207)</f>
        <v>1.638418845</v>
      </c>
    </row>
    <row r="5">
      <c r="A5" s="11">
        <f>IFERROR(__xludf.DUMMYFUNCTION("""COMPUTED_VALUE"""),1.5763727165064423)</f>
        <v>1.576372717</v>
      </c>
    </row>
    <row r="6">
      <c r="A6" s="11">
        <f>IFERROR(__xludf.DUMMYFUNCTION("""COMPUTED_VALUE"""),1.2566960069860573)</f>
        <v>1.256696007</v>
      </c>
    </row>
    <row r="7">
      <c r="A7" s="11">
        <f>IFERROR(__xludf.DUMMYFUNCTION("""COMPUTED_VALUE"""),2.028749159563939)</f>
        <v>2.02874916</v>
      </c>
    </row>
    <row r="8">
      <c r="A8" s="11">
        <f>IFERROR(__xludf.DUMMYFUNCTION("""COMPUTED_VALUE"""),2.254558361136488)</f>
        <v>2.254558361</v>
      </c>
    </row>
    <row r="9">
      <c r="A9" s="11">
        <f>IFERROR(__xludf.DUMMYFUNCTION("""COMPUTED_VALUE"""),1.402695137942276)</f>
        <v>1.402695138</v>
      </c>
    </row>
    <row r="10">
      <c r="A10" s="11">
        <f>IFERROR(__xludf.DUMMYFUNCTION("""COMPUTED_VALUE"""),2.047200163491109)</f>
        <v>2.047200163</v>
      </c>
    </row>
    <row r="11">
      <c r="A11" s="11">
        <f>IFERROR(__xludf.DUMMYFUNCTION("""COMPUTED_VALUE"""),1.1700447874744946)</f>
        <v>1.170044787</v>
      </c>
    </row>
    <row r="12">
      <c r="A12" s="11">
        <f>IFERROR(__xludf.DUMMYFUNCTION("""COMPUTED_VALUE"""),2.0062238571443216)</f>
        <v>2.006223857</v>
      </c>
    </row>
    <row r="13">
      <c r="A13" s="11">
        <f>IFERROR(__xludf.DUMMYFUNCTION("""COMPUTED_VALUE"""),2.4523615331345736)</f>
        <v>2.452361533</v>
      </c>
    </row>
    <row r="14">
      <c r="A14" s="11">
        <f>IFERROR(__xludf.DUMMYFUNCTION("""COMPUTED_VALUE"""),2.294781761627633)</f>
        <v>2.294781762</v>
      </c>
    </row>
    <row r="15">
      <c r="A15" s="11">
        <f>IFERROR(__xludf.DUMMYFUNCTION("""COMPUTED_VALUE"""),0.45080232672693105)</f>
        <v>0.4508023267</v>
      </c>
    </row>
    <row r="16">
      <c r="A16" s="11">
        <f>IFERROR(__xludf.DUMMYFUNCTION("""COMPUTED_VALUE"""),2.0044746967488725)</f>
        <v>2.004474697</v>
      </c>
    </row>
    <row r="17">
      <c r="A17" s="11">
        <f>IFERROR(__xludf.DUMMYFUNCTION("""COMPUTED_VALUE"""),2.0345935290233337)</f>
        <v>2.034593529</v>
      </c>
    </row>
    <row r="18">
      <c r="A18" s="11">
        <f>IFERROR(__xludf.DUMMYFUNCTION("""COMPUTED_VALUE"""),2.5145633194927504)</f>
        <v>2.514563319</v>
      </c>
    </row>
    <row r="19">
      <c r="A19" s="11">
        <f>IFERROR(__xludf.DUMMYFUNCTION("""COMPUTED_VALUE"""),2.552126836687707)</f>
        <v>2.552126837</v>
      </c>
    </row>
    <row r="20">
      <c r="A20" s="11">
        <f>IFERROR(__xludf.DUMMYFUNCTION("""COMPUTED_VALUE"""),1.8994113431576085)</f>
        <v>1.899411343</v>
      </c>
    </row>
    <row r="21">
      <c r="A21" s="11">
        <f>IFERROR(__xludf.DUMMYFUNCTION("""COMPUTED_VALUE"""),1.7430412773636934)</f>
        <v>1.743041277</v>
      </c>
    </row>
    <row r="22">
      <c r="A22" s="11">
        <f>IFERROR(__xludf.DUMMYFUNCTION("""COMPUTED_VALUE"""),3.0496181870224337)</f>
        <v>3.049618187</v>
      </c>
    </row>
    <row r="23">
      <c r="A23" s="11">
        <f>IFERROR(__xludf.DUMMYFUNCTION("""COMPUTED_VALUE"""),1.836162374343719)</f>
        <v>1.836162374</v>
      </c>
    </row>
    <row r="24">
      <c r="A24" s="11">
        <f>IFERROR(__xludf.DUMMYFUNCTION("""COMPUTED_VALUE"""),3.192932244188053)</f>
        <v>3.192932244</v>
      </c>
    </row>
    <row r="25">
      <c r="A25" s="11">
        <f>IFERROR(__xludf.DUMMYFUNCTION("""COMPUTED_VALUE"""),1.5431373464830465)</f>
        <v>1.543137346</v>
      </c>
    </row>
    <row r="26">
      <c r="A26" s="11">
        <f>IFERROR(__xludf.DUMMYFUNCTION("""COMPUTED_VALUE"""),1.8631305130136147)</f>
        <v>1.863130513</v>
      </c>
    </row>
    <row r="27">
      <c r="A27" s="11">
        <f>IFERROR(__xludf.DUMMYFUNCTION("""COMPUTED_VALUE"""),1.6708222891894393)</f>
        <v>1.670822289</v>
      </c>
    </row>
    <row r="28">
      <c r="A28" s="11">
        <f>IFERROR(__xludf.DUMMYFUNCTION("""COMPUTED_VALUE"""),1.1397093519832624)</f>
        <v>1.139709352</v>
      </c>
    </row>
    <row r="29">
      <c r="A29" s="11">
        <f>IFERROR(__xludf.DUMMYFUNCTION("""COMPUTED_VALUE"""),3.084748346518168)</f>
        <v>3.084748347</v>
      </c>
    </row>
    <row r="30">
      <c r="A30" s="11">
        <f>IFERROR(__xludf.DUMMYFUNCTION("""COMPUTED_VALUE"""),0.9602187041187837)</f>
        <v>0.9602187041</v>
      </c>
    </row>
    <row r="31">
      <c r="A31" s="11">
        <f>IFERROR(__xludf.DUMMYFUNCTION("""COMPUTED_VALUE"""),1.3654379407552752)</f>
        <v>1.365437941</v>
      </c>
    </row>
    <row r="32">
      <c r="A32" s="11">
        <f>IFERROR(__xludf.DUMMYFUNCTION("""COMPUTED_VALUE"""),2.8154032047682382)</f>
        <v>2.815403205</v>
      </c>
    </row>
    <row r="33">
      <c r="A33" s="11">
        <f>IFERROR(__xludf.DUMMYFUNCTION("""COMPUTED_VALUE"""),1.8624097594385942)</f>
        <v>1.862409759</v>
      </c>
    </row>
    <row r="34">
      <c r="A34" s="11">
        <f>IFERROR(__xludf.DUMMYFUNCTION("""COMPUTED_VALUE"""),1.2503216723230575)</f>
        <v>1.250321672</v>
      </c>
    </row>
    <row r="35">
      <c r="A35" s="11">
        <f>IFERROR(__xludf.DUMMYFUNCTION("""COMPUTED_VALUE"""),0.5374361012375424)</f>
        <v>0.5374361012</v>
      </c>
    </row>
    <row r="36">
      <c r="A36" s="11">
        <f>IFERROR(__xludf.DUMMYFUNCTION("""COMPUTED_VALUE"""),0.8427776986669464)</f>
        <v>0.8427776987</v>
      </c>
    </row>
    <row r="37">
      <c r="A37" s="11">
        <f>IFERROR(__xludf.DUMMYFUNCTION("""COMPUTED_VALUE"""),0.5741337226955578)</f>
        <v>0.5741337227</v>
      </c>
    </row>
    <row r="38">
      <c r="A38" s="11">
        <f>IFERROR(__xludf.DUMMYFUNCTION("""COMPUTED_VALUE"""),1.9773466596365203)</f>
        <v>1.97734666</v>
      </c>
    </row>
    <row r="39">
      <c r="A39" s="11">
        <f>IFERROR(__xludf.DUMMYFUNCTION("""COMPUTED_VALUE"""),2.2921828896781604)</f>
        <v>2.29218289</v>
      </c>
    </row>
    <row r="40">
      <c r="A40" s="11">
        <f>IFERROR(__xludf.DUMMYFUNCTION("""COMPUTED_VALUE"""),2.902505599518022)</f>
        <v>2.9025056</v>
      </c>
    </row>
    <row r="41">
      <c r="A41" s="11">
        <f>IFERROR(__xludf.DUMMYFUNCTION("""COMPUTED_VALUE"""),1.3562318528949393)</f>
        <v>1.356231853</v>
      </c>
    </row>
    <row r="42">
      <c r="A42" s="11">
        <f>IFERROR(__xludf.DUMMYFUNCTION("""COMPUTED_VALUE"""),2.149995325075518)</f>
        <v>2.149995325</v>
      </c>
    </row>
    <row r="43">
      <c r="A43" s="11">
        <f>IFERROR(__xludf.DUMMYFUNCTION("""COMPUTED_VALUE"""),1.7998853410494395)</f>
        <v>1.799885341</v>
      </c>
    </row>
    <row r="44">
      <c r="A44" s="11">
        <f>IFERROR(__xludf.DUMMYFUNCTION("""COMPUTED_VALUE"""),1.6218492927470278)</f>
        <v>1.621849293</v>
      </c>
    </row>
    <row r="45">
      <c r="A45" s="11">
        <f>IFERROR(__xludf.DUMMYFUNCTION("""COMPUTED_VALUE"""),1.4400614132541234)</f>
        <v>1.440061413</v>
      </c>
    </row>
    <row r="46">
      <c r="A46" s="11">
        <f>IFERROR(__xludf.DUMMYFUNCTION("""COMPUTED_VALUE"""),1.0841757350499872)</f>
        <v>1.084175735</v>
      </c>
    </row>
    <row r="47">
      <c r="A47" s="11">
        <f>IFERROR(__xludf.DUMMYFUNCTION("""COMPUTED_VALUE"""),1.6056662571484372)</f>
        <v>1.605666257</v>
      </c>
    </row>
    <row r="48">
      <c r="A48" s="11">
        <f>IFERROR(__xludf.DUMMYFUNCTION("""COMPUTED_VALUE"""),2.5584306340239427)</f>
        <v>2.558430634</v>
      </c>
    </row>
    <row r="49">
      <c r="A49" s="11">
        <f>IFERROR(__xludf.DUMMYFUNCTION("""COMPUTED_VALUE"""),2.081926852385538)</f>
        <v>2.081926852</v>
      </c>
    </row>
    <row r="50">
      <c r="A50" s="11">
        <f>IFERROR(__xludf.DUMMYFUNCTION("""COMPUTED_VALUE"""),1.9471286237653975)</f>
        <v>1.947128624</v>
      </c>
    </row>
    <row r="51">
      <c r="A51" s="11">
        <f>IFERROR(__xludf.DUMMYFUNCTION("""COMPUTED_VALUE"""),1.2331536036696729)</f>
        <v>1.233153604</v>
      </c>
    </row>
    <row r="52">
      <c r="A52" s="11">
        <f>IFERROR(__xludf.DUMMYFUNCTION("""COMPUTED_VALUE"""),2.0231476772242067)</f>
        <v>2.023147677</v>
      </c>
    </row>
    <row r="53">
      <c r="A53" s="11">
        <f>IFERROR(__xludf.DUMMYFUNCTION("""COMPUTED_VALUE"""),2.5194407020001073)</f>
        <v>2.519440702</v>
      </c>
    </row>
    <row r="54">
      <c r="A54" s="11">
        <f>IFERROR(__xludf.DUMMYFUNCTION("""COMPUTED_VALUE"""),2.3626787802418763)</f>
        <v>2.36267878</v>
      </c>
    </row>
    <row r="55">
      <c r="A55" s="11">
        <f>IFERROR(__xludf.DUMMYFUNCTION("""COMPUTED_VALUE"""),2.0749655698433918)</f>
        <v>2.07496557</v>
      </c>
    </row>
    <row r="56">
      <c r="A56" s="11">
        <f>IFERROR(__xludf.DUMMYFUNCTION("""COMPUTED_VALUE"""),2.130965713723893)</f>
        <v>2.130965714</v>
      </c>
    </row>
    <row r="57">
      <c r="A57" s="11">
        <f>IFERROR(__xludf.DUMMYFUNCTION("""COMPUTED_VALUE"""),2.3709562941693973)</f>
        <v>2.370956294</v>
      </c>
    </row>
    <row r="58">
      <c r="A58" s="11">
        <f>IFERROR(__xludf.DUMMYFUNCTION("""COMPUTED_VALUE"""),1.552822483049766)</f>
        <v>1.552822483</v>
      </c>
    </row>
    <row r="59">
      <c r="A59" s="11">
        <f>IFERROR(__xludf.DUMMYFUNCTION("""COMPUTED_VALUE"""),1.97526633147091)</f>
        <v>1.975266331</v>
      </c>
    </row>
    <row r="60">
      <c r="A60" s="11">
        <f>IFERROR(__xludf.DUMMYFUNCTION("""COMPUTED_VALUE"""),2.114509481603894)</f>
        <v>2.114509482</v>
      </c>
    </row>
    <row r="61">
      <c r="A61" s="11">
        <f>IFERROR(__xludf.DUMMYFUNCTION("""COMPUTED_VALUE"""),2.297180477987828)</f>
        <v>2.297180478</v>
      </c>
    </row>
    <row r="62">
      <c r="A62" s="11">
        <f>IFERROR(__xludf.DUMMYFUNCTION("""COMPUTED_VALUE"""),1.1712970038887471)</f>
        <v>1.171297004</v>
      </c>
    </row>
    <row r="63">
      <c r="A63" s="11">
        <f>IFERROR(__xludf.DUMMYFUNCTION("""COMPUTED_VALUE"""),2.087717805078437)</f>
        <v>2.087717805</v>
      </c>
    </row>
    <row r="64">
      <c r="A64" s="11">
        <f>IFERROR(__xludf.DUMMYFUNCTION("""COMPUTED_VALUE"""),1.9353785009031026)</f>
        <v>1.935378501</v>
      </c>
    </row>
    <row r="65">
      <c r="A65" s="11">
        <f>IFERROR(__xludf.DUMMYFUNCTION("""COMPUTED_VALUE"""),1.9530490412317851)</f>
        <v>1.953049041</v>
      </c>
    </row>
    <row r="66">
      <c r="A66" s="11">
        <f>IFERROR(__xludf.DUMMYFUNCTION("""COMPUTED_VALUE"""),1.2431660518545489)</f>
        <v>1.243166052</v>
      </c>
    </row>
    <row r="67">
      <c r="A67" s="11">
        <f>IFERROR(__xludf.DUMMYFUNCTION("""COMPUTED_VALUE"""),1.5082542605552045)</f>
        <v>1.508254261</v>
      </c>
    </row>
    <row r="68">
      <c r="A68" s="11">
        <f>IFERROR(__xludf.DUMMYFUNCTION("""COMPUTED_VALUE"""),1.7744285544377658)</f>
        <v>1.774428554</v>
      </c>
    </row>
    <row r="69">
      <c r="A69" s="11">
        <f>IFERROR(__xludf.DUMMYFUNCTION("""COMPUTED_VALUE"""),1.9111876601347815)</f>
        <v>1.91118766</v>
      </c>
    </row>
    <row r="70">
      <c r="A70" s="11">
        <f>IFERROR(__xludf.DUMMYFUNCTION("""COMPUTED_VALUE"""),2.09797667954133)</f>
        <v>2.09797668</v>
      </c>
    </row>
    <row r="71">
      <c r="A71" s="11">
        <f>IFERROR(__xludf.DUMMYFUNCTION("""COMPUTED_VALUE"""),1.4898220843370857)</f>
        <v>1.489822084</v>
      </c>
    </row>
    <row r="72">
      <c r="A72" s="11">
        <f>IFERROR(__xludf.DUMMYFUNCTION("""COMPUTED_VALUE"""),1.9683664914675663)</f>
        <v>1.968366491</v>
      </c>
    </row>
    <row r="73">
      <c r="A73" s="11">
        <f>IFERROR(__xludf.DUMMYFUNCTION("""COMPUTED_VALUE"""),1.498060043069443)</f>
        <v>1.498060043</v>
      </c>
    </row>
    <row r="74">
      <c r="A74" s="11">
        <f>IFERROR(__xludf.DUMMYFUNCTION("""COMPUTED_VALUE"""),1.877814308919708)</f>
        <v>1.877814309</v>
      </c>
    </row>
    <row r="75">
      <c r="A75" s="11">
        <f>IFERROR(__xludf.DUMMYFUNCTION("""COMPUTED_VALUE"""),2.0425457161538283)</f>
        <v>2.042545716</v>
      </c>
    </row>
    <row r="76">
      <c r="A76" s="11">
        <f>IFERROR(__xludf.DUMMYFUNCTION("""COMPUTED_VALUE"""),1.5557055845639878)</f>
        <v>1.555705585</v>
      </c>
    </row>
    <row r="77">
      <c r="A77" s="11">
        <f>IFERROR(__xludf.DUMMYFUNCTION("""COMPUTED_VALUE"""),1.2447187273025966)</f>
        <v>1.244718727</v>
      </c>
    </row>
    <row r="78">
      <c r="A78" s="11">
        <f>IFERROR(__xludf.DUMMYFUNCTION("""COMPUTED_VALUE"""),1.6695341747523347)</f>
        <v>1.669534175</v>
      </c>
    </row>
    <row r="79">
      <c r="A79" s="11">
        <f>IFERROR(__xludf.DUMMYFUNCTION("""COMPUTED_VALUE"""),2.0725221646962844)</f>
        <v>2.072522165</v>
      </c>
    </row>
    <row r="80">
      <c r="A80" s="11">
        <f>IFERROR(__xludf.DUMMYFUNCTION("""COMPUTED_VALUE"""),1.5346696589217528)</f>
        <v>1.534669659</v>
      </c>
    </row>
    <row r="81">
      <c r="A81" s="11">
        <f>IFERROR(__xludf.DUMMYFUNCTION("""COMPUTED_VALUE"""),2.1676168903867823)</f>
        <v>2.16761689</v>
      </c>
    </row>
    <row r="82">
      <c r="A82" s="11">
        <f>IFERROR(__xludf.DUMMYFUNCTION("""COMPUTED_VALUE"""),0.7845383258553577)</f>
        <v>0.7845383259</v>
      </c>
    </row>
    <row r="83">
      <c r="A83" s="11">
        <f>IFERROR(__xludf.DUMMYFUNCTION("""COMPUTED_VALUE"""),2.410632867428798)</f>
        <v>2.410632867</v>
      </c>
    </row>
    <row r="84">
      <c r="A84" s="11">
        <f>IFERROR(__xludf.DUMMYFUNCTION("""COMPUTED_VALUE"""),1.8243513728885339)</f>
        <v>1.824351373</v>
      </c>
    </row>
    <row r="85">
      <c r="A85" s="11">
        <f>IFERROR(__xludf.DUMMYFUNCTION("""COMPUTED_VALUE"""),2.0262358404598513)</f>
        <v>2.02623584</v>
      </c>
    </row>
    <row r="86">
      <c r="A86" s="11">
        <f>IFERROR(__xludf.DUMMYFUNCTION("""COMPUTED_VALUE"""),3.5258478330590215)</f>
        <v>3.525847833</v>
      </c>
    </row>
    <row r="87">
      <c r="A87" s="11">
        <f>IFERROR(__xludf.DUMMYFUNCTION("""COMPUTED_VALUE"""),1.6080136973225765)</f>
        <v>1.608013697</v>
      </c>
    </row>
    <row r="88">
      <c r="A88" s="11">
        <f>IFERROR(__xludf.DUMMYFUNCTION("""COMPUTED_VALUE"""),2.2354378679609663)</f>
        <v>2.235437868</v>
      </c>
    </row>
    <row r="89">
      <c r="A89" s="11">
        <f>IFERROR(__xludf.DUMMYFUNCTION("""COMPUTED_VALUE"""),1.7223951718626949)</f>
        <v>1.722395172</v>
      </c>
    </row>
    <row r="90">
      <c r="A90" s="11">
        <f>IFERROR(__xludf.DUMMYFUNCTION("""COMPUTED_VALUE"""),1.5070757387896543)</f>
        <v>1.507075739</v>
      </c>
    </row>
    <row r="91">
      <c r="A91" s="11">
        <f>IFERROR(__xludf.DUMMYFUNCTION("""COMPUTED_VALUE"""),1.9353445192301695)</f>
        <v>1.935344519</v>
      </c>
    </row>
    <row r="92">
      <c r="A92" s="11">
        <f>IFERROR(__xludf.DUMMYFUNCTION("""COMPUTED_VALUE"""),2.4929533841620723)</f>
        <v>2.492953384</v>
      </c>
    </row>
    <row r="93">
      <c r="A93" s="11">
        <f>IFERROR(__xludf.DUMMYFUNCTION("""COMPUTED_VALUE"""),-0.8625744809001105)</f>
        <v>-0.8625744809</v>
      </c>
    </row>
    <row r="94">
      <c r="A94" s="11">
        <f>IFERROR(__xludf.DUMMYFUNCTION("""COMPUTED_VALUE"""),2.1161012246986126)</f>
        <v>2.116101225</v>
      </c>
    </row>
    <row r="95">
      <c r="A95" s="11">
        <f>IFERROR(__xludf.DUMMYFUNCTION("""COMPUTED_VALUE"""),2.4696365901796997)</f>
        <v>2.46963659</v>
      </c>
    </row>
    <row r="96">
      <c r="A96" s="11">
        <f>IFERROR(__xludf.DUMMYFUNCTION("""COMPUTED_VALUE"""),0.5796024165245495)</f>
        <v>0.5796024165</v>
      </c>
    </row>
    <row r="97">
      <c r="A97" s="11">
        <f>IFERROR(__xludf.DUMMYFUNCTION("""COMPUTED_VALUE"""),1.5161672075402868)</f>
        <v>1.516167208</v>
      </c>
    </row>
    <row r="98">
      <c r="A98" s="11">
        <f>IFERROR(__xludf.DUMMYFUNCTION("""COMPUTED_VALUE"""),3.822217909496224)</f>
        <v>3.822217909</v>
      </c>
    </row>
    <row r="99">
      <c r="A99" s="11">
        <f>IFERROR(__xludf.DUMMYFUNCTION("""COMPUTED_VALUE"""),1.8624078972825864)</f>
        <v>1.862407897</v>
      </c>
    </row>
    <row r="100">
      <c r="A100" s="11">
        <f>IFERROR(__xludf.DUMMYFUNCTION("""COMPUTED_VALUE"""),1.4824923780109784)</f>
        <v>1.482492378</v>
      </c>
    </row>
    <row r="101">
      <c r="A101" s="11">
        <f>IFERROR(__xludf.DUMMYFUNCTION("""COMPUTED_VALUE"""),1.8861137091217492)</f>
        <v>1.886113709</v>
      </c>
    </row>
    <row r="102">
      <c r="A102" s="11">
        <f>IFERROR(__xludf.DUMMYFUNCTION("""COMPUTED_VALUE"""),2.550860260821167)</f>
        <v>2.550860261</v>
      </c>
    </row>
    <row r="103">
      <c r="A103" s="11">
        <f>IFERROR(__xludf.DUMMYFUNCTION("""COMPUTED_VALUE"""),2.04419004429612)</f>
        <v>2.044190044</v>
      </c>
    </row>
    <row r="104">
      <c r="A104" s="11">
        <f>IFERROR(__xludf.DUMMYFUNCTION("""COMPUTED_VALUE"""),1.7905696013756216)</f>
        <v>1.790569601</v>
      </c>
    </row>
    <row r="105">
      <c r="A105" s="11">
        <f>IFERROR(__xludf.DUMMYFUNCTION("""COMPUTED_VALUE"""),1.7750127637531719)</f>
        <v>1.775012764</v>
      </c>
    </row>
    <row r="106">
      <c r="A106" s="11">
        <f>IFERROR(__xludf.DUMMYFUNCTION("""COMPUTED_VALUE"""),1.7274972995705755)</f>
        <v>1.7274973</v>
      </c>
    </row>
    <row r="107">
      <c r="A107" s="11">
        <f>IFERROR(__xludf.DUMMYFUNCTION("""COMPUTED_VALUE"""),2.0079397704366584)</f>
        <v>2.00793977</v>
      </c>
    </row>
    <row r="108">
      <c r="A108" s="11">
        <f>IFERROR(__xludf.DUMMYFUNCTION("""COMPUTED_VALUE"""),2.1196527296048107)</f>
        <v>2.11965273</v>
      </c>
    </row>
    <row r="109">
      <c r="A109" s="11">
        <f>IFERROR(__xludf.DUMMYFUNCTION("""COMPUTED_VALUE"""),1.6347426704835761)</f>
        <v>1.63474267</v>
      </c>
    </row>
    <row r="110">
      <c r="A110" s="11">
        <f>IFERROR(__xludf.DUMMYFUNCTION("""COMPUTED_VALUE"""),2.1703595184540125)</f>
        <v>2.170359518</v>
      </c>
    </row>
    <row r="111">
      <c r="A111" s="11">
        <f>IFERROR(__xludf.DUMMYFUNCTION("""COMPUTED_VALUE"""),2.6123269928363126)</f>
        <v>2.612326993</v>
      </c>
    </row>
    <row r="112">
      <c r="A112" s="11"/>
    </row>
    <row r="113">
      <c r="A113" s="11">
        <f>IFERROR(__xludf.DUMMYFUNCTION("""COMPUTED_VALUE"""),1.8184570170513765)</f>
        <v>1.818457017</v>
      </c>
    </row>
    <row r="114">
      <c r="A114" s="11">
        <f>IFERROR(__xludf.DUMMYFUNCTION("""COMPUTED_VALUE"""),1.6510183481072596)</f>
        <v>1.651018348</v>
      </c>
    </row>
    <row r="115">
      <c r="A115" s="11">
        <f>IFERROR(__xludf.DUMMYFUNCTION("""COMPUTED_VALUE"""),1.8241859911325584)</f>
        <v>1.824185991</v>
      </c>
    </row>
    <row r="116">
      <c r="A116" s="11">
        <f>IFERROR(__xludf.DUMMYFUNCTION("""COMPUTED_VALUE"""),0.5020236918150555)</f>
        <v>0.5020236918</v>
      </c>
    </row>
    <row r="117">
      <c r="A117" s="11">
        <f>IFERROR(__xludf.DUMMYFUNCTION("""COMPUTED_VALUE"""),2.5389693600342174)</f>
        <v>2.53896936</v>
      </c>
    </row>
    <row r="118">
      <c r="A118" s="11">
        <f>IFERROR(__xludf.DUMMYFUNCTION("""COMPUTED_VALUE"""),2.302999331310395)</f>
        <v>2.302999331</v>
      </c>
    </row>
    <row r="119">
      <c r="A119" s="11">
        <f>IFERROR(__xludf.DUMMYFUNCTION("""COMPUTED_VALUE"""),2.411883702070361)</f>
        <v>2.411883702</v>
      </c>
    </row>
    <row r="120">
      <c r="A120" s="11">
        <f>IFERROR(__xludf.DUMMYFUNCTION("""COMPUTED_VALUE"""),1.890109392828696)</f>
        <v>1.890109393</v>
      </c>
    </row>
    <row r="121">
      <c r="A121" s="11">
        <f>IFERROR(__xludf.DUMMYFUNCTION("""COMPUTED_VALUE"""),2.5456718752288765)</f>
        <v>2.545671875</v>
      </c>
    </row>
    <row r="122">
      <c r="A122" s="11">
        <f>IFERROR(__xludf.DUMMYFUNCTION("""COMPUTED_VALUE"""),0.775316701116289)</f>
        <v>0.7753167011</v>
      </c>
    </row>
    <row r="123">
      <c r="A123" s="11">
        <f>IFERROR(__xludf.DUMMYFUNCTION("""COMPUTED_VALUE"""),1.8565232900166433)</f>
        <v>1.85652329</v>
      </c>
    </row>
    <row r="124">
      <c r="A124" s="11">
        <f>IFERROR(__xludf.DUMMYFUNCTION("""COMPUTED_VALUE"""),1.4481999799745702)</f>
        <v>1.44819998</v>
      </c>
    </row>
    <row r="125">
      <c r="A125" s="11">
        <f>IFERROR(__xludf.DUMMYFUNCTION("""COMPUTED_VALUE"""),1.9022281766304334)</f>
        <v>1.902228177</v>
      </c>
    </row>
    <row r="126">
      <c r="A126" s="11">
        <f>IFERROR(__xludf.DUMMYFUNCTION("""COMPUTED_VALUE"""),2.095526648434139)</f>
        <v>2.095526648</v>
      </c>
    </row>
    <row r="127">
      <c r="A127" s="11">
        <f>IFERROR(__xludf.DUMMYFUNCTION("""COMPUTED_VALUE"""),2.2716539850990887)</f>
        <v>2.271653985</v>
      </c>
    </row>
    <row r="128">
      <c r="A128" s="11">
        <f>IFERROR(__xludf.DUMMYFUNCTION("""COMPUTED_VALUE"""),2.7058756470425394)</f>
        <v>2.705875647</v>
      </c>
    </row>
    <row r="129">
      <c r="A129" s="11">
        <f>IFERROR(__xludf.DUMMYFUNCTION("""COMPUTED_VALUE"""),2.199501698380907)</f>
        <v>2.199501698</v>
      </c>
    </row>
    <row r="130">
      <c r="A130" s="11">
        <f>IFERROR(__xludf.DUMMYFUNCTION("""COMPUTED_VALUE"""),1.4628890928668863)</f>
        <v>1.462889093</v>
      </c>
    </row>
    <row r="131">
      <c r="A131" s="11">
        <f>IFERROR(__xludf.DUMMYFUNCTION("""COMPUTED_VALUE"""),1.4255419195446222)</f>
        <v>1.42554192</v>
      </c>
    </row>
    <row r="132">
      <c r="A132" s="11">
        <f>IFERROR(__xludf.DUMMYFUNCTION("""COMPUTED_VALUE"""),2.6725425740333533)</f>
        <v>2.672542574</v>
      </c>
    </row>
    <row r="133">
      <c r="A133" s="11">
        <f>IFERROR(__xludf.DUMMYFUNCTION("""COMPUTED_VALUE"""),1.5907927179266128)</f>
        <v>1.590792718</v>
      </c>
    </row>
    <row r="134">
      <c r="A134" s="11">
        <f>IFERROR(__xludf.DUMMYFUNCTION("""COMPUTED_VALUE"""),0.5423437070370715)</f>
        <v>0.542343707</v>
      </c>
    </row>
    <row r="135">
      <c r="A135" s="11">
        <f>IFERROR(__xludf.DUMMYFUNCTION("""COMPUTED_VALUE"""),2.450761315045689)</f>
        <v>2.450761315</v>
      </c>
    </row>
    <row r="136">
      <c r="A136" s="11">
        <f>IFERROR(__xludf.DUMMYFUNCTION("""COMPUTED_VALUE"""),1.4640523865495145)</f>
        <v>1.464052387</v>
      </c>
    </row>
    <row r="137">
      <c r="A137" s="11">
        <f>IFERROR(__xludf.DUMMYFUNCTION("""COMPUTED_VALUE"""),1.603345517328464)</f>
        <v>1.603345517</v>
      </c>
    </row>
    <row r="138">
      <c r="A138" s="11">
        <f>IFERROR(__xludf.DUMMYFUNCTION("""COMPUTED_VALUE"""),1.524339366927188)</f>
        <v>1.524339367</v>
      </c>
    </row>
    <row r="139">
      <c r="A139" s="11">
        <f>IFERROR(__xludf.DUMMYFUNCTION("""COMPUTED_VALUE"""),2.348827940929465)</f>
        <v>2.348827941</v>
      </c>
    </row>
    <row r="140">
      <c r="A140" s="11">
        <f>IFERROR(__xludf.DUMMYFUNCTION("""COMPUTED_VALUE"""),2.5063668899347546)</f>
        <v>2.50636689</v>
      </c>
    </row>
    <row r="141">
      <c r="A141" s="11">
        <f>IFERROR(__xludf.DUMMYFUNCTION("""COMPUTED_VALUE"""),2.0456057590667673)</f>
        <v>2.045605759</v>
      </c>
    </row>
    <row r="142">
      <c r="A142" s="11">
        <f>IFERROR(__xludf.DUMMYFUNCTION("""COMPUTED_VALUE"""),1.7798278840953763)</f>
        <v>1.779827884</v>
      </c>
    </row>
    <row r="143">
      <c r="A143" s="11">
        <f>IFERROR(__xludf.DUMMYFUNCTION("""COMPUTED_VALUE"""),1.8165807703754344)</f>
        <v>1.81658077</v>
      </c>
    </row>
    <row r="144">
      <c r="A144" s="11">
        <f>IFERROR(__xludf.DUMMYFUNCTION("""COMPUTED_VALUE"""),1.6871328589183696)</f>
        <v>1.687132859</v>
      </c>
    </row>
    <row r="145">
      <c r="A145" s="11">
        <f>IFERROR(__xludf.DUMMYFUNCTION("""COMPUTED_VALUE"""),1.7029933155450643)</f>
        <v>1.702993316</v>
      </c>
    </row>
    <row r="146">
      <c r="A146" s="11">
        <f>IFERROR(__xludf.DUMMYFUNCTION("""COMPUTED_VALUE"""),2.3114337871510386)</f>
        <v>2.311433787</v>
      </c>
    </row>
    <row r="147">
      <c r="A147" s="11">
        <f>IFERROR(__xludf.DUMMYFUNCTION("""COMPUTED_VALUE"""),1.5371016327375424)</f>
        <v>1.537101633</v>
      </c>
    </row>
    <row r="148">
      <c r="A148" s="11">
        <f>IFERROR(__xludf.DUMMYFUNCTION("""COMPUTED_VALUE"""),4.251494689654465)</f>
        <v>4.25149469</v>
      </c>
    </row>
    <row r="149">
      <c r="A149" s="11">
        <f>IFERROR(__xludf.DUMMYFUNCTION("""COMPUTED_VALUE"""),2.837040397344633)</f>
        <v>2.837040397</v>
      </c>
    </row>
    <row r="150">
      <c r="A150" s="11">
        <f>IFERROR(__xludf.DUMMYFUNCTION("""COMPUTED_VALUE"""),1.854559613392277)</f>
        <v>1.854559613</v>
      </c>
    </row>
    <row r="151">
      <c r="A151" s="11">
        <f>IFERROR(__xludf.DUMMYFUNCTION("""COMPUTED_VALUE"""),4.2399725940785045)</f>
        <v>4.239972594</v>
      </c>
    </row>
    <row r="152">
      <c r="A152" s="11">
        <f>IFERROR(__xludf.DUMMYFUNCTION("""COMPUTED_VALUE"""),1.9987352032156867)</f>
        <v>1.998735203</v>
      </c>
    </row>
    <row r="153">
      <c r="A153" s="11">
        <f>IFERROR(__xludf.DUMMYFUNCTION("""COMPUTED_VALUE"""),1.5486360141646178)</f>
        <v>1.548636014</v>
      </c>
    </row>
    <row r="154">
      <c r="A154" s="11">
        <f>IFERROR(__xludf.DUMMYFUNCTION("""COMPUTED_VALUE"""),3.071134230179129)</f>
        <v>3.07113423</v>
      </c>
    </row>
    <row r="155">
      <c r="A155" s="11">
        <f>IFERROR(__xludf.DUMMYFUNCTION("""COMPUTED_VALUE"""),1.5272243427302399)</f>
        <v>1.527224343</v>
      </c>
    </row>
    <row r="156">
      <c r="A156" s="11">
        <f>IFERROR(__xludf.DUMMYFUNCTION("""COMPUTED_VALUE"""),1.7623279954253381)</f>
        <v>1.762327995</v>
      </c>
    </row>
    <row r="157">
      <c r="A157" s="11">
        <f>IFERROR(__xludf.DUMMYFUNCTION("""COMPUTED_VALUE"""),2.4948886239184116)</f>
        <v>2.494888624</v>
      </c>
    </row>
    <row r="158">
      <c r="A158" s="11">
        <f>IFERROR(__xludf.DUMMYFUNCTION("""COMPUTED_VALUE"""),1.814885146831221)</f>
        <v>1.814885147</v>
      </c>
    </row>
    <row r="159">
      <c r="A159" s="11">
        <f>IFERROR(__xludf.DUMMYFUNCTION("""COMPUTED_VALUE"""),1.9101509075580896)</f>
        <v>1.910150908</v>
      </c>
    </row>
    <row r="160">
      <c r="A160" s="11">
        <f>IFERROR(__xludf.DUMMYFUNCTION("""COMPUTED_VALUE"""),1.0773725665186953)</f>
        <v>1.077372567</v>
      </c>
    </row>
    <row r="161">
      <c r="A161" s="11">
        <f>IFERROR(__xludf.DUMMYFUNCTION("""COMPUTED_VALUE"""),3.1102497586834463)</f>
        <v>3.110249759</v>
      </c>
    </row>
    <row r="162">
      <c r="A162" s="11">
        <f>IFERROR(__xludf.DUMMYFUNCTION("""COMPUTED_VALUE"""),1.886026571110704)</f>
        <v>1.886026571</v>
      </c>
    </row>
    <row r="163">
      <c r="A163" s="11">
        <f>IFERROR(__xludf.DUMMYFUNCTION("""COMPUTED_VALUE"""),1.5778376237150242)</f>
        <v>1.577837624</v>
      </c>
    </row>
    <row r="164">
      <c r="A164" s="11">
        <f>IFERROR(__xludf.DUMMYFUNCTION("""COMPUTED_VALUE"""),1.6624727477345478)</f>
        <v>1.662472748</v>
      </c>
    </row>
    <row r="165">
      <c r="A165" s="11">
        <f>IFERROR(__xludf.DUMMYFUNCTION("""COMPUTED_VALUE"""),0.2357999136051579)</f>
        <v>0.2357999136</v>
      </c>
    </row>
    <row r="166">
      <c r="A166" s="11">
        <f>IFERROR(__xludf.DUMMYFUNCTION("""COMPUTED_VALUE"""),2.0711933753156195)</f>
        <v>2.071193375</v>
      </c>
    </row>
    <row r="167">
      <c r="A167" s="11">
        <f>IFERROR(__xludf.DUMMYFUNCTION("""COMPUTED_VALUE"""),1.464102839027914)</f>
        <v>1.464102839</v>
      </c>
    </row>
    <row r="168">
      <c r="A168" s="11">
        <f>IFERROR(__xludf.DUMMYFUNCTION("""COMPUTED_VALUE"""),0.5175038033150019)</f>
        <v>0.5175038033</v>
      </c>
    </row>
    <row r="169">
      <c r="A169" s="11">
        <f>IFERROR(__xludf.DUMMYFUNCTION("""COMPUTED_VALUE"""),2.788519798317513)</f>
        <v>2.788519798</v>
      </c>
    </row>
    <row r="170">
      <c r="A170" s="11">
        <f>IFERROR(__xludf.DUMMYFUNCTION("""COMPUTED_VALUE"""),2.1756660614902934)</f>
        <v>2.175666061</v>
      </c>
    </row>
    <row r="171">
      <c r="A171" s="11">
        <f>IFERROR(__xludf.DUMMYFUNCTION("""COMPUTED_VALUE"""),1.926427293719112)</f>
        <v>1.926427294</v>
      </c>
    </row>
    <row r="172">
      <c r="A172" s="11">
        <f>IFERROR(__xludf.DUMMYFUNCTION("""COMPUTED_VALUE"""),1.2740819033023476)</f>
        <v>1.274081903</v>
      </c>
    </row>
    <row r="173">
      <c r="A173" s="11">
        <f>IFERROR(__xludf.DUMMYFUNCTION("""COMPUTED_VALUE"""),0.4027273789097075)</f>
        <v>0.4027273789</v>
      </c>
    </row>
    <row r="174">
      <c r="A174" s="11">
        <f>IFERROR(__xludf.DUMMYFUNCTION("""COMPUTED_VALUE"""),1.1288706354975369)</f>
        <v>1.128870635</v>
      </c>
    </row>
    <row r="175">
      <c r="A175" s="11">
        <f>IFERROR(__xludf.DUMMYFUNCTION("""COMPUTED_VALUE"""),1.0971672426673682)</f>
        <v>1.097167243</v>
      </c>
    </row>
    <row r="176">
      <c r="A176" s="11">
        <f>IFERROR(__xludf.DUMMYFUNCTION("""COMPUTED_VALUE"""),2.229027397092972)</f>
        <v>2.229027397</v>
      </c>
    </row>
    <row r="177">
      <c r="A177" s="11">
        <f>IFERROR(__xludf.DUMMYFUNCTION("""COMPUTED_VALUE"""),1.6789206941874928)</f>
        <v>1.678920694</v>
      </c>
    </row>
    <row r="178">
      <c r="A178" s="11">
        <f>IFERROR(__xludf.DUMMYFUNCTION("""COMPUTED_VALUE"""),2.690266706228669)</f>
        <v>2.690266706</v>
      </c>
    </row>
    <row r="179">
      <c r="A179" s="11">
        <f>IFERROR(__xludf.DUMMYFUNCTION("""COMPUTED_VALUE"""),1.1212494722570778)</f>
        <v>1.121249472</v>
      </c>
    </row>
    <row r="180">
      <c r="A180" s="11">
        <f>IFERROR(__xludf.DUMMYFUNCTION("""COMPUTED_VALUE"""),2.273088612973664)</f>
        <v>2.273088613</v>
      </c>
    </row>
    <row r="181">
      <c r="A181" s="11">
        <f>IFERROR(__xludf.DUMMYFUNCTION("""COMPUTED_VALUE"""),2.6965747917964733)</f>
        <v>2.696574792</v>
      </c>
    </row>
    <row r="182">
      <c r="A182" s="11">
        <f>IFERROR(__xludf.DUMMYFUNCTION("""COMPUTED_VALUE"""),1.2132636198091094)</f>
        <v>1.21326362</v>
      </c>
    </row>
    <row r="183">
      <c r="A183" s="11">
        <f>IFERROR(__xludf.DUMMYFUNCTION("""COMPUTED_VALUE"""),1.558213060442312)</f>
        <v>1.55821306</v>
      </c>
    </row>
    <row r="184">
      <c r="A184" s="11">
        <f>IFERROR(__xludf.DUMMYFUNCTION("""COMPUTED_VALUE"""),0.9681563146417868)</f>
        <v>0.9681563146</v>
      </c>
    </row>
    <row r="185">
      <c r="A185" s="11">
        <f>IFERROR(__xludf.DUMMYFUNCTION("""COMPUTED_VALUE"""),1.0974927879040082)</f>
        <v>1.097492788</v>
      </c>
    </row>
    <row r="186">
      <c r="A186" s="11">
        <f>IFERROR(__xludf.DUMMYFUNCTION("""COMPUTED_VALUE"""),2.3573537126844255)</f>
        <v>2.357353713</v>
      </c>
    </row>
    <row r="187">
      <c r="A187" s="11">
        <f>IFERROR(__xludf.DUMMYFUNCTION("""COMPUTED_VALUE"""),1.6825652300653717)</f>
        <v>1.68256523</v>
      </c>
    </row>
    <row r="188">
      <c r="A188" s="11">
        <f>IFERROR(__xludf.DUMMYFUNCTION("""COMPUTED_VALUE"""),1.3520718644806746)</f>
        <v>1.352071864</v>
      </c>
    </row>
    <row r="189">
      <c r="A189" s="11">
        <f>IFERROR(__xludf.DUMMYFUNCTION("""COMPUTED_VALUE"""),2.491274579718475)</f>
        <v>2.49127458</v>
      </c>
    </row>
    <row r="190">
      <c r="A190" s="11">
        <f>IFERROR(__xludf.DUMMYFUNCTION("""COMPUTED_VALUE"""),1.5994558737948428)</f>
        <v>1.599455874</v>
      </c>
    </row>
    <row r="191">
      <c r="A191" s="11">
        <f>IFERROR(__xludf.DUMMYFUNCTION("""COMPUTED_VALUE"""),1.1980245337302833)</f>
        <v>1.198024534</v>
      </c>
    </row>
    <row r="192">
      <c r="A192" s="11">
        <f>IFERROR(__xludf.DUMMYFUNCTION("""COMPUTED_VALUE"""),2.0953941518225716)</f>
        <v>2.095394152</v>
      </c>
    </row>
    <row r="193">
      <c r="A193" s="11">
        <f>IFERROR(__xludf.DUMMYFUNCTION("""COMPUTED_VALUE"""),1.5451749580208285)</f>
        <v>1.545174958</v>
      </c>
    </row>
    <row r="194">
      <c r="A194" s="11">
        <f>IFERROR(__xludf.DUMMYFUNCTION("""COMPUTED_VALUE"""),2.6249955895821975)</f>
        <v>2.62499559</v>
      </c>
    </row>
    <row r="195">
      <c r="A195" s="11">
        <f>IFERROR(__xludf.DUMMYFUNCTION("""COMPUTED_VALUE"""),2.307231399595449)</f>
        <v>2.3072314</v>
      </c>
    </row>
    <row r="196">
      <c r="A196" s="11">
        <f>IFERROR(__xludf.DUMMYFUNCTION("""COMPUTED_VALUE"""),2.0621548959934706)</f>
        <v>2.062154896</v>
      </c>
    </row>
    <row r="197">
      <c r="A197" s="11">
        <f>IFERROR(__xludf.DUMMYFUNCTION("""COMPUTED_VALUE"""),1.1907419512878779)</f>
        <v>1.190741951</v>
      </c>
    </row>
    <row r="198">
      <c r="A198" s="11">
        <f>IFERROR(__xludf.DUMMYFUNCTION("""COMPUTED_VALUE"""),2.7873238187742917)</f>
        <v>2.787323819</v>
      </c>
    </row>
    <row r="199">
      <c r="A199" s="11">
        <f>IFERROR(__xludf.DUMMYFUNCTION("""COMPUTED_VALUE"""),1.5321775077123418)</f>
        <v>1.532177508</v>
      </c>
    </row>
    <row r="200">
      <c r="A200" s="11">
        <f>IFERROR(__xludf.DUMMYFUNCTION("""COMPUTED_VALUE"""),1.5332361388472253)</f>
        <v>1.533236139</v>
      </c>
    </row>
    <row r="201">
      <c r="A201" s="11">
        <f>IFERROR(__xludf.DUMMYFUNCTION("""COMPUTED_VALUE"""),1.8601841308827203)</f>
        <v>1.860184131</v>
      </c>
    </row>
    <row r="202">
      <c r="A202" s="11">
        <f>IFERROR(__xludf.DUMMYFUNCTION("""COMPUTED_VALUE"""),2.1539510829638213)</f>
        <v>2.153951083</v>
      </c>
    </row>
    <row r="203">
      <c r="A203" s="11">
        <f>IFERROR(__xludf.DUMMYFUNCTION("""COMPUTED_VALUE"""),1.9470963323293633)</f>
        <v>1.947096332</v>
      </c>
    </row>
    <row r="204">
      <c r="A204" s="11">
        <f>IFERROR(__xludf.DUMMYFUNCTION("""COMPUTED_VALUE"""),0.9404527457930001)</f>
        <v>0.9404527458</v>
      </c>
    </row>
    <row r="205">
      <c r="A205" s="11">
        <f>IFERROR(__xludf.DUMMYFUNCTION("""COMPUTED_VALUE"""),2.598292693578453)</f>
        <v>2.598292694</v>
      </c>
    </row>
    <row r="206">
      <c r="A206" s="11">
        <f>IFERROR(__xludf.DUMMYFUNCTION("""COMPUTED_VALUE"""),2.5296746463623014)</f>
        <v>2.529674646</v>
      </c>
    </row>
    <row r="207">
      <c r="A207" s="11">
        <f>IFERROR(__xludf.DUMMYFUNCTION("""COMPUTED_VALUE"""),1.0930002716799996)</f>
        <v>1.093000272</v>
      </c>
    </row>
    <row r="208">
      <c r="A208" s="11">
        <f>IFERROR(__xludf.DUMMYFUNCTION("""COMPUTED_VALUE"""),1.1340196281369128)</f>
        <v>1.134019628</v>
      </c>
    </row>
    <row r="209">
      <c r="A209" s="11">
        <f>IFERROR(__xludf.DUMMYFUNCTION("""COMPUTED_VALUE"""),1.806643982149986)</f>
        <v>1.806643982</v>
      </c>
    </row>
    <row r="210">
      <c r="A210" s="11">
        <f>IFERROR(__xludf.DUMMYFUNCTION("""COMPUTED_VALUE"""),3.852791225224942)</f>
        <v>3.852791225</v>
      </c>
    </row>
    <row r="211">
      <c r="A211" s="11">
        <f>IFERROR(__xludf.DUMMYFUNCTION("""COMPUTED_VALUE"""),1.2649577822884714)</f>
        <v>1.264957782</v>
      </c>
    </row>
    <row r="212">
      <c r="A212" s="11">
        <f>IFERROR(__xludf.DUMMYFUNCTION("""COMPUTED_VALUE"""),1.939040062855661)</f>
        <v>1.939040063</v>
      </c>
    </row>
    <row r="213">
      <c r="A213" s="11">
        <f>IFERROR(__xludf.DUMMYFUNCTION("""COMPUTED_VALUE"""),2.473027223770134)</f>
        <v>2.473027224</v>
      </c>
    </row>
    <row r="214">
      <c r="A214" s="11">
        <f>IFERROR(__xludf.DUMMYFUNCTION("""COMPUTED_VALUE"""),2.7107518348841255)</f>
        <v>2.710751835</v>
      </c>
    </row>
    <row r="215">
      <c r="A215" s="11">
        <f>IFERROR(__xludf.DUMMYFUNCTION("""COMPUTED_VALUE"""),1.2713390617193776)</f>
        <v>1.271339062</v>
      </c>
    </row>
    <row r="216">
      <c r="A216" s="11">
        <f>IFERROR(__xludf.DUMMYFUNCTION("""COMPUTED_VALUE"""),1.9227494845972402)</f>
        <v>1.922749485</v>
      </c>
    </row>
    <row r="217">
      <c r="A217" s="11">
        <f>IFERROR(__xludf.DUMMYFUNCTION("""COMPUTED_VALUE"""),1.549631790577713)</f>
        <v>1.549631791</v>
      </c>
    </row>
    <row r="218">
      <c r="A218" s="11"/>
    </row>
    <row r="219">
      <c r="A219" s="11">
        <f>IFERROR(__xludf.DUMMYFUNCTION("""COMPUTED_VALUE"""),1.5496682499287477)</f>
        <v>1.54966825</v>
      </c>
    </row>
    <row r="220">
      <c r="A220" s="11">
        <f>IFERROR(__xludf.DUMMYFUNCTION("""COMPUTED_VALUE"""),1.1402949404911258)</f>
        <v>1.14029494</v>
      </c>
    </row>
    <row r="221">
      <c r="A221" s="11">
        <f>IFERROR(__xludf.DUMMYFUNCTION("""COMPUTED_VALUE"""),2.262937816047299)</f>
        <v>2.262937816</v>
      </c>
    </row>
    <row r="222">
      <c r="A222" s="11">
        <f>IFERROR(__xludf.DUMMYFUNCTION("""COMPUTED_VALUE"""),0.5254709145579126)</f>
        <v>0.5254709146</v>
      </c>
    </row>
    <row r="223">
      <c r="A223" s="11">
        <f>IFERROR(__xludf.DUMMYFUNCTION("""COMPUTED_VALUE"""),2.049244308153615)</f>
        <v>2.049244308</v>
      </c>
    </row>
    <row r="224">
      <c r="A224" s="11">
        <f>IFERROR(__xludf.DUMMYFUNCTION("""COMPUTED_VALUE"""),2.0053751771775756)</f>
        <v>2.005375177</v>
      </c>
    </row>
    <row r="225">
      <c r="A225" s="11">
        <f>IFERROR(__xludf.DUMMYFUNCTION("""COMPUTED_VALUE"""),1.355269741877985)</f>
        <v>1.355269742</v>
      </c>
    </row>
    <row r="226">
      <c r="A226" s="11">
        <f>IFERROR(__xludf.DUMMYFUNCTION("""COMPUTED_VALUE"""),1.7887363230054123)</f>
        <v>1.788736323</v>
      </c>
    </row>
    <row r="227">
      <c r="A227" s="11">
        <f>IFERROR(__xludf.DUMMYFUNCTION("""COMPUTED_VALUE"""),3.003029470553618)</f>
        <v>3.003029471</v>
      </c>
    </row>
    <row r="228">
      <c r="A228" s="11">
        <f>IFERROR(__xludf.DUMMYFUNCTION("""COMPUTED_VALUE"""),2.278246462437358)</f>
        <v>2.278246462</v>
      </c>
    </row>
    <row r="229">
      <c r="A229" s="11">
        <f>IFERROR(__xludf.DUMMYFUNCTION("""COMPUTED_VALUE"""),2.062488872035791)</f>
        <v>2.062488872</v>
      </c>
    </row>
    <row r="230">
      <c r="A230" s="11">
        <f>IFERROR(__xludf.DUMMYFUNCTION("""COMPUTED_VALUE"""),1.5265161157010507)</f>
        <v>1.526516116</v>
      </c>
    </row>
    <row r="231">
      <c r="A231" s="11">
        <f>IFERROR(__xludf.DUMMYFUNCTION("""COMPUTED_VALUE"""),0.9628684537959628)</f>
        <v>0.9628684538</v>
      </c>
    </row>
    <row r="232">
      <c r="A232" s="11">
        <f>IFERROR(__xludf.DUMMYFUNCTION("""COMPUTED_VALUE"""),2.0855254652450665)</f>
        <v>2.085525465</v>
      </c>
    </row>
    <row r="233">
      <c r="A233" s="11">
        <f>IFERROR(__xludf.DUMMYFUNCTION("""COMPUTED_VALUE"""),1.2804965570088263)</f>
        <v>1.280496557</v>
      </c>
    </row>
    <row r="234">
      <c r="A234" s="11">
        <f>IFERROR(__xludf.DUMMYFUNCTION("""COMPUTED_VALUE"""),2.0604193237852164)</f>
        <v>2.060419324</v>
      </c>
    </row>
    <row r="235">
      <c r="A235" s="11">
        <f>IFERROR(__xludf.DUMMYFUNCTION("""COMPUTED_VALUE"""),2.116883358760058)</f>
        <v>2.116883359</v>
      </c>
    </row>
    <row r="236">
      <c r="A236" s="11">
        <f>IFERROR(__xludf.DUMMYFUNCTION("""COMPUTED_VALUE"""),1.7211541932204737)</f>
        <v>1.721154193</v>
      </c>
    </row>
    <row r="237">
      <c r="A237" s="11">
        <f>IFERROR(__xludf.DUMMYFUNCTION("""COMPUTED_VALUE"""),1.0276270733748691)</f>
        <v>1.027627073</v>
      </c>
    </row>
    <row r="238">
      <c r="A238" s="11">
        <f>IFERROR(__xludf.DUMMYFUNCTION("""COMPUTED_VALUE"""),1.454654342322458)</f>
        <v>1.454654342</v>
      </c>
    </row>
    <row r="239">
      <c r="A239" s="11">
        <f>IFERROR(__xludf.DUMMYFUNCTION("""COMPUTED_VALUE"""),1.8588089475592677)</f>
        <v>1.858808948</v>
      </c>
    </row>
    <row r="240">
      <c r="A240" s="11">
        <f>IFERROR(__xludf.DUMMYFUNCTION("""COMPUTED_VALUE"""),1.5732113766361688)</f>
        <v>1.573211377</v>
      </c>
    </row>
    <row r="241">
      <c r="A241" s="11">
        <f>IFERROR(__xludf.DUMMYFUNCTION("""COMPUTED_VALUE"""),2.1592705111619463)</f>
        <v>2.159270511</v>
      </c>
    </row>
    <row r="242">
      <c r="A242" s="11">
        <f>IFERROR(__xludf.DUMMYFUNCTION("""COMPUTED_VALUE"""),2.5296746463623014)</f>
        <v>2.529674646</v>
      </c>
    </row>
    <row r="243">
      <c r="A243" s="11">
        <f>IFERROR(__xludf.DUMMYFUNCTION("""COMPUTED_VALUE"""),1.5496682499287477)</f>
        <v>1.54966825</v>
      </c>
    </row>
    <row r="244">
      <c r="A244" s="11">
        <f>IFERROR(__xludf.DUMMYFUNCTION("""COMPUTED_VALUE"""),2.4107594795352534)</f>
        <v>2.41075948</v>
      </c>
    </row>
    <row r="245">
      <c r="A245" s="11">
        <f>IFERROR(__xludf.DUMMYFUNCTION("""COMPUTED_VALUE"""),1.8309114038332057)</f>
        <v>1.830911404</v>
      </c>
    </row>
    <row r="246">
      <c r="A246" s="11">
        <f>IFERROR(__xludf.DUMMYFUNCTION("""COMPUTED_VALUE"""),1.9669379080267373)</f>
        <v>1.966937908</v>
      </c>
    </row>
    <row r="247">
      <c r="A247" s="11">
        <f>IFERROR(__xludf.DUMMYFUNCTION("""COMPUTED_VALUE"""),2.540454613671412)</f>
        <v>2.540454614</v>
      </c>
    </row>
    <row r="248">
      <c r="A248" s="11">
        <f>IFERROR(__xludf.DUMMYFUNCTION("""COMPUTED_VALUE"""),1.6868778137361597)</f>
        <v>1.686877814</v>
      </c>
    </row>
    <row r="249">
      <c r="A249" s="11">
        <f>IFERROR(__xludf.DUMMYFUNCTION("""COMPUTED_VALUE"""),2.1964658703151945)</f>
        <v>2.19646587</v>
      </c>
    </row>
    <row r="250">
      <c r="A250" s="11">
        <f>IFERROR(__xludf.DUMMYFUNCTION("""COMPUTED_VALUE"""),1.9003425258278672)</f>
        <v>1.900342526</v>
      </c>
    </row>
    <row r="251">
      <c r="A251" s="11">
        <f>IFERROR(__xludf.DUMMYFUNCTION("""COMPUTED_VALUE"""),1.6384425316490518)</f>
        <v>1.638442532</v>
      </c>
    </row>
    <row r="252">
      <c r="A252" s="11">
        <f>IFERROR(__xludf.DUMMYFUNCTION("""COMPUTED_VALUE"""),1.28191512209352)</f>
        <v>1.281915122</v>
      </c>
    </row>
    <row r="253">
      <c r="A253" s="11">
        <f>IFERROR(__xludf.DUMMYFUNCTION("""COMPUTED_VALUE"""),1.5255164309414304)</f>
        <v>1.525516431</v>
      </c>
    </row>
    <row r="254">
      <c r="A254" s="11">
        <f>IFERROR(__xludf.DUMMYFUNCTION("""COMPUTED_VALUE"""),1.8147377309312605)</f>
        <v>1.814737731</v>
      </c>
    </row>
    <row r="255">
      <c r="A255" s="11">
        <f>IFERROR(__xludf.DUMMYFUNCTION("""COMPUTED_VALUE"""),2.443535777949466)</f>
        <v>2.443535778</v>
      </c>
    </row>
    <row r="256">
      <c r="A256" s="11">
        <f>IFERROR(__xludf.DUMMYFUNCTION("""COMPUTED_VALUE"""),1.5021455420315157)</f>
        <v>1.502145542</v>
      </c>
    </row>
    <row r="257">
      <c r="A257" s="11">
        <f>IFERROR(__xludf.DUMMYFUNCTION("""COMPUTED_VALUE"""),2.2558351148559614)</f>
        <v>2.255835115</v>
      </c>
    </row>
    <row r="258">
      <c r="A258" s="11">
        <f>IFERROR(__xludf.DUMMYFUNCTION("""COMPUTED_VALUE"""),2.490977263183062)</f>
        <v>2.490977263</v>
      </c>
    </row>
    <row r="259">
      <c r="A259" s="11">
        <f>IFERROR(__xludf.DUMMYFUNCTION("""COMPUTED_VALUE"""),2.448519761293365)</f>
        <v>2.448519761</v>
      </c>
    </row>
    <row r="260">
      <c r="A260" s="11">
        <f>IFERROR(__xludf.DUMMYFUNCTION("""COMPUTED_VALUE"""),1.2761846159829986)</f>
        <v>1.276184616</v>
      </c>
    </row>
    <row r="261">
      <c r="A261" s="11">
        <f>IFERROR(__xludf.DUMMYFUNCTION("""COMPUTED_VALUE"""),1.72152727797973)</f>
        <v>1.721527278</v>
      </c>
    </row>
    <row r="262">
      <c r="A262" s="11">
        <f>IFERROR(__xludf.DUMMYFUNCTION("""COMPUTED_VALUE"""),1.8143346737356771)</f>
        <v>1.814334674</v>
      </c>
    </row>
    <row r="263">
      <c r="A263" s="11">
        <f>IFERROR(__xludf.DUMMYFUNCTION("""COMPUTED_VALUE"""),2.2089680142990797)</f>
        <v>2.208968014</v>
      </c>
    </row>
    <row r="264">
      <c r="A264" s="11">
        <f>IFERROR(__xludf.DUMMYFUNCTION("""COMPUTED_VALUE"""),1.629890943639064)</f>
        <v>1.629890944</v>
      </c>
    </row>
    <row r="265">
      <c r="A265" s="11">
        <f>IFERROR(__xludf.DUMMYFUNCTION("""COMPUTED_VALUE"""),1.6192006247498634)</f>
        <v>1.619200625</v>
      </c>
    </row>
    <row r="266">
      <c r="A266" s="11">
        <f>IFERROR(__xludf.DUMMYFUNCTION("""COMPUTED_VALUE"""),1.2498551193777345)</f>
        <v>1.249855119</v>
      </c>
    </row>
    <row r="267">
      <c r="A267" s="11">
        <f>IFERROR(__xludf.DUMMYFUNCTION("""COMPUTED_VALUE"""),1.5103032281556525)</f>
        <v>1.510303228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tr">
        <f>IFERROR(__xludf.DUMMYFUNCTION("QUERY({'2009'!A2:H267},""select Col9,Col8 label Col9 'log forest cover', Col8 'log population density'"",0)"),"#VALUE!")</f>
        <v>#VALUE!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tr">
        <f>IFERROR(__xludf.DUMMYFUNCTION("QUERY({'2009'!A2:H267},""select Col9,Col3 label Col9 'log forest cover', Col3 'precipitation'"",0)"),"#VALUE!")</f>
        <v>#VALUE!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tr">
        <f t="array" ref="A1:B934">{"forest cover","population density";'2009'!F2:F267,'2009'!G2:G267}</f>
        <v>forest cover</v>
      </c>
      <c r="B1" s="11" t="s">
        <v>6</v>
      </c>
    </row>
    <row r="2">
      <c r="A2" s="11">
        <v>2.33333333333333</v>
      </c>
      <c r="B2" s="11">
        <v>563.622222222222</v>
      </c>
    </row>
    <row r="3">
      <c r="A3" s="11">
        <v>36.90659570026</v>
      </c>
      <c r="B3" s="11">
        <v>34.0805521014316</v>
      </c>
    </row>
    <row r="4">
      <c r="A4" s="11">
        <v>1.85099408755323</v>
      </c>
      <c r="B4" s="11">
        <v>43.4929479520877</v>
      </c>
    </row>
    <row r="5">
      <c r="A5" s="11">
        <v>20.7661387298829</v>
      </c>
      <c r="B5" s="11">
        <v>37.702722927155</v>
      </c>
    </row>
    <row r="6">
      <c r="A6" s="11">
        <v>58.3244252827465</v>
      </c>
      <c r="B6" s="11">
        <v>18.0590960134756</v>
      </c>
    </row>
    <row r="7">
      <c r="A7" s="11">
        <v>28.4960948905109</v>
      </c>
      <c r="B7" s="11">
        <v>106.843759124088</v>
      </c>
    </row>
    <row r="8">
      <c r="A8" s="11">
        <v>34.0425531914894</v>
      </c>
      <c r="B8" s="11">
        <v>179.704255319149</v>
      </c>
    </row>
    <row r="9">
      <c r="A9" s="11">
        <v>1.70537729981661</v>
      </c>
      <c r="B9" s="11">
        <v>25.2752312605994</v>
      </c>
    </row>
    <row r="10">
      <c r="A10" s="11">
        <v>4.45667417628837</v>
      </c>
      <c r="B10" s="11">
        <v>111.480822303576</v>
      </c>
    </row>
    <row r="11">
      <c r="A11" s="11">
        <v>11.1559584753845</v>
      </c>
      <c r="B11" s="11">
        <v>14.792609320018</v>
      </c>
    </row>
    <row r="12">
      <c r="A12" s="11">
        <v>11.618124341412</v>
      </c>
      <c r="B12" s="11">
        <v>101.443414120126</v>
      </c>
    </row>
    <row r="13">
      <c r="A13" s="11">
        <v>87.3</v>
      </c>
      <c r="B13" s="11">
        <v>283.375</v>
      </c>
    </row>
    <row r="14">
      <c r="A14" s="11">
        <v>20.1068181818182</v>
      </c>
      <c r="B14" s="11">
        <v>197.143181818182</v>
      </c>
    </row>
    <row r="15">
      <c r="A15" s="11">
        <v>16.8924540827617</v>
      </c>
      <c r="B15" s="11">
        <v>2.82359449643987</v>
      </c>
    </row>
    <row r="16">
      <c r="A16" s="11">
        <v>46.7520889340987</v>
      </c>
      <c r="B16" s="11">
        <v>101.035663251714</v>
      </c>
    </row>
    <row r="17">
      <c r="A17" s="11">
        <v>12.441808477161</v>
      </c>
      <c r="B17" s="11">
        <v>108.291290455327</v>
      </c>
    </row>
    <row r="18">
      <c r="A18" s="11">
        <v>7.55218068535826</v>
      </c>
      <c r="B18" s="11">
        <v>327.011721183801</v>
      </c>
    </row>
    <row r="19">
      <c r="A19" s="11">
        <v>22.7084874504624</v>
      </c>
      <c r="B19" s="11">
        <v>356.555250990753</v>
      </c>
    </row>
    <row r="20">
      <c r="A20" s="11">
        <v>32.6813586378148</v>
      </c>
      <c r="B20" s="11">
        <v>79.3252305782192</v>
      </c>
    </row>
    <row r="21">
      <c r="A21" s="11">
        <v>24.7313596491228</v>
      </c>
      <c r="B21" s="11">
        <v>55.3402704678363</v>
      </c>
    </row>
    <row r="22">
      <c r="A22" s="11">
        <v>14.5313098256127</v>
      </c>
      <c r="B22" s="11">
        <v>1121.0324575555</v>
      </c>
    </row>
    <row r="23">
      <c r="A23" s="11">
        <v>34.0899042004421</v>
      </c>
      <c r="B23" s="11">
        <v>68.5744565217391</v>
      </c>
    </row>
    <row r="24">
      <c r="A24" s="11">
        <v>0.664473684210526</v>
      </c>
      <c r="B24" s="11">
        <v>1559.30921052632</v>
      </c>
    </row>
    <row r="25">
      <c r="A25" s="11">
        <v>50.9350649350649</v>
      </c>
      <c r="B25" s="11">
        <v>34.9250749250749</v>
      </c>
    </row>
    <row r="26">
      <c r="A26" s="11">
        <v>41.08513671875</v>
      </c>
      <c r="B26" s="11">
        <v>72.96767578125</v>
      </c>
    </row>
    <row r="27">
      <c r="A27" s="11">
        <v>42.3740262301548</v>
      </c>
      <c r="B27" s="11">
        <v>46.8621585642442</v>
      </c>
    </row>
    <row r="28">
      <c r="A28" s="11">
        <v>61.2968434896975</v>
      </c>
      <c r="B28" s="11">
        <v>13.7946076282332</v>
      </c>
    </row>
    <row r="29">
      <c r="A29" s="11">
        <v>18.5185185185185</v>
      </c>
      <c r="B29" s="11">
        <v>1215.48148148148</v>
      </c>
    </row>
    <row r="30">
      <c r="A30" s="11">
        <v>49.1900193852119</v>
      </c>
      <c r="B30" s="11">
        <v>9.12470229853226</v>
      </c>
    </row>
    <row r="31">
      <c r="A31" s="11">
        <v>61.6801692721108</v>
      </c>
      <c r="B31" s="11">
        <v>23.1973267975889</v>
      </c>
    </row>
    <row r="32">
      <c r="A32" s="11">
        <v>14.6511627906977</v>
      </c>
      <c r="B32" s="11">
        <v>653.737209302326</v>
      </c>
    </row>
    <row r="33">
      <c r="A33" s="11">
        <v>72.4288425047438</v>
      </c>
      <c r="B33" s="11">
        <v>72.846679316888</v>
      </c>
    </row>
    <row r="34">
      <c r="A34" s="11">
        <v>70.7128315449799</v>
      </c>
      <c r="B34" s="11">
        <v>17.795970301965</v>
      </c>
    </row>
    <row r="35">
      <c r="A35" s="11">
        <v>29.2132055829054</v>
      </c>
      <c r="B35" s="11">
        <v>3.44695886930284</v>
      </c>
    </row>
    <row r="36">
      <c r="A36" s="11">
        <v>36.3302192686764</v>
      </c>
      <c r="B36" s="11">
        <v>6.96270024719895</v>
      </c>
    </row>
    <row r="37">
      <c r="A37" s="11">
        <v>38.7448217016393</v>
      </c>
      <c r="B37" s="11">
        <v>3.75088477166589</v>
      </c>
    </row>
    <row r="38">
      <c r="A38" s="11">
        <v>33.6111900074702</v>
      </c>
      <c r="B38" s="11">
        <v>94.9175805763282</v>
      </c>
    </row>
    <row r="39">
      <c r="A39" s="11">
        <v>31.1485474238283</v>
      </c>
      <c r="B39" s="11">
        <v>195.966975402369</v>
      </c>
    </row>
    <row r="40">
      <c r="A40" s="11">
        <v>5.05555555555556</v>
      </c>
      <c r="B40" s="11">
        <v>798.924242424242</v>
      </c>
    </row>
    <row r="41">
      <c r="A41" s="11">
        <v>22.3721911094613</v>
      </c>
      <c r="B41" s="11">
        <v>22.7107696777005</v>
      </c>
    </row>
    <row r="42">
      <c r="A42" s="11">
        <v>21.0350872157688</v>
      </c>
      <c r="B42" s="11">
        <v>141.252233956931</v>
      </c>
    </row>
    <row r="43">
      <c r="A43" s="11">
        <v>12.8253679245283</v>
      </c>
      <c r="B43" s="11">
        <v>63.0790786163522</v>
      </c>
    </row>
    <row r="44">
      <c r="A44" s="11">
        <v>44.3616191745468</v>
      </c>
      <c r="B44" s="11">
        <v>41.864826214804</v>
      </c>
    </row>
    <row r="45">
      <c r="A45" s="11">
        <v>60.8023643060365</v>
      </c>
      <c r="B45" s="11">
        <v>27.5461820427428</v>
      </c>
    </row>
    <row r="46">
      <c r="A46" s="11">
        <v>64.6764275256223</v>
      </c>
      <c r="B46" s="11">
        <v>12.1387994143485</v>
      </c>
    </row>
    <row r="47">
      <c r="A47" s="11">
        <v>54.9802262280307</v>
      </c>
      <c r="B47" s="11">
        <v>40.3335322217215</v>
      </c>
    </row>
    <row r="48">
      <c r="A48" s="11">
        <v>20.2783449758194</v>
      </c>
      <c r="B48" s="11">
        <v>361.768404083826</v>
      </c>
    </row>
    <row r="49">
      <c r="A49" s="11">
        <v>10.5260545905707</v>
      </c>
      <c r="B49" s="11">
        <v>120.761042183623</v>
      </c>
    </row>
    <row r="50">
      <c r="A50" s="11">
        <v>56.2045045045045</v>
      </c>
      <c r="B50" s="11">
        <v>88.5377790834313</v>
      </c>
    </row>
    <row r="51">
      <c r="A51" s="11">
        <v>90.5640187723848</v>
      </c>
      <c r="B51" s="11">
        <v>17.1062022971471</v>
      </c>
    </row>
    <row r="52">
      <c r="A52" s="11">
        <v>27.0791055993987</v>
      </c>
      <c r="B52" s="11">
        <v>105.474549041714</v>
      </c>
    </row>
    <row r="53">
      <c r="A53" s="11"/>
      <c r="B53" s="11">
        <v>330.704954954955</v>
      </c>
    </row>
    <row r="54">
      <c r="A54" s="11">
        <v>53.0875</v>
      </c>
      <c r="B54" s="11">
        <v>230.504166666667</v>
      </c>
    </row>
    <row r="55">
      <c r="A55" s="11">
        <v>18.692316017316</v>
      </c>
      <c r="B55" s="11">
        <v>118.840800865801</v>
      </c>
    </row>
    <row r="56">
      <c r="A56" s="11">
        <v>34.3737346278317</v>
      </c>
      <c r="B56" s="11">
        <v>135.196582524272</v>
      </c>
    </row>
    <row r="57">
      <c r="A57" s="11">
        <v>32.7113393190098</v>
      </c>
      <c r="B57" s="11">
        <v>234.939637417171</v>
      </c>
    </row>
    <row r="58">
      <c r="A58" s="11">
        <v>0.241587575496117</v>
      </c>
      <c r="B58" s="11">
        <v>35.7126833477135</v>
      </c>
    </row>
    <row r="59">
      <c r="A59" s="11">
        <v>63.8266666666667</v>
      </c>
      <c r="B59" s="11">
        <v>94.464</v>
      </c>
    </row>
    <row r="60">
      <c r="A60" s="11">
        <v>13.7874381333962</v>
      </c>
      <c r="B60" s="11">
        <v>130.169573415037</v>
      </c>
    </row>
    <row r="61">
      <c r="A61" s="11">
        <v>42.7045125232871</v>
      </c>
      <c r="B61" s="11">
        <v>198.235065203892</v>
      </c>
    </row>
    <row r="62">
      <c r="A62" s="11">
        <v>0.791060317247055</v>
      </c>
      <c r="B62" s="11">
        <v>14.8353229151797</v>
      </c>
    </row>
    <row r="63">
      <c r="A63" s="11">
        <v>29.9960904166004</v>
      </c>
      <c r="B63" s="11">
        <v>122.382072928847</v>
      </c>
    </row>
    <row r="64">
      <c r="A64" s="11">
        <v>23.6966677767164</v>
      </c>
      <c r="B64" s="11">
        <v>86.1744461617521</v>
      </c>
    </row>
    <row r="65">
      <c r="A65" s="11">
        <v>26.6907267575481</v>
      </c>
      <c r="B65" s="11">
        <v>89.7530139326314</v>
      </c>
    </row>
    <row r="66">
      <c r="A66" s="11">
        <v>39.2674589996609</v>
      </c>
      <c r="B66" s="11">
        <v>17.5051586784663</v>
      </c>
    </row>
    <row r="67">
      <c r="A67" s="11">
        <v>38.2887788236219</v>
      </c>
      <c r="B67" s="11">
        <v>32.229551392844</v>
      </c>
    </row>
    <row r="68">
      <c r="A68" s="11">
        <v>52.7396561443067</v>
      </c>
      <c r="B68" s="11">
        <v>59.4878885488807</v>
      </c>
    </row>
    <row r="69">
      <c r="A69" s="11">
        <v>0.065294088100859</v>
      </c>
      <c r="B69" s="11">
        <v>81.5056396604551</v>
      </c>
    </row>
    <row r="70">
      <c r="A70" s="11">
        <v>37.8716732220959</v>
      </c>
      <c r="B70" s="11">
        <v>125.307388639968</v>
      </c>
    </row>
    <row r="71">
      <c r="A71" s="11">
        <v>10.7922772277228</v>
      </c>
      <c r="B71" s="11">
        <v>30.890297029703</v>
      </c>
    </row>
    <row r="72">
      <c r="A72" s="11">
        <v>36.8992880920868</v>
      </c>
      <c r="B72" s="11">
        <v>92.9750651746681</v>
      </c>
    </row>
    <row r="73">
      <c r="A73" s="11">
        <v>54.8786742156169</v>
      </c>
      <c r="B73" s="11">
        <v>31.4818353385232</v>
      </c>
    </row>
    <row r="74">
      <c r="A74" s="11">
        <v>15.8256966388377</v>
      </c>
      <c r="B74" s="11">
        <v>75.4769442260609</v>
      </c>
    </row>
    <row r="75">
      <c r="A75" s="11">
        <v>39.0552571796124</v>
      </c>
      <c r="B75" s="11">
        <v>110.292432743718</v>
      </c>
    </row>
    <row r="76">
      <c r="A76" s="11">
        <v>26.5317517512294</v>
      </c>
      <c r="B76" s="11">
        <v>35.9505537758208</v>
      </c>
    </row>
    <row r="77">
      <c r="A77" s="11">
        <v>73.2555577492596</v>
      </c>
      <c r="B77" s="11">
        <v>17.5678545574202</v>
      </c>
    </row>
    <row r="78">
      <c r="A78" s="11">
        <v>58.3778325123153</v>
      </c>
      <c r="B78" s="11">
        <v>46.7233716475096</v>
      </c>
    </row>
    <row r="79">
      <c r="A79" s="11">
        <v>29.7793654359272</v>
      </c>
      <c r="B79" s="11">
        <v>118.174062243748</v>
      </c>
    </row>
    <row r="80">
      <c r="A80" s="11">
        <v>0.05730659025788</v>
      </c>
      <c r="B80" s="11">
        <v>34.2507163323782</v>
      </c>
    </row>
    <row r="81">
      <c r="A81" s="11">
        <v>91.5757142857143</v>
      </c>
      <c r="B81" s="11">
        <v>147.101428571429</v>
      </c>
    </row>
    <row r="82">
      <c r="A82" s="11">
        <v>91.8014087786704</v>
      </c>
      <c r="B82" s="11">
        <v>6.08889276982187</v>
      </c>
    </row>
    <row r="83">
      <c r="A83" s="11">
        <v>12.6007522837184</v>
      </c>
      <c r="B83" s="11">
        <v>257.414417393461</v>
      </c>
    </row>
    <row r="84">
      <c r="A84" s="11">
        <v>40.5269822996115</v>
      </c>
      <c r="B84" s="11">
        <v>66.7346478183281</v>
      </c>
    </row>
    <row r="85">
      <c r="A85" s="11">
        <v>35.3058714951217</v>
      </c>
      <c r="B85" s="11">
        <v>106.227225982245</v>
      </c>
    </row>
    <row r="86">
      <c r="A86" s="11">
        <v>0.0</v>
      </c>
      <c r="B86" s="11">
        <v>3356.2</v>
      </c>
    </row>
    <row r="87">
      <c r="A87" s="11">
        <v>26.8801888328178</v>
      </c>
      <c r="B87" s="11">
        <v>40.5521325085463</v>
      </c>
    </row>
    <row r="88">
      <c r="A88" s="11">
        <v>30.2107707509881</v>
      </c>
      <c r="B88" s="11">
        <v>171.964130434783</v>
      </c>
    </row>
    <row r="89">
      <c r="A89" s="11">
        <v>73.7153271692745</v>
      </c>
      <c r="B89" s="11">
        <v>52.7709815078236</v>
      </c>
    </row>
    <row r="90">
      <c r="A90" s="11">
        <v>90.5656684491979</v>
      </c>
      <c r="B90" s="11">
        <v>32.1422103386809</v>
      </c>
    </row>
    <row r="91">
      <c r="A91" s="11">
        <v>30.0360411171451</v>
      </c>
      <c r="B91" s="11">
        <v>86.1677036462374</v>
      </c>
    </row>
    <row r="92">
      <c r="A92" s="11">
        <v>52.0588235294118</v>
      </c>
      <c r="B92" s="11">
        <v>311.138235294118</v>
      </c>
    </row>
    <row r="93">
      <c r="A93" s="11">
        <v>5.3599707638E-4</v>
      </c>
      <c r="B93" s="11">
        <v>0.137222560604215</v>
      </c>
    </row>
    <row r="94">
      <c r="A94" s="11">
        <v>35.1927958193356</v>
      </c>
      <c r="B94" s="11">
        <v>130.647536394177</v>
      </c>
    </row>
    <row r="95">
      <c r="A95" s="11">
        <v>44.4444444444444</v>
      </c>
      <c r="B95" s="11">
        <v>294.874074074074</v>
      </c>
    </row>
    <row r="96">
      <c r="A96" s="11">
        <v>94.1033832867666</v>
      </c>
      <c r="B96" s="11">
        <v>3.79841503683007</v>
      </c>
    </row>
    <row r="97">
      <c r="A97" s="11">
        <v>28.9862492015129</v>
      </c>
      <c r="B97" s="11">
        <v>32.8221637267598</v>
      </c>
    </row>
    <row r="98">
      <c r="A98" s="11"/>
      <c r="B98" s="11">
        <v>6640.76190476191</v>
      </c>
    </row>
    <row r="99">
      <c r="A99" s="11">
        <v>58.9485208687103</v>
      </c>
      <c r="B99" s="11">
        <v>72.8463669675574</v>
      </c>
    </row>
    <row r="100">
      <c r="A100" s="11">
        <v>30.9032348676385</v>
      </c>
      <c r="B100" s="11">
        <v>30.3733278544266</v>
      </c>
    </row>
    <row r="101">
      <c r="A101" s="11">
        <v>34.2476769120801</v>
      </c>
      <c r="B101" s="11">
        <v>76.933184417441</v>
      </c>
    </row>
    <row r="102">
      <c r="A102" s="11">
        <v>13.7375544267054</v>
      </c>
      <c r="B102" s="11">
        <v>355.516908563135</v>
      </c>
    </row>
    <row r="103">
      <c r="A103" s="11">
        <v>22.4662321882249</v>
      </c>
      <c r="B103" s="11">
        <v>110.710814094775</v>
      </c>
    </row>
    <row r="104">
      <c r="A104" s="11">
        <v>34.2222456635604</v>
      </c>
      <c r="B104" s="11">
        <v>61.7404231070147</v>
      </c>
    </row>
    <row r="105">
      <c r="A105" s="11">
        <v>32.9881357654275</v>
      </c>
      <c r="B105" s="11">
        <v>59.5679650074948</v>
      </c>
    </row>
    <row r="106">
      <c r="A106" s="11">
        <v>29.0926718740371</v>
      </c>
      <c r="B106" s="11">
        <v>53.3945953504715</v>
      </c>
    </row>
    <row r="107">
      <c r="A107" s="11">
        <v>30.6401361065783</v>
      </c>
      <c r="B107" s="11">
        <v>101.845013583194</v>
      </c>
    </row>
    <row r="108">
      <c r="A108" s="11">
        <v>55.1020827238252</v>
      </c>
      <c r="B108" s="11">
        <v>131.720305591283</v>
      </c>
    </row>
    <row r="109">
      <c r="A109" s="11">
        <v>28.7196163870921</v>
      </c>
      <c r="B109" s="11">
        <v>43.1263467537668</v>
      </c>
    </row>
    <row r="110">
      <c r="A110" s="11">
        <v>6.07017543859649</v>
      </c>
      <c r="B110" s="11">
        <v>148.033333333333</v>
      </c>
    </row>
    <row r="111">
      <c r="A111" s="11">
        <v>23.3101483591698</v>
      </c>
      <c r="B111" s="11">
        <v>409.568919914301</v>
      </c>
    </row>
    <row r="112">
      <c r="A112" s="11"/>
      <c r="B112" s="11"/>
    </row>
    <row r="113">
      <c r="A113" s="11">
        <v>10.3262882856728</v>
      </c>
      <c r="B113" s="11">
        <v>65.8350268544056</v>
      </c>
    </row>
    <row r="114">
      <c r="A114" s="11">
        <v>6.480603649402</v>
      </c>
      <c r="B114" s="11">
        <v>44.7732219602643</v>
      </c>
    </row>
    <row r="115">
      <c r="A115" s="11">
        <v>1.89790937557561</v>
      </c>
      <c r="B115" s="11">
        <v>66.7092397310739</v>
      </c>
    </row>
    <row r="116">
      <c r="A116" s="11">
        <v>0.430783042394015</v>
      </c>
      <c r="B116" s="11">
        <v>3.17704738154613</v>
      </c>
    </row>
    <row r="117">
      <c r="A117" s="11">
        <v>7.11182994454714</v>
      </c>
      <c r="B117" s="11">
        <v>345.914972273567</v>
      </c>
    </row>
    <row r="118">
      <c r="A118" s="11">
        <v>30.4690317535867</v>
      </c>
      <c r="B118" s="11">
        <v>200.908971918134</v>
      </c>
    </row>
    <row r="119">
      <c r="A119" s="11">
        <v>51.219298245614</v>
      </c>
      <c r="B119" s="11">
        <v>258.156879039704</v>
      </c>
    </row>
    <row r="120">
      <c r="A120" s="11">
        <v>1.09822031989187</v>
      </c>
      <c r="B120" s="11">
        <v>77.6442667267403</v>
      </c>
    </row>
    <row r="121">
      <c r="A121" s="11">
        <v>68.4691358024691</v>
      </c>
      <c r="B121" s="11">
        <v>351.294924554184</v>
      </c>
    </row>
    <row r="122">
      <c r="A122" s="11">
        <v>1.14444349372152</v>
      </c>
      <c r="B122" s="11">
        <v>5.96096677408601</v>
      </c>
    </row>
    <row r="123">
      <c r="A123" s="11">
        <v>6.41463436061426</v>
      </c>
      <c r="B123" s="11">
        <v>71.8659697086833</v>
      </c>
    </row>
    <row r="124">
      <c r="A124" s="11">
        <v>6.38582898852972</v>
      </c>
      <c r="B124" s="11">
        <v>28.0672575599583</v>
      </c>
    </row>
    <row r="125">
      <c r="A125" s="11">
        <v>60.0974790392024</v>
      </c>
      <c r="B125" s="11">
        <v>79.8414060729662</v>
      </c>
    </row>
    <row r="126">
      <c r="A126" s="11">
        <v>1.45679012345679</v>
      </c>
      <c r="B126" s="11">
        <v>124.602469135802</v>
      </c>
    </row>
    <row r="127">
      <c r="A127" s="11">
        <v>42.3076923076923</v>
      </c>
      <c r="B127" s="11">
        <v>186.919230769231</v>
      </c>
    </row>
    <row r="128">
      <c r="A128" s="11">
        <v>65.8963527714816</v>
      </c>
      <c r="B128" s="11">
        <v>508.013960436843</v>
      </c>
    </row>
    <row r="129">
      <c r="A129" s="11">
        <v>0.342873176206509</v>
      </c>
      <c r="B129" s="11">
        <v>158.307575757576</v>
      </c>
    </row>
    <row r="130">
      <c r="A130" s="11">
        <v>49.3235464739613</v>
      </c>
      <c r="B130" s="11">
        <v>29.0328113984904</v>
      </c>
    </row>
    <row r="131">
      <c r="A131" s="11">
        <v>73.6089688041595</v>
      </c>
      <c r="B131" s="11">
        <v>26.6404722703639</v>
      </c>
    </row>
    <row r="132">
      <c r="A132" s="11">
        <v>13.4343108504399</v>
      </c>
      <c r="B132" s="11">
        <v>470.481524926686</v>
      </c>
    </row>
    <row r="133">
      <c r="A133" s="11">
        <v>82.5404900332226</v>
      </c>
      <c r="B133" s="11">
        <v>38.9755917774086</v>
      </c>
    </row>
    <row r="134">
      <c r="A134" s="11">
        <v>0.123327687918433</v>
      </c>
      <c r="B134" s="11">
        <v>3.48613103424759</v>
      </c>
    </row>
    <row r="135">
      <c r="A135" s="11">
        <v>34.0885245901639</v>
      </c>
      <c r="B135" s="11">
        <v>282.332786885246</v>
      </c>
    </row>
    <row r="136">
      <c r="A136" s="11">
        <v>48.1835579341275</v>
      </c>
      <c r="B136" s="11">
        <v>29.1106824300535</v>
      </c>
    </row>
    <row r="137">
      <c r="A137" s="11">
        <v>30.7560252837062</v>
      </c>
      <c r="B137" s="11">
        <v>40.1185767291537</v>
      </c>
    </row>
    <row r="138">
      <c r="A138" s="11">
        <v>24.082720229668</v>
      </c>
      <c r="B138" s="11">
        <v>33.4456289184074</v>
      </c>
    </row>
    <row r="139">
      <c r="A139" s="11">
        <v>41.870625</v>
      </c>
      <c r="B139" s="11">
        <v>223.26875</v>
      </c>
    </row>
    <row r="140">
      <c r="A140" s="11">
        <v>33.6453516185616</v>
      </c>
      <c r="B140" s="11">
        <v>320.897911018976</v>
      </c>
    </row>
    <row r="141">
      <c r="A141" s="11">
        <v>27.5521792098651</v>
      </c>
      <c r="B141" s="11">
        <v>111.072298483135</v>
      </c>
    </row>
    <row r="142">
      <c r="A142" s="11">
        <v>32.9391074322051</v>
      </c>
      <c r="B142" s="11">
        <v>60.232083208477</v>
      </c>
    </row>
    <row r="143">
      <c r="A143" s="11">
        <v>1.13702239789196</v>
      </c>
      <c r="B143" s="11">
        <v>65.5512187088274</v>
      </c>
    </row>
    <row r="144">
      <c r="A144" s="11">
        <v>39.3552520017382</v>
      </c>
      <c r="B144" s="11">
        <v>48.6556029643225</v>
      </c>
    </row>
    <row r="145">
      <c r="A145" s="11">
        <v>34.3837255684085</v>
      </c>
      <c r="B145" s="11">
        <v>50.4653530115676</v>
      </c>
    </row>
    <row r="146">
      <c r="A146" s="11">
        <v>36.4197530864198</v>
      </c>
      <c r="B146" s="11">
        <v>204.848971193416</v>
      </c>
    </row>
    <row r="147">
      <c r="A147" s="11">
        <v>54.0207140559666</v>
      </c>
      <c r="B147" s="11">
        <v>34.4430524284336</v>
      </c>
    </row>
    <row r="148">
      <c r="A148" s="11"/>
      <c r="B148" s="11">
        <v>17844.1016949153</v>
      </c>
    </row>
    <row r="149">
      <c r="A149" s="11">
        <v>18.3823529411765</v>
      </c>
      <c r="B149" s="11">
        <v>687.132352941176</v>
      </c>
    </row>
    <row r="150">
      <c r="A150" s="11">
        <v>12.6770490701322</v>
      </c>
      <c r="B150" s="11">
        <v>71.5417589065651</v>
      </c>
    </row>
    <row r="151">
      <c r="A151" s="11">
        <v>0.0</v>
      </c>
      <c r="B151" s="11">
        <v>17376.9116921559</v>
      </c>
    </row>
    <row r="152">
      <c r="A152" s="11">
        <v>11.2949224688355</v>
      </c>
      <c r="B152" s="11">
        <v>99.7091934417099</v>
      </c>
    </row>
    <row r="153">
      <c r="A153" s="11">
        <v>21.6818258417306</v>
      </c>
      <c r="B153" s="11">
        <v>35.3700777246621</v>
      </c>
    </row>
    <row r="154">
      <c r="A154" s="11">
        <v>2.73333333333333</v>
      </c>
      <c r="B154" s="11">
        <v>1177.97</v>
      </c>
    </row>
    <row r="155">
      <c r="A155" s="11">
        <v>2.01638014372119</v>
      </c>
      <c r="B155" s="11">
        <v>33.6685445465602</v>
      </c>
    </row>
    <row r="156">
      <c r="A156" s="11">
        <v>34.510719925924</v>
      </c>
      <c r="B156" s="11">
        <v>57.8532812057923</v>
      </c>
    </row>
    <row r="157">
      <c r="A157" s="11">
        <v>52.2222222222222</v>
      </c>
      <c r="B157" s="11">
        <v>312.527777777778</v>
      </c>
    </row>
    <row r="158">
      <c r="A158" s="11">
        <v>34.3356797259478</v>
      </c>
      <c r="B158" s="11">
        <v>65.2957849105264</v>
      </c>
    </row>
    <row r="159">
      <c r="A159" s="11">
        <v>38.0706582077716</v>
      </c>
      <c r="B159" s="11">
        <v>81.311300555115</v>
      </c>
    </row>
    <row r="160">
      <c r="A160" s="11">
        <v>10.896663634352</v>
      </c>
      <c r="B160" s="11">
        <v>11.9501282587138</v>
      </c>
    </row>
    <row r="161">
      <c r="A161" s="11">
        <v>1.09375</v>
      </c>
      <c r="B161" s="11">
        <v>1288.990625</v>
      </c>
    </row>
    <row r="162">
      <c r="A162" s="11">
        <v>48.6510194397673</v>
      </c>
      <c r="B162" s="11">
        <v>76.9177498851982</v>
      </c>
    </row>
    <row r="163">
      <c r="A163" s="11">
        <v>2.45030163321406</v>
      </c>
      <c r="B163" s="11">
        <v>37.8301117078584</v>
      </c>
    </row>
    <row r="164">
      <c r="A164" s="11">
        <v>59.9925650557621</v>
      </c>
      <c r="B164" s="11">
        <v>45.9698141263941</v>
      </c>
    </row>
    <row r="165">
      <c r="A165" s="11">
        <v>9.13508329256675</v>
      </c>
      <c r="B165" s="11">
        <v>1.72107546538273</v>
      </c>
    </row>
    <row r="166">
      <c r="A166" s="11">
        <v>66.2695652173913</v>
      </c>
      <c r="B166" s="11">
        <v>117.813043478261</v>
      </c>
    </row>
    <row r="167">
      <c r="A167" s="11">
        <v>49.8406953381317</v>
      </c>
      <c r="B167" s="11">
        <v>29.1140644472138</v>
      </c>
    </row>
    <row r="168">
      <c r="A168" s="11">
        <v>0.361579509071505</v>
      </c>
      <c r="B168" s="11">
        <v>3.29233336567381</v>
      </c>
    </row>
    <row r="169">
      <c r="A169" s="11">
        <v>19.0857142857143</v>
      </c>
      <c r="B169" s="11">
        <v>614.497044334975</v>
      </c>
    </row>
    <row r="170">
      <c r="A170" s="11">
        <v>28.6773440814595</v>
      </c>
      <c r="B170" s="11">
        <v>149.853213831141</v>
      </c>
    </row>
    <row r="171">
      <c r="A171" s="11">
        <v>57.8968802313194</v>
      </c>
      <c r="B171" s="11">
        <v>84.416490640694</v>
      </c>
    </row>
    <row r="172">
      <c r="A172" s="11">
        <v>36.1933677261892</v>
      </c>
      <c r="B172" s="11">
        <v>18.7967126931148</v>
      </c>
    </row>
    <row r="173">
      <c r="A173" s="11">
        <v>9.01261936863074</v>
      </c>
      <c r="B173" s="11">
        <v>2.52771077020248</v>
      </c>
    </row>
    <row r="174">
      <c r="A174" s="11">
        <v>45.8918490153173</v>
      </c>
      <c r="B174" s="11">
        <v>13.4545951859956</v>
      </c>
    </row>
    <row r="175">
      <c r="A175" s="11">
        <v>0.960227362437831</v>
      </c>
      <c r="B175" s="11">
        <v>12.5074058577406</v>
      </c>
    </row>
    <row r="176">
      <c r="A176" s="11">
        <v>25.7181132448368</v>
      </c>
      <c r="B176" s="11">
        <v>169.44446896582</v>
      </c>
    </row>
    <row r="177">
      <c r="A177" s="11">
        <v>35.8090992188798</v>
      </c>
      <c r="B177" s="11">
        <v>47.7442080771148</v>
      </c>
    </row>
    <row r="178">
      <c r="A178" s="11">
        <v>11.0311888526534</v>
      </c>
      <c r="B178" s="11">
        <v>490.079691669137</v>
      </c>
    </row>
    <row r="179">
      <c r="A179" s="11">
        <v>33.1370262071382</v>
      </c>
      <c r="B179" s="11">
        <v>13.2205484552792</v>
      </c>
    </row>
    <row r="180">
      <c r="A180" s="11">
        <v>41.464269271015</v>
      </c>
      <c r="B180" s="11">
        <v>187.537711893966</v>
      </c>
    </row>
    <row r="181">
      <c r="A181" s="11">
        <v>0.0</v>
      </c>
      <c r="B181" s="11">
        <v>497.25</v>
      </c>
    </row>
    <row r="182">
      <c r="A182" s="11">
        <v>37.4021191751168</v>
      </c>
      <c r="B182" s="11">
        <v>16.340435228438</v>
      </c>
    </row>
    <row r="183">
      <c r="A183" s="11">
        <v>32.5506510367584</v>
      </c>
      <c r="B183" s="11">
        <v>36.1587210130134</v>
      </c>
    </row>
    <row r="184">
      <c r="A184" s="11">
        <v>0.009693053311793</v>
      </c>
      <c r="B184" s="11">
        <v>9.29300807754443</v>
      </c>
    </row>
    <row r="185">
      <c r="A185" s="11">
        <v>29.8665052115086</v>
      </c>
      <c r="B185" s="11">
        <v>12.516784869045</v>
      </c>
    </row>
    <row r="186">
      <c r="A186" s="11">
        <v>5.36462614155251</v>
      </c>
      <c r="B186" s="11">
        <v>227.695114674139</v>
      </c>
    </row>
    <row r="187">
      <c r="A187" s="11">
        <v>58.3724105461394</v>
      </c>
      <c r="B187" s="11">
        <v>48.1465563626581</v>
      </c>
    </row>
    <row r="188">
      <c r="A188" s="11">
        <v>57.94890859375</v>
      </c>
      <c r="B188" s="11">
        <v>22.49426796875</v>
      </c>
    </row>
    <row r="189">
      <c r="A189" s="11">
        <v>23.0964684575913</v>
      </c>
      <c r="B189" s="11">
        <v>309.9378240601</v>
      </c>
    </row>
    <row r="190">
      <c r="A190" s="11">
        <v>87.9608695652174</v>
      </c>
      <c r="B190" s="11">
        <v>39.7608695652174</v>
      </c>
    </row>
    <row r="191">
      <c r="A191" s="11">
        <v>79.9116579075211</v>
      </c>
      <c r="B191" s="11">
        <v>15.7770039305746</v>
      </c>
    </row>
    <row r="192">
      <c r="A192" s="11">
        <v>30.3709024422097</v>
      </c>
      <c r="B192" s="11">
        <v>124.564460624265</v>
      </c>
    </row>
    <row r="193">
      <c r="A193" s="11">
        <v>30.1198262973604</v>
      </c>
      <c r="B193" s="11">
        <v>35.0893204821093</v>
      </c>
    </row>
    <row r="194">
      <c r="A194" s="11">
        <v>54.7034949267193</v>
      </c>
      <c r="B194" s="11">
        <v>421.69222096956</v>
      </c>
    </row>
    <row r="195">
      <c r="A195" s="11">
        <v>52.0191014035379</v>
      </c>
      <c r="B195" s="11">
        <v>202.876339174487</v>
      </c>
    </row>
    <row r="196">
      <c r="A196" s="11">
        <v>35.5377224587837</v>
      </c>
      <c r="B196" s="11">
        <v>115.386472322306</v>
      </c>
    </row>
    <row r="197">
      <c r="A197" s="11">
        <v>50.1191895293229</v>
      </c>
      <c r="B197" s="11">
        <v>15.5146488799396</v>
      </c>
    </row>
    <row r="198">
      <c r="A198" s="11">
        <v>1.5232558266269</v>
      </c>
      <c r="B198" s="11">
        <v>612.807142857143</v>
      </c>
    </row>
    <row r="199">
      <c r="A199" s="11">
        <v>67.4757320872274</v>
      </c>
      <c r="B199" s="11">
        <v>34.0547352024922</v>
      </c>
    </row>
    <row r="200">
      <c r="A200" s="11">
        <v>31.843256337483</v>
      </c>
      <c r="B200" s="11">
        <v>34.1378478816577</v>
      </c>
    </row>
    <row r="201">
      <c r="A201" s="11">
        <v>40.8112021857924</v>
      </c>
      <c r="B201" s="11">
        <v>72.4743169398907</v>
      </c>
    </row>
    <row r="202">
      <c r="A202" s="11">
        <v>0.0</v>
      </c>
      <c r="B202" s="11">
        <v>142.544702842377</v>
      </c>
    </row>
    <row r="203">
      <c r="A203" s="11">
        <v>28.2539337564114</v>
      </c>
      <c r="B203" s="11">
        <v>88.5311962096844</v>
      </c>
    </row>
    <row r="204">
      <c r="A204" s="11">
        <v>49.7377636874446</v>
      </c>
      <c r="B204" s="11">
        <v>8.71872030491785</v>
      </c>
    </row>
    <row r="205">
      <c r="A205" s="11">
        <v>10.8309687880016</v>
      </c>
      <c r="B205" s="11">
        <v>396.545196595055</v>
      </c>
    </row>
    <row r="206">
      <c r="A206" s="11">
        <v>18.2939408920782</v>
      </c>
      <c r="B206" s="11">
        <v>338.590404597893</v>
      </c>
    </row>
    <row r="207">
      <c r="A207" s="11">
        <v>0.454484134921779</v>
      </c>
      <c r="B207" s="11">
        <v>12.3879736148003</v>
      </c>
    </row>
    <row r="208">
      <c r="A208" s="11"/>
      <c r="B208" s="11">
        <v>13.6150621496894</v>
      </c>
    </row>
    <row r="209">
      <c r="A209" s="11">
        <v>44.1835558094842</v>
      </c>
      <c r="B209" s="11">
        <v>64.0684153118994</v>
      </c>
    </row>
    <row r="210">
      <c r="A210" s="11">
        <v>25.2395714285714</v>
      </c>
      <c r="B210" s="11">
        <v>7125.10428571429</v>
      </c>
    </row>
    <row r="211">
      <c r="A211" s="11">
        <v>90.4255805644873</v>
      </c>
      <c r="B211" s="11">
        <v>18.405930689532</v>
      </c>
    </row>
    <row r="212">
      <c r="A212" s="11">
        <v>38.1253394292048</v>
      </c>
      <c r="B212" s="11">
        <v>86.9040592962039</v>
      </c>
    </row>
    <row r="213">
      <c r="A213" s="11">
        <v>30.5685328185328</v>
      </c>
      <c r="B213" s="11">
        <v>297.185231660232</v>
      </c>
    </row>
    <row r="214">
      <c r="A214" s="11">
        <v>16.6666666666667</v>
      </c>
      <c r="B214" s="11">
        <v>513.75</v>
      </c>
    </row>
    <row r="215">
      <c r="A215" s="11">
        <v>10.8780724965728</v>
      </c>
      <c r="B215" s="11">
        <v>18.6783737686103</v>
      </c>
    </row>
    <row r="216">
      <c r="A216" s="11">
        <v>30.7306197118683</v>
      </c>
      <c r="B216" s="11">
        <v>83.7046306883147</v>
      </c>
    </row>
    <row r="217">
      <c r="A217" s="11">
        <v>30.0737287982235</v>
      </c>
      <c r="B217" s="11">
        <v>35.4512694034153</v>
      </c>
    </row>
    <row r="218">
      <c r="A218" s="11"/>
      <c r="B218" s="11"/>
    </row>
    <row r="219">
      <c r="A219" s="11">
        <v>30.0746583943571</v>
      </c>
      <c r="B219" s="11">
        <v>35.4542456892896</v>
      </c>
    </row>
    <row r="220">
      <c r="A220" s="11">
        <v>40.6627537655796</v>
      </c>
      <c r="B220" s="11">
        <v>13.8132203726136</v>
      </c>
    </row>
    <row r="221">
      <c r="A221" s="11">
        <v>60.5479166666667</v>
      </c>
      <c r="B221" s="11">
        <v>183.205208333333</v>
      </c>
    </row>
    <row r="222">
      <c r="A222" s="11">
        <v>98.1023141025641</v>
      </c>
      <c r="B222" s="11">
        <v>3.35328846153846</v>
      </c>
    </row>
    <row r="223">
      <c r="A223" s="11">
        <v>39.8473695154918</v>
      </c>
      <c r="B223" s="11">
        <v>112.006778956124</v>
      </c>
    </row>
    <row r="224">
      <c r="A224" s="11">
        <v>61.8292646606241</v>
      </c>
      <c r="B224" s="11">
        <v>101.245371243634</v>
      </c>
    </row>
    <row r="225">
      <c r="A225" s="11">
        <v>68.4359311790223</v>
      </c>
      <c r="B225" s="11">
        <v>22.6605132329288</v>
      </c>
    </row>
    <row r="226">
      <c r="A226" s="11">
        <v>28.1520348837209</v>
      </c>
      <c r="B226" s="11">
        <v>61.4803488372093</v>
      </c>
    </row>
    <row r="227">
      <c r="A227" s="11"/>
      <c r="B227" s="11">
        <v>1007.0</v>
      </c>
    </row>
    <row r="228">
      <c r="A228" s="11">
        <v>73.2608695652174</v>
      </c>
      <c r="B228" s="11">
        <v>189.778260869565</v>
      </c>
    </row>
    <row r="229">
      <c r="A229" s="11">
        <v>2.6469178828142</v>
      </c>
      <c r="B229" s="11">
        <v>115.475239599216</v>
      </c>
    </row>
    <row r="230">
      <c r="A230" s="11">
        <v>11.0736842105263</v>
      </c>
      <c r="B230" s="11">
        <v>33.6136842105263</v>
      </c>
    </row>
    <row r="231">
      <c r="A231" s="11">
        <v>4.45703621346887</v>
      </c>
      <c r="B231" s="11">
        <v>9.18054479034308</v>
      </c>
    </row>
    <row r="232">
      <c r="A232" s="11">
        <v>29.8294967602935</v>
      </c>
      <c r="B232" s="11">
        <v>121.765838923989</v>
      </c>
    </row>
    <row r="233">
      <c r="A233" s="11">
        <v>39.1366293670389</v>
      </c>
      <c r="B233" s="11">
        <v>19.0764060057483</v>
      </c>
    </row>
    <row r="234">
      <c r="A234" s="11">
        <v>22.8319433719434</v>
      </c>
      <c r="B234" s="11">
        <v>114.926273211988</v>
      </c>
    </row>
    <row r="235">
      <c r="A235" s="11">
        <v>39.0798410616767</v>
      </c>
      <c r="B235" s="11">
        <v>130.883035487091</v>
      </c>
    </row>
    <row r="236">
      <c r="A236" s="11">
        <v>2.92940840240069</v>
      </c>
      <c r="B236" s="11">
        <v>52.6204058302372</v>
      </c>
    </row>
    <row r="237">
      <c r="A237" s="11">
        <v>8.78215904496414</v>
      </c>
      <c r="B237" s="11">
        <v>10.6568063328581</v>
      </c>
    </row>
    <row r="238">
      <c r="A238" s="11">
        <v>48.2950980514253</v>
      </c>
      <c r="B238" s="11">
        <v>28.487500271171</v>
      </c>
    </row>
    <row r="239">
      <c r="A239" s="11">
        <v>62.9791526563551</v>
      </c>
      <c r="B239" s="11">
        <v>72.2451916610626</v>
      </c>
    </row>
    <row r="240">
      <c r="A240" s="11">
        <v>2.45094791477279</v>
      </c>
      <c r="B240" s="11">
        <v>37.4292716961948</v>
      </c>
    </row>
    <row r="241">
      <c r="A241" s="11">
        <v>12.4305555555556</v>
      </c>
      <c r="B241" s="11">
        <v>144.301388888889</v>
      </c>
    </row>
    <row r="242">
      <c r="A242" s="11">
        <v>18.2939408920782</v>
      </c>
      <c r="B242" s="11">
        <v>338.590404597893</v>
      </c>
    </row>
    <row r="243">
      <c r="A243" s="11">
        <v>30.0746583943571</v>
      </c>
      <c r="B243" s="11">
        <v>35.4542456892896</v>
      </c>
    </row>
    <row r="244">
      <c r="A244" s="11">
        <v>45.3867446393762</v>
      </c>
      <c r="B244" s="11">
        <v>257.489473684211</v>
      </c>
    </row>
    <row r="245">
      <c r="A245" s="11">
        <v>4.41215242018538</v>
      </c>
      <c r="B245" s="11">
        <v>67.7503282698249</v>
      </c>
    </row>
    <row r="246">
      <c r="A246" s="11">
        <v>27.2723347582605</v>
      </c>
      <c r="B246" s="11">
        <v>92.6697322089835</v>
      </c>
    </row>
    <row r="247">
      <c r="A247" s="11">
        <v>33.3333333333333</v>
      </c>
      <c r="B247" s="11">
        <v>347.1</v>
      </c>
    </row>
    <row r="248">
      <c r="A248" s="11">
        <v>56.8096748701739</v>
      </c>
      <c r="B248" s="11">
        <v>48.6270377060284</v>
      </c>
    </row>
    <row r="249">
      <c r="A249" s="11">
        <v>13.9716380561533</v>
      </c>
      <c r="B249" s="11">
        <v>157.204824583354</v>
      </c>
    </row>
    <row r="250">
      <c r="A250" s="11">
        <v>16.4748325623144</v>
      </c>
      <c r="B250" s="11">
        <v>79.4954964441069</v>
      </c>
    </row>
    <row r="251">
      <c r="A251" s="11">
        <v>37.5668895016344</v>
      </c>
      <c r="B251" s="11">
        <v>43.4953201305991</v>
      </c>
    </row>
    <row r="252">
      <c r="A252" s="11">
        <v>9.68500742772255</v>
      </c>
      <c r="B252" s="11">
        <v>19.1388184207519</v>
      </c>
    </row>
    <row r="253">
      <c r="A253" s="11">
        <v>33.6927352193296</v>
      </c>
      <c r="B253" s="11">
        <v>33.5363992251367</v>
      </c>
    </row>
    <row r="254">
      <c r="A254" s="11">
        <v>7.78275999059709</v>
      </c>
      <c r="B254" s="11">
        <v>65.2736248236953</v>
      </c>
    </row>
    <row r="255">
      <c r="A255" s="11">
        <v>73.1794871794872</v>
      </c>
      <c r="B255" s="11">
        <v>277.674358974359</v>
      </c>
    </row>
    <row r="256">
      <c r="A256" s="11">
        <v>54.0441018082875</v>
      </c>
      <c r="B256" s="11">
        <v>31.7793889235304</v>
      </c>
    </row>
    <row r="257">
      <c r="A257" s="11">
        <v>24.2866666666667</v>
      </c>
      <c r="B257" s="11">
        <v>180.233333333333</v>
      </c>
    </row>
    <row r="258">
      <c r="A258" s="11">
        <v>53.24</v>
      </c>
      <c r="B258" s="11">
        <v>309.725714285714</v>
      </c>
    </row>
    <row r="259">
      <c r="A259" s="11">
        <v>42.6602509110846</v>
      </c>
      <c r="B259" s="11">
        <v>280.879317573451</v>
      </c>
    </row>
    <row r="260">
      <c r="A260" s="11">
        <v>36.2838392124692</v>
      </c>
      <c r="B260" s="11">
        <v>18.8879409351928</v>
      </c>
    </row>
    <row r="261">
      <c r="A261" s="11">
        <v>30.8967480813429</v>
      </c>
      <c r="B261" s="11">
        <v>52.6656293068104</v>
      </c>
    </row>
    <row r="262">
      <c r="A262" s="11">
        <v>59.0007067137809</v>
      </c>
      <c r="B262" s="11">
        <v>65.213074204947</v>
      </c>
    </row>
    <row r="263">
      <c r="A263" s="11"/>
      <c r="B263" s="11">
        <v>161.79608707633</v>
      </c>
    </row>
    <row r="264">
      <c r="A264" s="11">
        <v>1.03983180862549</v>
      </c>
      <c r="B264" s="11">
        <v>42.6472413205296</v>
      </c>
    </row>
    <row r="265">
      <c r="A265" s="11">
        <v>14.385156913337</v>
      </c>
      <c r="B265" s="11">
        <v>41.6102787097412</v>
      </c>
    </row>
    <row r="266">
      <c r="A266" s="11">
        <v>62.8631001224122</v>
      </c>
      <c r="B266" s="11">
        <v>17.7768627503733</v>
      </c>
    </row>
    <row r="267">
      <c r="A267" s="11">
        <v>46.4039033217009</v>
      </c>
      <c r="B267" s="11">
        <v>32.381967170738</v>
      </c>
    </row>
  </sheetData>
  <drawing r:id="rId1"/>
</worksheet>
</file>