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l inducing songs" sheetId="1" r:id="rId4"/>
    <sheet state="visible" name="Formula Sheet 1" sheetId="2" r:id="rId5"/>
    <sheet state="visible" name="Formula Sheet 2" sheetId="3" r:id="rId6"/>
    <sheet state="visible" name="Formula Sheet 3" sheetId="4" r:id="rId7"/>
    <sheet state="visible" name="Formula Sheet 4" sheetId="5" r:id="rId8"/>
    <sheet state="visible" name="Formula Sheet 5" sheetId="6" r:id="rId9"/>
    <sheet state="visible" name="Formula Sheet 6" sheetId="7" r:id="rId10"/>
  </sheets>
  <definedNames/>
  <calcPr/>
</workbook>
</file>

<file path=xl/sharedStrings.xml><?xml version="1.0" encoding="utf-8"?>
<sst xmlns="http://schemas.openxmlformats.org/spreadsheetml/2006/main" count="1448" uniqueCount="1441">
  <si>
    <t>Track URI</t>
  </si>
  <si>
    <t>Track Name</t>
  </si>
  <si>
    <t>Album Release Date</t>
  </si>
  <si>
    <t>Track Duration (ms)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</si>
  <si>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</si>
  <si>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</si>
  <si>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</si>
  <si>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</si>
  <si>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</si>
  <si>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</si>
  <si>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</si>
  <si>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</si>
  <si>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</si>
  <si>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</si>
  <si>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</si>
  <si>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</si>
  <si>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</si>
  <si>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4nRhbx8L4ifnMKaE5jSQGR</t>
  </si>
  <si>
    <t>Only Love Can Break Your Heart</t>
  </si>
  <si>
    <t>0j35X8cTq543QDYLOyqB8W</t>
  </si>
  <si>
    <t>Only One</t>
  </si>
  <si>
    <t>5vJaDPHpkVAXetkF8YD88S</t>
  </si>
  <si>
    <t>Ave Maria, WAB 6</t>
  </si>
  <si>
    <t>2Wc6WJFIh86EDnlMxIKhv8</t>
  </si>
  <si>
    <t>Someday You Will Be Loved</t>
  </si>
  <si>
    <t>6FRQ4HYndOhM4OlVt0Ou3L</t>
  </si>
  <si>
    <t>Le moulin</t>
  </si>
  <si>
    <t>54X78diSLoUDI3joC2bjMz</t>
  </si>
  <si>
    <t>Purple Rain</t>
  </si>
  <si>
    <t>2s1sdSqGcKxpPr5lCl7jAV</t>
  </si>
  <si>
    <t>Chandelier</t>
  </si>
  <si>
    <t>5g9f8tdbqs0yesSoHeFo62</t>
  </si>
  <si>
    <t>Piano Concerto No. 4 in G Major, Op. 58: I. Allegro moderato</t>
  </si>
  <si>
    <t>1GLIlVpCxVSAFyHls6eE0C</t>
  </si>
  <si>
    <t>12 Motetti, Op. 4: Laboravi in gemitu meo</t>
  </si>
  <si>
    <t>538wQWciNel44Cwe5tqF9n</t>
  </si>
  <si>
    <t>Requiem</t>
  </si>
  <si>
    <t>1pjATX7sbd6Y4jMVqIvzHk</t>
  </si>
  <si>
    <t>Both Sides Now</t>
  </si>
  <si>
    <t>4iIskIFGOnOS6pSwggKosI</t>
  </si>
  <si>
    <t>Claressence - Live At Birdland</t>
  </si>
  <si>
    <t>1dyHU9CgeTWIvb2serBHzE</t>
  </si>
  <si>
    <t>The Silver Swan</t>
  </si>
  <si>
    <t>448aYzBX7pdzeNoJVw1QeA</t>
  </si>
  <si>
    <t>Symphony No. 7 In E Minor: 3. Scherzo: Schattenhaft</t>
  </si>
  <si>
    <t>1YrnDTqvcnUKxAIeXyaEmU</t>
  </si>
  <si>
    <t>How Soon Is Now? - 2011 Remaster</t>
  </si>
  <si>
    <t>3ovQbkPW0RGloaaW4Gg4fK</t>
  </si>
  <si>
    <t>Lauda Sion, Op. 73: II. Coro</t>
  </si>
  <si>
    <t>6gz6rxRge7BLRreM9uJXxI</t>
  </si>
  <si>
    <t>Schoenberg: Verklärte Nacht, Op. 4: I. Grave</t>
  </si>
  <si>
    <t>57ebBLITHpRgRKGrlbxMZS</t>
  </si>
  <si>
    <t>Faithfully</t>
  </si>
  <si>
    <t>5G2g1EbEtFSMkMbAnhl7FV</t>
  </si>
  <si>
    <t>Gigantic - Remastered</t>
  </si>
  <si>
    <t>1WadE5KTwPPMruyCPSnVos</t>
  </si>
  <si>
    <t>The Post War Dream</t>
  </si>
  <si>
    <t>1GqlvSEtMx5xbGptxOTTyk</t>
  </si>
  <si>
    <t>Peace of Mind</t>
  </si>
  <si>
    <t>6R8524LWtCjlpMMeDP0waL</t>
  </si>
  <si>
    <t>Wild Things</t>
  </si>
  <si>
    <t>423hwXFgoN8RYmqLoLuVvY</t>
  </si>
  <si>
    <t>No Woman, No Cry - Live At The Lyceum, London/1975</t>
  </si>
  <si>
    <t>4eHbdreAnSOrDDsFfc4Fpm</t>
  </si>
  <si>
    <t>I Will Always Love You</t>
  </si>
  <si>
    <t>0GD6Ug6ouPqkthlnT058aC</t>
  </si>
  <si>
    <t>For Crying Out Loud</t>
  </si>
  <si>
    <t>1v98rfd0an913AzHvMNG8a</t>
  </si>
  <si>
    <t>Alison</t>
  </si>
  <si>
    <t>1zgIt6PsAJcbKrDloi3dxt</t>
  </si>
  <si>
    <t>Festgesang, MWV D4, "Gutenberg-Kantate": No. 2. (adap. W.H. Cummings as Hark! The Herald Angels Sing) (arr. D. Willcocks)</t>
  </si>
  <si>
    <t>5GgFOblnQHXViOJymdtVP0</t>
  </si>
  <si>
    <t>Piano Concerto No. 3 in D Minor, Op. 30: II. Intermezzo. Adagio</t>
  </si>
  <si>
    <t>37BmiT0Rgv3ui8MPnE02sZ</t>
  </si>
  <si>
    <t>Faust, Ballet Music: 7. Danse de Phryné (Allegro vivo)</t>
  </si>
  <si>
    <t>1CSaCKPIp2yCIDL3t7Fyau</t>
  </si>
  <si>
    <t>Barber: Adagio for Strings, Op. 11</t>
  </si>
  <si>
    <t>0cqcRqZgkNHanWQ8slYA0v</t>
  </si>
  <si>
    <t>Mahler: Symphony No. 5 in C-Sharp Minor: IV. Adagietto. Sehr langsam</t>
  </si>
  <si>
    <t>1MiWGSGDC5mGoP3MNclZ7s</t>
  </si>
  <si>
    <t>The Rite of Spring: Part One: Adoration of the Earth: Introduction</t>
  </si>
  <si>
    <t>5d7wn8zwM98iGU9ceTHvWB</t>
  </si>
  <si>
    <t>Má Vlast (My Fatherland): Vltava (The Moldau River)</t>
  </si>
  <si>
    <t>3NrP99Q7bJ8KBgin3rO6Lb</t>
  </si>
  <si>
    <t>Symphony No. 9 in E minor, Op. 95, B. 178, "From the New World": Symphony No. 9 "From the New World" (Largo)</t>
  </si>
  <si>
    <t>612VcBshQcy4mpB2utGc3H</t>
  </si>
  <si>
    <t>Tears in Heaven - Acoustic; Live at MTV Unplugged, Bray Film Studios, Windsor, England, UK, 1/16/1992; 2013 Remaster</t>
  </si>
  <si>
    <t>15j9XMtlPVsJpqCrDTv0MW</t>
  </si>
  <si>
    <t>Overture And A Prisoner Of The Crusades (From Chains To Freedom)</t>
  </si>
  <si>
    <t>79WLCOghf9QMQvSy3B96ep</t>
  </si>
  <si>
    <t>The Planets, Op. 32: I. Mars, The Bringer Of War</t>
  </si>
  <si>
    <t>6T48yPpivrZlHuw7Tx8M3U</t>
  </si>
  <si>
    <t>Grand Canyon Suite: 1. Sunrise</t>
  </si>
  <si>
    <t>6qmLe59Zdjj5yQNsQ2iGLT</t>
  </si>
  <si>
    <t>Requiem: 7. Pie Jesu</t>
  </si>
  <si>
    <t>51xBgzcyzojRpqFW2ICQAB</t>
  </si>
  <si>
    <t>No Cars Go</t>
  </si>
  <si>
    <t>5HvS9Y9Y9ghVggW1o7Erkv</t>
  </si>
  <si>
    <t>Requiem in D Minor, K. 626: VIII. Lacrimosa</t>
  </si>
  <si>
    <t>1M5oDBrdJNXLSo3cBbblcK</t>
  </si>
  <si>
    <t>Toccata and Fugue in D Minor, BWV 565</t>
  </si>
  <si>
    <t>2ZgZZTIR9y4tQfC1mhKb2H</t>
  </si>
  <si>
    <t>Symphony No.9 in D minor, Op.125 - "Choral": 2. Molto vivace - Excerpt</t>
  </si>
  <si>
    <t>5y1Uc72BAKxaleTEXpcJJq</t>
  </si>
  <si>
    <t>The Final Cut</t>
  </si>
  <si>
    <t>1XqiCbctB4ABx72gOMuSZR</t>
  </si>
  <si>
    <t>String Quintet No. 2 in G Major, Op. 111: III. Un poco allegretto</t>
  </si>
  <si>
    <t>2K5LRXf7eGH9HzdeNPZc2a</t>
  </si>
  <si>
    <t>No One Is To Blame</t>
  </si>
  <si>
    <t>07L7jNEtQPgTlkwOllZLoA</t>
  </si>
  <si>
    <t>Piano Trio No. 1 in B Major, Op. 8: II. Scherzo. Allegro molto</t>
  </si>
  <si>
    <t>1r3qSVN2RdsnyeGVQEjjBH</t>
  </si>
  <si>
    <t>Intermezzo No. 1 in A Minor, Op. 118 - Allegro non assai, ma molto appassionato - Remastered</t>
  </si>
  <si>
    <t>2dYwMUAKMLn0e39vIVbuJV</t>
  </si>
  <si>
    <t>Piano Sonata in C Minor, D. 958: I. Allegro</t>
  </si>
  <si>
    <t>5j3YamFozZat2AtYy3ifjJ</t>
  </si>
  <si>
    <t>24 Preludes, Op. 28: No. 6 in B Minor</t>
  </si>
  <si>
    <t>6YmCRLGEWhCZbK7zEn6ijl</t>
  </si>
  <si>
    <t>Mazurka No.4 in A Minor, Op. 17</t>
  </si>
  <si>
    <t>6yOKuGcBmboFP5NXpQhZTY</t>
  </si>
  <si>
    <t>Etude No. 1 in Ab major, Op. 25</t>
  </si>
  <si>
    <t>41vzcBAPXYKoCQqUjv3Bo4</t>
  </si>
  <si>
    <t>Étude No. 5 in C-Sharp Minor, Op. 42: Affannato</t>
  </si>
  <si>
    <t>76O0hU9FsNzhobYTloVpyA</t>
  </si>
  <si>
    <t>Violin Sonata No. 1 in A Major, Op. 13: I. Allegro molto</t>
  </si>
  <si>
    <t>0xbUb9AjCr9yASgGTqhZWu</t>
  </si>
  <si>
    <t>Sonata In A Major For Violin &amp; Piano, FWV 8: 1. Allegretto ben moderato</t>
  </si>
  <si>
    <t>1HlE4vlaQ9cSFBGZHVmuaO</t>
  </si>
  <si>
    <t>Piano Concerto in A Minor, Op. 54: I. Allegro affetuoso</t>
  </si>
  <si>
    <t>4mZD5FNfphhARvjgjDNEWt</t>
  </si>
  <si>
    <t>Piano Concerto No. 2 in G Minor, Op. 22, R. 190: III. Presto</t>
  </si>
  <si>
    <t>4lE3vMcpbYB0ffq61iwiX8</t>
  </si>
  <si>
    <t>Sonate pour flûte et piano, FP 164: II. Cantilena</t>
  </si>
  <si>
    <t>67ogz3Hz2JF5n2fgjqrH7N</t>
  </si>
  <si>
    <t>Symphony No. 6 in A Minor: 1. Allegro energico, ma non troppo. Heftig aber Markig - Live From Philharmonie, Berlin / 2004</t>
  </si>
  <si>
    <t>1zwNC4HIvgQQ6nga0ygjIg</t>
  </si>
  <si>
    <t>String Quartet No. 8 in C Minor, Op. 110: 2. Allegro molto</t>
  </si>
  <si>
    <t>4EoRaVjUJQze7QjOtp2WCv</t>
  </si>
  <si>
    <t>Gaspard de la nuit, M. 55: 3. Scarbo</t>
  </si>
  <si>
    <t>7kIgutuFUva6xCcdzw6tW4</t>
  </si>
  <si>
    <t>Symphony No. 2, Op. 16, FS 29 "The Four Temperaments": I. Allegro collerico</t>
  </si>
  <si>
    <t>1erbCGrFMmt7nsafD2TeDJ</t>
  </si>
  <si>
    <t>Piano Sonata No. 30 in E Major, Op. 109: II. Prestissimo</t>
  </si>
  <si>
    <t>4Fc0Spu8d6jbiE915h9mOC</t>
  </si>
  <si>
    <t>Piano Concerto No. 20 in D Minor, K. 466: II. Romance</t>
  </si>
  <si>
    <t>1CmOMIQMJoY6jODLS1oTgB</t>
  </si>
  <si>
    <t>Piano Concerto No. 23 in A Major, K. 488: I. Allegro</t>
  </si>
  <si>
    <t>1cxP7aWWTjqlIPuQvFe2j1</t>
  </si>
  <si>
    <t>L'Estro Armonico, Op. 3, Concerto No. 4 in E Minor for four violins and strings, RV550: i. Andante</t>
  </si>
  <si>
    <t>3YcQnVYnUktq9JUr4zafyS</t>
  </si>
  <si>
    <t>L'Estro Armonico, Op.3, Concerto No. 8 in A minor for two violins and strings, RV 522: Allegro - Larghetto e spirituoso - Allegro</t>
  </si>
  <si>
    <t>47xdo9qYjAbOIVVBAqom1b</t>
  </si>
  <si>
    <t>Adagio in G Minor (Arr. for Harp and Orchestra)</t>
  </si>
  <si>
    <t>6fiiZlDvqfNOrQC0L7oSX8</t>
  </si>
  <si>
    <t>Piano Sonata No. 60 in C Major, Hob. XVI/50: II. Adagio</t>
  </si>
  <si>
    <t>7uIA6z6xmIKMMM3M6cfHRQ</t>
  </si>
  <si>
    <t>Requiem in D Minor, K. 626: V. Sanctus</t>
  </si>
  <si>
    <t>0O01mOzeMlE64Gvi08dsD6</t>
  </si>
  <si>
    <t>Toccata and Fugue in F Major, BWV 540: I. Toccata</t>
  </si>
  <si>
    <t>2278fNkTiLQb3bjQ5tWAeH</t>
  </si>
  <si>
    <t>Coma</t>
  </si>
  <si>
    <t>4OC3anbN4Xgq08LJhC1fgV</t>
  </si>
  <si>
    <t>Breit' über mein Haupt, Op. 19 No. 2</t>
  </si>
  <si>
    <t>6O1x5c79fKwC1dKLzZ5UPd</t>
  </si>
  <si>
    <t>Kol Nidrei - Adagio For Cello, Opus 47</t>
  </si>
  <si>
    <t>6FR23TfaYKBA4ja2L0VA1B</t>
  </si>
  <si>
    <t>Piano Trio No. 1 in D Minor, Op. 49, MWV Q29: I. Molto allegro agitato</t>
  </si>
  <si>
    <t>1liA8vPMY82TEFSnIBOytR</t>
  </si>
  <si>
    <t>Piano Concerto No. 1 in E Minor, Op. 11: II. Larghetto</t>
  </si>
  <si>
    <t>7c0XHUkwnVA6MMSdt5z973</t>
  </si>
  <si>
    <t>The Star Spangled Banner</t>
  </si>
  <si>
    <t>6Wbetf6SSYBl20XEakx7yG</t>
  </si>
  <si>
    <t>Symphony No. 2 in D Major, Op. 36: IV. Allegro molto</t>
  </si>
  <si>
    <t>2xizRhme7pYeITbH1NLLGt</t>
  </si>
  <si>
    <t>Tchaikovsky: Swan Lake, Op. 20, Act II: No. 10, Scene. Moderato</t>
  </si>
  <si>
    <t>3mMqk2MAWy2pT1E73nYauu</t>
  </si>
  <si>
    <t>#34</t>
  </si>
  <si>
    <t>37FcNfCFA20AQuYOE3u9kE</t>
  </si>
  <si>
    <t>El Distorto De Melodica</t>
  </si>
  <si>
    <t>0gukC0ozJO6t1TruWAHsri</t>
  </si>
  <si>
    <t>Paris Circa 2007 Slash 08</t>
  </si>
  <si>
    <t>0vm7QUQN5oSsgCpTaktYvm</t>
  </si>
  <si>
    <t>What Sweeter Music</t>
  </si>
  <si>
    <t>3upGBo5doSqZL7QxPutHXo</t>
  </si>
  <si>
    <t>Brandenburg Concerto No. 5 in D, BWV 1050: 2. Affetuoso</t>
  </si>
  <si>
    <t>7zfCcS97ThY8yhAyaZzrlJ</t>
  </si>
  <si>
    <t>Piano Concerto No.5 in Eb Major, Op. 73 "Emperor": I. Allegro</t>
  </si>
  <si>
    <t>6QbqQuah5VjgbdQ7V4bNyr</t>
  </si>
  <si>
    <t>Piano Sonata No. 17 in D Minor, Op. 31 No. 2 "Tempest": II. Adagio</t>
  </si>
  <si>
    <t>1XzRSfoCBFJU4jbZM2AL5P</t>
  </si>
  <si>
    <t>Piano Sonata No. 8 in C Minor, Op. 13 "Pathétique": II. Adagio cantabile</t>
  </si>
  <si>
    <t>3k1hBlWdPrXDSNcuQ56GDt</t>
  </si>
  <si>
    <t>Symphony No. 7 in A Major, Op. 92: II. Allegretto</t>
  </si>
  <si>
    <t>23Dw9tOYT6rUeq9cTG6BDs</t>
  </si>
  <si>
    <t>Violin Sonata No. 5 in F Major, Op. 24 "Spring": 2. Adagio molto espressivo</t>
  </si>
  <si>
    <t>06J1f9uoOeOwmkEDUNYfdg</t>
  </si>
  <si>
    <t>Symphonie fantastique, Op. 14, H. 48: II. Un bal. Valse. Allegro non troppo</t>
  </si>
  <si>
    <t>0GvxgVo7IuXuE1cZZJFt3I</t>
  </si>
  <si>
    <t>Symphonie fantastique, Op. 14, H 48: IV. Marche au supplice. Allegretto non troppo</t>
  </si>
  <si>
    <t>2DSxY4j6BGIIjHtpjZ3A7D</t>
  </si>
  <si>
    <t>String Quartet No.1 in C minor, Op.51 No.1: 2. Romanze (Poco adagio)</t>
  </si>
  <si>
    <t>0A1Iy8igTvcN0TckqlnR6N</t>
  </si>
  <si>
    <t>Symphony No. 4 in E Minor, Op. 98: II. Andante moderato</t>
  </si>
  <si>
    <t>1l70m0uPhxPJg2eL4eI8I9</t>
  </si>
  <si>
    <t>Ballade No. 1 in G Minor, Op. 23</t>
  </si>
  <si>
    <t>6YMBs9AL3LSGDMJkqfkKjo</t>
  </si>
  <si>
    <t>Nocturne No. 11 in G Minor, Op. 37 No. 1</t>
  </si>
  <si>
    <t>2h3W08zq4Ub276rCG40Wg5</t>
  </si>
  <si>
    <t>Prelude No. 4 in E Minor, Op. 28, No. 4</t>
  </si>
  <si>
    <t>6vS8JCT9WqTFeAuu8smjRF</t>
  </si>
  <si>
    <t>Appalachian Spring: VII. Doppio movimento</t>
  </si>
  <si>
    <t>1cmigB9I6IRpFqjIbzvSQB</t>
  </si>
  <si>
    <t>Suite bergamasque, L. 75: III. Clair de lune</t>
  </si>
  <si>
    <t>6X5TOSckOqubhqy8zbioNR</t>
  </si>
  <si>
    <t>Images oubliées, L. 87: 2. Souvenir du Louvre (Sarabande)</t>
  </si>
  <si>
    <t>02fv3KjMxZCUBkrWWPUsBo</t>
  </si>
  <si>
    <t>Prelude to the Afternoon of a Faun, L. 86 - Remastered</t>
  </si>
  <si>
    <t>4e6h04jVomTq8tCfOzDhRK</t>
  </si>
  <si>
    <t>Symphony No. 8 in G Major, Op. 88, B. 163: 3. Allegretto grazioso - Molto vivace</t>
  </si>
  <si>
    <t>5pjDwtMPly0cNMbuGXhUOI</t>
  </si>
  <si>
    <t>Elgar: Cello Concerto in E Minor, Op. 85: I. Adagio - Moderato</t>
  </si>
  <si>
    <t>2fpgAl0l2kbMoWNU2ygu4B</t>
  </si>
  <si>
    <t>Elegy for Strings, Op. 58</t>
  </si>
  <si>
    <t>3cc1BpGtocKOEnROApTv8M</t>
  </si>
  <si>
    <t>Cello Concerto No. 1 in C Major, Hob. VIIb:1: II. Adagio</t>
  </si>
  <si>
    <t>53MyQC8VYGworXT7xcKEVx</t>
  </si>
  <si>
    <t>Piano Sonata No. 58 in C Major, Hob. XVI:48: II. Rondo. Presto</t>
  </si>
  <si>
    <t>1zRNitvbiXciXOnqreB5BH</t>
  </si>
  <si>
    <t>Praeludium and Allegro in the style of Pugnani</t>
  </si>
  <si>
    <t>41GXv89pebU39rLgmMY2Wt</t>
  </si>
  <si>
    <t>Danse macabre, Op. 40</t>
  </si>
  <si>
    <t>4AzIL3IcM0gnb5HEnUYLrQ</t>
  </si>
  <si>
    <t>Symphony No. 1 in D Major: 1. Langsam. Schleppend - Live</t>
  </si>
  <si>
    <t>25YnDL0y62aSk7wc35WBGJ</t>
  </si>
  <si>
    <t>Symphony No. 2 In C Minor - "Resurrection" / 1st Movement - Allegro maestoso (Totenfeier): Allegro maestoso</t>
  </si>
  <si>
    <t>4jwmD9XX0Va02tkq2Ft1ox</t>
  </si>
  <si>
    <t>Eine kleine Nachtmusik, Serenade No. 13 for Strings in G Major, K. 525: 1. Allegro</t>
  </si>
  <si>
    <t>70LcF31zb1H0PyJoS1Sx1r</t>
  </si>
  <si>
    <t>Creep</t>
  </si>
  <si>
    <t>5IOMd2iDO7pznHyO5erMYI</t>
  </si>
  <si>
    <t>Pictures At An Exhibition - Orch. Ravel: Gnomus</t>
  </si>
  <si>
    <t>2clWBiCpqRUssQH8FiTldc</t>
  </si>
  <si>
    <t>Threnody to the Victims of Hiroshima</t>
  </si>
  <si>
    <t>0LNMO7L35QASFAVM7tLHbb</t>
  </si>
  <si>
    <t>Romeo and Juliet, Op. 64 - Act 1: 13. Dance of the Knights</t>
  </si>
  <si>
    <t>5qBAwcxsWVduQPum2AQZhT</t>
  </si>
  <si>
    <t>Morceaux de Fantaisie, Op. 3: 1. Elégie</t>
  </si>
  <si>
    <t>7sqfM3SlO2L5WXwKkmiNhX</t>
  </si>
  <si>
    <t>Prelude No. 4 in D Major, Op.23</t>
  </si>
  <si>
    <t>5xcYuTciYwyCDPkOgYBAYz</t>
  </si>
  <si>
    <t>Rhapsody on a Theme of Paganini, Op. 43: Variation No. 18 Andante cantabile</t>
  </si>
  <si>
    <t>4JOEMgLkrHp8K1XNmyNffH</t>
  </si>
  <si>
    <t>Miroirs: III. Une barque sur l'océan</t>
  </si>
  <si>
    <t>2ZTm6g1kXy8Hd7jfg0zEra</t>
  </si>
  <si>
    <t>String Quartet in F Major, M. 35: I. Allegro moderato</t>
  </si>
  <si>
    <t>2u6fRGcaBhpI4uNBHpGv0b</t>
  </si>
  <si>
    <t>Hallelujah</t>
  </si>
  <si>
    <t>5CfxpBCYwfB17MMgARumHl</t>
  </si>
  <si>
    <t>Respighi: Pini di Roma, P. 141: III. I pini del Gianicolo</t>
  </si>
  <si>
    <t>6W9EGZya0T7qYsRvIrB0uC</t>
  </si>
  <si>
    <t>Scheherazade, Op. 35: III. The Young Prince And The Young Princess, Andantino quasi Allegretto</t>
  </si>
  <si>
    <t>2fd30dCL6Z8FclzN47jteh</t>
  </si>
  <si>
    <t>Symphony No. 3 in C Minor, Op. 78 "Organ Symphony": 1b. Poco adagio</t>
  </si>
  <si>
    <t>3VwB9QamFLmYcBTm7bNKOE</t>
  </si>
  <si>
    <t>Fantasie in C Major, Op. 17: Fantasie in C Major, Op. 17: I. Durchaus phantastisch und leidenschaftlich vorzutragen</t>
  </si>
  <si>
    <t>2PMzWCQqhKyX1EVZ3xfZLe</t>
  </si>
  <si>
    <t>If It Be Your Will</t>
  </si>
  <si>
    <t>3FAclTFfvUuQYnEsptbK8w</t>
  </si>
  <si>
    <t>Back To Black</t>
  </si>
  <si>
    <t>5E4smJMGgeyg5ELTlI8sat</t>
  </si>
  <si>
    <t>Symphony No. 11 in G Minor, Op. 103, "The Year 1905": I. The Palace Square. Adagio</t>
  </si>
  <si>
    <t>7faWy3kAy0GkTqAzkUBhCf</t>
  </si>
  <si>
    <t>Piano Concerto No. 2 in F Major, Op. 102: II. Andante</t>
  </si>
  <si>
    <t>3QeywWcIRv18n5GrVFhjpf</t>
  </si>
  <si>
    <t>Symphony No. 10 in E Minor, Op. 93: II. Allegro</t>
  </si>
  <si>
    <t>6qvAVwofy1LhfznvBal3qy</t>
  </si>
  <si>
    <t>Symphony No. 4 in C Minor, Op. 43: III. Moderato con moto - Live</t>
  </si>
  <si>
    <t>2LR6lZHhpdzlTQsEfiJQaP</t>
  </si>
  <si>
    <t>Symphony No. 5 in D Minor, Op. 47: IV. Allegro non troppo</t>
  </si>
  <si>
    <t>6MxVGgR6KwLXUlf5Nxsaqv</t>
  </si>
  <si>
    <t>The Firebird (L'oiseau de feu) - Suite (1945): Lullaby</t>
  </si>
  <si>
    <t>66QjhIqVYXx0gpywokEaaM</t>
  </si>
  <si>
    <t>The Nutcracker, Op. 71, Act II: XIII. Waltz of the Flowers</t>
  </si>
  <si>
    <t>2w5LtX395W7IAFoVvIFfnc</t>
  </si>
  <si>
    <t>Symphony No. 4 in F Minor, Op. 36: IV. Finale: Allegro con fuoco</t>
  </si>
  <si>
    <t>4OSdP4zCk5CKQZgU7D907M</t>
  </si>
  <si>
    <t>Symphony No. 5 in E Minor, Op. 64: III. Valse - Allegro moderato - Live</t>
  </si>
  <si>
    <t>4wdQtdP2Frly3JghLq6gG1</t>
  </si>
  <si>
    <t>Violin Concerto in D Major, Op. 35: II. Canzonetta (Andante)</t>
  </si>
  <si>
    <t>0ROMalDdNg3L2HoZP4qFyJ</t>
  </si>
  <si>
    <t>The Four Seasons - Winter in F Minor, RV. 297: I. Allegro non molto</t>
  </si>
  <si>
    <t>5IQc18M1lrBfin77ApqNVr</t>
  </si>
  <si>
    <t>Lohengrin, WWV 75: Prelude to Act 1</t>
  </si>
  <si>
    <t>57HGrbCi4yUVTKtJF2pZgC</t>
  </si>
  <si>
    <t>Tannhäuser, WWV 70, Act III: "Wie Todesahnung... O, du mein holder Abendstern"</t>
  </si>
  <si>
    <t>7mjzw9Cva2xRqW8vToWQlA</t>
  </si>
  <si>
    <t>Two Pieces for Strings from Henry V: Passacaglia – Death of Falstaff</t>
  </si>
  <si>
    <t>3l2kIlfLojUMF1l83Ygwug</t>
  </si>
  <si>
    <t>Echoes</t>
  </si>
  <si>
    <t>6CS1jZPGvrmLr3x9yQQDML</t>
  </si>
  <si>
    <t>Angelica</t>
  </si>
  <si>
    <t>1KMOjZGaEsx3zoYcOuJYS6</t>
  </si>
  <si>
    <t>By the Canal with Pieter</t>
  </si>
  <si>
    <t>1NnKfHQfULRa19HG0ewt76</t>
  </si>
  <si>
    <t>Griet's Theme - Reprise</t>
  </si>
  <si>
    <t>2dhGEqyRQaXVkmzcYicu7N</t>
  </si>
  <si>
    <t>Am I Not Merciful?</t>
  </si>
  <si>
    <t>7dew1yrsNTRYqBRyMdNBH7</t>
  </si>
  <si>
    <t>Later Monday</t>
  </si>
  <si>
    <t>1x6qO9TaYwCeUweMyWAQst</t>
  </si>
  <si>
    <t>L'Arena - From "Il Mercenario"</t>
  </si>
  <si>
    <t>3PBKcE5sDRSjvcYDjeWZFW</t>
  </si>
  <si>
    <t>A Journey in the Dark</t>
  </si>
  <si>
    <t>5gtiF6aMCLMHMJsRXlSv5V</t>
  </si>
  <si>
    <t>Amon Hen</t>
  </si>
  <si>
    <t>644es5aYPJghtZLjM1rmSP</t>
  </si>
  <si>
    <t>Concerning Hobbits</t>
  </si>
  <si>
    <t>1mJxXKuqwo0TBwf13vBUKH</t>
  </si>
  <si>
    <t>The Riders of Rohan</t>
  </si>
  <si>
    <t>0TpzAepHab0NofzyqV6As8</t>
  </si>
  <si>
    <t>Samwise the Brave</t>
  </si>
  <si>
    <t>1ykbtFnlIjmIFnZ8j6wg6i</t>
  </si>
  <si>
    <t>The Breaking of the Fellowship (feat. "In Dreams")</t>
  </si>
  <si>
    <t>6XzqQBPwLws8fUH2KRBf7d</t>
  </si>
  <si>
    <t>The Uruk-hai</t>
  </si>
  <si>
    <t>126HWk9JuCt4PHZJAAsgOv</t>
  </si>
  <si>
    <t>Thé à la menthe (The Lazer Dance Version) [Instrumental]</t>
  </si>
  <si>
    <t>0UJvEuDGaloyorJWyLwii1</t>
  </si>
  <si>
    <t>Man with a Harmonica</t>
  </si>
  <si>
    <t>7sOBuRK26Ov7CR5fRSR7Om</t>
  </si>
  <si>
    <t>Surf Rider</t>
  </si>
  <si>
    <t>62Da3JOu9H9EIgmqV7DoLG</t>
  </si>
  <si>
    <t>Lux Aeterna</t>
  </si>
  <si>
    <t>3rUMH7i22tlkymhDPOmXUv</t>
  </si>
  <si>
    <t>Across the Stars (Love Theme from "Star Wars: Attack of the Clones")</t>
  </si>
  <si>
    <t>3RoQX4ou3qYEASsuC7YAWD</t>
  </si>
  <si>
    <t>Death Is the Road to Awe (feat. Kronos Quartet)</t>
  </si>
  <si>
    <t>0lIhU5NRZBSGlATPih9Ggf</t>
  </si>
  <si>
    <t>Resurrection</t>
  </si>
  <si>
    <t>37ZwqRGlcSCIEQv3Ckh4Jm</t>
  </si>
  <si>
    <t>Hummel Gets the Rockets</t>
  </si>
  <si>
    <t>7DZvt6QpoBvENnNTUTqudO</t>
  </si>
  <si>
    <t>My Heart Will Go On - Love Theme from "Titanic"</t>
  </si>
  <si>
    <t>14qmzjVGsbtIQmqV7R4SpR</t>
  </si>
  <si>
    <t>Larks in May / Sunny Windows</t>
  </si>
  <si>
    <t>6FwkSITKGSBNIpzdMDSgMR</t>
  </si>
  <si>
    <t>Lincolnshire Posy: II. Horkstow Grange</t>
  </si>
  <si>
    <t>3ZXksXxgBidoXEserK5HZC</t>
  </si>
  <si>
    <t>Julia Florida (Barcarola)</t>
  </si>
  <si>
    <t>4uYoY8xfnbpgTVKDLolwxP</t>
  </si>
  <si>
    <t>Diablo Rojo</t>
  </si>
  <si>
    <t>0nNwfRyw0eY323NMkBM0y8</t>
  </si>
  <si>
    <t>Tamacún</t>
  </si>
  <si>
    <t>3eVU95L56VReyjMOcLYYwr</t>
  </si>
  <si>
    <t>Danza del altiplano</t>
  </si>
  <si>
    <t>4hzlvh5fUwN026kpcMN9iS</t>
  </si>
  <si>
    <t>Sonata: III. La Toccata de Pasquini</t>
  </si>
  <si>
    <t>3gGrSAc9c2eWpNaKeorazO</t>
  </si>
  <si>
    <t>Valse hébraïque</t>
  </si>
  <si>
    <t>4roMdSmnJyOxADXzTlzA0C</t>
  </si>
  <si>
    <t>Knives Out</t>
  </si>
  <si>
    <t>5Jz6iIgLRx5huCdlM8QDts</t>
  </si>
  <si>
    <t>Paranoid Android I</t>
  </si>
  <si>
    <t>3JEZsNaO2MkUfW4EliIPkH</t>
  </si>
  <si>
    <t>First Breath After Coma</t>
  </si>
  <si>
    <t>0NNep3grWO95CVGp04gMM4</t>
  </si>
  <si>
    <t>Always with Me, Always with You</t>
  </si>
  <si>
    <t>6pVl5bk4iHDXUSBsfAOOVP</t>
  </si>
  <si>
    <t>Jâmedarân</t>
  </si>
  <si>
    <t>3t8lh8bVcFk2kWdTQ8ztn7</t>
  </si>
  <si>
    <t>Nahoft and Foroud</t>
  </si>
  <si>
    <t>3GhoURKMhnhKfGwEQLXjc5</t>
  </si>
  <si>
    <t>Dance of Vagharshapat</t>
  </si>
  <si>
    <t>4f0D7T8yswXUJ62AKLoMtS</t>
  </si>
  <si>
    <t>One For Daddy-O - Remastered</t>
  </si>
  <si>
    <t>2J7tTIy7b4F78HuNwNmYVv</t>
  </si>
  <si>
    <t>Work Song - Remastered</t>
  </si>
  <si>
    <t>5RWzKLxXVzkJQ702yWfp1w</t>
  </si>
  <si>
    <t>Fables of Faubus</t>
  </si>
  <si>
    <t>1KP9wYjstZu88gxeodMwWY</t>
  </si>
  <si>
    <t>Morning Sprite - Live At SPC Music Hall / 2018</t>
  </si>
  <si>
    <t>4CkAUO88r9kjjTyW6zjm3u</t>
  </si>
  <si>
    <t>Out Beyond Ideas</t>
  </si>
  <si>
    <t>2qiplKeUNzNjKFuZ6YkXG2</t>
  </si>
  <si>
    <t>Day</t>
  </si>
  <si>
    <t>5WX3TrXg2cN8O2IeihvcKR</t>
  </si>
  <si>
    <t>Charlie Chan</t>
  </si>
  <si>
    <t>2ZgUgwnEGamzJokWMGOK2u</t>
  </si>
  <si>
    <t>Equinox</t>
  </si>
  <si>
    <t>7BSe9JEJl9v3t2xuLvk77e</t>
  </si>
  <si>
    <t>Someone To Watch Over Me</t>
  </si>
  <si>
    <t>37fHxKAICYRDmYaTujdiBl</t>
  </si>
  <si>
    <t>Para Machuchar Meu Coracao</t>
  </si>
  <si>
    <t>6wRgknJXUfNGbcumtALNQH</t>
  </si>
  <si>
    <t>You Enjoy Myself</t>
  </si>
  <si>
    <t>5Qy9YMuxUcoC947ZwZ5Yp2</t>
  </si>
  <si>
    <t>Misty</t>
  </si>
  <si>
    <t>5NJyd4eB0UgrHPe5rfZBQR</t>
  </si>
  <si>
    <t>KYOKO'S HOUSE ("stage blood is not enough")</t>
  </si>
  <si>
    <t>6lvJDlBrtabJWiBlMTGxKs</t>
  </si>
  <si>
    <t>For the Damaged Coda</t>
  </si>
  <si>
    <t>4JM4C8AjX0fOuXqK15OkOO</t>
  </si>
  <si>
    <t>Horns Of A Rabbit</t>
  </si>
  <si>
    <t>6QXxmGsc0A2PG3alWT5bYi</t>
  </si>
  <si>
    <t>The Landlord Is Dead</t>
  </si>
  <si>
    <t>1mVrFcCEpYcF6ISXGsyRk5</t>
  </si>
  <si>
    <t>Static</t>
  </si>
  <si>
    <t>1HfJV18PHF2UQqh4TuySBJ</t>
  </si>
  <si>
    <t>Storm</t>
  </si>
  <si>
    <t>2MhWOwy6fjN9j5QY290z8d</t>
  </si>
  <si>
    <t>Suliman</t>
  </si>
  <si>
    <t>6r7XGyCsFwYIjodkzKsxwk</t>
  </si>
  <si>
    <t>Heavyweight</t>
  </si>
  <si>
    <t>6pnwfWyaWjQiHCKTiZLItr</t>
  </si>
  <si>
    <t>Shine On You Crazy Diamond (Pts. 1-5)</t>
  </si>
  <si>
    <t>1hUKa46QHBiif7oDYf2iKN</t>
  </si>
  <si>
    <t>Special Place</t>
  </si>
  <si>
    <t>0h2gzJQBt6duqZD6kWiz4s</t>
  </si>
  <si>
    <t>Moby Dick</t>
  </si>
  <si>
    <t>0jgCqv5kHcXaa5E6pplkIf</t>
  </si>
  <si>
    <t>White Summer / Black Mountain Side - Live in Paris, 1969</t>
  </si>
  <si>
    <t>0rntQBtnqqowmtCthUzACv</t>
  </si>
  <si>
    <t>Running Song</t>
  </si>
  <si>
    <t>0XU7bJxE8WqKVWNZRol3vw</t>
  </si>
  <si>
    <t>Libertango</t>
  </si>
  <si>
    <t>2RgHTioFLMbYSX579XYwb7</t>
  </si>
  <si>
    <t>Control Freak - Sander van Doorn Remix</t>
  </si>
  <si>
    <t>3TYLONF1OnQBj7PKE9Vwv3</t>
  </si>
  <si>
    <t>Deeper Love - Eddie Thoneick's Big Room Mix</t>
  </si>
  <si>
    <t>5SJ5H9F7XrLDprzoZf4KPH</t>
  </si>
  <si>
    <t>Advanced - Short Mix</t>
  </si>
  <si>
    <t>5gQ4cxY2nU2QTo4kmUWXGB</t>
  </si>
  <si>
    <t>Riff - SvD x David Tort Remix</t>
  </si>
  <si>
    <t>0yMoJXVP6hFLV71DRVxRTk</t>
  </si>
  <si>
    <t>Adagio For Strings - Radio Edit</t>
  </si>
  <si>
    <t>5iCl6Usdm9afUpPvYqRPwC</t>
  </si>
  <si>
    <t>Nyana</t>
  </si>
  <si>
    <t>4BvReOlhfl12PlXVduut56</t>
  </si>
  <si>
    <t>Olympic Flame</t>
  </si>
  <si>
    <t>5rcSCofC4mGq8eDEOEgV5j</t>
  </si>
  <si>
    <t>Hardstyle Disco (Da Tweekaz x Sub Zero Project Remix)</t>
  </si>
  <si>
    <t>6HknRM996YMa7VSBFYlnPJ</t>
  </si>
  <si>
    <t>Sibelius: Finlandia, Op. 26</t>
  </si>
  <si>
    <t>655OjsI6LbHdo3565qEfbE</t>
  </si>
  <si>
    <t>Forrest Gump Suite</t>
  </si>
  <si>
    <t>2MyzMXNwYohmjxehjnuOpM</t>
  </si>
  <si>
    <t>The Hebrides Overture, Op. 26, "Fingal's Cave"</t>
  </si>
  <si>
    <t>5zQUkEtjT6MJEeM1n5I4i3</t>
  </si>
  <si>
    <t>Variations on an Original Theme, Op. 36 "Enigma": Variations on an Original Theme, Op.36 "Enigma":Nimrod (Adagio)</t>
  </si>
  <si>
    <t>36KUjwuRoizcFuMpAaDEzF</t>
  </si>
  <si>
    <t>Tosca, S. 69, Act I: Recondita armonia</t>
  </si>
  <si>
    <t>6FLwmdmW77N1Pxb1aWsZmO</t>
  </si>
  <si>
    <t>Only Time</t>
  </si>
  <si>
    <t>6NMBkgLg85thMr80ShrW8D</t>
  </si>
  <si>
    <t>He's A Pirate - Tiësto Remix</t>
  </si>
  <si>
    <t>4EbNb50WVFg4enZEzfLxEm</t>
  </si>
  <si>
    <t>Dieser Weg - Radio Edit</t>
  </si>
  <si>
    <t>59uopHNpuKcozG1GQlZOiY</t>
  </si>
  <si>
    <t>The Last Unicorn</t>
  </si>
  <si>
    <t>3fbnbn6A5O5RNb08tlUEgd</t>
  </si>
  <si>
    <t>Streets of Philadelphia - Single Edit</t>
  </si>
  <si>
    <t>75JFxkI2RXiU7L9VXzMkle</t>
  </si>
  <si>
    <t>The Scientist</t>
  </si>
  <si>
    <t>2a7NRfaVMfob2BvkBmOxA0</t>
  </si>
  <si>
    <t>Colorblind</t>
  </si>
  <si>
    <t>7EZC6E7UjZe63f1jRmkWxt</t>
  </si>
  <si>
    <t>Zombie</t>
  </si>
  <si>
    <t>7o9uu2GDtVDr9nsR7ZRN73</t>
  </si>
  <si>
    <t>Time After Time</t>
  </si>
  <si>
    <t>5FZxsHWIvUsmSK1IAvm2pp</t>
  </si>
  <si>
    <t>Best of You</t>
  </si>
  <si>
    <t>7ygpwy2qP3NbrxVkHvUhXY</t>
  </si>
  <si>
    <t>Wonderwall - Remastered</t>
  </si>
  <si>
    <t>63CHa6rmamv9OsehkRD8oz</t>
  </si>
  <si>
    <t>Against All Odds (Take a Look at Me Now) - 2016 Remaster</t>
  </si>
  <si>
    <t>3xZMPZQYETEn4hjor3TR1A</t>
  </si>
  <si>
    <t>Angel</t>
  </si>
  <si>
    <t>2qRZm3cGCUPK40j3g0G5cN</t>
  </si>
  <si>
    <t>Hedonism (Just Because You Feel Good)</t>
  </si>
  <si>
    <t>0I1DJdLt9BKOb7GWmWxCjo</t>
  </si>
  <si>
    <t>Fields Of Gold</t>
  </si>
  <si>
    <t>57iDDD9N9tTWe75x6qhStw</t>
  </si>
  <si>
    <t>Bitter Sweet Symphony</t>
  </si>
  <si>
    <t>01MXkFA8sL7at6txavDErt</t>
  </si>
  <si>
    <t>Making Love Out of Nothing at All</t>
  </si>
  <si>
    <t>4RCWB3V8V0dignt99LZ8vH</t>
  </si>
  <si>
    <t>Hey There Delilah</t>
  </si>
  <si>
    <t>2M9ro2krNb7nr7HSprkEgo</t>
  </si>
  <si>
    <t>Fast Car</t>
  </si>
  <si>
    <t>5fgkjhICZnqFctrV0AyuQD</t>
  </si>
  <si>
    <t>Walking in Memphis</t>
  </si>
  <si>
    <t>7wuJGgpTNzbUyn26IOY6rj</t>
  </si>
  <si>
    <t>Total Eclipse of the Heart</t>
  </si>
  <si>
    <t>0VNzEY1G4GLqcNx5qaaTl6</t>
  </si>
  <si>
    <t>Vincent</t>
  </si>
  <si>
    <t>4c0LwA8hxZrRVd5y7yCGvl</t>
  </si>
  <si>
    <t>Flugzeuge im Bauch</t>
  </si>
  <si>
    <t>5YqpHuXpFjDVZ7tY1ClFll</t>
  </si>
  <si>
    <t>Heartbeats</t>
  </si>
  <si>
    <t>0P49pJa288tm8gKbFcofn9</t>
  </si>
  <si>
    <t>Streets of London</t>
  </si>
  <si>
    <t>5y788ya4NvwhBznoDIcXwK</t>
  </si>
  <si>
    <t>The Sound of Silence - Acoustic Version</t>
  </si>
  <si>
    <t>5lkcPXtaQlD22olk52WXfh</t>
  </si>
  <si>
    <t>Double Concerto in A Minor, Op. 102: 2. Andante</t>
  </si>
  <si>
    <t>3YVItJYzGjTwEiQ3g8p2aT</t>
  </si>
  <si>
    <t>Attack! - Extended Version</t>
  </si>
  <si>
    <t>0D0Z4rEzQYRdBUjPECMBOq</t>
  </si>
  <si>
    <t>Franck: 3 Chorales: No. 3 in A Minor, FWV 40</t>
  </si>
  <si>
    <t>5O97K1gzRKxmGECteEa7bp</t>
  </si>
  <si>
    <t>Violin Concerto in D Minor, Op. 47: I. Allegro moderato</t>
  </si>
  <si>
    <t>6uxzEXALPvhy0QK9o5OYR8</t>
  </si>
  <si>
    <t>Easy Lover - Live from the Serious Tour, 1990; 2019 Remaster</t>
  </si>
  <si>
    <t>1cSuhx1sWElMbGTIMUcpnr</t>
  </si>
  <si>
    <t>Clarinet Quintet In B Minor, Op. 115: 2. Adagio</t>
  </si>
  <si>
    <t>0tZbTz744J0WN7gjc9NeV5</t>
  </si>
  <si>
    <t>Nabucco: Overture</t>
  </si>
  <si>
    <t>3pRaLNL3b8x5uBOcsgvdqM</t>
  </si>
  <si>
    <t>5FMmhANpoVzm6nXfnZKnXE</t>
  </si>
  <si>
    <t>Night on Bald Mountain</t>
  </si>
  <si>
    <t>1ISbc05WTtcVh7q7QOXuu4</t>
  </si>
  <si>
    <t>William Tell Overture</t>
  </si>
  <si>
    <t>0bOOluUqa8zzxBCNUpvVVt</t>
  </si>
  <si>
    <t>Paddy's Green Shamrock Shore</t>
  </si>
  <si>
    <t>4Yb1E87oo57Eb0b4jQ2GAr</t>
  </si>
  <si>
    <t>Madama Butterfly / Act 1: Vogliatemi bene</t>
  </si>
  <si>
    <t>2yNfLnLb97QvVna6fO4kIE</t>
  </si>
  <si>
    <t>From Jewish Life, B. 55: I. Prayer</t>
  </si>
  <si>
    <t>0yQPpUq5BJyqah5m2Q5Stt</t>
  </si>
  <si>
    <t>Hoppípolla</t>
  </si>
  <si>
    <t>4oPJUG6n5adtOytvrNSfk9</t>
  </si>
  <si>
    <t>St. John Passion, BWV 245: Part I: Chorale: Herr, unser Herrscher (Chorus)</t>
  </si>
  <si>
    <t>1dZCiUTIbbvwOCALmzBh9y</t>
  </si>
  <si>
    <t>Oogway Ascends</t>
  </si>
  <si>
    <t>4QQMBEWazb499w4x1YU4sP</t>
  </si>
  <si>
    <t>Moon</t>
  </si>
  <si>
    <t>1wl3u4FrzcuBv2LQ97Z6TQ</t>
  </si>
  <si>
    <t>Happy Ending</t>
  </si>
  <si>
    <t>0N5bKcefD3r3TY4vJO9wV3</t>
  </si>
  <si>
    <t>Sweet Lullaby</t>
  </si>
  <si>
    <t>6TQMx46BOs5GHS3hcshYQf</t>
  </si>
  <si>
    <t>What You Want</t>
  </si>
  <si>
    <t>15IXY8FJTdtMABsIlaHm6u</t>
  </si>
  <si>
    <t>On and on and On</t>
  </si>
  <si>
    <t>3SmCQgDVkm3llqcsczXCFI</t>
  </si>
  <si>
    <t>The New Moon in the Old Moon's Arms - 4th Movement: Final Flight</t>
  </si>
  <si>
    <t>1DBgMOolEaRdMEF2YIdh8J</t>
  </si>
  <si>
    <t>Tristan and Isolde, WWV 90: Prelude to Act I</t>
  </si>
  <si>
    <t>2gE0khQ948RYQOeTgCUL2a</t>
  </si>
  <si>
    <t>My Girls</t>
  </si>
  <si>
    <t>3J9v7F7ujBdfY6vDjhPdGB</t>
  </si>
  <si>
    <t>Knight of Wands</t>
  </si>
  <si>
    <t>0bhBtXHQX3u6dSAPF59qGx</t>
  </si>
  <si>
    <t>Flume</t>
  </si>
  <si>
    <t>3jkZrjIolwWxXdbwB1WSvE</t>
  </si>
  <si>
    <t>From Africa To Malaga</t>
  </si>
  <si>
    <t>0YQrHOpi219lZA8SDly4iG</t>
  </si>
  <si>
    <t>Better Things</t>
  </si>
  <si>
    <t>0aEVxlKZ2Vk6Bt5UjZC98B</t>
  </si>
  <si>
    <t>Lieutenant Kijé, Op. 60: II. Romance</t>
  </si>
  <si>
    <t>20dt11ZTAtjsfcNJLP9u30</t>
  </si>
  <si>
    <t>Time To Move On</t>
  </si>
  <si>
    <t>0UeYCHOETPfai02uskjJ3x</t>
  </si>
  <si>
    <t>Shooting Stars</t>
  </si>
  <si>
    <t>6AKSrodq9kU9hmTLEeWFFr</t>
  </si>
  <si>
    <t>Crush</t>
  </si>
  <si>
    <t>33JX2be3eKVhl5xk8YQhVc</t>
  </si>
  <si>
    <t>Empty</t>
  </si>
  <si>
    <t>72SPsHheqN6J3sI520jT9E</t>
  </si>
  <si>
    <t>Colors</t>
  </si>
  <si>
    <t>4U45aEWtQhrm8A5mxPaFZ7</t>
  </si>
  <si>
    <t>Vienna</t>
  </si>
  <si>
    <t>7kNeKJo9SYVBGPtQH4WJ3a</t>
  </si>
  <si>
    <t>Heavy</t>
  </si>
  <si>
    <t>2dphvmoLEXdk8hOYxmHlI3</t>
  </si>
  <si>
    <t>Strawberry Swing</t>
  </si>
  <si>
    <t>6Ehg6hFp7O2qUF3njy7dAj</t>
  </si>
  <si>
    <t>Manchester</t>
  </si>
  <si>
    <t>6aBUnkXuCEQQHAlTokv9or</t>
  </si>
  <si>
    <t>This Must Be the Place (Naive Melody) - 2005 Remaster</t>
  </si>
  <si>
    <t>4wd09wCccmxUB7XVJp0RNn</t>
  </si>
  <si>
    <t>Jesus, Etc.</t>
  </si>
  <si>
    <t>6i81sSdpfW2ww5OUTkaOR7</t>
  </si>
  <si>
    <t>I Fought In A War</t>
  </si>
  <si>
    <t>71vb6m0MteXgZxZJ1DTQbz</t>
  </si>
  <si>
    <t>The Model</t>
  </si>
  <si>
    <t>6jXEtGdG693WjVkAfQdiwr</t>
  </si>
  <si>
    <t>Like Dylan In The Movies</t>
  </si>
  <si>
    <t>7fX4mUOYGvrKOSvIphopZp</t>
  </si>
  <si>
    <t>ハロー・ハロー</t>
  </si>
  <si>
    <t>5fUTG3BOoR0CNXD5xO8XEU</t>
  </si>
  <si>
    <t>逢いたくていま</t>
  </si>
  <si>
    <t>41ZrtLrBLLlwpucuNJ9WuF</t>
  </si>
  <si>
    <t>Pray</t>
  </si>
  <si>
    <t>3fuzX9jTlNI9EZm7PQvUWT</t>
  </si>
  <si>
    <t>キミガタメ 2016</t>
  </si>
  <si>
    <t>5o54i8N5inZWWTqgcPxizP</t>
  </si>
  <si>
    <t>How crazy</t>
  </si>
  <si>
    <t>01pmkBT8BxbbNold66YqvY</t>
  </si>
  <si>
    <t>Paper-craft</t>
  </si>
  <si>
    <t>4kRbmjHl6Ncxsmzl4cJdg4</t>
  </si>
  <si>
    <t>Kabutomushi</t>
  </si>
  <si>
    <t>5TiTO68xMBWoRb8AwrkFPJ</t>
  </si>
  <si>
    <t>飴玉の唄</t>
  </si>
  <si>
    <t>7CvdyvhKA8Pkexff2m32hy</t>
  </si>
  <si>
    <t>枠</t>
  </si>
  <si>
    <t>2bJVadmgD2ufywBUmua994</t>
  </si>
  <si>
    <t>I Wish For You</t>
  </si>
  <si>
    <t>1WWmnrhSBMDcsxNBooiZuE</t>
  </si>
  <si>
    <t>Kimi Ni Todoke - Live At Kanagawa Kenmin Hall</t>
  </si>
  <si>
    <t>1WMOI4CBM2R3LB9ZrGu4EX</t>
  </si>
  <si>
    <t>車輪の唄</t>
  </si>
  <si>
    <t>6xolPSoBWkzOnK28TAOKRx</t>
  </si>
  <si>
    <t>あの紙ヒコーキ くもり空わって</t>
  </si>
  <si>
    <t>63mb6NUmKF797wFK2KABkg</t>
  </si>
  <si>
    <t>366日 - Rerecorded</t>
  </si>
  <si>
    <t>6I2Xl5fZP0tdFOUjgekK4p</t>
  </si>
  <si>
    <t>ふたりごと</t>
  </si>
  <si>
    <t>5Zfdg9uvXVCz9WDX7fePAB</t>
  </si>
  <si>
    <t>会いたかった</t>
  </si>
  <si>
    <t>0G0RPva8ZgFY6Ez40FA77G</t>
  </si>
  <si>
    <t>Name 〜君の名は〜</t>
  </si>
  <si>
    <t>5xwqHjjCovCOOv9TtHgacx</t>
  </si>
  <si>
    <t>未来への咆哮</t>
  </si>
  <si>
    <t>6dSWpeMEWj5gTvcutrK5yU</t>
  </si>
  <si>
    <t>GONG</t>
  </si>
  <si>
    <t>0ekGJQiqn1DzeZ3w5AsBoH</t>
  </si>
  <si>
    <t>KISS OF DEATH(Produced by HYDE)</t>
  </si>
  <si>
    <t>6bkJ4p6uSKmSnKxYpmB4aG</t>
  </si>
  <si>
    <t>Everything</t>
  </si>
  <si>
    <t>5O2uOm0yVK23lLVsqBllYF</t>
  </si>
  <si>
    <t>Stage of the ground</t>
  </si>
  <si>
    <t>1xfoypCg790fJiAy5nSobB</t>
  </si>
  <si>
    <t>Crest of ”Z's”</t>
  </si>
  <si>
    <t>3cQWusqyt053W56L3XBiIs</t>
  </si>
  <si>
    <t>sailing day</t>
  </si>
  <si>
    <t>0eTeB9EL0ly8uMFsrgOV1K</t>
  </si>
  <si>
    <t>ソラニン</t>
  </si>
  <si>
    <t>7AO2h2J8MdeUf8YFGqFx5u</t>
  </si>
  <si>
    <t>Dream Fighter</t>
  </si>
  <si>
    <t>3070ewQe9pd503ZwhYq80x</t>
  </si>
  <si>
    <t>春風 - Alternative</t>
  </si>
  <si>
    <t>0ETyYTTV1BohfKRMvvCXuv</t>
  </si>
  <si>
    <t>君が僕を知ってる</t>
  </si>
  <si>
    <t>6fZhokT7ADLeCcOyKL914T</t>
  </si>
  <si>
    <t>道</t>
  </si>
  <si>
    <t>4wLQr28uORriOx5rNM8by7</t>
  </si>
  <si>
    <t>Lovers Again</t>
  </si>
  <si>
    <t>7gFOVCXR5mrSkv1O3n7GXu</t>
  </si>
  <si>
    <t>有心論</t>
  </si>
  <si>
    <t>0vciFgccaS4HTPNGSttKbU</t>
  </si>
  <si>
    <t>愛をこめて花束を</t>
  </si>
  <si>
    <t>1O49iYtwRPuckSJv6OcQzB</t>
  </si>
  <si>
    <t>Kiss Me Good-Bye</t>
  </si>
  <si>
    <t>19W3ADbx7OW4YfBBAxSblh</t>
  </si>
  <si>
    <t>This Love</t>
  </si>
  <si>
    <t>1OrKMce17LnkzkBPKExTsx</t>
  </si>
  <si>
    <t>face to face</t>
  </si>
  <si>
    <t>7lzKT4gIsbx9X9sFbiLHri</t>
  </si>
  <si>
    <t>琉球愛歌</t>
  </si>
  <si>
    <t>434YBNY61Y9sqBSp7OINBa</t>
  </si>
  <si>
    <t>君の知らない物語</t>
  </si>
  <si>
    <t>1sbvIp94XFJcdndOqQgNh6</t>
  </si>
  <si>
    <t>カルマ</t>
  </si>
  <si>
    <t>6pxAoIi8AeABqvpmPzDhQF</t>
  </si>
  <si>
    <t>Ground Zero</t>
  </si>
  <si>
    <t>3mSZd9z8rESjx4O8UmwrGk</t>
  </si>
  <si>
    <t>LIFE</t>
  </si>
  <si>
    <t>7MZRQBBgI5fJt7eB8AD5oL</t>
  </si>
  <si>
    <t>Mass in B Minor, BWV 232: XXII. Sanctus</t>
  </si>
  <si>
    <t>11j15vKqSbsOXk1CAJnzb9</t>
  </si>
  <si>
    <t>Carmina Burana / Fortuna imperatrix mundi: I. "O Fortuna" - Live from the Forbidden City</t>
  </si>
  <si>
    <t>62PaSfnXSMyLshYJrlTuL3</t>
  </si>
  <si>
    <t>Hello</t>
  </si>
  <si>
    <t>4Bh3FuYbXgUVyUH1Ht8zif</t>
  </si>
  <si>
    <t>Over the Rainbow</t>
  </si>
  <si>
    <t>0Gr2XQOIMaaUH86iOrWGur</t>
  </si>
  <si>
    <t>Arrival of the Birds</t>
  </si>
  <si>
    <t>7oB0QBEnGRIJjvlDc8YnM6</t>
  </si>
  <si>
    <t>Rhapsody in Blue</t>
  </si>
  <si>
    <t>0m2YnlzvooZIdomB1HZE2e</t>
  </si>
  <si>
    <t>Finale</t>
  </si>
  <si>
    <t>6JQ2lefhnqmL4kxdA7lrtA</t>
  </si>
  <si>
    <t>Concerto for Two Violins in D Minor, BWV 1043: I. Vivace</t>
  </si>
  <si>
    <t>3VTNVsTTu05dmTsVFrmGpK</t>
  </si>
  <si>
    <t>Fairytale of New York (feat. Kirsty MacColl)</t>
  </si>
  <si>
    <t>0YTfMKGPhWhjS9wgzWvfaf</t>
  </si>
  <si>
    <t>Glósóli</t>
  </si>
  <si>
    <t>1mqxBLGxCu3yOG5B6UYwpV</t>
  </si>
  <si>
    <t>Symphony No. 2 in D Major Op. 43: I. Allegretto (Remastered 2021)</t>
  </si>
  <si>
    <t>4ceTCJPLBQBOogseivMuhL</t>
  </si>
  <si>
    <t>Ancestral</t>
  </si>
  <si>
    <t>66XZOVd6I7auDtOv4MADEz</t>
  </si>
  <si>
    <t>Man of a Thousand Faces</t>
  </si>
  <si>
    <t>5S9lfZu1YF8xKkgSsqL2Bd</t>
  </si>
  <si>
    <t>Elastic Heart</t>
  </si>
  <si>
    <t>6FH2WiSVFv5qglEg1O8xNn</t>
  </si>
  <si>
    <t>Day-O (The Banana Boat Song)</t>
  </si>
  <si>
    <t>5fVZC9GiM4e8vu99W0Xf6J</t>
  </si>
  <si>
    <t>How to Save a Life</t>
  </si>
  <si>
    <t>1Rd5OVjqDAr5xC96MHt448</t>
  </si>
  <si>
    <t>Daydreaming</t>
  </si>
  <si>
    <t>010ALbbh5KlQ4fKWgSdhRd</t>
  </si>
  <si>
    <t>Look On Down From The Bridge</t>
  </si>
  <si>
    <t>2kRFrWaLWiKq48YYVdGcm8</t>
  </si>
  <si>
    <t>Everything In Its Right Place</t>
  </si>
  <si>
    <t>3KgIZWuC7JJOgkcGeAWbZg</t>
  </si>
  <si>
    <t>Battle Cry</t>
  </si>
  <si>
    <t>0C6xsBf7j9PTkOnKt9X3Y2</t>
  </si>
  <si>
    <t>Näin Kulutan Aikaa - Remastered</t>
  </si>
  <si>
    <t>2O9hsVDgcwTUWTV8oluw3A</t>
  </si>
  <si>
    <t>Trndsttr - Lucian Remix</t>
  </si>
  <si>
    <t>1YFwQreHWmir03jdSVw08N</t>
  </si>
  <si>
    <t>So Dope</t>
  </si>
  <si>
    <t>67rmNN2HptVzMOgF65jvli</t>
  </si>
  <si>
    <t>The Merry-Go-Round of Life (from Howl's Moving Castle)</t>
  </si>
  <si>
    <t>38pLq8WPZAOYBHnvAgPp9u</t>
  </si>
  <si>
    <t>Progenies of the Great Apocalypse</t>
  </si>
  <si>
    <t>6ThdKtQgRjdU3OUNrtifof</t>
  </si>
  <si>
    <t>Scotland the Brave</t>
  </si>
  <si>
    <t>7lclmN7bzT9nfIPQCupKc4</t>
  </si>
  <si>
    <t>Extra Kings</t>
  </si>
  <si>
    <t>7y8X0Z04gJCKtfrnSAMywJ</t>
  </si>
  <si>
    <t>Hacker</t>
  </si>
  <si>
    <t>0mEOPRobXw671f2H68XzoB</t>
  </si>
  <si>
    <t>Scatterbrain</t>
  </si>
  <si>
    <t>1YeD9xHDe2LCgUjRJebFqF</t>
  </si>
  <si>
    <t>Defying Gravity</t>
  </si>
  <si>
    <t>6ophEFs89SOktBpFnRM8BK</t>
  </si>
  <si>
    <t>One Day More</t>
  </si>
  <si>
    <t>5c4M8DiOT7ziEQsZwRxXkC</t>
  </si>
  <si>
    <t>Moonlight</t>
  </si>
  <si>
    <t>0Sy2FEb4SM0EEZZPCZTolt</t>
  </si>
  <si>
    <t>Beirut</t>
  </si>
  <si>
    <t>2ZHhKGBY9LlypQGW3FcdVI</t>
  </si>
  <si>
    <t>This Place Was A Shelter</t>
  </si>
  <si>
    <t>0ZpBPavoID3eDbaXKSWpAD</t>
  </si>
  <si>
    <t>Friends (feat. Bon Iver)</t>
  </si>
  <si>
    <t>7GgWAITsYJaRM3r50rfh5w</t>
  </si>
  <si>
    <t>When We Were Young</t>
  </si>
  <si>
    <t>11fpLMWAcwPENBFe3jVxJC</t>
  </si>
  <si>
    <t>Simple Song</t>
  </si>
  <si>
    <t>6sOx5jDVKkQCQp3NfCTd52</t>
  </si>
  <si>
    <t>When It's Cold I'd Like to Die</t>
  </si>
  <si>
    <t>1gXBi2I04CLJkTQnhNfEJT</t>
  </si>
  <si>
    <t>Weight in Gold</t>
  </si>
  <si>
    <t>23b9BdZ2WZnDSeDzNUTVvZ</t>
  </si>
  <si>
    <t>Fallen Down (Reprise)</t>
  </si>
  <si>
    <t>1jx04eesLNEBzs0rw93byh</t>
  </si>
  <si>
    <t>Heart Attack, Relax</t>
  </si>
  <si>
    <t>7fx2rt43UfclOOulPwBYk2</t>
  </si>
  <si>
    <t>Let the Flames Begin</t>
  </si>
  <si>
    <t>5PtA2XXIrUWLZ3ZELnTOUi</t>
  </si>
  <si>
    <t>Space-Dye Vest</t>
  </si>
  <si>
    <t>2ws1dIEMyUCNiqoB0tIyXw</t>
  </si>
  <si>
    <t>INFINITY</t>
  </si>
  <si>
    <t>6uBuhWuX4t2f7ZbdHgi9sv</t>
  </si>
  <si>
    <t>God Rest You Merry, Gentlemen</t>
  </si>
  <si>
    <t>7em38Hh2sKwnZ1HDgxvg82</t>
  </si>
  <si>
    <t>Circle Of Life</t>
  </si>
  <si>
    <t>3EuF08fquhOeLE5qKCiSmx</t>
  </si>
  <si>
    <t>Astronaut</t>
  </si>
  <si>
    <t>24IFlzYDw03Rd9Dkv4oczj</t>
  </si>
  <si>
    <t>Lotus - Original Mix</t>
  </si>
  <si>
    <t>4YycgLIc3P6oQRY5NiOybl</t>
  </si>
  <si>
    <t>THE HERO !! 〜怒れる拳に火をつけろ〜</t>
  </si>
  <si>
    <t>4hJQdSsgB5s65WrhWAJful</t>
  </si>
  <si>
    <t>Haunted Memories</t>
  </si>
  <si>
    <t>0oOvCyoDVfZ5FOQzR6hxoR</t>
  </si>
  <si>
    <t>DNA (feat. Na-kel)</t>
  </si>
  <si>
    <t>6GYaDzErKyZJ9PeGkYYh1M</t>
  </si>
  <si>
    <t>Yorktown (The World Turned Upside Down) [From "Hamilton"]</t>
  </si>
  <si>
    <t>1irS6wtXCUUF5ytfPqOzpM</t>
  </si>
  <si>
    <t>Like Spinning Plates</t>
  </si>
  <si>
    <t>11IBJ3VI4PVdtedzbMaZaq</t>
  </si>
  <si>
    <t>Bad Skin Day</t>
  </si>
  <si>
    <t>4jhmemDl6T1MpP6NTjo7uv</t>
  </si>
  <si>
    <t>Guyamas Sonora</t>
  </si>
  <si>
    <t>4XLm8FNvaTlmTAZmSrrV82</t>
  </si>
  <si>
    <t>Shots - Broiler Remix</t>
  </si>
  <si>
    <t>0pBLfQ5JBjh12H6DGZjMwM</t>
  </si>
  <si>
    <t>Elevate</t>
  </si>
  <si>
    <t>5sbMGV9QHi8ZyAqppjC4vC</t>
  </si>
  <si>
    <t>Two Girls</t>
  </si>
  <si>
    <t>1HZrlGSsrTLKIYkklOvi4B</t>
  </si>
  <si>
    <t>Lift</t>
  </si>
  <si>
    <t>2bXR3wHjJ7zBZ7RRuTVCvQ</t>
  </si>
  <si>
    <t>The Perfect Kiss - 2015 Remaster</t>
  </si>
  <si>
    <t>7em1TY4GHEglv3DHMhHZJO</t>
  </si>
  <si>
    <t>Danse Bacchanale (From "Samson and Delilah," Op. 47)</t>
  </si>
  <si>
    <t>1hnUv53AhiAVA6StKnVf7Y</t>
  </si>
  <si>
    <t>Siren</t>
  </si>
  <si>
    <t>0uSZV3g7sFfAwJyEoWRIDL</t>
  </si>
  <si>
    <t>All Night Loud</t>
  </si>
  <si>
    <t>7LVHVU3tWfcxj5aiPFEW4Q</t>
  </si>
  <si>
    <t>Fix You</t>
  </si>
  <si>
    <t>1h9JJkK1rEqMrkuuU4vRSP</t>
  </si>
  <si>
    <t>Hello Again - From "The Jazz Singer" Soundtrack</t>
  </si>
  <si>
    <t>4K0CVk4T2HUxJdKqoGvgRJ</t>
  </si>
  <si>
    <t>Divide (feat. Casey Lee Williams)</t>
  </si>
  <si>
    <t>64UdBWOO6lIsD86qkL9euA</t>
  </si>
  <si>
    <t>Bathtub Mermaid</t>
  </si>
  <si>
    <t>44lxKKHQuGj9Y99hnmtOTK</t>
  </si>
  <si>
    <t>Operation Lifesaver aka Mint Test</t>
  </si>
  <si>
    <t>2TjdnqlpwOjhijHCwHCP2d</t>
  </si>
  <si>
    <t>The Great Gig in the Sky</t>
  </si>
  <si>
    <t>7duJq7rW6VPQY2doJUcd2v</t>
  </si>
  <si>
    <t>The Art Of Fugue, BWV 1080 - Version For String Quartet: Contrapunctus 9</t>
  </si>
  <si>
    <t>2Rc5i1prwcSG7XV844zrWx</t>
  </si>
  <si>
    <t>In The Flowers</t>
  </si>
  <si>
    <t>11Hq1xTlR8Bgm3Pgv9EqGs</t>
  </si>
  <si>
    <t>O Holy Night</t>
  </si>
  <si>
    <t>0IWBaEf7GOwKPKHyC32E1z</t>
  </si>
  <si>
    <t>Fade Away</t>
  </si>
  <si>
    <t>4Fw78DnrzXhRzvsmNfJdFk</t>
  </si>
  <si>
    <t>Suite for Variety Orchestra: VII. Waltz No. 2</t>
  </si>
  <si>
    <t>1bY0n0E9SDqcShdJs18wzX</t>
  </si>
  <si>
    <t>The Dawn Will Come</t>
  </si>
  <si>
    <t>28cnXtME493VX9NOw9cIUh</t>
  </si>
  <si>
    <t>Hurt</t>
  </si>
  <si>
    <t>4Gu1w7zBrDrRU4T2WHg1L5</t>
  </si>
  <si>
    <t>My Body Is A Cage</t>
  </si>
  <si>
    <t>33HRECrmuelZxOpid6XTNX</t>
  </si>
  <si>
    <t>2DLrgv7HhJanCuD8L9uJLR</t>
  </si>
  <si>
    <t>Zenzenzense - movie ver.</t>
  </si>
  <si>
    <t>26E2iSWFTXDzmdYGCzUpuY</t>
  </si>
  <si>
    <t>ムーンソング</t>
  </si>
  <si>
    <t>1iKtNCRdJ59nWr0dpocU7t</t>
  </si>
  <si>
    <t>My Lord Has Come</t>
  </si>
  <si>
    <t>2V65y3PX4DkRhy1djlxd9p</t>
  </si>
  <si>
    <t>Don't You Worry Child - Radio Edit</t>
  </si>
  <si>
    <t>6HSvY3p7lH7AxK39c2Hpek</t>
  </si>
  <si>
    <t>Pomp and Circumstance Marches, Op. 39: March No. 4 in G Major</t>
  </si>
  <si>
    <t>3Z9CSnOILNjzraBabJPhLw</t>
  </si>
  <si>
    <t>A Tiree Love Song</t>
  </si>
  <si>
    <t>01deB0ddwn6std1UhPbNtu</t>
  </si>
  <si>
    <t>Untitled Hymn (Come to Jesus)</t>
  </si>
  <si>
    <t>00QAndVDVfNqNWYdWAhEan</t>
  </si>
  <si>
    <t>Who Wants To Live Forever - Remastered 2011</t>
  </si>
  <si>
    <t>3d52ArS6cvWZJGqVqQBbDl</t>
  </si>
  <si>
    <t>In the Morning</t>
  </si>
  <si>
    <t>1FiaulrCVvBxVfDTzkv9DK</t>
  </si>
  <si>
    <t>Dry County</t>
  </si>
  <si>
    <t>4J3kArNud5C3B98dbCZXE4</t>
  </si>
  <si>
    <t>Empty Sky</t>
  </si>
  <si>
    <t>3EO0js63QHQQPqJt1TgBLQ</t>
  </si>
  <si>
    <t>Lift Me Up</t>
  </si>
  <si>
    <t>54bm2e3tk8cliUz3VSdCPZ</t>
  </si>
  <si>
    <t>Master of Puppets (Remastered)</t>
  </si>
  <si>
    <t>5WHnE8MsLFHqSUwecrs7WO</t>
  </si>
  <si>
    <t>Bésame Mucho</t>
  </si>
  <si>
    <t>7hQJA50XrCWABAu5v6QZ4i</t>
  </si>
  <si>
    <t>Don't Stop Me Now - Remastered 2011</t>
  </si>
  <si>
    <t>5EDXCIp54bSQspeOyta5R7</t>
  </si>
  <si>
    <t>Nature Boy - From "Moulin Rouge" Soundtrack</t>
  </si>
  <si>
    <t>1aaIYTqoRDzRUilU2Q6vTe</t>
  </si>
  <si>
    <t>Archangel</t>
  </si>
  <si>
    <t>1IhnbJZ7FywEL7YCyLKDgv</t>
  </si>
  <si>
    <t>Cold Desert</t>
  </si>
  <si>
    <t>3zsRP8rH1kaIAo9fmiP4El</t>
  </si>
  <si>
    <t>Angels</t>
  </si>
  <si>
    <t>6JKeTL1QlG8rNSprhJNBsz</t>
  </si>
  <si>
    <t>Here I Am, Lord - Anniversary Recording</t>
  </si>
  <si>
    <t>3AqPL1n1wKc5DVFFnYuJhp</t>
  </si>
  <si>
    <t>To Build A Home</t>
  </si>
  <si>
    <t>0ZPfDxZn5O0L84wvPSN2iG</t>
  </si>
  <si>
    <t>How Long Will I Love You - Bonus Track</t>
  </si>
  <si>
    <t>56lhDZNQ5J47aog6mGKeGk</t>
  </si>
  <si>
    <t>Thunder Road</t>
  </si>
  <si>
    <t>4z7Ja0RNran3XpIvc1PIQz</t>
  </si>
  <si>
    <t>Listen (From the Motion Picture "Dreamgirls")</t>
  </si>
  <si>
    <t>64GRDrL1efgXclrhVCeuA0</t>
  </si>
  <si>
    <t>Lay Me Down</t>
  </si>
  <si>
    <t>5ipHEp72ur3hB8WVM0hzOX</t>
  </si>
  <si>
    <t>Sweater Weather</t>
  </si>
  <si>
    <t>3HuUc4Fpvg0EYvpPduj2kC</t>
  </si>
  <si>
    <t>Drive All Night</t>
  </si>
  <si>
    <t>62nQ8UZVqR2RMvkJHkcO2o</t>
  </si>
  <si>
    <t>Jeremy</t>
  </si>
  <si>
    <t>7urI0hLBL2BENuAW6v42Du</t>
  </si>
  <si>
    <t>Wide Open Space - Live</t>
  </si>
  <si>
    <t>033uNwmVzZvXm00CUPBnA0</t>
  </si>
  <si>
    <t>One &amp; One (feat. Maria Nayler)</t>
  </si>
  <si>
    <t>3W8L019j4VL8QXAAGzz0bu</t>
  </si>
  <si>
    <t>Do You Hear the People Sing?</t>
  </si>
  <si>
    <t>2MSgFefjK0T7Iwjvr3OKqV</t>
  </si>
  <si>
    <t>Chopin: Nocturne No. 20 in C-Sharp Minor, Op. Posth.</t>
  </si>
  <si>
    <t>1CTex49P0iWwzUGsMNjgaV</t>
  </si>
  <si>
    <t>Strange Fruit</t>
  </si>
  <si>
    <t>05aYS67B9WxWDA5ZWVkvCf</t>
  </si>
  <si>
    <t>We'll Burn the Sky - 2015 - Remaster</t>
  </si>
  <si>
    <t>341863z079BT4EFPiSw9DP</t>
  </si>
  <si>
    <t>The Call</t>
  </si>
  <si>
    <t>2w82KRjGk874HFjBkU4SPv</t>
  </si>
  <si>
    <t>It's Quiet Uptown</t>
  </si>
  <si>
    <t>6TRRxuQhKCI5Gvq6gIq6sC</t>
  </si>
  <si>
    <t>Mystery of the Invisible</t>
  </si>
  <si>
    <t>2P6VXyE8KMXVTzj8FR1zAM</t>
  </si>
  <si>
    <t>Chichester Psalms: II. Psalm 23, Psalm 2 vs. 1-4</t>
  </si>
  <si>
    <t>7rnQ6rUelYlp4Cg8u9mkwE</t>
  </si>
  <si>
    <t>Orbis</t>
  </si>
  <si>
    <t>0qlAureWHln3vDCsqnkyRE</t>
  </si>
  <si>
    <t>Done With Love</t>
  </si>
  <si>
    <t>2hA4CHQPeGmZPGT4e2p9r2</t>
  </si>
  <si>
    <t>I Heard the Bells on Christmas Day</t>
  </si>
  <si>
    <t>1zwMYTA5nlNjZxYrvBB2pV</t>
  </si>
  <si>
    <t>Someone Like You</t>
  </si>
  <si>
    <t>3Q4WeJmzxuDpzMu9QjQqbM</t>
  </si>
  <si>
    <t>Big Girls Don't Cry (Personal)</t>
  </si>
  <si>
    <t>2fDHuS1PTkHBbCWWZF1ph9</t>
  </si>
  <si>
    <t>Folsom Prison Blues - Live at Folsom State Prison, Folsom, CA - January 1968</t>
  </si>
  <si>
    <t>4so0Wek9Ig1p6CRCHuINwW</t>
  </si>
  <si>
    <t>White Christmas</t>
  </si>
  <si>
    <t>2SWn864dJI5RNyrp3F4Kp1</t>
  </si>
  <si>
    <t>Always on My Mind - 2003 Remaster</t>
  </si>
  <si>
    <t>37CRPk0L5ZpfPeePEPwE0t</t>
  </si>
  <si>
    <t>Ashes to Ashes - 2017 Remaster</t>
  </si>
  <si>
    <t>4s686onxhVJEKyQ9gnx9IE</t>
  </si>
  <si>
    <t>High Hopes - Live At Pompeii 2016</t>
  </si>
  <si>
    <t>5Y6nVaayzitvsD5F7nr3DV</t>
  </si>
  <si>
    <t>West Coast</t>
  </si>
  <si>
    <t>5zezxlbGoSr1q3GJ4PMRUW</t>
  </si>
  <si>
    <t>Side 3, Pt. 7: Talkin' Hawkin'</t>
  </si>
  <si>
    <t>5e9TFTbltYBg2xThimr0rU</t>
  </si>
  <si>
    <t>The Chain - 2004 Remaster</t>
  </si>
  <si>
    <t>2RlgNHKcydI9sayD2Df2xp</t>
  </si>
  <si>
    <t>Mr. Blue Sky</t>
  </si>
  <si>
    <t>0pQskrTITgmCMyr85tb9qq</t>
  </si>
  <si>
    <t>Starman - 2012 Remaster</t>
  </si>
  <si>
    <t>2hPTbwlidXsCmx3Za52PJH</t>
  </si>
  <si>
    <t>Caruso</t>
  </si>
  <si>
    <t>07BFov9J9WqEdXsaxwLymq</t>
  </si>
  <si>
    <t>Symphony of Psalms: III. Alleluia, laudate Dominum</t>
  </si>
  <si>
    <t>00BTDWR6xCaGdst6cPKkpF</t>
  </si>
  <si>
    <t>Hideaway</t>
  </si>
  <si>
    <t>7HvhQfQDlYCB4n73r4duw2</t>
  </si>
  <si>
    <t>On The Nature Of Daylight</t>
  </si>
  <si>
    <t>1GUZZ8Z04qoRLtcCYkYxIM</t>
  </si>
  <si>
    <t>Scar</t>
  </si>
  <si>
    <t>5xzLdJvEyX2s3SbpnANV0h</t>
  </si>
  <si>
    <t>Syrinx, L. 129</t>
  </si>
  <si>
    <t>4HlFJV71xXKIGcU3kRyttv</t>
  </si>
  <si>
    <t>Hey, Soul Sister</t>
  </si>
  <si>
    <t>5jgFfDIR6FR0gvlA56Nakr</t>
  </si>
  <si>
    <t>Blackbird - Remastered 2009</t>
  </si>
  <si>
    <t>5m30XO0o1B2G2l2RemjU9u</t>
  </si>
  <si>
    <t>Light Me Up</t>
  </si>
  <si>
    <t>7yzbimr8WVyAtBX3Eg6UL9</t>
  </si>
  <si>
    <t>4MHw6hF76QmgiwGqhBsxlq</t>
  </si>
  <si>
    <t>O Lord Hear My Prayer</t>
  </si>
  <si>
    <t>3Wqf50qDN16Fyfo127UbKm</t>
  </si>
  <si>
    <t>Atlantic</t>
  </si>
  <si>
    <t>786ymAh5BmHoIpvjyrvjXk</t>
  </si>
  <si>
    <t>Goodbye To A World</t>
  </si>
  <si>
    <t>7BdBAeVMiVHbszGoN7WsAt</t>
  </si>
  <si>
    <t>Memories That You Call (feat. Monsoonsiren) - ODESZA &amp; Golden Features VIP Remix</t>
  </si>
  <si>
    <t>1Bq65xKgu0kjSUMUlfWyPl</t>
  </si>
  <si>
    <t>Transmission - 2020 Digital Remaster</t>
  </si>
  <si>
    <t>0kqLXJCk5cGQqzSx7urXTN</t>
  </si>
  <si>
    <t>The Plague</t>
  </si>
  <si>
    <t>0QprVASPJEbmOhD9P2gcNG</t>
  </si>
  <si>
    <t>Les filles d'aujourd'hui</t>
  </si>
  <si>
    <t>6KR9NaynH8bF9w727wKQBL</t>
  </si>
  <si>
    <t>New Born</t>
  </si>
  <si>
    <t>6UWKmtXxO3NlnOJjvNZmX8</t>
  </si>
  <si>
    <t>The Way It's Always Been</t>
  </si>
  <si>
    <t>1xEGQtF37ceg6SaVZv1jXp</t>
  </si>
  <si>
    <t>Afraid</t>
  </si>
  <si>
    <t>59VMTldlvPPODfFYkw7hOo</t>
  </si>
  <si>
    <t>Homes Built over the Sea</t>
  </si>
  <si>
    <t>4XGQUYPYfHpCMrO8BKOk5F</t>
  </si>
  <si>
    <t>New Romantic</t>
  </si>
  <si>
    <t>1TpfK6G0X5muasT0eQsipa</t>
  </si>
  <si>
    <t>Triennale</t>
  </si>
  <si>
    <t>12bVZuuIZS6jVv6jobbOH1</t>
  </si>
  <si>
    <t>Faith in Others</t>
  </si>
  <si>
    <t>3LlAyCYU26dvFZBDUIMb7a</t>
  </si>
  <si>
    <t>Demons</t>
  </si>
  <si>
    <t>53ZtYTszCIJxCAEdy03xGc</t>
  </si>
  <si>
    <t>Wolf Blood</t>
  </si>
  <si>
    <t>0pKG1Q3SoMIyVSabmzDprG</t>
  </si>
  <si>
    <t>Mother Superior</t>
  </si>
  <si>
    <t>7zQoNT3tTGOrze402zhYuB</t>
  </si>
  <si>
    <t>Eine Alpensinfonie, Op. 64, TrV 233: I. Nacht (I)</t>
  </si>
  <si>
    <t>4sYn64V9gqP6bpkOGw5B9k</t>
  </si>
  <si>
    <t>Your Hand In Mine</t>
  </si>
  <si>
    <t>37HI0imp0t6a0MBS00lPkS</t>
  </si>
  <si>
    <t>The Mighty Rio Grande</t>
  </si>
  <si>
    <t>5hSYJpuvAPc6B82vekCGlA</t>
  </si>
  <si>
    <t>Jerusalem</t>
  </si>
  <si>
    <t>3DkHNCA4QRBQgTzF2T18hm</t>
  </si>
  <si>
    <t>Only In Dreams</t>
  </si>
  <si>
    <t>6mFkJmJqdDVQ1REhVfGgd1</t>
  </si>
  <si>
    <t>Wish You Were Here</t>
  </si>
  <si>
    <t>5RoIXwyTCdyUjpMMkk4uPd</t>
  </si>
  <si>
    <t>Sweet Disposition</t>
  </si>
  <si>
    <t>55q3Ro66yXWi9rsEddeEN4</t>
  </si>
  <si>
    <t>Pyramid Song</t>
  </si>
  <si>
    <t>2SrEmyjZdicWRMMI7gSQoV</t>
  </si>
  <si>
    <t>Inní mér syngur vitleysingur</t>
  </si>
  <si>
    <t>2jyug88jTHoIM7p91cMMZX</t>
  </si>
  <si>
    <t>One Foot Before The Other</t>
  </si>
  <si>
    <t>1ryMgu0CnRSseTYpvMDOLD</t>
  </si>
  <si>
    <t>Mein Herz brennt</t>
  </si>
  <si>
    <t>0gZp88SA5OcujHLDGkxtI3</t>
  </si>
  <si>
    <t>5kqIPrATaCc2LqxVWzQGbk</t>
  </si>
  <si>
    <t>7 Years</t>
  </si>
  <si>
    <t>3Vn9oCZbdI1EMO7jxdz2Rc</t>
  </si>
  <si>
    <t>Lazarus</t>
  </si>
  <si>
    <t>3YRCqOhFifThpSRFJ1VWFM</t>
  </si>
  <si>
    <t>November Rain</t>
  </si>
  <si>
    <t>3JOVTQ5h8HGFnDdp4VT3MP</t>
  </si>
  <si>
    <t>Mad World (Feat. Michael Andrews)</t>
  </si>
  <si>
    <t>6FN08oB3MT2BxYIJoR1CZ5</t>
  </si>
  <si>
    <t>This Woman's Work</t>
  </si>
  <si>
    <t>3FpqqxwpiwnpEutOYM2Dan</t>
  </si>
  <si>
    <t>A Million Love Songs</t>
  </si>
  <si>
    <t>1N33AtkZAbNT96v6wXOSIy</t>
  </si>
  <si>
    <t>String Quartet No. 14 in D Minor, D.810 "Death and the Maiden": IV. Presto</t>
  </si>
  <si>
    <t>5ASM6Qjiav2xPe7gRkQMsQ</t>
  </si>
  <si>
    <t>Sleigh Ride</t>
  </si>
  <si>
    <t>6ZFbXIJkuI1dVNWvzJzown</t>
  </si>
  <si>
    <t>Time</t>
  </si>
  <si>
    <t>5ZBeML7Lf3FMEVviTyvi8l</t>
  </si>
  <si>
    <t>Twist And Shout - Remastered 2009</t>
  </si>
  <si>
    <t>1Bjuhxf2sbKRqx1kBrmlFo</t>
  </si>
  <si>
    <t>Drowned Maid</t>
  </si>
  <si>
    <t>7b9dRmKfGiQoEzWaUj6a0i</t>
  </si>
  <si>
    <t>No Below</t>
  </si>
  <si>
    <t>10lGufP5RmCsUwKDTcPpxs</t>
  </si>
  <si>
    <t>Hedron</t>
  </si>
  <si>
    <t>2A6yzRGMgSQCUapR2ptm6A</t>
  </si>
  <si>
    <t>True Colors</t>
  </si>
  <si>
    <t>789CxjEOtO76BVD1A9yJQH</t>
  </si>
  <si>
    <t>Stay - Album Version (Edited)</t>
  </si>
  <si>
    <t>6lanRgr6wXibZr8KgzXxBl</t>
  </si>
  <si>
    <t>A Thousand Years</t>
  </si>
  <si>
    <t>0PdM2a6oIjqepoEfcJo0RO</t>
  </si>
  <si>
    <t>Pour Some Sugar On Me - Remastered 2017</t>
  </si>
  <si>
    <t>1ghlpxVfPbFH2jenrv9vVw</t>
  </si>
  <si>
    <t>Duel of the Fates</t>
  </si>
  <si>
    <t>3G69vJMWsX6ZohTykad2AU</t>
  </si>
  <si>
    <t>One</t>
  </si>
  <si>
    <t>0j5FJJOmmnXPd0XajFWkMF</t>
  </si>
  <si>
    <t>Unfinished Sympathy - 2012 Mix/Master</t>
  </si>
  <si>
    <t>14xj58ZexBaEaHARb11Cqs</t>
  </si>
  <si>
    <t>Lucky</t>
  </si>
  <si>
    <t>2CH4mc6qWAI3ejAdqpON9B</t>
  </si>
  <si>
    <t>Belfast</t>
  </si>
  <si>
    <t>251ndz7LBDIfYkDk0qtYc7</t>
  </si>
  <si>
    <t>Last Exit for the Lost</t>
  </si>
  <si>
    <t>0prNGof3XqfTvNDxHonvdK</t>
  </si>
  <si>
    <t>Scars To Your Beautiful</t>
  </si>
  <si>
    <t>2sW8fmnISifQTRgnRrQTYW</t>
  </si>
  <si>
    <t>Roads</t>
  </si>
  <si>
    <t>3m8lTUL5GxGUNSaycI77ND</t>
  </si>
  <si>
    <t>Sunshine On My Shoulders</t>
  </si>
  <si>
    <t>1agVrzicFWExgEiAtk8lmr</t>
  </si>
  <si>
    <t>Cum on Feel the Noize</t>
  </si>
  <si>
    <t>3BcQFPRZuuUClWStz29WjN</t>
  </si>
  <si>
    <t>Old Yellow Bricks</t>
  </si>
  <si>
    <t>1LImAZ6RtnrbLG60qLH2eu</t>
  </si>
  <si>
    <t>Two Full Moons &amp; A Trout - Freedom Fighters, Domestic &amp; Pixel Remix</t>
  </si>
  <si>
    <t>0uxD89RQWH55jRL40N85rq</t>
  </si>
  <si>
    <t>Alpha Wave - Plastikman Acid House Remix</t>
  </si>
  <si>
    <t>3tdkX7JehXqde0bwfT5UwG</t>
  </si>
  <si>
    <t>Evening Star</t>
  </si>
  <si>
    <t>37TyzXvVbPD2JIZEm65x9h</t>
  </si>
  <si>
    <t>Happy Returns / Ascendant Here on...</t>
  </si>
  <si>
    <t>561F1zqRwGPCTMRsLsXVtL</t>
  </si>
  <si>
    <t>Time in a Bottle</t>
  </si>
  <si>
    <t>0pAT3JUEjIiqUkwxE0vbBQ</t>
  </si>
  <si>
    <t>The Little Drummer Boy - Remastered 2006</t>
  </si>
  <si>
    <t>3xsOtNxtBW0oTI1OWKAzTm</t>
  </si>
  <si>
    <t>Walk on By</t>
  </si>
  <si>
    <t>6megtuCIeO5CwQwvzVBNx8</t>
  </si>
  <si>
    <t>Sunday</t>
  </si>
  <si>
    <t>4ooYNRoXqyuj6nw0mNxOuo</t>
  </si>
  <si>
    <t>In the Cage (Medley: Cinema Show / The Colony of Slippermen) - Live</t>
  </si>
  <si>
    <t>1a6uHU6uqREaMMgkrKijLC</t>
  </si>
  <si>
    <t>Home Invasion / Regret #9</t>
  </si>
  <si>
    <t>2Mkazt5mCGJk4QQD612zxv</t>
  </si>
  <si>
    <t>O2 Panic Room</t>
  </si>
  <si>
    <t>2RYOOtEcnJZK5YSpeVLuMW</t>
  </si>
  <si>
    <t>Neverland</t>
  </si>
  <si>
    <t>6UpMG6BDOd5xecMTu5r3sj</t>
  </si>
  <si>
    <t>Firth of Fifth - New Stereo Mix</t>
  </si>
  <si>
    <t>5cxmpBhMn4Wxs4ZyHLv4mR</t>
  </si>
  <si>
    <t>Routine</t>
  </si>
  <si>
    <t>6Vjk8MNXpQpi0F4BefdTyq</t>
  </si>
  <si>
    <t>Kashmir - Remaster</t>
  </si>
  <si>
    <t>0zb2kpEQMnqJPiLACKMiFM</t>
  </si>
  <si>
    <t>Slip Slidin' Away</t>
  </si>
  <si>
    <t>6FWoYwZa13llS7nj0SG65F</t>
  </si>
  <si>
    <t>Live Wire</t>
  </si>
  <si>
    <t>1eRjBcHfsuQDDTQUDEtFEU</t>
  </si>
  <si>
    <t>Monster</t>
  </si>
  <si>
    <t>0uCVWBG5pyligpuXFiVYee</t>
  </si>
  <si>
    <t>Awaken - 2008 Remaster</t>
  </si>
  <si>
    <t>4kZbYkUuDHyphD71bPMYL1</t>
  </si>
  <si>
    <t>Drive Home</t>
  </si>
  <si>
    <t>79m7RPQ0NJX1yA9veAEuY6</t>
  </si>
  <si>
    <t>Living in F. E. A. R.</t>
  </si>
  <si>
    <t>4UbZmqYEzT5vn4UrPzAHu9</t>
  </si>
  <si>
    <t>Middletown Dreams</t>
  </si>
  <si>
    <t>0VxsLySBHCT81udH5DvoHc</t>
  </si>
  <si>
    <t>Script for a Jester's Tear - 1997 Remaster</t>
  </si>
  <si>
    <t>6LkZtK1MzFoIokM2GjZi5d</t>
  </si>
  <si>
    <t>Afterglow</t>
  </si>
  <si>
    <t>35nno0e1iUNCItPfacwwDo</t>
  </si>
  <si>
    <t>Just Good Friends</t>
  </si>
  <si>
    <t>4I44qnYihAqNnQyweMUKd0</t>
  </si>
  <si>
    <t>The Castle</t>
  </si>
  <si>
    <t>4zMP6aieSmWQNFdp3O4Owv</t>
  </si>
  <si>
    <t>Just Like Christmas</t>
  </si>
  <si>
    <t>1cF4EN9sFw7QSooR6i9aDS</t>
  </si>
  <si>
    <t>Delibes: Lakmé, Act 1: "Dôme épais, le jasmin" (Lakmé, Mallika)</t>
  </si>
  <si>
    <t>6OvMjwwUEj4CBGLmaMff4R</t>
  </si>
  <si>
    <t>Pretending to Care</t>
  </si>
  <si>
    <t>3VnbVbNvGG74FJummB3c1r</t>
  </si>
  <si>
    <t>Five Negro Spirituals From The Oratorio "A Child Of Our Time": Steal Away</t>
  </si>
  <si>
    <t>5WEmDvDiRpE7p3y8SMMAPJ</t>
  </si>
  <si>
    <t>Henry V: Henry V: Touch her soft lips and part</t>
  </si>
  <si>
    <t>5k10LV4157WEzdFmB97NQR</t>
  </si>
  <si>
    <t>The Cinema Show - New Stereo Mix</t>
  </si>
  <si>
    <t>5enzuH1vsputIcewnS8d51</t>
  </si>
  <si>
    <t>(Sometimes I Feel So) Uninspired</t>
  </si>
  <si>
    <t>2tJlASUdstRCCecAN9rThS</t>
  </si>
  <si>
    <t>Fall Down</t>
  </si>
  <si>
    <t>67Hna13dNDkZvBpTXRIaOJ</t>
  </si>
  <si>
    <t>Teardrop</t>
  </si>
  <si>
    <t>4j8t6TefJca9qeZbxSqQzS</t>
  </si>
  <si>
    <t>Promises</t>
  </si>
  <si>
    <t>62LFehtXZXbwADbsDjL8tZ</t>
  </si>
  <si>
    <t>3 Latin Motets, Op. 38: No. 3: Beati quorum via</t>
  </si>
  <si>
    <t>48tuFV2msxPjwkQqVwrKIO</t>
  </si>
  <si>
    <t>Mid-Winter (version for chorus, flute and harp)</t>
  </si>
  <si>
    <t>7suCiq5RUyp1Sw5K54ghpp</t>
  </si>
  <si>
    <t>The Armed Man - A Mass For Peace: XII. Benedictus</t>
  </si>
  <si>
    <t>3TcoHf7nvC8RaDVdfIFjFR</t>
  </si>
  <si>
    <t>I Could Not Ask for More</t>
  </si>
  <si>
    <t>44yHNmayqe7dI9fHjAYPCl</t>
  </si>
  <si>
    <t>New Way Home</t>
  </si>
  <si>
    <t>0X5C4WjQNubRysTkHOubz3</t>
  </si>
  <si>
    <t>Lovesong - 2010 Remaster</t>
  </si>
  <si>
    <t>071BtONQBIq4SkvO0okS4k</t>
  </si>
  <si>
    <t>Telegraph Road</t>
  </si>
  <si>
    <t>5CxFCn0Mc8uQ7Raz5xdW3K</t>
  </si>
  <si>
    <t>Cinderella, Op.87: 50. Amoroso</t>
  </si>
  <si>
    <t>651rknSV1pzcdZJXUqZDtC</t>
  </si>
  <si>
    <t>O Come All Ye Faithful - Remastered/1990</t>
  </si>
  <si>
    <t>2ORU4XRGqFjPB2mTft0VPj</t>
  </si>
  <si>
    <t>The World as I See It</t>
  </si>
  <si>
    <t>1cAMXz9mnvrqyQLSG4KeeE</t>
  </si>
  <si>
    <t>Sirens</t>
  </si>
  <si>
    <t>4WqQQrwnSEJCv3eyrvB67Y</t>
  </si>
  <si>
    <t>En Aranjuez Con Tu Amor</t>
  </si>
  <si>
    <t>6yNrb8e5UtaAiF5R9ve8ph</t>
  </si>
  <si>
    <t>Evensong for Advent: Magnificat in D Major</t>
  </si>
  <si>
    <t>2uUBR5GPnWPGnslVkM1Blw</t>
  </si>
  <si>
    <t>Symphony No. 2 in E Minor, Op. 27: III. Adagio</t>
  </si>
  <si>
    <t>0qMGGi7ywJ3zRKmAdPaBUm</t>
  </si>
  <si>
    <t>Prelude and Fugue in A Minor, BWV 543</t>
  </si>
  <si>
    <t>6IuHbYWV49tArCbHBgMHl7</t>
  </si>
  <si>
    <t>Carmen Suite No. 1 (Arr. E. Guiraud): IV. Séguedille</t>
  </si>
  <si>
    <t>4xesyvjSA6oItrGJS0wbNx</t>
  </si>
  <si>
    <t>Symphony No. 29 in A Major K.186a (K. 201): Menuet &amp; Trio</t>
  </si>
  <si>
    <t>3yNHtmi0SbMzzdwVrFg98i</t>
  </si>
  <si>
    <t>Fantasia on a Theme by Thomas Tallis</t>
  </si>
  <si>
    <t>07XcwUBpOYcDYKjabAqkiq</t>
  </si>
  <si>
    <t>In terra pax Op. 39: A Frosty Christmas Eve</t>
  </si>
  <si>
    <t>2BD6u0rlwDrRyjPzw9pew5</t>
  </si>
  <si>
    <t>Sure on This Shining Night</t>
  </si>
  <si>
    <t>4j8z75abjq2GCA1U7AaPRj</t>
  </si>
  <si>
    <t>Beeswing</t>
  </si>
  <si>
    <t>5d6NoRmMBfFoNRjrWKIPBf</t>
  </si>
  <si>
    <t>La Saeta</t>
  </si>
  <si>
    <t>6FlbHjkBxLa8ZS7xQCi95e</t>
  </si>
  <si>
    <t>La Gaviota</t>
  </si>
  <si>
    <t>3Jl5GohfNwozDmpzmQBLDI</t>
  </si>
  <si>
    <t>Heaven and Hell - 2008 Remaster</t>
  </si>
  <si>
    <t>0dOg1ySSI7NkpAe89Zo0b9</t>
  </si>
  <si>
    <t>Born in the U.S.A.</t>
  </si>
  <si>
    <t>20ZvzoDSefcZo6bj10jgGC</t>
  </si>
  <si>
    <t>Joga</t>
  </si>
  <si>
    <t>4U4VMMWBxVHfAd3FcxiQsa</t>
  </si>
  <si>
    <t>Empire of the Clouds</t>
  </si>
  <si>
    <t>7tFiyTwD0nx5a1eklYtX2J</t>
  </si>
  <si>
    <t>Bohemian Rhapsody - Remastered 2011</t>
  </si>
  <si>
    <t>7MHkweinOceprzkRWIYTTc</t>
  </si>
  <si>
    <t>Spit Out the Bone</t>
  </si>
  <si>
    <t>1FU40mOVpQuA7KutODbxoF</t>
  </si>
  <si>
    <t>Messa da Requiem: 2a. Dies irae</t>
  </si>
  <si>
    <t>2qaEAWZy2AZaVWHfrwNtxZ</t>
  </si>
  <si>
    <t>Così fan tutte ossia La scuola degli amanti, K.588 / Act 1: "Soave sia il vento"</t>
  </si>
  <si>
    <t>6qesIjQCmt6ZSgcnshhEka</t>
  </si>
  <si>
    <t>Spem in alium (The Forty-Part Motet)</t>
  </si>
  <si>
    <t>2XEW8JKnVJoTul9cXmrNMq</t>
  </si>
  <si>
    <t>In The Bleak Midwinter</t>
  </si>
  <si>
    <t>0voUr8lubIafUVJlauJxYF</t>
  </si>
  <si>
    <t>Things We Said Today - Remastered 2009</t>
  </si>
  <si>
    <t>5dFcKgOYnCLsK6RmaBF3fV</t>
  </si>
  <si>
    <t>Die schöne Müllerin, Op. 25, D. 795: No. 6 Der Neugierige</t>
  </si>
  <si>
    <t>5ZJIkzqu33VB04gKZbsp2h</t>
  </si>
  <si>
    <t>Symphony No. 41 in C Major, K. 551 "Jupiter": I. Allegro vivace</t>
  </si>
  <si>
    <t>3XIHX2EeB2GCaIwNlIEvxY</t>
  </si>
  <si>
    <t>Die Walküre, WWV 86B / Act 1: Orchestervorspiel - Remastered 2012</t>
  </si>
  <si>
    <t>0Sutm7QIc42jHxW3s29pFo</t>
  </si>
  <si>
    <t>Jackie's Strength</t>
  </si>
  <si>
    <t>0Iro2x5S5gZDgJW4Ip3FqN</t>
  </si>
  <si>
    <t>Forever and a Day</t>
  </si>
  <si>
    <t>2vApTiwyucqeHtHV8y6EAK</t>
  </si>
  <si>
    <t>Still Love Remains</t>
  </si>
  <si>
    <t>6DnyoMRWRg8kokGp7zgNmm</t>
  </si>
  <si>
    <t>Winter</t>
  </si>
  <si>
    <t>0pWrU4My52DJ75GnZKDlv8</t>
  </si>
  <si>
    <t>Group Four</t>
  </si>
  <si>
    <t>1sAPpvqbZTxzoACOvdY60H</t>
  </si>
  <si>
    <t>Winter Singing</t>
  </si>
  <si>
    <t>1NrS9uENQyew6UTlGG4wRu</t>
  </si>
  <si>
    <t>Dust and Ashes</t>
  </si>
  <si>
    <t>6hTcuIQa0sxrrByu9wTD7s</t>
  </si>
  <si>
    <t>Born to Run</t>
  </si>
  <si>
    <t>37ZJ0p5Jm13JPevGcx4SkF</t>
  </si>
  <si>
    <t>Livin' On A Prayer</t>
  </si>
  <si>
    <t>4dkoqJrP0L8FXftrMZongF</t>
  </si>
  <si>
    <t>Across The Universe - Remastered 2009</t>
  </si>
  <si>
    <t>15kLz0zNFdtsaJdXKSGmTU</t>
  </si>
  <si>
    <t>The Drugs Don't Work</t>
  </si>
  <si>
    <t>27eKJ4RlK36novSUJQXlVH</t>
  </si>
  <si>
    <t>I Was Me</t>
  </si>
  <si>
    <t>2ezeBBso5UdBVZnumNSywF</t>
  </si>
  <si>
    <t>Don Giovanni, K. 527: Overture</t>
  </si>
  <si>
    <t>2PysjogeKnJHDsc7C5lpFj</t>
  </si>
  <si>
    <t>Le Poeme de l'extase (The Poem of Ecstasy), Op. 54, "Symphony No. 4": La Poeme de l'extase (The Poem of Ecstasy), Op. 54, "Symphony No. 4"</t>
  </si>
  <si>
    <t>2FZzP7N11UJhNDQab07iQz</t>
  </si>
  <si>
    <t>Piano Sonata No. 6 in A Major, Op. 82: I. Allegro moderato</t>
  </si>
  <si>
    <t>0xmbZP4ZwecZcVRxOaWuKE</t>
  </si>
  <si>
    <t>Medley: Precious Lord, Take My Hand / You've Got a Friend - Live at New Missionary Baptist Church, Los Angeles, CA, 01/13/72</t>
  </si>
  <si>
    <t>50FPpDgjbmoSF0WHM8azNX</t>
  </si>
  <si>
    <t>Slipping Through My Fingers</t>
  </si>
  <si>
    <t>45Nn8JBFKAS7P2fauoQzRl</t>
  </si>
  <si>
    <t>Song For The King</t>
  </si>
  <si>
    <t>3ZE98SrLZnUI2jyT1nXjaU</t>
  </si>
  <si>
    <t>Walking In The Air (Excerpt "Lifecycle"), Op. 310</t>
  </si>
  <si>
    <t>51P3NaXFY36BR7d52fh03Y</t>
  </si>
  <si>
    <t>Préludes / Book 1, L. 117: 8. La fille aux cheveux de lin</t>
  </si>
  <si>
    <t>5CraUXum6OnrVY4heZXqfa</t>
  </si>
  <si>
    <t>Symphony No.1 In E Minor, Op.39: 3. Scherzo (Allegro) - Live</t>
  </si>
  <si>
    <t>0eRCKrLhtVmvanQEYwPHl1</t>
  </si>
  <si>
    <t>Carnaval, Op. 9: No. 16. Valse allemande</t>
  </si>
  <si>
    <t>0xxeuqy8uqtqzfVPi0qFKJ</t>
  </si>
  <si>
    <t>Ein Heldenleben, Op. 40, TrV 190: Der Held (The Hero) -</t>
  </si>
  <si>
    <t>2TJbFxHaMENXMB1qwZk0cq</t>
  </si>
  <si>
    <t>Vaughan Williams: The Lark Ascending: Opening (Excerpt)</t>
  </si>
  <si>
    <t>0Ij8hLMMq4E0B9Tpu4wDoK</t>
  </si>
  <si>
    <t>Tod und Verklärung Op. 24, TrV 158</t>
  </si>
  <si>
    <t>1d1f5wQhnyUt8f4LX7b4tD</t>
  </si>
  <si>
    <t>La Mer, L. 109, CD 111: II. Jeux de vagues</t>
  </si>
  <si>
    <t>0sc95TAN1KA9Uzn5pBWmk3</t>
  </si>
  <si>
    <t>Turandot / Act 3: Nessun dorma!</t>
  </si>
  <si>
    <t>2PzU4IB8Dr6mxV3lHuaG34</t>
  </si>
  <si>
    <t>(I Can't Get No) Satisfaction - Mono Version</t>
  </si>
  <si>
    <t>3BwVwNRyBGyWTPNz794yG1</t>
  </si>
  <si>
    <t>Icarus - Extended Mix</t>
  </si>
  <si>
    <t>6ppZ7k085VI9pyIeWtjsvX</t>
  </si>
  <si>
    <t>Running - Disclosure Remix</t>
  </si>
  <si>
    <t>4MgxNdQ5mAuP1tqs2HQ9Oj</t>
  </si>
  <si>
    <t>Ladykiller - Original Mix</t>
  </si>
  <si>
    <t>0pgEx0eQPVh3fDpJcP4BqL</t>
  </si>
  <si>
    <t>Strobe - Radio Edit</t>
  </si>
  <si>
    <t>5IDhWZHcj5Y2e5YlW62pZW</t>
  </si>
  <si>
    <t>What A Wonderful World (Live At Blues Alley) - 2021 Master</t>
  </si>
  <si>
    <t>3mdPsB9sH9Rd6gxUfbfGVn</t>
  </si>
  <si>
    <t>The Best of Times</t>
  </si>
  <si>
    <t>7BCtNkPdxBwFm8rQkcC5Fh</t>
  </si>
  <si>
    <t>Silver Tongue Show</t>
  </si>
  <si>
    <t>5xKVYMxOHB2XRLCUafFrz6</t>
  </si>
  <si>
    <t>Dream Is Collapsing</t>
  </si>
  <si>
    <t>7dU4TLTzGZk9FroEGlMbFi</t>
  </si>
  <si>
    <t>Stay with Me (feat. Kronos Quartet)</t>
  </si>
  <si>
    <t>3g7Le9RJRy9jMkrnvAl9iS</t>
  </si>
  <si>
    <t>The Last Man</t>
  </si>
  <si>
    <t>5yQb5G5d8woNjX9lS0J1Qs</t>
  </si>
  <si>
    <t>Flashback</t>
  </si>
  <si>
    <t>2keGtv08S2IOsDohRJC9cy</t>
  </si>
  <si>
    <t>INSIDE MY BRAIN</t>
  </si>
  <si>
    <t>69YoRmAMENjbevhz6cU3kU</t>
  </si>
  <si>
    <t>Hier kommt Alex</t>
  </si>
  <si>
    <t>4O2N861eOnF9q8EtpH8IJu</t>
  </si>
  <si>
    <t>Comptine d'un autre été, l'après-midi</t>
  </si>
  <si>
    <t>586rOcAzOHkpJTA4POqO2c</t>
  </si>
  <si>
    <t>Right Where It Belongs</t>
  </si>
  <si>
    <t>2RChe0r2cMoyOvuKobZy44</t>
  </si>
  <si>
    <t>Always</t>
  </si>
  <si>
    <t>1O1mCVN5hue4lOOqd5EysZ</t>
  </si>
  <si>
    <t>Living For The City</t>
  </si>
  <si>
    <t>6GzMz3s0K1YKwRVI36CgRx</t>
  </si>
  <si>
    <t>Liebestraume, S541/R211 : No. 3: Nocturne in A-Flat Major</t>
  </si>
  <si>
    <t>1mJMZTEtrEoCt8bAfXpJla</t>
  </si>
  <si>
    <t>Time to Kill</t>
  </si>
  <si>
    <t>6ROBByJgqrO9tQ2JbR8mZA</t>
  </si>
  <si>
    <t>La Perra Mora</t>
  </si>
  <si>
    <t>5q2PEchpO8JBLhFEfgC2SQ</t>
  </si>
  <si>
    <t>Bei mir bist du schön</t>
  </si>
  <si>
    <t>4Ay0tMwCEf1nDmuKoaorfe</t>
  </si>
  <si>
    <t>I mecht landen</t>
  </si>
  <si>
    <t>3uAB9VrFdnL33PnJDpcNWq</t>
  </si>
  <si>
    <t>Irgendwann bleib i dann dort</t>
  </si>
  <si>
    <t>4Wi23vdee9oM5thJIVU0dG</t>
  </si>
  <si>
    <t>Der Zwerg, Op. 22 No. 1, D. 771</t>
  </si>
  <si>
    <t>2CtemffYhT0DJWcT1XW047</t>
  </si>
  <si>
    <t>Nothing Else Matters (Remastered)</t>
  </si>
  <si>
    <t>6UJyU6gBWdE2oTzuPJODNG</t>
  </si>
  <si>
    <t>The Past Recedes</t>
  </si>
  <si>
    <t>0OtJSk74Jjm6O9IcW2go9L</t>
  </si>
  <si>
    <t>Beleza de Ouro</t>
  </si>
  <si>
    <t>46tPGzCXCI2oKsemztDA9u</t>
  </si>
  <si>
    <t>Parce Mihi Domine</t>
  </si>
  <si>
    <t>2OTWJXfxS8w35uOsGwI4Ji</t>
  </si>
  <si>
    <t>Deep Water - Original Mix</t>
  </si>
  <si>
    <t>3EfHEExGBE0IDMAzyl48zF</t>
  </si>
  <si>
    <t>New Light of Tomorrow</t>
  </si>
  <si>
    <t>1lTfyCyn8sgeMdxDd57Rry</t>
  </si>
  <si>
    <t>Surrounding Love</t>
  </si>
  <si>
    <t>1bn89liS3t5D3SccuaoKeD</t>
  </si>
  <si>
    <t>String Quartet No. 15 in A Minor, Op. 132: III. Molto adagio</t>
  </si>
  <si>
    <t>38O4gZ7ncHczVsyCC5EDuP</t>
  </si>
  <si>
    <t>String Quartet No. 2 in A Minor, Op. 13, MWV R22: I. Adagio; Allegro vivace</t>
  </si>
  <si>
    <t>0EDKMxW0jgvvdZ4rr2Fp2l</t>
  </si>
  <si>
    <t>汉宫秋月 (Autumn Moon Over the Han Palace)</t>
  </si>
  <si>
    <t>6Hk4OZx04RNMX8heHrhB85</t>
  </si>
  <si>
    <t>Raga Jog</t>
  </si>
  <si>
    <t>0KIsFToKwuGkPALbFxatlE</t>
  </si>
  <si>
    <t>Raga Shivaranjani (Yearning)</t>
  </si>
  <si>
    <t>2CchZPMe1WFZf6VzYBOSg1</t>
  </si>
  <si>
    <t>Kajri</t>
  </si>
  <si>
    <t>3EKjSzyIQoSWjR0U6uEwQQ</t>
  </si>
  <si>
    <t>Raga Kalawati</t>
  </si>
  <si>
    <t>1DdyioI2yXhLwR1pn5Hczk</t>
  </si>
  <si>
    <t>Main Title</t>
  </si>
  <si>
    <t>4IKyTgaJA6Ln5H22cObdbe</t>
  </si>
  <si>
    <t>Unser Leben ist ein Schatten</t>
  </si>
  <si>
    <t>3nrBuFb9M5emR7bWz8aQqc</t>
  </si>
  <si>
    <t>Handel: Concerto Grosso in A Minor, Op. 6 No. 4, HWV 322: II. Allegro</t>
  </si>
  <si>
    <t>65ScLHjczF51bk8LzfuT7p</t>
  </si>
  <si>
    <t>Frühlingsstimmen, Op. 410</t>
  </si>
  <si>
    <t>3cdOUXNGMKwxis6K9C2w6r</t>
  </si>
  <si>
    <t>Mysterious Habitats</t>
  </si>
  <si>
    <t>7hSoJdm05diF5TTUMVSGE2</t>
  </si>
  <si>
    <t>Access</t>
  </si>
  <si>
    <t>5lDixe3b2yQDQ18lAUoSWq</t>
  </si>
  <si>
    <t>Wicked Game</t>
  </si>
  <si>
    <t>3nvuPQTw2zuFAVuLsC9IYQ</t>
  </si>
  <si>
    <t>Nothing Compares 2 U</t>
  </si>
  <si>
    <t>7LR85XLWw2yXqKBSI5brbG</t>
  </si>
  <si>
    <t>Run This Town</t>
  </si>
  <si>
    <t>0rgAGUYrFgONmT2jN4IaQF</t>
  </si>
  <si>
    <t>Mythodea - Music for the NASA Mission: 2001 Mars Odyssey: Movement 6 - Voice</t>
  </si>
  <si>
    <t>6PDAMw0YAGfO7ioXAgP2YW</t>
  </si>
  <si>
    <t>Ripple</t>
  </si>
  <si>
    <t>3ty4jnVIJ9My8ZnXFMc0Fg</t>
  </si>
  <si>
    <t>愛して 愛して 愛して</t>
  </si>
  <si>
    <t>3M2PUywOD1ICWZIZ0npwfs</t>
  </si>
  <si>
    <t>卒業の日(カラオケ)[原曲歌手:サスケ]</t>
  </si>
  <si>
    <t>7gXJJFlckotAkt2Iv4rLBh</t>
  </si>
  <si>
    <t>透明人間 - アルバムバージョン</t>
  </si>
  <si>
    <t>0JPC8KNOCgSy8b02eG7GyB</t>
  </si>
  <si>
    <t>Fragile mind</t>
  </si>
  <si>
    <t>0xjuFivOgPJizRF1HPDmW7</t>
  </si>
  <si>
    <t>IT'S SHOWTIME!!</t>
  </si>
  <si>
    <t>6iHnZrKKWZe0XFzqUIk3n2</t>
  </si>
  <si>
    <t>さよなら傷だらけの日々よ</t>
  </si>
  <si>
    <t>7jXdpvuUcSvQoQjV640NvM</t>
  </si>
  <si>
    <t>いつまでもメリークリスマス</t>
  </si>
  <si>
    <t>2JCqnwfnB0040WbmN3VL5z</t>
  </si>
  <si>
    <t>あとひとつ feat.こぴ</t>
  </si>
  <si>
    <t>6ENCwTASes5dKJEpYX9CuR</t>
  </si>
  <si>
    <t>まなざし(カラオケ)[原曲歌手:Honey L Days]</t>
  </si>
  <si>
    <t>4fDxwtyb4QADhB3a3lglek</t>
  </si>
  <si>
    <t>夢を味方に Originally Performed By 絢香 (オルゴール)</t>
  </si>
  <si>
    <t>34kPuZdGjumJQvKDMejZXM</t>
  </si>
  <si>
    <t>明日は来るから Originally Performed By 東方神起</t>
  </si>
  <si>
    <t>7huQ3ZNQIGA5c7cuNUFevw</t>
  </si>
  <si>
    <t>Love In The Ice</t>
  </si>
  <si>
    <t>1EuwuRh0T9jn4mWn7obcfe</t>
  </si>
  <si>
    <t>今夜月の見える丘に</t>
  </si>
  <si>
    <t>68gb9YQg7p3q8RmzWwi82k</t>
  </si>
  <si>
    <t>栄光の架橋 (ゆず)</t>
  </si>
  <si>
    <t>4PRhumprQ1IkVlXbTGRCLX</t>
  </si>
  <si>
    <t>青春ライン</t>
  </si>
  <si>
    <t>4mOVg9QkQaJWgYdcjfW8pM</t>
  </si>
  <si>
    <t>Why? (Keep Your Head Down)</t>
  </si>
  <si>
    <t>55n9yjI6qqXh5F2mYvUc2y</t>
  </si>
  <si>
    <t>I Don’t Wanna Live Forever (Fifty Shades Darker)</t>
  </si>
  <si>
    <t>7JnupAzufJZzeEaoUFXKFV</t>
  </si>
  <si>
    <t>End of My Journey</t>
  </si>
  <si>
    <t>3GqgjqmW9D2CklAZDmH9aP</t>
  </si>
  <si>
    <t>Colorful</t>
  </si>
  <si>
    <t>79fsfWUkCKOIoNxdTIenE1</t>
  </si>
  <si>
    <t>This Is The Hour - Original London Cast Recording</t>
  </si>
  <si>
    <t>3mCeeoBvTTpg8Xy2Wuvirw</t>
  </si>
  <si>
    <t>Bat Out of Hell</t>
  </si>
  <si>
    <t>1GLQM8ofJF0FiuDwcEmw9I</t>
  </si>
  <si>
    <t>Binge: Sailing By (Radio 4, Shipping Forecast theme)</t>
  </si>
  <si>
    <t>5jVlQ5XAnWL3aaUEr56SHi</t>
  </si>
  <si>
    <t>Nine German Arias, HWV 202-210: No. 7, Die ihr aus dunklen Gruften, HWV 208</t>
  </si>
  <si>
    <t>3ZOEytgrvLwQaqXreDs2Jx</t>
  </si>
  <si>
    <t>Can't Stop</t>
  </si>
  <si>
    <t>21qA6j9OtSyEyFXUIMJwmd</t>
  </si>
  <si>
    <t>III. Silent Night (arr. Jenkins)</t>
  </si>
  <si>
    <t>1BsGFro4czyH5xFUOhujXz</t>
  </si>
  <si>
    <t>Missa de angelis - Kyrie</t>
  </si>
  <si>
    <t>3dLQ0DJoXdyvCLizwi1ZLv</t>
  </si>
  <si>
    <t>An Evening Hymn</t>
  </si>
  <si>
    <t>7EZKVV9x2jAcXMi75sPeYY</t>
  </si>
  <si>
    <t>Sonata No. 29 in Bb Major (Hammerklavier), Opus 106: I Allegro</t>
  </si>
  <si>
    <t>6l8EbYRtQMgKOyc1gcDHF9</t>
  </si>
  <si>
    <t>Bridge Over Troubled Water</t>
  </si>
  <si>
    <t>26tWBbtjvgi0tipRL2VQ2X</t>
  </si>
  <si>
    <t>Brothers in Arms</t>
  </si>
  <si>
    <t>0ifFwGXkfRdsjvpPfFVI7y</t>
  </si>
  <si>
    <t>C'était ici - Live</t>
  </si>
  <si>
    <t>51KKQAgYFoJHgVIuJWHdHb</t>
  </si>
  <si>
    <t>Graceland</t>
  </si>
  <si>
    <t>5NGtFXVpXSvwunEIGeviY3</t>
  </si>
  <si>
    <t>Gymnopédie No. 1</t>
  </si>
  <si>
    <t>7tvuLLroI0n6uYBWuFig5d</t>
  </si>
  <si>
    <t>Lateralus</t>
  </si>
  <si>
    <t>75vxwXO8FspfhPTTUPU7Sh</t>
  </si>
  <si>
    <t>Never Been Gone</t>
  </si>
  <si>
    <t>3UGxoChf4TP09yQUu0w9El</t>
  </si>
  <si>
    <t>Round Midnight</t>
  </si>
  <si>
    <t>17PXXzOygMyXXUNLngVN5u</t>
  </si>
  <si>
    <t>Sweet Baby James - 2019 Remaster</t>
  </si>
  <si>
    <t>2t3sOSdpSn8wkBUlohaxy6</t>
  </si>
  <si>
    <t>The Lost Song, Pt. 1</t>
  </si>
  <si>
    <t>69RH84na5iUNwrwxpgjC5j</t>
  </si>
  <si>
    <t>Where Did Our Love Go</t>
  </si>
  <si>
    <t>5NmapOMB0Z2Ce8sum21w1R</t>
  </si>
  <si>
    <t>Vicious Delicious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</si>
</sst>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6">
    <font>
      <sz val="10.0"/>
      <color rgb="FF000000"/>
      <name val="Arial"/>
    </font>
    <font>
      <b/>
      <sz val="11.0"/>
      <color rgb="FFFFFFFF"/>
      <name val="Courier New"/>
    </font>
    <font>
      <b/>
      <sz val="11.0"/>
      <color theme="0"/>
      <name val="Courier New"/>
    </font>
    <font>
      <color rgb="FFFFFFFF"/>
      <name val="Courier New"/>
    </font>
    <font>
      <color theme="0"/>
      <name val="Courier New"/>
    </font>
    <font>
      <color theme="1"/>
      <name val="Georgia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1" fillId="2" fontId="3" numFmtId="0" xfId="0" applyAlignment="1" applyBorder="1" applyFont="1">
      <alignment readingOrder="0" shrinkToFit="0" wrapText="0"/>
    </xf>
    <xf borderId="1" fillId="2" fontId="4" numFmtId="0" xfId="0" applyAlignment="1" applyBorder="1" applyFont="1">
      <alignment readingOrder="0" shrinkToFit="0" wrapText="0"/>
    </xf>
    <xf borderId="1" fillId="2" fontId="4" numFmtId="164" xfId="0" applyAlignment="1" applyBorder="1" applyFont="1" applyNumberFormat="1">
      <alignment readingOrder="0" shrinkToFit="0" wrapText="0"/>
    </xf>
    <xf borderId="1" fillId="2" fontId="4" numFmtId="11" xfId="0" applyAlignment="1" applyBorder="1" applyFont="1" applyNumberFormat="1">
      <alignment readingOrder="0" shrinkToFit="0" wrapText="0"/>
    </xf>
    <xf borderId="1" fillId="2" fontId="4" numFmtId="0" xfId="0" applyAlignment="1" applyBorder="1" applyFont="1">
      <alignment shrinkToFit="0" wrapText="0"/>
    </xf>
    <xf borderId="1" fillId="2" fontId="4" numFmtId="165" xfId="0" applyAlignment="1" applyBorder="1" applyFont="1" applyNumberFormat="1">
      <alignment readingOrder="0" shrinkToFit="0" wrapText="0"/>
    </xf>
    <xf borderId="0" fillId="0" fontId="5" numFmtId="0" xfId="0" applyFont="1"/>
    <xf borderId="0" fillId="0" fontId="5" numFmtId="11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Correlation of Time Signature, Track Duration (ms)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'Formula Sheet 4'!$B$1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4125"/>
              </a:solidFill>
              <a:ln cmpd="sng">
                <a:solidFill>
                  <a:srgbClr val="CC4125"/>
                </a:solidFill>
              </a:ln>
            </c:spPr>
          </c:marker>
          <c:xVal>
            <c:numRef>
              <c:f>'Formula Sheet 4'!$A$2:$A$1832</c:f>
            </c:numRef>
          </c:xVal>
          <c:yVal>
            <c:numRef>
              <c:f>'Formula Sheet 4'!$B$2:$B$1832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59543"/>
        <c:axId val="1213661768"/>
      </c:scatterChart>
      <c:valAx>
        <c:axId val="4724595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Time Signature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213661768"/>
      </c:valAx>
      <c:valAx>
        <c:axId val="1213661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Track Duration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4724595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Compare Loudness, Tempo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'Formula Sheet 6'!$B$1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'Formula Sheet 6'!$A$2:$A$1832</c:f>
            </c:numRef>
          </c:xVal>
          <c:yVal>
            <c:numRef>
              <c:f>'Formula Sheet 6'!$B$2:$B$1832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331806"/>
        <c:axId val="127202144"/>
      </c:scatterChart>
      <c:valAx>
        <c:axId val="8683318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Loudness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27202144"/>
      </c:valAx>
      <c:valAx>
        <c:axId val="127202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8683318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Loudness vs. Energy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'chill inducing songs'!$I$1</c:f>
            </c:strRef>
          </c:tx>
          <c:spPr>
            <a:ln>
              <a:noFill/>
            </a:ln>
          </c:spPr>
          <c:marker>
            <c:symbol val="x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Loudness</c:name>
            <c:spPr>
              <a:ln w="76200">
                <a:solidFill>
                  <a:srgbClr val="00FF00"/>
                </a:solidFill>
              </a:ln>
            </c:spPr>
            <c:trendlineType val="exp"/>
            <c:dispRSqr val="1"/>
            <c:dispEq val="0"/>
          </c:trendline>
          <c:xVal>
            <c:numRef>
              <c:f>'chill inducing songs'!$G$2:$G$716</c:f>
            </c:numRef>
          </c:xVal>
          <c:yVal>
            <c:numRef>
              <c:f>'chill inducing songs'!$I$2:$I$716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31823"/>
        <c:axId val="547695005"/>
      </c:scatterChart>
      <c:valAx>
        <c:axId val="1170318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Energy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547695005"/>
      </c:valAx>
      <c:valAx>
        <c:axId val="547695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Loudness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17031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Popularity vs Track Duration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'chill inducing songs'!$E$1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'chill inducing songs'!$D$2:$D$718</c:f>
            </c:numRef>
          </c:xVal>
          <c:yVal>
            <c:numRef>
              <c:f>'chill inducing songs'!$E$2:$E$716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988895"/>
        <c:axId val="1090764315"/>
      </c:scatterChart>
      <c:valAx>
        <c:axId val="7619888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090764315"/>
      </c:valAx>
      <c:valAx>
        <c:axId val="1090764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Popularity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7619888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21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1000125</xdr:colOff>
      <xdr:row>21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466725</xdr:colOff>
      <xdr:row>4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466725</xdr:colOff>
      <xdr:row>21</xdr:row>
      <xdr:rowOff>190500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  <col customWidth="1" min="12" max="12" width="18.43"/>
    <col customWidth="1" min="17" max="17" width="2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 t="s">
        <v>18</v>
      </c>
      <c r="C2" s="5">
        <v>25811.0</v>
      </c>
      <c r="D2" s="4">
        <v>188600.0</v>
      </c>
      <c r="E2" s="4">
        <v>56.0</v>
      </c>
      <c r="F2" s="4">
        <v>0.732</v>
      </c>
      <c r="G2" s="4">
        <v>0.239</v>
      </c>
      <c r="H2" s="4">
        <v>2.0</v>
      </c>
      <c r="I2" s="4">
        <v>-12.203</v>
      </c>
      <c r="J2" s="4">
        <v>1.0</v>
      </c>
      <c r="K2" s="4">
        <v>0.037</v>
      </c>
      <c r="L2" s="4">
        <v>0.681</v>
      </c>
      <c r="M2" s="6">
        <v>1.16E-6</v>
      </c>
      <c r="N2" s="4">
        <v>0.0972</v>
      </c>
      <c r="O2" s="4">
        <v>0.377</v>
      </c>
      <c r="P2" s="4">
        <v>110.58</v>
      </c>
      <c r="Q2" s="4">
        <v>3.0</v>
      </c>
    </row>
    <row r="3">
      <c r="A3" s="4" t="s">
        <v>19</v>
      </c>
      <c r="B3" s="4" t="s">
        <v>20</v>
      </c>
      <c r="C3" s="5">
        <v>42012.0</v>
      </c>
      <c r="D3" s="4">
        <v>280226.0</v>
      </c>
      <c r="E3" s="4">
        <v>60.0</v>
      </c>
      <c r="F3" s="4">
        <v>0.732</v>
      </c>
      <c r="G3" s="4">
        <v>0.243</v>
      </c>
      <c r="H3" s="4">
        <v>0.0</v>
      </c>
      <c r="I3" s="4">
        <v>-6.023</v>
      </c>
      <c r="J3" s="4">
        <v>1.0</v>
      </c>
      <c r="K3" s="4">
        <v>0.0435</v>
      </c>
      <c r="L3" s="4">
        <v>0.939</v>
      </c>
      <c r="M3" s="4">
        <v>0.0</v>
      </c>
      <c r="N3" s="4">
        <v>0.111</v>
      </c>
      <c r="O3" s="4">
        <v>0.106</v>
      </c>
      <c r="P3" s="4">
        <v>102.087</v>
      </c>
      <c r="Q3" s="4">
        <v>4.0</v>
      </c>
    </row>
    <row r="4">
      <c r="A4" s="4" t="s">
        <v>21</v>
      </c>
      <c r="B4" s="4" t="s">
        <v>22</v>
      </c>
      <c r="C4" s="5">
        <v>44120.0</v>
      </c>
      <c r="D4" s="4">
        <v>184773.0</v>
      </c>
      <c r="E4" s="4">
        <v>31.0</v>
      </c>
      <c r="F4" s="4">
        <v>0.109</v>
      </c>
      <c r="G4" s="4">
        <v>0.0805</v>
      </c>
      <c r="H4" s="4">
        <v>5.0</v>
      </c>
      <c r="I4" s="4">
        <v>-24.673</v>
      </c>
      <c r="J4" s="4">
        <v>1.0</v>
      </c>
      <c r="K4" s="4">
        <v>0.0443</v>
      </c>
      <c r="L4" s="4">
        <v>0.986</v>
      </c>
      <c r="M4" s="4">
        <v>0.118</v>
      </c>
      <c r="N4" s="4">
        <v>0.0831</v>
      </c>
      <c r="O4" s="4">
        <v>0.0354</v>
      </c>
      <c r="P4" s="4">
        <v>88.863</v>
      </c>
      <c r="Q4" s="4">
        <v>5.0</v>
      </c>
    </row>
    <row r="5">
      <c r="A5" s="4" t="s">
        <v>23</v>
      </c>
      <c r="B5" s="4" t="s">
        <v>24</v>
      </c>
      <c r="C5" s="5">
        <v>38593.0</v>
      </c>
      <c r="D5" s="4">
        <v>191373.0</v>
      </c>
      <c r="E5" s="4">
        <v>43.0</v>
      </c>
      <c r="F5" s="4">
        <v>0.556</v>
      </c>
      <c r="G5" s="4">
        <v>0.663</v>
      </c>
      <c r="H5" s="4">
        <v>7.0</v>
      </c>
      <c r="I5" s="4">
        <v>-8.965</v>
      </c>
      <c r="J5" s="4">
        <v>0.0</v>
      </c>
      <c r="K5" s="4">
        <v>0.0261</v>
      </c>
      <c r="L5" s="4">
        <v>0.322</v>
      </c>
      <c r="M5" s="4">
        <v>7.73E-4</v>
      </c>
      <c r="N5" s="4">
        <v>0.129</v>
      </c>
      <c r="O5" s="4">
        <v>0.446</v>
      </c>
      <c r="P5" s="4">
        <v>113.118</v>
      </c>
      <c r="Q5" s="4">
        <v>3.0</v>
      </c>
    </row>
    <row r="6">
      <c r="A6" s="4" t="s">
        <v>25</v>
      </c>
      <c r="B6" s="4" t="s">
        <v>26</v>
      </c>
      <c r="C6" s="5">
        <v>37004.0</v>
      </c>
      <c r="D6" s="4">
        <v>267733.0</v>
      </c>
      <c r="E6" s="4">
        <v>24.0</v>
      </c>
      <c r="F6" s="4">
        <v>0.565</v>
      </c>
      <c r="G6" s="4">
        <v>0.0559</v>
      </c>
      <c r="H6" s="4">
        <v>10.0</v>
      </c>
      <c r="I6" s="4">
        <v>-16.409</v>
      </c>
      <c r="J6" s="4">
        <v>0.0</v>
      </c>
      <c r="K6" s="4">
        <v>0.0535</v>
      </c>
      <c r="L6" s="4">
        <v>0.991</v>
      </c>
      <c r="M6" s="4">
        <v>0.536</v>
      </c>
      <c r="N6" s="4">
        <v>0.0808</v>
      </c>
      <c r="O6" s="4">
        <v>0.215</v>
      </c>
      <c r="P6" s="4">
        <v>142.232</v>
      </c>
      <c r="Q6" s="4">
        <v>3.0</v>
      </c>
    </row>
    <row r="7">
      <c r="A7" s="4" t="s">
        <v>27</v>
      </c>
      <c r="B7" s="4" t="s">
        <v>28</v>
      </c>
      <c r="C7" s="5">
        <v>30858.0</v>
      </c>
      <c r="D7" s="4">
        <v>520786.0</v>
      </c>
      <c r="E7" s="4">
        <v>75.0</v>
      </c>
      <c r="F7" s="4">
        <v>0.367</v>
      </c>
      <c r="G7" s="4">
        <v>0.452</v>
      </c>
      <c r="H7" s="4">
        <v>10.0</v>
      </c>
      <c r="I7" s="4">
        <v>-10.422</v>
      </c>
      <c r="J7" s="4">
        <v>1.0</v>
      </c>
      <c r="K7" s="4">
        <v>0.0307</v>
      </c>
      <c r="L7" s="4">
        <v>0.0353</v>
      </c>
      <c r="M7" s="4">
        <v>0.00228</v>
      </c>
      <c r="N7" s="4">
        <v>0.689</v>
      </c>
      <c r="O7" s="4">
        <v>0.189</v>
      </c>
      <c r="P7" s="4">
        <v>113.066</v>
      </c>
      <c r="Q7" s="4">
        <v>4.0</v>
      </c>
    </row>
    <row r="8">
      <c r="A8" s="4" t="s">
        <v>29</v>
      </c>
      <c r="B8" s="4" t="s">
        <v>30</v>
      </c>
      <c r="C8" s="5">
        <v>42128.0</v>
      </c>
      <c r="D8" s="4">
        <v>216120.0</v>
      </c>
      <c r="E8" s="4">
        <v>70.0</v>
      </c>
      <c r="F8" s="4">
        <v>0.399</v>
      </c>
      <c r="G8" s="4">
        <v>0.787</v>
      </c>
      <c r="H8" s="4">
        <v>1.0</v>
      </c>
      <c r="I8" s="4">
        <v>-2.88</v>
      </c>
      <c r="J8" s="4">
        <v>1.0</v>
      </c>
      <c r="K8" s="4">
        <v>0.0499</v>
      </c>
      <c r="L8" s="4">
        <v>0.0197</v>
      </c>
      <c r="M8" s="6">
        <v>6.07E-5</v>
      </c>
      <c r="N8" s="4">
        <v>0.0685</v>
      </c>
      <c r="O8" s="4">
        <v>0.572</v>
      </c>
      <c r="P8" s="4">
        <v>117.089</v>
      </c>
      <c r="Q8" s="4">
        <v>5.0</v>
      </c>
    </row>
    <row r="9">
      <c r="A9" s="4" t="s">
        <v>31</v>
      </c>
      <c r="B9" s="4" t="s">
        <v>32</v>
      </c>
      <c r="C9" s="5">
        <v>32324.0</v>
      </c>
      <c r="D9" s="4">
        <v>1147000.0</v>
      </c>
      <c r="E9" s="4">
        <v>38.0</v>
      </c>
      <c r="F9" s="4">
        <v>0.297</v>
      </c>
      <c r="G9" s="4">
        <v>0.102</v>
      </c>
      <c r="H9" s="4">
        <v>7.0</v>
      </c>
      <c r="I9" s="4">
        <v>-23.43</v>
      </c>
      <c r="J9" s="4">
        <v>1.0</v>
      </c>
      <c r="K9" s="4">
        <v>0.0364</v>
      </c>
      <c r="L9" s="4">
        <v>0.986</v>
      </c>
      <c r="M9" s="4">
        <v>0.928</v>
      </c>
      <c r="N9" s="4">
        <v>0.0498</v>
      </c>
      <c r="O9" s="4">
        <v>0.042</v>
      </c>
      <c r="P9" s="4">
        <v>102.533</v>
      </c>
      <c r="Q9" s="4">
        <v>4.0</v>
      </c>
    </row>
    <row r="10">
      <c r="A10" s="4" t="s">
        <v>33</v>
      </c>
      <c r="B10" s="4" t="s">
        <v>34</v>
      </c>
      <c r="C10" s="5">
        <v>42094.0</v>
      </c>
      <c r="D10" s="4">
        <v>156160.0</v>
      </c>
      <c r="E10" s="4">
        <v>21.0</v>
      </c>
      <c r="F10" s="4">
        <v>0.231</v>
      </c>
      <c r="G10" s="4">
        <v>0.2</v>
      </c>
      <c r="H10" s="4">
        <v>5.0</v>
      </c>
      <c r="I10" s="4">
        <v>-16.911</v>
      </c>
      <c r="J10" s="4">
        <v>0.0</v>
      </c>
      <c r="K10" s="4">
        <v>0.0361</v>
      </c>
      <c r="L10" s="4">
        <v>0.946</v>
      </c>
      <c r="M10" s="4">
        <v>0.0964</v>
      </c>
      <c r="N10" s="4">
        <v>0.102</v>
      </c>
      <c r="O10" s="4">
        <v>0.097</v>
      </c>
      <c r="P10" s="4">
        <v>98.919</v>
      </c>
      <c r="Q10" s="4">
        <v>4.0</v>
      </c>
    </row>
    <row r="11">
      <c r="A11" s="4" t="s">
        <v>35</v>
      </c>
      <c r="B11" s="4" t="s">
        <v>36</v>
      </c>
      <c r="C11" s="5">
        <v>44481.0</v>
      </c>
      <c r="D11" s="4">
        <v>329840.0</v>
      </c>
      <c r="E11" s="4">
        <v>18.0</v>
      </c>
      <c r="F11" s="4">
        <v>0.0754</v>
      </c>
      <c r="G11" s="4">
        <v>0.00336</v>
      </c>
      <c r="H11" s="4">
        <v>2.0</v>
      </c>
      <c r="I11" s="4">
        <v>-37.492</v>
      </c>
      <c r="J11" s="4">
        <v>0.0</v>
      </c>
      <c r="K11" s="4">
        <v>0.0451</v>
      </c>
      <c r="L11" s="4">
        <v>0.938</v>
      </c>
      <c r="M11" s="4">
        <v>0.7</v>
      </c>
      <c r="N11" s="4">
        <v>0.105</v>
      </c>
      <c r="O11" s="4">
        <v>0.0374</v>
      </c>
      <c r="P11" s="4">
        <v>81.798</v>
      </c>
      <c r="Q11" s="4">
        <v>4.0</v>
      </c>
    </row>
    <row r="12">
      <c r="A12" s="4" t="s">
        <v>37</v>
      </c>
      <c r="B12" s="4" t="s">
        <v>38</v>
      </c>
      <c r="C12" s="5">
        <v>36605.0</v>
      </c>
      <c r="D12" s="4">
        <v>345400.0</v>
      </c>
      <c r="E12" s="4">
        <v>66.0</v>
      </c>
      <c r="F12" s="4">
        <v>0.258</v>
      </c>
      <c r="G12" s="4">
        <v>0.139</v>
      </c>
      <c r="H12" s="4">
        <v>2.0</v>
      </c>
      <c r="I12" s="4">
        <v>-13.522</v>
      </c>
      <c r="J12" s="4">
        <v>1.0</v>
      </c>
      <c r="K12" s="4">
        <v>0.0317</v>
      </c>
      <c r="L12" s="4">
        <v>0.868</v>
      </c>
      <c r="M12" s="4">
        <v>0.00149</v>
      </c>
      <c r="N12" s="4">
        <v>0.1</v>
      </c>
      <c r="O12" s="4">
        <v>0.139</v>
      </c>
      <c r="P12" s="4">
        <v>77.995</v>
      </c>
      <c r="Q12" s="4">
        <v>4.0</v>
      </c>
    </row>
    <row r="13">
      <c r="A13" s="4" t="s">
        <v>39</v>
      </c>
      <c r="B13" s="4" t="s">
        <v>40</v>
      </c>
      <c r="C13" s="5">
        <v>37865.0</v>
      </c>
      <c r="D13" s="4">
        <v>1042626.0</v>
      </c>
      <c r="E13" s="4">
        <v>17.0</v>
      </c>
      <c r="F13" s="4">
        <v>0.479</v>
      </c>
      <c r="G13" s="4">
        <v>0.294</v>
      </c>
      <c r="H13" s="4">
        <v>1.0</v>
      </c>
      <c r="I13" s="4">
        <v>-19.86</v>
      </c>
      <c r="J13" s="4">
        <v>0.0</v>
      </c>
      <c r="K13" s="4">
        <v>0.0391</v>
      </c>
      <c r="L13" s="4">
        <v>0.409</v>
      </c>
      <c r="M13" s="4">
        <v>0.257</v>
      </c>
      <c r="N13" s="4">
        <v>0.95</v>
      </c>
      <c r="O13" s="4">
        <v>0.52</v>
      </c>
      <c r="P13" s="4">
        <v>109.263</v>
      </c>
      <c r="Q13" s="4">
        <v>5.0</v>
      </c>
    </row>
    <row r="14">
      <c r="A14" s="4" t="s">
        <v>41</v>
      </c>
      <c r="B14" s="4" t="s">
        <v>42</v>
      </c>
      <c r="C14" s="5">
        <v>41393.0</v>
      </c>
      <c r="D14" s="4">
        <v>99400.0</v>
      </c>
      <c r="E14" s="4">
        <v>21.0</v>
      </c>
      <c r="F14" s="4">
        <v>0.167</v>
      </c>
      <c r="G14" s="4">
        <v>0.131</v>
      </c>
      <c r="H14" s="4">
        <v>5.0</v>
      </c>
      <c r="I14" s="4">
        <v>-28.383</v>
      </c>
      <c r="J14" s="4">
        <v>1.0</v>
      </c>
      <c r="K14" s="4">
        <v>0.0505</v>
      </c>
      <c r="L14" s="4">
        <v>0.994</v>
      </c>
      <c r="M14" s="4">
        <v>0.0691</v>
      </c>
      <c r="N14" s="4">
        <v>0.0742</v>
      </c>
      <c r="O14" s="4">
        <v>0.0393</v>
      </c>
      <c r="P14" s="4">
        <v>74.394</v>
      </c>
      <c r="Q14" s="4">
        <v>4.0</v>
      </c>
    </row>
    <row r="15">
      <c r="A15" s="4" t="s">
        <v>43</v>
      </c>
      <c r="B15" s="4" t="s">
        <v>44</v>
      </c>
      <c r="C15" s="5">
        <v>44478.0</v>
      </c>
      <c r="D15" s="4">
        <v>182293.0</v>
      </c>
      <c r="E15" s="4">
        <v>16.0</v>
      </c>
      <c r="F15" s="4">
        <v>0.175</v>
      </c>
      <c r="G15" s="4">
        <v>0.122</v>
      </c>
      <c r="H15" s="4">
        <v>2.0</v>
      </c>
      <c r="I15" s="4">
        <v>-26.523</v>
      </c>
      <c r="J15" s="4">
        <v>0.0</v>
      </c>
      <c r="K15" s="4">
        <v>0.0535</v>
      </c>
      <c r="L15" s="4">
        <v>0.877</v>
      </c>
      <c r="M15" s="4">
        <v>0.858</v>
      </c>
      <c r="N15" s="4">
        <v>0.122</v>
      </c>
      <c r="O15" s="4">
        <v>0.191</v>
      </c>
      <c r="P15" s="4">
        <v>181.839</v>
      </c>
      <c r="Q15" s="4">
        <v>3.0</v>
      </c>
    </row>
    <row r="16">
      <c r="A16" s="4" t="s">
        <v>45</v>
      </c>
      <c r="B16" s="4" t="s">
        <v>46</v>
      </c>
      <c r="C16" s="4">
        <v>1984.0</v>
      </c>
      <c r="D16" s="4">
        <v>408173.0</v>
      </c>
      <c r="E16" s="4">
        <v>70.0</v>
      </c>
      <c r="F16" s="4">
        <v>0.398</v>
      </c>
      <c r="G16" s="4">
        <v>0.93</v>
      </c>
      <c r="H16" s="4">
        <v>11.0</v>
      </c>
      <c r="I16" s="4">
        <v>-6.76</v>
      </c>
      <c r="J16" s="4">
        <v>1.0</v>
      </c>
      <c r="K16" s="4">
        <v>0.0615</v>
      </c>
      <c r="L16" s="4">
        <v>8.54E-4</v>
      </c>
      <c r="M16" s="4">
        <v>0.121</v>
      </c>
      <c r="N16" s="4">
        <v>0.0874</v>
      </c>
      <c r="O16" s="4">
        <v>0.725</v>
      </c>
      <c r="P16" s="4">
        <v>190.818</v>
      </c>
      <c r="Q16" s="4">
        <v>4.0</v>
      </c>
    </row>
    <row r="17">
      <c r="A17" s="4" t="s">
        <v>47</v>
      </c>
      <c r="B17" s="4" t="s">
        <v>48</v>
      </c>
      <c r="C17" s="4">
        <v>2011.0</v>
      </c>
      <c r="D17" s="4">
        <v>129000.0</v>
      </c>
      <c r="E17" s="4">
        <v>16.0</v>
      </c>
      <c r="F17" s="4">
        <v>0.211</v>
      </c>
      <c r="G17" s="4">
        <v>0.0215</v>
      </c>
      <c r="H17" s="4">
        <v>5.0</v>
      </c>
      <c r="I17" s="4">
        <v>-31.207</v>
      </c>
      <c r="J17" s="4">
        <v>0.0</v>
      </c>
      <c r="K17" s="4">
        <v>0.0389</v>
      </c>
      <c r="L17" s="4">
        <v>0.985</v>
      </c>
      <c r="M17" s="4">
        <v>0.467</v>
      </c>
      <c r="N17" s="4">
        <v>0.0722</v>
      </c>
      <c r="O17" s="4">
        <v>0.0759</v>
      </c>
      <c r="P17" s="4">
        <v>96.341</v>
      </c>
      <c r="Q17" s="4">
        <v>3.0</v>
      </c>
    </row>
    <row r="18">
      <c r="A18" s="4" t="s">
        <v>49</v>
      </c>
      <c r="B18" s="4" t="s">
        <v>50</v>
      </c>
      <c r="C18" s="5">
        <v>34816.0</v>
      </c>
      <c r="D18" s="4">
        <v>397733.0</v>
      </c>
      <c r="E18" s="4">
        <v>33.0</v>
      </c>
      <c r="F18" s="4">
        <v>0.0784</v>
      </c>
      <c r="G18" s="4">
        <v>0.101</v>
      </c>
      <c r="H18" s="4">
        <v>2.0</v>
      </c>
      <c r="I18" s="4">
        <v>-23.881</v>
      </c>
      <c r="J18" s="4">
        <v>0.0</v>
      </c>
      <c r="K18" s="4">
        <v>0.0451</v>
      </c>
      <c r="L18" s="4">
        <v>0.537</v>
      </c>
      <c r="M18" s="4">
        <v>0.756</v>
      </c>
      <c r="N18" s="4">
        <v>0.442</v>
      </c>
      <c r="O18" s="4">
        <v>0.0368</v>
      </c>
      <c r="P18" s="4">
        <v>173.937</v>
      </c>
      <c r="Q18" s="4">
        <v>4.0</v>
      </c>
    </row>
    <row r="19">
      <c r="A19" s="4" t="s">
        <v>51</v>
      </c>
      <c r="B19" s="4" t="s">
        <v>52</v>
      </c>
      <c r="C19" s="5">
        <v>30369.0</v>
      </c>
      <c r="D19" s="4">
        <v>267080.0</v>
      </c>
      <c r="E19" s="4">
        <v>68.0</v>
      </c>
      <c r="F19" s="4">
        <v>0.202</v>
      </c>
      <c r="G19" s="4">
        <v>0.644</v>
      </c>
      <c r="H19" s="4">
        <v>11.0</v>
      </c>
      <c r="I19" s="4">
        <v>-5.212</v>
      </c>
      <c r="J19" s="4">
        <v>1.0</v>
      </c>
      <c r="K19" s="4">
        <v>0.0324</v>
      </c>
      <c r="L19" s="4">
        <v>0.0979</v>
      </c>
      <c r="M19" s="4">
        <v>0.0</v>
      </c>
      <c r="N19" s="4">
        <v>0.109</v>
      </c>
      <c r="O19" s="4">
        <v>0.252</v>
      </c>
      <c r="P19" s="4">
        <v>85.04</v>
      </c>
      <c r="Q19" s="4">
        <v>5.0</v>
      </c>
    </row>
    <row r="20">
      <c r="A20" s="4" t="s">
        <v>53</v>
      </c>
      <c r="B20" s="4" t="s">
        <v>54</v>
      </c>
      <c r="C20" s="5">
        <v>32223.0</v>
      </c>
      <c r="D20" s="4">
        <v>235706.0</v>
      </c>
      <c r="E20" s="4">
        <v>57.0</v>
      </c>
      <c r="F20" s="4">
        <v>0.39</v>
      </c>
      <c r="G20" s="4">
        <v>0.694</v>
      </c>
      <c r="H20" s="4">
        <v>7.0</v>
      </c>
      <c r="I20" s="4">
        <v>-11.783</v>
      </c>
      <c r="J20" s="4">
        <v>1.0</v>
      </c>
      <c r="K20" s="4">
        <v>0.0399</v>
      </c>
      <c r="L20" s="4">
        <v>0.00299</v>
      </c>
      <c r="M20" s="4">
        <v>0.304</v>
      </c>
      <c r="N20" s="4">
        <v>0.0757</v>
      </c>
      <c r="O20" s="4">
        <v>0.795</v>
      </c>
      <c r="P20" s="4">
        <v>115.197</v>
      </c>
      <c r="Q20" s="4">
        <v>4.0</v>
      </c>
    </row>
    <row r="21">
      <c r="A21" s="4" t="s">
        <v>55</v>
      </c>
      <c r="B21" s="4" t="s">
        <v>56</v>
      </c>
      <c r="C21" s="5">
        <v>30396.0</v>
      </c>
      <c r="D21" s="4">
        <v>179359.0</v>
      </c>
      <c r="E21" s="4">
        <v>45.0</v>
      </c>
      <c r="F21" s="4">
        <v>0.342</v>
      </c>
      <c r="G21" s="4">
        <v>0.125</v>
      </c>
      <c r="H21" s="4">
        <v>5.0</v>
      </c>
      <c r="I21" s="4">
        <v>-15.623</v>
      </c>
      <c r="J21" s="4">
        <v>1.0</v>
      </c>
      <c r="K21" s="4">
        <v>0.0486</v>
      </c>
      <c r="L21" s="4">
        <v>0.904</v>
      </c>
      <c r="M21" s="4">
        <v>3.76E-4</v>
      </c>
      <c r="N21" s="4">
        <v>0.43</v>
      </c>
      <c r="O21" s="4">
        <v>0.371</v>
      </c>
      <c r="P21" s="4">
        <v>116.039</v>
      </c>
      <c r="Q21" s="4">
        <v>1.0</v>
      </c>
    </row>
    <row r="22">
      <c r="A22" s="4" t="s">
        <v>57</v>
      </c>
      <c r="B22" s="4" t="s">
        <v>58</v>
      </c>
      <c r="C22" s="4">
        <v>1976.0</v>
      </c>
      <c r="D22" s="4">
        <v>303586.0</v>
      </c>
      <c r="E22" s="4">
        <v>68.0</v>
      </c>
      <c r="F22" s="4">
        <v>0.419</v>
      </c>
      <c r="G22" s="4">
        <v>0.677</v>
      </c>
      <c r="H22" s="4">
        <v>4.0</v>
      </c>
      <c r="I22" s="4">
        <v>-6.183</v>
      </c>
      <c r="J22" s="4">
        <v>1.0</v>
      </c>
      <c r="K22" s="4">
        <v>0.0343</v>
      </c>
      <c r="L22" s="4">
        <v>0.00101</v>
      </c>
      <c r="M22" s="6">
        <v>9.99E-5</v>
      </c>
      <c r="N22" s="4">
        <v>0.211</v>
      </c>
      <c r="O22" s="4">
        <v>0.684</v>
      </c>
      <c r="P22" s="4">
        <v>127.678</v>
      </c>
      <c r="Q22" s="4">
        <v>4.0</v>
      </c>
    </row>
    <row r="23">
      <c r="A23" s="4" t="s">
        <v>59</v>
      </c>
      <c r="B23" s="4" t="s">
        <v>60</v>
      </c>
      <c r="C23" s="5">
        <v>27395.0</v>
      </c>
      <c r="D23" s="4">
        <v>269893.0</v>
      </c>
      <c r="E23" s="4">
        <v>19.0</v>
      </c>
      <c r="F23" s="4">
        <v>0.315</v>
      </c>
      <c r="G23" s="4">
        <v>0.0748</v>
      </c>
      <c r="H23" s="4">
        <v>2.0</v>
      </c>
      <c r="I23" s="4">
        <v>-18.101</v>
      </c>
      <c r="J23" s="4">
        <v>0.0</v>
      </c>
      <c r="K23" s="4">
        <v>0.0358</v>
      </c>
      <c r="L23" s="4">
        <v>0.931</v>
      </c>
      <c r="M23" s="4">
        <v>3.01E-4</v>
      </c>
      <c r="N23" s="4">
        <v>0.332</v>
      </c>
      <c r="O23" s="4">
        <v>0.235</v>
      </c>
      <c r="P23" s="4">
        <v>133.014</v>
      </c>
      <c r="Q23" s="4">
        <v>3.0</v>
      </c>
    </row>
    <row r="24">
      <c r="A24" s="4" t="s">
        <v>61</v>
      </c>
      <c r="B24" s="4" t="s">
        <v>62</v>
      </c>
      <c r="C24" s="5">
        <v>27395.0</v>
      </c>
      <c r="D24" s="4">
        <v>427800.0</v>
      </c>
      <c r="E24" s="4">
        <v>67.0</v>
      </c>
      <c r="F24" s="4">
        <v>0.655</v>
      </c>
      <c r="G24" s="4">
        <v>0.675</v>
      </c>
      <c r="H24" s="4">
        <v>1.0</v>
      </c>
      <c r="I24" s="4">
        <v>-9.352</v>
      </c>
      <c r="J24" s="4">
        <v>1.0</v>
      </c>
      <c r="K24" s="4">
        <v>0.0599</v>
      </c>
      <c r="L24" s="4">
        <v>0.272</v>
      </c>
      <c r="M24" s="4">
        <v>0.0236</v>
      </c>
      <c r="N24" s="4">
        <v>0.727</v>
      </c>
      <c r="O24" s="4">
        <v>0.587</v>
      </c>
      <c r="P24" s="4">
        <v>77.589</v>
      </c>
      <c r="Q24" s="4">
        <v>4.0</v>
      </c>
    </row>
    <row r="25">
      <c r="A25" s="4" t="s">
        <v>63</v>
      </c>
      <c r="B25" s="4" t="s">
        <v>64</v>
      </c>
      <c r="C25" s="5">
        <v>33925.0</v>
      </c>
      <c r="D25" s="4">
        <v>271093.0</v>
      </c>
      <c r="E25" s="4">
        <v>78.0</v>
      </c>
      <c r="F25" s="4">
        <v>0.332</v>
      </c>
      <c r="G25" s="4">
        <v>0.214</v>
      </c>
      <c r="H25" s="4">
        <v>4.0</v>
      </c>
      <c r="I25" s="4">
        <v>-12.518</v>
      </c>
      <c r="J25" s="4">
        <v>1.0</v>
      </c>
      <c r="K25" s="4">
        <v>0.0349</v>
      </c>
      <c r="L25" s="4">
        <v>0.845</v>
      </c>
      <c r="M25" s="6">
        <v>5.62E-6</v>
      </c>
      <c r="N25" s="4">
        <v>0.0839</v>
      </c>
      <c r="O25" s="4">
        <v>0.11</v>
      </c>
      <c r="P25" s="4">
        <v>67.531</v>
      </c>
      <c r="Q25" s="4">
        <v>4.0</v>
      </c>
    </row>
    <row r="26">
      <c r="A26" s="4" t="s">
        <v>65</v>
      </c>
      <c r="B26" s="4" t="s">
        <v>66</v>
      </c>
      <c r="C26" s="5">
        <v>28419.0</v>
      </c>
      <c r="D26" s="4">
        <v>525200.0</v>
      </c>
      <c r="E26" s="4">
        <v>48.0</v>
      </c>
      <c r="F26" s="4">
        <v>0.318</v>
      </c>
      <c r="G26" s="4">
        <v>0.354</v>
      </c>
      <c r="H26" s="4">
        <v>10.0</v>
      </c>
      <c r="I26" s="4">
        <v>-9.656</v>
      </c>
      <c r="J26" s="4">
        <v>1.0</v>
      </c>
      <c r="K26" s="4">
        <v>0.0368</v>
      </c>
      <c r="L26" s="4">
        <v>0.745</v>
      </c>
      <c r="M26" s="6">
        <v>1.86E-5</v>
      </c>
      <c r="N26" s="4">
        <v>0.111</v>
      </c>
      <c r="O26" s="4">
        <v>0.23</v>
      </c>
      <c r="P26" s="4">
        <v>92.84</v>
      </c>
      <c r="Q26" s="4">
        <v>3.0</v>
      </c>
    </row>
    <row r="27">
      <c r="A27" s="4" t="s">
        <v>67</v>
      </c>
      <c r="B27" s="4" t="s">
        <v>68</v>
      </c>
      <c r="C27" s="5">
        <v>28328.0</v>
      </c>
      <c r="D27" s="4">
        <v>204533.0</v>
      </c>
      <c r="E27" s="4">
        <v>61.0</v>
      </c>
      <c r="F27" s="4">
        <v>0.557</v>
      </c>
      <c r="G27" s="4">
        <v>0.32</v>
      </c>
      <c r="H27" s="4">
        <v>1.0</v>
      </c>
      <c r="I27" s="4">
        <v>-10.792</v>
      </c>
      <c r="J27" s="4">
        <v>0.0</v>
      </c>
      <c r="K27" s="4">
        <v>0.0438</v>
      </c>
      <c r="L27" s="4">
        <v>0.739</v>
      </c>
      <c r="M27" s="6">
        <v>3.99E-5</v>
      </c>
      <c r="N27" s="4">
        <v>0.112</v>
      </c>
      <c r="O27" s="4">
        <v>0.377</v>
      </c>
      <c r="P27" s="4">
        <v>176.647</v>
      </c>
      <c r="Q27" s="4">
        <v>4.0</v>
      </c>
    </row>
    <row r="28">
      <c r="A28" s="4" t="s">
        <v>69</v>
      </c>
      <c r="B28" s="4" t="s">
        <v>70</v>
      </c>
      <c r="C28" s="5">
        <v>40862.0</v>
      </c>
      <c r="D28" s="4">
        <v>171746.0</v>
      </c>
      <c r="E28" s="4">
        <v>15.0</v>
      </c>
      <c r="F28" s="4">
        <v>0.16</v>
      </c>
      <c r="G28" s="4">
        <v>0.12</v>
      </c>
      <c r="H28" s="4">
        <v>7.0</v>
      </c>
      <c r="I28" s="4">
        <v>-20.727</v>
      </c>
      <c r="J28" s="4">
        <v>1.0</v>
      </c>
      <c r="K28" s="4">
        <v>0.0468</v>
      </c>
      <c r="L28" s="4">
        <v>0.959</v>
      </c>
      <c r="M28" s="4">
        <v>0.0137</v>
      </c>
      <c r="N28" s="4">
        <v>0.163</v>
      </c>
      <c r="O28" s="4">
        <v>0.208</v>
      </c>
      <c r="P28" s="4">
        <v>83.892</v>
      </c>
      <c r="Q28" s="4">
        <v>4.0</v>
      </c>
    </row>
    <row r="29">
      <c r="A29" s="4" t="s">
        <v>71</v>
      </c>
      <c r="B29" s="4" t="s">
        <v>72</v>
      </c>
      <c r="C29" s="5">
        <v>44484.0</v>
      </c>
      <c r="D29" s="4">
        <v>575009.0</v>
      </c>
      <c r="E29" s="4">
        <v>18.0</v>
      </c>
      <c r="F29" s="4">
        <v>0.149</v>
      </c>
      <c r="G29" s="4">
        <v>0.0663</v>
      </c>
      <c r="H29" s="4">
        <v>1.0</v>
      </c>
      <c r="I29" s="4">
        <v>-24.92</v>
      </c>
      <c r="J29" s="4">
        <v>1.0</v>
      </c>
      <c r="K29" s="4">
        <v>0.0388</v>
      </c>
      <c r="L29" s="4">
        <v>0.95</v>
      </c>
      <c r="M29" s="4">
        <v>0.876</v>
      </c>
      <c r="N29" s="4">
        <v>0.359</v>
      </c>
      <c r="O29" s="4">
        <v>0.0534</v>
      </c>
      <c r="P29" s="4">
        <v>67.341</v>
      </c>
      <c r="Q29" s="4">
        <v>4.0</v>
      </c>
    </row>
    <row r="30">
      <c r="A30" s="4" t="s">
        <v>73</v>
      </c>
      <c r="B30" s="4" t="s">
        <v>74</v>
      </c>
      <c r="C30" s="5">
        <v>44478.0</v>
      </c>
      <c r="D30" s="4">
        <v>151240.0</v>
      </c>
      <c r="E30" s="4">
        <v>12.0</v>
      </c>
      <c r="F30" s="4">
        <v>0.303</v>
      </c>
      <c r="G30" s="4">
        <v>0.581</v>
      </c>
      <c r="H30" s="4">
        <v>4.0</v>
      </c>
      <c r="I30" s="4">
        <v>-13.108</v>
      </c>
      <c r="J30" s="4">
        <v>1.0</v>
      </c>
      <c r="K30" s="4">
        <v>0.139</v>
      </c>
      <c r="L30" s="4">
        <v>0.736</v>
      </c>
      <c r="M30" s="4">
        <v>0.638</v>
      </c>
      <c r="N30" s="4">
        <v>0.147</v>
      </c>
      <c r="O30" s="4">
        <v>0.389</v>
      </c>
      <c r="P30" s="4">
        <v>158.663</v>
      </c>
      <c r="Q30" s="4">
        <v>4.0</v>
      </c>
    </row>
    <row r="31">
      <c r="A31" s="4" t="s">
        <v>75</v>
      </c>
      <c r="B31" s="4" t="s">
        <v>76</v>
      </c>
      <c r="C31" s="5">
        <v>40196.0</v>
      </c>
      <c r="D31" s="4">
        <v>537426.0</v>
      </c>
      <c r="E31" s="4">
        <v>59.0</v>
      </c>
      <c r="F31" s="4">
        <v>0.102</v>
      </c>
      <c r="G31" s="4">
        <v>0.0733</v>
      </c>
      <c r="H31" s="4">
        <v>10.0</v>
      </c>
      <c r="I31" s="4">
        <v>-24.133</v>
      </c>
      <c r="J31" s="4">
        <v>0.0</v>
      </c>
      <c r="K31" s="4">
        <v>0.0488</v>
      </c>
      <c r="L31" s="4">
        <v>0.974</v>
      </c>
      <c r="M31" s="4">
        <v>0.859</v>
      </c>
      <c r="N31" s="4">
        <v>0.28</v>
      </c>
      <c r="O31" s="4">
        <v>0.0308</v>
      </c>
      <c r="P31" s="4">
        <v>73.954</v>
      </c>
      <c r="Q31" s="4">
        <v>3.0</v>
      </c>
    </row>
    <row r="32">
      <c r="A32" s="4" t="s">
        <v>77</v>
      </c>
      <c r="B32" s="4" t="s">
        <v>78</v>
      </c>
      <c r="C32" s="5">
        <v>36021.0</v>
      </c>
      <c r="D32" s="4">
        <v>583293.0</v>
      </c>
      <c r="E32" s="4">
        <v>59.0</v>
      </c>
      <c r="F32" s="4">
        <v>0.0783</v>
      </c>
      <c r="G32" s="4">
        <v>0.0523</v>
      </c>
      <c r="H32" s="4">
        <v>5.0</v>
      </c>
      <c r="I32" s="4">
        <v>-23.247</v>
      </c>
      <c r="J32" s="4">
        <v>1.0</v>
      </c>
      <c r="K32" s="4">
        <v>0.0471</v>
      </c>
      <c r="L32" s="4">
        <v>0.896</v>
      </c>
      <c r="M32" s="4">
        <v>0.945</v>
      </c>
      <c r="N32" s="4">
        <v>0.0806</v>
      </c>
      <c r="O32" s="4">
        <v>0.0327</v>
      </c>
      <c r="P32" s="4">
        <v>82.015</v>
      </c>
      <c r="Q32" s="4">
        <v>4.0</v>
      </c>
    </row>
    <row r="33">
      <c r="A33" s="4" t="s">
        <v>79</v>
      </c>
      <c r="B33" s="4" t="s">
        <v>80</v>
      </c>
      <c r="C33" s="5">
        <v>42286.0</v>
      </c>
      <c r="D33" s="4">
        <v>208586.0</v>
      </c>
      <c r="E33" s="4">
        <v>49.0</v>
      </c>
      <c r="F33" s="4">
        <v>0.101</v>
      </c>
      <c r="G33" s="4">
        <v>0.0241</v>
      </c>
      <c r="H33" s="4">
        <v>11.0</v>
      </c>
      <c r="I33" s="4">
        <v>-30.172</v>
      </c>
      <c r="J33" s="4">
        <v>0.0</v>
      </c>
      <c r="K33" s="4">
        <v>0.0485</v>
      </c>
      <c r="L33" s="4">
        <v>0.947</v>
      </c>
      <c r="M33" s="4">
        <v>0.847</v>
      </c>
      <c r="N33" s="4">
        <v>0.0693</v>
      </c>
      <c r="O33" s="4">
        <v>0.0329</v>
      </c>
      <c r="P33" s="4">
        <v>87.14</v>
      </c>
      <c r="Q33" s="4">
        <v>3.0</v>
      </c>
    </row>
    <row r="34">
      <c r="A34" s="4" t="s">
        <v>81</v>
      </c>
      <c r="B34" s="4" t="s">
        <v>82</v>
      </c>
      <c r="C34" s="5">
        <v>40140.0</v>
      </c>
      <c r="D34" s="4">
        <v>686800.0</v>
      </c>
      <c r="E34" s="4">
        <v>36.0</v>
      </c>
      <c r="F34" s="4">
        <v>0.193</v>
      </c>
      <c r="G34" s="4">
        <v>0.239</v>
      </c>
      <c r="H34" s="4">
        <v>7.0</v>
      </c>
      <c r="I34" s="4">
        <v>-14.418</v>
      </c>
      <c r="J34" s="4">
        <v>1.0</v>
      </c>
      <c r="K34" s="4">
        <v>0.0332</v>
      </c>
      <c r="L34" s="4">
        <v>0.846</v>
      </c>
      <c r="M34" s="4">
        <v>0.792</v>
      </c>
      <c r="N34" s="4">
        <v>0.111</v>
      </c>
      <c r="O34" s="4">
        <v>0.0548</v>
      </c>
      <c r="P34" s="4">
        <v>78.5</v>
      </c>
      <c r="Q34" s="4">
        <v>4.0</v>
      </c>
    </row>
    <row r="35">
      <c r="A35" s="4" t="s">
        <v>83</v>
      </c>
      <c r="B35" s="4" t="s">
        <v>84</v>
      </c>
      <c r="C35" s="5">
        <v>34002.0</v>
      </c>
      <c r="D35" s="4">
        <v>724000.0</v>
      </c>
      <c r="E35" s="4">
        <v>12.0</v>
      </c>
      <c r="F35" s="4">
        <v>0.069</v>
      </c>
      <c r="G35" s="4">
        <v>0.0125</v>
      </c>
      <c r="H35" s="4">
        <v>1.0</v>
      </c>
      <c r="I35" s="4">
        <v>-30.79</v>
      </c>
      <c r="J35" s="4">
        <v>1.0</v>
      </c>
      <c r="K35" s="4">
        <v>0.0459</v>
      </c>
      <c r="L35" s="4">
        <v>0.97</v>
      </c>
      <c r="M35" s="4">
        <v>0.96</v>
      </c>
      <c r="N35" s="4">
        <v>0.0869</v>
      </c>
      <c r="O35" s="4">
        <v>0.0342</v>
      </c>
      <c r="P35" s="4">
        <v>75.105</v>
      </c>
      <c r="Q35" s="4">
        <v>4.0</v>
      </c>
    </row>
    <row r="36">
      <c r="A36" s="4" t="s">
        <v>85</v>
      </c>
      <c r="B36" s="4" t="s">
        <v>86</v>
      </c>
      <c r="C36" s="5">
        <v>33841.0</v>
      </c>
      <c r="D36" s="4">
        <v>280000.0</v>
      </c>
      <c r="E36" s="4">
        <v>72.0</v>
      </c>
      <c r="F36" s="4">
        <v>0.695</v>
      </c>
      <c r="G36" s="4">
        <v>0.336</v>
      </c>
      <c r="H36" s="4">
        <v>9.0</v>
      </c>
      <c r="I36" s="4">
        <v>-12.999</v>
      </c>
      <c r="J36" s="4">
        <v>1.0</v>
      </c>
      <c r="K36" s="4">
        <v>0.0313</v>
      </c>
      <c r="L36" s="4">
        <v>0.8</v>
      </c>
      <c r="M36" s="4">
        <v>0.00264</v>
      </c>
      <c r="N36" s="4">
        <v>0.701</v>
      </c>
      <c r="O36" s="4">
        <v>0.422</v>
      </c>
      <c r="P36" s="4">
        <v>79.109</v>
      </c>
      <c r="Q36" s="4">
        <v>4.0</v>
      </c>
    </row>
    <row r="37">
      <c r="A37" s="4" t="s">
        <v>87</v>
      </c>
      <c r="B37" s="4" t="s">
        <v>88</v>
      </c>
      <c r="C37" s="5">
        <v>33239.0</v>
      </c>
      <c r="D37" s="4">
        <v>507560.0</v>
      </c>
      <c r="E37" s="4">
        <v>33.0</v>
      </c>
      <c r="F37" s="4">
        <v>0.187</v>
      </c>
      <c r="G37" s="4">
        <v>0.264</v>
      </c>
      <c r="H37" s="4">
        <v>0.0</v>
      </c>
      <c r="I37" s="4">
        <v>-15.162</v>
      </c>
      <c r="J37" s="4">
        <v>1.0</v>
      </c>
      <c r="K37" s="4">
        <v>0.035</v>
      </c>
      <c r="L37" s="4">
        <v>0.73</v>
      </c>
      <c r="M37" s="4">
        <v>0.752</v>
      </c>
      <c r="N37" s="4">
        <v>0.104</v>
      </c>
      <c r="O37" s="4">
        <v>0.0977</v>
      </c>
      <c r="P37" s="4">
        <v>145.012</v>
      </c>
      <c r="Q37" s="4">
        <v>4.0</v>
      </c>
    </row>
    <row r="38">
      <c r="A38" s="4" t="s">
        <v>89</v>
      </c>
      <c r="B38" s="4" t="s">
        <v>90</v>
      </c>
      <c r="C38" s="5">
        <v>44478.0</v>
      </c>
      <c r="D38" s="4">
        <v>397000.0</v>
      </c>
      <c r="E38" s="4">
        <v>12.0</v>
      </c>
      <c r="F38" s="4">
        <v>0.226</v>
      </c>
      <c r="G38" s="4">
        <v>0.622</v>
      </c>
      <c r="H38" s="4">
        <v>7.0</v>
      </c>
      <c r="I38" s="4">
        <v>-8.609</v>
      </c>
      <c r="J38" s="4">
        <v>1.0</v>
      </c>
      <c r="K38" s="4">
        <v>0.046</v>
      </c>
      <c r="L38" s="4">
        <v>0.71</v>
      </c>
      <c r="M38" s="4">
        <v>0.889</v>
      </c>
      <c r="N38" s="4">
        <v>0.32</v>
      </c>
      <c r="O38" s="4">
        <v>0.103</v>
      </c>
      <c r="P38" s="4">
        <v>171.032</v>
      </c>
      <c r="Q38" s="4">
        <v>5.0</v>
      </c>
    </row>
    <row r="39">
      <c r="A39" s="4" t="s">
        <v>91</v>
      </c>
      <c r="B39" s="4" t="s">
        <v>92</v>
      </c>
      <c r="C39" s="5">
        <v>30317.0</v>
      </c>
      <c r="D39" s="4">
        <v>401306.0</v>
      </c>
      <c r="E39" s="4">
        <v>26.0</v>
      </c>
      <c r="F39" s="4">
        <v>0.152</v>
      </c>
      <c r="G39" s="4">
        <v>0.153</v>
      </c>
      <c r="H39" s="4">
        <v>9.0</v>
      </c>
      <c r="I39" s="4">
        <v>-18.373</v>
      </c>
      <c r="J39" s="4">
        <v>1.0</v>
      </c>
      <c r="K39" s="4">
        <v>0.036</v>
      </c>
      <c r="L39" s="4">
        <v>0.6</v>
      </c>
      <c r="M39" s="4">
        <v>0.919</v>
      </c>
      <c r="N39" s="4">
        <v>0.101</v>
      </c>
      <c r="O39" s="4">
        <v>0.0905</v>
      </c>
      <c r="P39" s="4">
        <v>137.117</v>
      </c>
      <c r="Q39" s="4">
        <v>4.0</v>
      </c>
    </row>
    <row r="40">
      <c r="A40" s="4" t="s">
        <v>93</v>
      </c>
      <c r="B40" s="4" t="s">
        <v>94</v>
      </c>
      <c r="C40" s="5">
        <v>31048.0</v>
      </c>
      <c r="D40" s="4">
        <v>235200.0</v>
      </c>
      <c r="E40" s="4">
        <v>42.0</v>
      </c>
      <c r="F40" s="4">
        <v>0.127</v>
      </c>
      <c r="G40" s="4">
        <v>0.0222</v>
      </c>
      <c r="H40" s="4">
        <v>8.0</v>
      </c>
      <c r="I40" s="4">
        <v>-28.677</v>
      </c>
      <c r="J40" s="4">
        <v>1.0</v>
      </c>
      <c r="K40" s="4">
        <v>0.0518</v>
      </c>
      <c r="L40" s="4">
        <v>0.968</v>
      </c>
      <c r="M40" s="4">
        <v>0.219</v>
      </c>
      <c r="N40" s="4">
        <v>0.108</v>
      </c>
      <c r="O40" s="4">
        <v>0.039</v>
      </c>
      <c r="P40" s="4">
        <v>66.643</v>
      </c>
      <c r="Q40" s="4">
        <v>4.0</v>
      </c>
    </row>
    <row r="41">
      <c r="A41" s="4" t="s">
        <v>95</v>
      </c>
      <c r="B41" s="4" t="s">
        <v>96</v>
      </c>
      <c r="C41" s="4">
        <v>2007.0</v>
      </c>
      <c r="D41" s="4">
        <v>343626.0</v>
      </c>
      <c r="E41" s="4">
        <v>57.0</v>
      </c>
      <c r="F41" s="4">
        <v>0.324</v>
      </c>
      <c r="G41" s="4">
        <v>0.772</v>
      </c>
      <c r="H41" s="4">
        <v>1.0</v>
      </c>
      <c r="I41" s="4">
        <v>-6.95</v>
      </c>
      <c r="J41" s="4">
        <v>1.0</v>
      </c>
      <c r="K41" s="4">
        <v>0.0371</v>
      </c>
      <c r="L41" s="4">
        <v>6.09E-4</v>
      </c>
      <c r="M41" s="4">
        <v>0.173</v>
      </c>
      <c r="N41" s="4">
        <v>0.12</v>
      </c>
      <c r="O41" s="4">
        <v>0.291</v>
      </c>
      <c r="P41" s="4">
        <v>135.737</v>
      </c>
      <c r="Q41" s="4">
        <v>4.0</v>
      </c>
    </row>
    <row r="42">
      <c r="A42" s="4" t="s">
        <v>97</v>
      </c>
      <c r="B42" s="4" t="s">
        <v>98</v>
      </c>
      <c r="C42" s="5">
        <v>44183.0</v>
      </c>
      <c r="D42" s="4">
        <v>196306.0</v>
      </c>
      <c r="E42" s="4">
        <v>14.0</v>
      </c>
      <c r="F42" s="4">
        <v>0.17</v>
      </c>
      <c r="G42" s="4">
        <v>0.105</v>
      </c>
      <c r="H42" s="4">
        <v>7.0</v>
      </c>
      <c r="I42" s="4">
        <v>-20.452</v>
      </c>
      <c r="J42" s="4">
        <v>0.0</v>
      </c>
      <c r="K42" s="4">
        <v>0.0406</v>
      </c>
      <c r="L42" s="4">
        <v>0.986</v>
      </c>
      <c r="M42" s="4">
        <v>0.755</v>
      </c>
      <c r="N42" s="4">
        <v>0.363</v>
      </c>
      <c r="O42" s="4">
        <v>0.038</v>
      </c>
      <c r="P42" s="4">
        <v>140.483</v>
      </c>
      <c r="Q42" s="4">
        <v>4.0</v>
      </c>
    </row>
    <row r="43">
      <c r="A43" s="4" t="s">
        <v>99</v>
      </c>
      <c r="B43" s="4" t="s">
        <v>100</v>
      </c>
      <c r="C43" s="5">
        <v>44485.0</v>
      </c>
      <c r="D43" s="4">
        <v>534626.0</v>
      </c>
      <c r="E43" s="4">
        <v>12.0</v>
      </c>
      <c r="F43" s="4">
        <v>0.144</v>
      </c>
      <c r="G43" s="4">
        <v>0.181</v>
      </c>
      <c r="H43" s="4">
        <v>2.0</v>
      </c>
      <c r="I43" s="4">
        <v>-17.704</v>
      </c>
      <c r="J43" s="4">
        <v>0.0</v>
      </c>
      <c r="K43" s="4">
        <v>0.0352</v>
      </c>
      <c r="L43" s="4">
        <v>0.752</v>
      </c>
      <c r="M43" s="4">
        <v>0.909</v>
      </c>
      <c r="N43" s="4">
        <v>0.179</v>
      </c>
      <c r="O43" s="4">
        <v>0.114</v>
      </c>
      <c r="P43" s="4">
        <v>141.015</v>
      </c>
      <c r="Q43" s="4">
        <v>3.0</v>
      </c>
    </row>
    <row r="44">
      <c r="A44" s="4" t="s">
        <v>101</v>
      </c>
      <c r="B44" s="4" t="s">
        <v>102</v>
      </c>
      <c r="C44" s="5">
        <v>44485.0</v>
      </c>
      <c r="D44" s="4">
        <v>233986.0</v>
      </c>
      <c r="E44" s="4">
        <v>11.0</v>
      </c>
      <c r="F44" s="4">
        <v>0.369</v>
      </c>
      <c r="G44" s="4">
        <v>0.553</v>
      </c>
      <c r="H44" s="4">
        <v>2.0</v>
      </c>
      <c r="I44" s="4">
        <v>-10.898</v>
      </c>
      <c r="J44" s="4">
        <v>0.0</v>
      </c>
      <c r="K44" s="4">
        <v>0.0745</v>
      </c>
      <c r="L44" s="4">
        <v>0.955</v>
      </c>
      <c r="M44" s="4">
        <v>0.926</v>
      </c>
      <c r="N44" s="4">
        <v>0.0896</v>
      </c>
      <c r="O44" s="4">
        <v>0.395</v>
      </c>
      <c r="P44" s="4">
        <v>179.062</v>
      </c>
      <c r="Q44" s="4">
        <v>4.0</v>
      </c>
    </row>
    <row r="45">
      <c r="A45" s="4" t="s">
        <v>103</v>
      </c>
      <c r="B45" s="4" t="s">
        <v>104</v>
      </c>
      <c r="C45" s="5">
        <v>30396.0</v>
      </c>
      <c r="D45" s="4">
        <v>282602.0</v>
      </c>
      <c r="E45" s="4">
        <v>54.0</v>
      </c>
      <c r="F45" s="4">
        <v>0.462</v>
      </c>
      <c r="G45" s="4">
        <v>0.364</v>
      </c>
      <c r="H45" s="4">
        <v>5.0</v>
      </c>
      <c r="I45" s="4">
        <v>-9.831</v>
      </c>
      <c r="J45" s="4">
        <v>1.0</v>
      </c>
      <c r="K45" s="4">
        <v>0.0335</v>
      </c>
      <c r="L45" s="4">
        <v>0.787</v>
      </c>
      <c r="M45" s="4">
        <v>6.82E-4</v>
      </c>
      <c r="N45" s="4">
        <v>0.118</v>
      </c>
      <c r="O45" s="4">
        <v>0.0781</v>
      </c>
      <c r="P45" s="4">
        <v>58.588</v>
      </c>
      <c r="Q45" s="4">
        <v>4.0</v>
      </c>
    </row>
    <row r="46">
      <c r="A46" s="4" t="s">
        <v>105</v>
      </c>
      <c r="B46" s="4" t="s">
        <v>106</v>
      </c>
      <c r="C46" s="5">
        <v>43504.0</v>
      </c>
      <c r="D46" s="4">
        <v>345320.0</v>
      </c>
      <c r="E46" s="4">
        <v>11.0</v>
      </c>
      <c r="F46" s="4">
        <v>0.174</v>
      </c>
      <c r="G46" s="4">
        <v>0.038</v>
      </c>
      <c r="H46" s="4">
        <v>5.0</v>
      </c>
      <c r="I46" s="4">
        <v>-28.44</v>
      </c>
      <c r="J46" s="4">
        <v>0.0</v>
      </c>
      <c r="K46" s="4">
        <v>0.0488</v>
      </c>
      <c r="L46" s="4">
        <v>0.92</v>
      </c>
      <c r="M46" s="4">
        <v>0.325</v>
      </c>
      <c r="N46" s="4">
        <v>0.106</v>
      </c>
      <c r="O46" s="4">
        <v>0.0818</v>
      </c>
      <c r="P46" s="4">
        <v>61.839</v>
      </c>
      <c r="Q46" s="4">
        <v>3.0</v>
      </c>
    </row>
    <row r="47">
      <c r="A47" s="4" t="s">
        <v>107</v>
      </c>
      <c r="B47" s="4" t="s">
        <v>108</v>
      </c>
      <c r="C47" s="4">
        <v>1986.0</v>
      </c>
      <c r="D47" s="4">
        <v>258399.0</v>
      </c>
      <c r="E47" s="4">
        <v>53.0</v>
      </c>
      <c r="F47" s="4">
        <v>0.743</v>
      </c>
      <c r="G47" s="4">
        <v>0.354</v>
      </c>
      <c r="H47" s="4">
        <v>9.0</v>
      </c>
      <c r="I47" s="4">
        <v>-13.619</v>
      </c>
      <c r="J47" s="4">
        <v>1.0</v>
      </c>
      <c r="K47" s="4">
        <v>0.0285</v>
      </c>
      <c r="L47" s="4">
        <v>0.683</v>
      </c>
      <c r="M47" s="6">
        <v>4.55E-5</v>
      </c>
      <c r="N47" s="4">
        <v>0.0621</v>
      </c>
      <c r="O47" s="4">
        <v>0.8</v>
      </c>
      <c r="P47" s="4">
        <v>95.123</v>
      </c>
      <c r="Q47" s="4">
        <v>4.0</v>
      </c>
    </row>
    <row r="48">
      <c r="A48" s="4" t="s">
        <v>109</v>
      </c>
      <c r="B48" s="4" t="s">
        <v>110</v>
      </c>
      <c r="C48" s="5">
        <v>44477.0</v>
      </c>
      <c r="D48" s="4">
        <v>392560.0</v>
      </c>
      <c r="E48" s="4">
        <v>10.0</v>
      </c>
      <c r="F48" s="4">
        <v>0.384</v>
      </c>
      <c r="G48" s="4">
        <v>0.124</v>
      </c>
      <c r="H48" s="4">
        <v>11.0</v>
      </c>
      <c r="I48" s="4">
        <v>-22.216</v>
      </c>
      <c r="J48" s="4">
        <v>1.0</v>
      </c>
      <c r="K48" s="4">
        <v>0.041</v>
      </c>
      <c r="L48" s="4">
        <v>0.943</v>
      </c>
      <c r="M48" s="4">
        <v>0.594</v>
      </c>
      <c r="N48" s="4">
        <v>0.12</v>
      </c>
      <c r="O48" s="4">
        <v>0.359</v>
      </c>
      <c r="P48" s="4">
        <v>156.113</v>
      </c>
      <c r="Q48" s="4">
        <v>3.0</v>
      </c>
    </row>
    <row r="49">
      <c r="A49" s="4" t="s">
        <v>111</v>
      </c>
      <c r="B49" s="4" t="s">
        <v>112</v>
      </c>
      <c r="C49" s="4">
        <v>1961.0</v>
      </c>
      <c r="D49" s="4">
        <v>62280.0</v>
      </c>
      <c r="E49" s="4">
        <v>16.0</v>
      </c>
      <c r="F49" s="4">
        <v>0.24</v>
      </c>
      <c r="G49" s="4">
        <v>0.273</v>
      </c>
      <c r="H49" s="4">
        <v>2.0</v>
      </c>
      <c r="I49" s="4">
        <v>-18.21</v>
      </c>
      <c r="J49" s="4">
        <v>0.0</v>
      </c>
      <c r="K49" s="4">
        <v>0.0351</v>
      </c>
      <c r="L49" s="4">
        <v>0.971</v>
      </c>
      <c r="M49" s="4">
        <v>0.935</v>
      </c>
      <c r="N49" s="4">
        <v>0.139</v>
      </c>
      <c r="O49" s="4">
        <v>0.108</v>
      </c>
      <c r="P49" s="4">
        <v>80.116</v>
      </c>
      <c r="Q49" s="4">
        <v>4.0</v>
      </c>
    </row>
    <row r="50">
      <c r="A50" s="4" t="s">
        <v>113</v>
      </c>
      <c r="B50" s="4" t="s">
        <v>114</v>
      </c>
      <c r="C50" s="5">
        <v>44484.0</v>
      </c>
      <c r="D50" s="4">
        <v>710426.0</v>
      </c>
      <c r="E50" s="4">
        <v>10.0</v>
      </c>
      <c r="F50" s="4">
        <v>0.382</v>
      </c>
      <c r="G50" s="4">
        <v>0.0684</v>
      </c>
      <c r="H50" s="4">
        <v>3.0</v>
      </c>
      <c r="I50" s="4">
        <v>-23.542</v>
      </c>
      <c r="J50" s="4">
        <v>1.0</v>
      </c>
      <c r="K50" s="4">
        <v>0.0382</v>
      </c>
      <c r="L50" s="4">
        <v>0.989</v>
      </c>
      <c r="M50" s="4">
        <v>0.874</v>
      </c>
      <c r="N50" s="4">
        <v>0.0873</v>
      </c>
      <c r="O50" s="4">
        <v>0.143</v>
      </c>
      <c r="P50" s="4">
        <v>111.04</v>
      </c>
      <c r="Q50" s="4">
        <v>3.0</v>
      </c>
    </row>
    <row r="51">
      <c r="A51" s="4" t="s">
        <v>115</v>
      </c>
      <c r="B51" s="4" t="s">
        <v>116</v>
      </c>
      <c r="C51" s="5">
        <v>42772.0</v>
      </c>
      <c r="D51" s="4">
        <v>120333.0</v>
      </c>
      <c r="E51" s="4">
        <v>16.0</v>
      </c>
      <c r="F51" s="4">
        <v>0.311</v>
      </c>
      <c r="G51" s="4">
        <v>0.00325</v>
      </c>
      <c r="H51" s="4">
        <v>7.0</v>
      </c>
      <c r="I51" s="4">
        <v>-36.369</v>
      </c>
      <c r="J51" s="4">
        <v>1.0</v>
      </c>
      <c r="K51" s="4">
        <v>0.0525</v>
      </c>
      <c r="L51" s="4">
        <v>0.995</v>
      </c>
      <c r="M51" s="4">
        <v>0.896</v>
      </c>
      <c r="N51" s="4">
        <v>0.0723</v>
      </c>
      <c r="O51" s="4">
        <v>0.118</v>
      </c>
      <c r="P51" s="4">
        <v>83.139</v>
      </c>
      <c r="Q51" s="4">
        <v>4.0</v>
      </c>
    </row>
    <row r="52">
      <c r="A52" s="4" t="s">
        <v>117</v>
      </c>
      <c r="B52" s="4" t="s">
        <v>118</v>
      </c>
      <c r="C52" s="4">
        <v>2016.0</v>
      </c>
      <c r="D52" s="4">
        <v>282173.0</v>
      </c>
      <c r="E52" s="4">
        <v>11.0</v>
      </c>
      <c r="F52" s="4">
        <v>0.413</v>
      </c>
      <c r="G52" s="4">
        <v>0.0319</v>
      </c>
      <c r="H52" s="4">
        <v>9.0</v>
      </c>
      <c r="I52" s="4">
        <v>-29.333</v>
      </c>
      <c r="J52" s="4">
        <v>0.0</v>
      </c>
      <c r="K52" s="4">
        <v>0.0382</v>
      </c>
      <c r="L52" s="4">
        <v>0.995</v>
      </c>
      <c r="M52" s="4">
        <v>0.916</v>
      </c>
      <c r="N52" s="4">
        <v>0.159</v>
      </c>
      <c r="O52" s="4">
        <v>0.0959</v>
      </c>
      <c r="P52" s="4">
        <v>130.983</v>
      </c>
      <c r="Q52" s="4">
        <v>4.0</v>
      </c>
    </row>
    <row r="53">
      <c r="A53" s="4" t="s">
        <v>119</v>
      </c>
      <c r="B53" s="4" t="s">
        <v>120</v>
      </c>
      <c r="C53" s="5">
        <v>41149.0</v>
      </c>
      <c r="D53" s="4">
        <v>124191.0</v>
      </c>
      <c r="E53" s="4">
        <v>9.0</v>
      </c>
      <c r="F53" s="4">
        <v>0.475</v>
      </c>
      <c r="G53" s="4">
        <v>0.0875</v>
      </c>
      <c r="H53" s="4">
        <v>8.0</v>
      </c>
      <c r="I53" s="4">
        <v>-20.91</v>
      </c>
      <c r="J53" s="4">
        <v>1.0</v>
      </c>
      <c r="K53" s="4">
        <v>0.0294</v>
      </c>
      <c r="L53" s="4">
        <v>0.99</v>
      </c>
      <c r="M53" s="4">
        <v>0.941</v>
      </c>
      <c r="N53" s="4">
        <v>0.106</v>
      </c>
      <c r="O53" s="4">
        <v>0.0563</v>
      </c>
      <c r="P53" s="4">
        <v>98.701</v>
      </c>
      <c r="Q53" s="4">
        <v>4.0</v>
      </c>
    </row>
    <row r="54">
      <c r="A54" s="4" t="s">
        <v>121</v>
      </c>
      <c r="B54" s="4" t="s">
        <v>122</v>
      </c>
      <c r="C54" s="5">
        <v>37711.0</v>
      </c>
      <c r="D54" s="4">
        <v>149653.0</v>
      </c>
      <c r="E54" s="4">
        <v>9.0</v>
      </c>
      <c r="F54" s="4">
        <v>0.268</v>
      </c>
      <c r="G54" s="4">
        <v>0.0923</v>
      </c>
      <c r="H54" s="4">
        <v>9.0</v>
      </c>
      <c r="I54" s="4">
        <v>-27.059</v>
      </c>
      <c r="J54" s="4">
        <v>1.0</v>
      </c>
      <c r="K54" s="4">
        <v>0.0379</v>
      </c>
      <c r="L54" s="4">
        <v>0.995</v>
      </c>
      <c r="M54" s="4">
        <v>0.919</v>
      </c>
      <c r="N54" s="4">
        <v>0.115</v>
      </c>
      <c r="O54" s="4">
        <v>0.171</v>
      </c>
      <c r="P54" s="4">
        <v>147.124</v>
      </c>
      <c r="Q54" s="4">
        <v>5.0</v>
      </c>
    </row>
    <row r="55">
      <c r="A55" s="4" t="s">
        <v>123</v>
      </c>
      <c r="B55" s="4" t="s">
        <v>124</v>
      </c>
      <c r="C55" s="4">
        <v>2003.0</v>
      </c>
      <c r="D55" s="4">
        <v>480226.0</v>
      </c>
      <c r="E55" s="4">
        <v>16.0</v>
      </c>
      <c r="F55" s="4">
        <v>0.275</v>
      </c>
      <c r="G55" s="4">
        <v>0.143</v>
      </c>
      <c r="H55" s="4">
        <v>9.0</v>
      </c>
      <c r="I55" s="4">
        <v>-20.978</v>
      </c>
      <c r="J55" s="4">
        <v>1.0</v>
      </c>
      <c r="K55" s="4">
        <v>0.048</v>
      </c>
      <c r="L55" s="4">
        <v>0.991</v>
      </c>
      <c r="M55" s="4">
        <v>0.913</v>
      </c>
      <c r="N55" s="4">
        <v>0.0707</v>
      </c>
      <c r="O55" s="4">
        <v>0.137</v>
      </c>
      <c r="P55" s="4">
        <v>136.152</v>
      </c>
      <c r="Q55" s="4">
        <v>4.0</v>
      </c>
    </row>
    <row r="56">
      <c r="A56" s="4" t="s">
        <v>125</v>
      </c>
      <c r="B56" s="4" t="s">
        <v>126</v>
      </c>
      <c r="C56" s="5">
        <v>43182.0</v>
      </c>
      <c r="D56" s="4">
        <v>380226.0</v>
      </c>
      <c r="E56" s="4">
        <v>20.0</v>
      </c>
      <c r="F56" s="4">
        <v>0.234</v>
      </c>
      <c r="G56" s="4">
        <v>0.044</v>
      </c>
      <c r="H56" s="4">
        <v>9.0</v>
      </c>
      <c r="I56" s="4">
        <v>-25.052</v>
      </c>
      <c r="J56" s="4">
        <v>1.0</v>
      </c>
      <c r="K56" s="4">
        <v>0.0422</v>
      </c>
      <c r="L56" s="4">
        <v>0.986</v>
      </c>
      <c r="M56" s="4">
        <v>0.0891</v>
      </c>
      <c r="N56" s="4">
        <v>0.187</v>
      </c>
      <c r="O56" s="4">
        <v>0.0357</v>
      </c>
      <c r="P56" s="4">
        <v>67.908</v>
      </c>
      <c r="Q56" s="4">
        <v>3.0</v>
      </c>
    </row>
    <row r="57">
      <c r="A57" s="4" t="s">
        <v>127</v>
      </c>
      <c r="B57" s="4" t="s">
        <v>128</v>
      </c>
      <c r="C57" s="5">
        <v>44478.0</v>
      </c>
      <c r="D57" s="4">
        <v>1007000.0</v>
      </c>
      <c r="E57" s="4">
        <v>8.0</v>
      </c>
      <c r="F57" s="4">
        <v>0.158</v>
      </c>
      <c r="G57" s="4">
        <v>0.0455</v>
      </c>
      <c r="H57" s="4">
        <v>9.0</v>
      </c>
      <c r="I57" s="4">
        <v>-25.112</v>
      </c>
      <c r="J57" s="4">
        <v>0.0</v>
      </c>
      <c r="K57" s="4">
        <v>0.0368</v>
      </c>
      <c r="L57" s="4">
        <v>0.989</v>
      </c>
      <c r="M57" s="4">
        <v>0.91</v>
      </c>
      <c r="N57" s="4">
        <v>0.104</v>
      </c>
      <c r="O57" s="4">
        <v>0.0654</v>
      </c>
      <c r="P57" s="4">
        <v>83.105</v>
      </c>
      <c r="Q57" s="4">
        <v>4.0</v>
      </c>
    </row>
    <row r="58">
      <c r="A58" s="4" t="s">
        <v>129</v>
      </c>
      <c r="B58" s="4" t="s">
        <v>130</v>
      </c>
      <c r="C58" s="5">
        <v>44481.0</v>
      </c>
      <c r="D58" s="4">
        <v>392110.0</v>
      </c>
      <c r="E58" s="4">
        <v>8.0</v>
      </c>
      <c r="F58" s="4">
        <v>0.405</v>
      </c>
      <c r="G58" s="4">
        <v>0.216</v>
      </c>
      <c r="H58" s="4">
        <v>7.0</v>
      </c>
      <c r="I58" s="4">
        <v>-19.263</v>
      </c>
      <c r="J58" s="4">
        <v>0.0</v>
      </c>
      <c r="K58" s="4">
        <v>0.0281</v>
      </c>
      <c r="L58" s="4">
        <v>0.962</v>
      </c>
      <c r="M58" s="4">
        <v>0.927</v>
      </c>
      <c r="N58" s="4">
        <v>0.0985</v>
      </c>
      <c r="O58" s="4">
        <v>0.25</v>
      </c>
      <c r="P58" s="4">
        <v>108.55</v>
      </c>
      <c r="Q58" s="4">
        <v>4.0</v>
      </c>
    </row>
    <row r="59">
      <c r="A59" s="4" t="s">
        <v>131</v>
      </c>
      <c r="B59" s="4" t="s">
        <v>132</v>
      </c>
      <c r="C59" s="5">
        <v>42454.0</v>
      </c>
      <c r="D59" s="4">
        <v>240320.0</v>
      </c>
      <c r="E59" s="4">
        <v>9.0</v>
      </c>
      <c r="F59" s="4">
        <v>0.201</v>
      </c>
      <c r="G59" s="4">
        <v>0.0468</v>
      </c>
      <c r="H59" s="4">
        <v>10.0</v>
      </c>
      <c r="I59" s="4">
        <v>-21.913</v>
      </c>
      <c r="J59" s="4">
        <v>0.0</v>
      </c>
      <c r="K59" s="4">
        <v>0.0455</v>
      </c>
      <c r="L59" s="4">
        <v>0.992</v>
      </c>
      <c r="M59" s="4">
        <v>0.874</v>
      </c>
      <c r="N59" s="4">
        <v>0.085</v>
      </c>
      <c r="O59" s="4">
        <v>0.037</v>
      </c>
      <c r="P59" s="4">
        <v>58.853</v>
      </c>
      <c r="Q59" s="4">
        <v>4.0</v>
      </c>
    </row>
    <row r="60">
      <c r="A60" s="4" t="s">
        <v>133</v>
      </c>
      <c r="B60" s="4" t="s">
        <v>134</v>
      </c>
      <c r="C60" s="5">
        <v>38353.0</v>
      </c>
      <c r="D60" s="4">
        <v>1368453.0</v>
      </c>
      <c r="E60" s="4">
        <v>30.0</v>
      </c>
      <c r="F60" s="4">
        <v>0.238</v>
      </c>
      <c r="G60" s="4">
        <v>0.107</v>
      </c>
      <c r="H60" s="4">
        <v>5.0</v>
      </c>
      <c r="I60" s="4">
        <v>-24.352</v>
      </c>
      <c r="J60" s="4">
        <v>1.0</v>
      </c>
      <c r="K60" s="4">
        <v>0.0388</v>
      </c>
      <c r="L60" s="4">
        <v>0.875</v>
      </c>
      <c r="M60" s="4">
        <v>0.604</v>
      </c>
      <c r="N60" s="4">
        <v>0.185</v>
      </c>
      <c r="O60" s="4">
        <v>0.0938</v>
      </c>
      <c r="P60" s="4">
        <v>123.387</v>
      </c>
      <c r="Q60" s="4">
        <v>4.0</v>
      </c>
    </row>
    <row r="61">
      <c r="A61" s="4" t="s">
        <v>135</v>
      </c>
      <c r="B61" s="4" t="s">
        <v>136</v>
      </c>
      <c r="C61" s="5">
        <v>42086.0</v>
      </c>
      <c r="D61" s="4">
        <v>173133.0</v>
      </c>
      <c r="E61" s="4">
        <v>40.0</v>
      </c>
      <c r="F61" s="4">
        <v>0.421</v>
      </c>
      <c r="G61" s="4">
        <v>0.46</v>
      </c>
      <c r="H61" s="4">
        <v>7.0</v>
      </c>
      <c r="I61" s="4">
        <v>-13.568</v>
      </c>
      <c r="J61" s="4">
        <v>1.0</v>
      </c>
      <c r="K61" s="4">
        <v>0.0375</v>
      </c>
      <c r="L61" s="4">
        <v>0.966</v>
      </c>
      <c r="M61" s="4">
        <v>0.894</v>
      </c>
      <c r="N61" s="4">
        <v>0.105</v>
      </c>
      <c r="O61" s="4">
        <v>0.435</v>
      </c>
      <c r="P61" s="4">
        <v>125.925</v>
      </c>
      <c r="Q61" s="4">
        <v>4.0</v>
      </c>
    </row>
    <row r="62">
      <c r="A62" s="4" t="s">
        <v>137</v>
      </c>
      <c r="B62" s="4" t="s">
        <v>138</v>
      </c>
      <c r="C62" s="5">
        <v>44481.0</v>
      </c>
      <c r="D62" s="4">
        <v>521013.0</v>
      </c>
      <c r="E62" s="4">
        <v>7.0</v>
      </c>
      <c r="F62" s="4">
        <v>0.263</v>
      </c>
      <c r="G62" s="4">
        <v>0.077</v>
      </c>
      <c r="H62" s="4">
        <v>8.0</v>
      </c>
      <c r="I62" s="4">
        <v>-23.136</v>
      </c>
      <c r="J62" s="4">
        <v>0.0</v>
      </c>
      <c r="K62" s="4">
        <v>0.0388</v>
      </c>
      <c r="L62" s="4">
        <v>0.989</v>
      </c>
      <c r="M62" s="4">
        <v>0.908</v>
      </c>
      <c r="N62" s="4">
        <v>0.157</v>
      </c>
      <c r="O62" s="4">
        <v>0.0391</v>
      </c>
      <c r="P62" s="4">
        <v>80.49</v>
      </c>
      <c r="Q62" s="4">
        <v>3.0</v>
      </c>
    </row>
    <row r="63">
      <c r="A63" s="4" t="s">
        <v>139</v>
      </c>
      <c r="B63" s="4" t="s">
        <v>140</v>
      </c>
      <c r="C63" s="5">
        <v>42072.0</v>
      </c>
      <c r="D63" s="4">
        <v>594573.0</v>
      </c>
      <c r="E63" s="4">
        <v>10.0</v>
      </c>
      <c r="F63" s="4">
        <v>0.223</v>
      </c>
      <c r="G63" s="4">
        <v>0.109</v>
      </c>
      <c r="H63" s="4">
        <v>7.0</v>
      </c>
      <c r="I63" s="4">
        <v>-19.88</v>
      </c>
      <c r="J63" s="4">
        <v>1.0</v>
      </c>
      <c r="K63" s="4">
        <v>0.0346</v>
      </c>
      <c r="L63" s="4">
        <v>0.932</v>
      </c>
      <c r="M63" s="4">
        <v>0.899</v>
      </c>
      <c r="N63" s="4">
        <v>0.139</v>
      </c>
      <c r="O63" s="4">
        <v>0.0615</v>
      </c>
      <c r="P63" s="4">
        <v>105.731</v>
      </c>
      <c r="Q63" s="4">
        <v>4.0</v>
      </c>
    </row>
    <row r="64">
      <c r="A64" s="4" t="s">
        <v>141</v>
      </c>
      <c r="B64" s="4" t="s">
        <v>142</v>
      </c>
      <c r="C64" s="5">
        <v>44474.0</v>
      </c>
      <c r="D64" s="4">
        <v>147520.0</v>
      </c>
      <c r="E64" s="4">
        <v>8.0</v>
      </c>
      <c r="F64" s="4">
        <v>0.286</v>
      </c>
      <c r="G64" s="4">
        <v>0.0987</v>
      </c>
      <c r="H64" s="4">
        <v>4.0</v>
      </c>
      <c r="I64" s="4">
        <v>-21.853</v>
      </c>
      <c r="J64" s="4">
        <v>0.0</v>
      </c>
      <c r="K64" s="4">
        <v>0.0382</v>
      </c>
      <c r="L64" s="4">
        <v>0.991</v>
      </c>
      <c r="M64" s="4">
        <v>0.902</v>
      </c>
      <c r="N64" s="4">
        <v>0.259</v>
      </c>
      <c r="O64" s="4">
        <v>0.267</v>
      </c>
      <c r="P64" s="4">
        <v>80.134</v>
      </c>
      <c r="Q64" s="4">
        <v>4.0</v>
      </c>
    </row>
    <row r="65">
      <c r="A65" s="4" t="s">
        <v>143</v>
      </c>
      <c r="B65" s="4" t="s">
        <v>144</v>
      </c>
      <c r="C65" s="5">
        <v>44485.0</v>
      </c>
      <c r="D65" s="4">
        <v>291697.0</v>
      </c>
      <c r="E65" s="4">
        <v>8.0</v>
      </c>
      <c r="F65" s="4">
        <v>0.554</v>
      </c>
      <c r="G65" s="4">
        <v>0.0304</v>
      </c>
      <c r="H65" s="4">
        <v>10.0</v>
      </c>
      <c r="I65" s="4">
        <v>-26.478</v>
      </c>
      <c r="J65" s="4">
        <v>1.0</v>
      </c>
      <c r="K65" s="4">
        <v>0.0803</v>
      </c>
      <c r="L65" s="4">
        <v>0.995</v>
      </c>
      <c r="M65" s="4">
        <v>0.909</v>
      </c>
      <c r="N65" s="4">
        <v>0.0768</v>
      </c>
      <c r="O65" s="4">
        <v>0.166</v>
      </c>
      <c r="P65" s="4">
        <v>122.693</v>
      </c>
      <c r="Q65" s="4">
        <v>4.0</v>
      </c>
    </row>
    <row r="66">
      <c r="A66" s="4" t="s">
        <v>145</v>
      </c>
      <c r="B66" s="4" t="s">
        <v>146</v>
      </c>
      <c r="C66" s="5">
        <v>44485.0</v>
      </c>
      <c r="D66" s="4">
        <v>676333.0</v>
      </c>
      <c r="E66" s="4">
        <v>7.0</v>
      </c>
      <c r="F66" s="4">
        <v>0.3</v>
      </c>
      <c r="G66" s="4">
        <v>0.107</v>
      </c>
      <c r="H66" s="4">
        <v>9.0</v>
      </c>
      <c r="I66" s="4">
        <v>-21.013</v>
      </c>
      <c r="J66" s="4">
        <v>1.0</v>
      </c>
      <c r="K66" s="4">
        <v>0.0384</v>
      </c>
      <c r="L66" s="4">
        <v>0.99</v>
      </c>
      <c r="M66" s="4">
        <v>0.883</v>
      </c>
      <c r="N66" s="4">
        <v>0.291</v>
      </c>
      <c r="O66" s="4">
        <v>0.194</v>
      </c>
      <c r="P66" s="4">
        <v>128.605</v>
      </c>
      <c r="Q66" s="4">
        <v>4.0</v>
      </c>
    </row>
    <row r="67">
      <c r="A67" s="4" t="s">
        <v>147</v>
      </c>
      <c r="B67" s="4" t="s">
        <v>148</v>
      </c>
      <c r="C67" s="5">
        <v>41331.0</v>
      </c>
      <c r="D67" s="4">
        <v>193000.0</v>
      </c>
      <c r="E67" s="4">
        <v>8.0</v>
      </c>
      <c r="F67" s="4">
        <v>0.127</v>
      </c>
      <c r="G67" s="4">
        <v>0.205</v>
      </c>
      <c r="H67" s="4">
        <v>4.0</v>
      </c>
      <c r="I67" s="4">
        <v>-17.865</v>
      </c>
      <c r="J67" s="4">
        <v>0.0</v>
      </c>
      <c r="K67" s="4">
        <v>0.0375</v>
      </c>
      <c r="L67" s="4">
        <v>0.85</v>
      </c>
      <c r="M67" s="4">
        <v>0.87</v>
      </c>
      <c r="N67" s="4">
        <v>0.545</v>
      </c>
      <c r="O67" s="4">
        <v>0.0745</v>
      </c>
      <c r="P67" s="4">
        <v>92.271</v>
      </c>
      <c r="Q67" s="4">
        <v>5.0</v>
      </c>
    </row>
    <row r="68">
      <c r="A68" s="4" t="s">
        <v>149</v>
      </c>
      <c r="B68" s="4" t="s">
        <v>150</v>
      </c>
      <c r="C68" s="5">
        <v>39814.0</v>
      </c>
      <c r="D68" s="4">
        <v>679533.0</v>
      </c>
      <c r="E68" s="4">
        <v>8.0</v>
      </c>
      <c r="F68" s="4">
        <v>0.297</v>
      </c>
      <c r="G68" s="4">
        <v>0.172</v>
      </c>
      <c r="H68" s="4">
        <v>4.0</v>
      </c>
      <c r="I68" s="4">
        <v>-17.192</v>
      </c>
      <c r="J68" s="4">
        <v>0.0</v>
      </c>
      <c r="K68" s="4">
        <v>0.0397</v>
      </c>
      <c r="L68" s="4">
        <v>0.951</v>
      </c>
      <c r="M68" s="4">
        <v>0.0364</v>
      </c>
      <c r="N68" s="4">
        <v>0.0904</v>
      </c>
      <c r="O68" s="4">
        <v>0.175</v>
      </c>
      <c r="P68" s="4">
        <v>95.936</v>
      </c>
      <c r="Q68" s="4">
        <v>4.0</v>
      </c>
    </row>
    <row r="69">
      <c r="A69" s="4" t="s">
        <v>151</v>
      </c>
      <c r="B69" s="4" t="s">
        <v>152</v>
      </c>
      <c r="C69" s="5">
        <v>40977.0</v>
      </c>
      <c r="D69" s="4">
        <v>300213.0</v>
      </c>
      <c r="E69" s="4">
        <v>52.0</v>
      </c>
      <c r="F69" s="4">
        <v>0.139</v>
      </c>
      <c r="G69" s="4">
        <v>0.11</v>
      </c>
      <c r="H69" s="4">
        <v>0.0</v>
      </c>
      <c r="I69" s="4">
        <v>-16.155</v>
      </c>
      <c r="J69" s="4">
        <v>0.0</v>
      </c>
      <c r="K69" s="4">
        <v>0.0362</v>
      </c>
      <c r="L69" s="4">
        <v>0.453</v>
      </c>
      <c r="M69" s="4">
        <v>0.902</v>
      </c>
      <c r="N69" s="4">
        <v>0.107</v>
      </c>
      <c r="O69" s="4">
        <v>0.0377</v>
      </c>
      <c r="P69" s="4">
        <v>174.865</v>
      </c>
      <c r="Q69" s="4">
        <v>3.0</v>
      </c>
    </row>
    <row r="70">
      <c r="A70" s="4" t="s">
        <v>153</v>
      </c>
      <c r="B70" s="4" t="s">
        <v>154</v>
      </c>
      <c r="C70" s="5">
        <v>37168.0</v>
      </c>
      <c r="D70" s="4">
        <v>364213.0</v>
      </c>
      <c r="E70" s="4">
        <v>7.0</v>
      </c>
      <c r="F70" s="4">
        <v>0.34</v>
      </c>
      <c r="G70" s="4">
        <v>0.0202</v>
      </c>
      <c r="H70" s="4">
        <v>5.0</v>
      </c>
      <c r="I70" s="4">
        <v>-30.931</v>
      </c>
      <c r="J70" s="4">
        <v>1.0</v>
      </c>
      <c r="K70" s="4">
        <v>0.0517</v>
      </c>
      <c r="L70" s="4">
        <v>0.995</v>
      </c>
      <c r="M70" s="4">
        <v>0.891</v>
      </c>
      <c r="N70" s="4">
        <v>0.0832</v>
      </c>
      <c r="O70" s="4">
        <v>0.26</v>
      </c>
      <c r="P70" s="4">
        <v>71.084</v>
      </c>
      <c r="Q70" s="4">
        <v>3.0</v>
      </c>
    </row>
    <row r="71">
      <c r="A71" s="4" t="s">
        <v>155</v>
      </c>
      <c r="B71" s="4" t="s">
        <v>156</v>
      </c>
      <c r="C71" s="5">
        <v>44485.0</v>
      </c>
      <c r="D71" s="4">
        <v>88493.0</v>
      </c>
      <c r="E71" s="4">
        <v>7.0</v>
      </c>
      <c r="F71" s="4">
        <v>0.357</v>
      </c>
      <c r="G71" s="4">
        <v>0.164</v>
      </c>
      <c r="H71" s="4">
        <v>2.0</v>
      </c>
      <c r="I71" s="4">
        <v>-17.592</v>
      </c>
      <c r="J71" s="4">
        <v>1.0</v>
      </c>
      <c r="K71" s="4">
        <v>0.0334</v>
      </c>
      <c r="L71" s="4">
        <v>0.952</v>
      </c>
      <c r="M71" s="4">
        <v>0.895</v>
      </c>
      <c r="N71" s="4">
        <v>0.311</v>
      </c>
      <c r="O71" s="4">
        <v>0.316</v>
      </c>
      <c r="P71" s="4">
        <v>89.917</v>
      </c>
      <c r="Q71" s="4">
        <v>4.0</v>
      </c>
    </row>
    <row r="72">
      <c r="A72" s="4" t="s">
        <v>157</v>
      </c>
      <c r="B72" s="4" t="s">
        <v>158</v>
      </c>
      <c r="C72" s="5">
        <v>43126.0</v>
      </c>
      <c r="D72" s="4">
        <v>437293.0</v>
      </c>
      <c r="E72" s="4">
        <v>12.0</v>
      </c>
      <c r="F72" s="4">
        <v>0.337</v>
      </c>
      <c r="G72" s="4">
        <v>0.269</v>
      </c>
      <c r="H72" s="4">
        <v>5.0</v>
      </c>
      <c r="I72" s="4">
        <v>-20.455</v>
      </c>
      <c r="J72" s="4">
        <v>1.0</v>
      </c>
      <c r="K72" s="4">
        <v>0.0296</v>
      </c>
      <c r="L72" s="4">
        <v>0.993</v>
      </c>
      <c r="M72" s="4">
        <v>0.916</v>
      </c>
      <c r="N72" s="4">
        <v>0.151</v>
      </c>
      <c r="O72" s="4">
        <v>0.494</v>
      </c>
      <c r="P72" s="4">
        <v>93.177</v>
      </c>
      <c r="Q72" s="4">
        <v>4.0</v>
      </c>
    </row>
    <row r="73">
      <c r="A73" s="4" t="s">
        <v>159</v>
      </c>
      <c r="B73" s="4" t="s">
        <v>160</v>
      </c>
      <c r="C73" s="4">
        <v>2000.0</v>
      </c>
      <c r="D73" s="4">
        <v>417813.0</v>
      </c>
      <c r="E73" s="4">
        <v>17.0</v>
      </c>
      <c r="F73" s="4">
        <v>0.0751</v>
      </c>
      <c r="G73" s="4">
        <v>0.143</v>
      </c>
      <c r="H73" s="4">
        <v>5.0</v>
      </c>
      <c r="I73" s="4">
        <v>-15.918</v>
      </c>
      <c r="J73" s="4">
        <v>1.0</v>
      </c>
      <c r="K73" s="4">
        <v>0.0512</v>
      </c>
      <c r="L73" s="4">
        <v>0.936</v>
      </c>
      <c r="M73" s="4">
        <v>0.857</v>
      </c>
      <c r="N73" s="4">
        <v>0.178</v>
      </c>
      <c r="O73" s="4">
        <v>0.0284</v>
      </c>
      <c r="P73" s="4">
        <v>68.089</v>
      </c>
      <c r="Q73" s="4">
        <v>4.0</v>
      </c>
    </row>
    <row r="74">
      <c r="A74" s="4" t="s">
        <v>161</v>
      </c>
      <c r="B74" s="4" t="s">
        <v>162</v>
      </c>
      <c r="C74" s="5">
        <v>39309.0</v>
      </c>
      <c r="D74" s="4">
        <v>88440.0</v>
      </c>
      <c r="E74" s="4">
        <v>10.0</v>
      </c>
      <c r="F74" s="4">
        <v>0.234</v>
      </c>
      <c r="G74" s="4">
        <v>0.156</v>
      </c>
      <c r="H74" s="4">
        <v>6.0</v>
      </c>
      <c r="I74" s="4">
        <v>-14.814</v>
      </c>
      <c r="J74" s="4">
        <v>1.0</v>
      </c>
      <c r="K74" s="4">
        <v>0.0469</v>
      </c>
      <c r="L74" s="4">
        <v>0.987</v>
      </c>
      <c r="M74" s="4">
        <v>0.211</v>
      </c>
      <c r="N74" s="4">
        <v>0.0867</v>
      </c>
      <c r="O74" s="4">
        <v>0.0575</v>
      </c>
      <c r="P74" s="4">
        <v>177.68</v>
      </c>
      <c r="Q74" s="4">
        <v>3.0</v>
      </c>
    </row>
    <row r="75">
      <c r="A75" s="4" t="s">
        <v>163</v>
      </c>
      <c r="B75" s="4" t="s">
        <v>164</v>
      </c>
      <c r="C75" s="5">
        <v>40909.0</v>
      </c>
      <c r="D75" s="4">
        <v>649200.0</v>
      </c>
      <c r="E75" s="4">
        <v>36.0</v>
      </c>
      <c r="F75" s="4">
        <v>0.109</v>
      </c>
      <c r="G75" s="4">
        <v>0.128</v>
      </c>
      <c r="H75" s="4">
        <v>2.0</v>
      </c>
      <c r="I75" s="4">
        <v>-21.281</v>
      </c>
      <c r="J75" s="4">
        <v>1.0</v>
      </c>
      <c r="K75" s="4">
        <v>0.0459</v>
      </c>
      <c r="L75" s="4">
        <v>0.979</v>
      </c>
      <c r="M75" s="4">
        <v>0.871</v>
      </c>
      <c r="N75" s="4">
        <v>0.368</v>
      </c>
      <c r="O75" s="4">
        <v>0.0398</v>
      </c>
      <c r="P75" s="4">
        <v>80.71</v>
      </c>
      <c r="Q75" s="4">
        <v>3.0</v>
      </c>
    </row>
    <row r="76">
      <c r="A76" s="4" t="s">
        <v>165</v>
      </c>
      <c r="B76" s="4" t="s">
        <v>166</v>
      </c>
      <c r="C76" s="5">
        <v>38718.0</v>
      </c>
      <c r="D76" s="4">
        <v>579613.0</v>
      </c>
      <c r="E76" s="4">
        <v>24.0</v>
      </c>
      <c r="F76" s="4">
        <v>0.27</v>
      </c>
      <c r="G76" s="4">
        <v>0.138</v>
      </c>
      <c r="H76" s="4">
        <v>2.0</v>
      </c>
      <c r="I76" s="4">
        <v>-20.024</v>
      </c>
      <c r="J76" s="4">
        <v>0.0</v>
      </c>
      <c r="K76" s="4">
        <v>0.0375</v>
      </c>
      <c r="L76" s="4">
        <v>0.957</v>
      </c>
      <c r="M76" s="4">
        <v>0.776</v>
      </c>
      <c r="N76" s="4">
        <v>0.0851</v>
      </c>
      <c r="O76" s="4">
        <v>0.119</v>
      </c>
      <c r="P76" s="4">
        <v>104.256</v>
      </c>
      <c r="Q76" s="4">
        <v>3.0</v>
      </c>
    </row>
    <row r="77">
      <c r="A77" s="4" t="s">
        <v>167</v>
      </c>
      <c r="B77" s="4" t="s">
        <v>168</v>
      </c>
      <c r="C77" s="5">
        <v>44485.0</v>
      </c>
      <c r="D77" s="4">
        <v>630693.0</v>
      </c>
      <c r="E77" s="4">
        <v>7.0</v>
      </c>
      <c r="F77" s="4">
        <v>0.293</v>
      </c>
      <c r="G77" s="4">
        <v>0.0222</v>
      </c>
      <c r="H77" s="4">
        <v>4.0</v>
      </c>
      <c r="I77" s="4">
        <v>-28.175</v>
      </c>
      <c r="J77" s="4">
        <v>1.0</v>
      </c>
      <c r="K77" s="4">
        <v>0.0444</v>
      </c>
      <c r="L77" s="4">
        <v>0.981</v>
      </c>
      <c r="M77" s="4">
        <v>0.884</v>
      </c>
      <c r="N77" s="4">
        <v>0.062</v>
      </c>
      <c r="O77" s="4">
        <v>0.0395</v>
      </c>
      <c r="P77" s="4">
        <v>147.149</v>
      </c>
      <c r="Q77" s="4">
        <v>4.0</v>
      </c>
    </row>
    <row r="78">
      <c r="A78" s="4" t="s">
        <v>169</v>
      </c>
      <c r="B78" s="4" t="s">
        <v>170</v>
      </c>
      <c r="C78" s="4">
        <v>1963.0</v>
      </c>
      <c r="D78" s="4">
        <v>157200.0</v>
      </c>
      <c r="E78" s="4">
        <v>28.0</v>
      </c>
      <c r="F78" s="4">
        <v>0.426</v>
      </c>
      <c r="G78" s="4">
        <v>0.22</v>
      </c>
      <c r="H78" s="4">
        <v>7.0</v>
      </c>
      <c r="I78" s="4">
        <v>-13.031</v>
      </c>
      <c r="J78" s="4">
        <v>1.0</v>
      </c>
      <c r="K78" s="4">
        <v>0.0332</v>
      </c>
      <c r="L78" s="4">
        <v>0.964</v>
      </c>
      <c r="M78" s="6">
        <v>3.32E-5</v>
      </c>
      <c r="N78" s="4">
        <v>0.0539</v>
      </c>
      <c r="O78" s="4">
        <v>0.526</v>
      </c>
      <c r="P78" s="4">
        <v>94.73</v>
      </c>
      <c r="Q78" s="4">
        <v>3.0</v>
      </c>
    </row>
    <row r="79">
      <c r="A79" s="4" t="s">
        <v>171</v>
      </c>
      <c r="B79" s="4" t="s">
        <v>172</v>
      </c>
      <c r="C79" s="5">
        <v>44474.0</v>
      </c>
      <c r="D79" s="4">
        <v>71613.0</v>
      </c>
      <c r="E79" s="4">
        <v>8.0</v>
      </c>
      <c r="F79" s="4">
        <v>0.357</v>
      </c>
      <c r="G79" s="4">
        <v>0.145</v>
      </c>
      <c r="H79" s="4">
        <v>2.0</v>
      </c>
      <c r="I79" s="4">
        <v>-18.74</v>
      </c>
      <c r="J79" s="4">
        <v>1.0</v>
      </c>
      <c r="K79" s="4">
        <v>0.0372</v>
      </c>
      <c r="L79" s="4">
        <v>0.921</v>
      </c>
      <c r="M79" s="4">
        <v>0.177</v>
      </c>
      <c r="N79" s="4">
        <v>0.0955</v>
      </c>
      <c r="O79" s="4">
        <v>0.376</v>
      </c>
      <c r="P79" s="4">
        <v>144.722</v>
      </c>
      <c r="Q79" s="4">
        <v>4.0</v>
      </c>
    </row>
    <row r="80">
      <c r="A80" s="4" t="s">
        <v>173</v>
      </c>
      <c r="B80" s="4" t="s">
        <v>174</v>
      </c>
      <c r="C80" s="4">
        <v>1976.0</v>
      </c>
      <c r="D80" s="4">
        <v>166866.0</v>
      </c>
      <c r="E80" s="4">
        <v>65.0</v>
      </c>
      <c r="F80" s="4">
        <v>0.136</v>
      </c>
      <c r="G80" s="4">
        <v>0.164</v>
      </c>
      <c r="H80" s="4">
        <v>4.0</v>
      </c>
      <c r="I80" s="4">
        <v>-18.756</v>
      </c>
      <c r="J80" s="4">
        <v>0.0</v>
      </c>
      <c r="K80" s="4">
        <v>0.0364</v>
      </c>
      <c r="L80" s="4">
        <v>0.911</v>
      </c>
      <c r="M80" s="4">
        <v>0.916</v>
      </c>
      <c r="N80" s="4">
        <v>0.109</v>
      </c>
      <c r="O80" s="4">
        <v>0.071</v>
      </c>
      <c r="P80" s="4">
        <v>58.303</v>
      </c>
      <c r="Q80" s="4">
        <v>4.0</v>
      </c>
    </row>
    <row r="81">
      <c r="A81" s="4" t="s">
        <v>175</v>
      </c>
      <c r="B81" s="4" t="s">
        <v>176</v>
      </c>
      <c r="C81" s="5">
        <v>34604.0</v>
      </c>
      <c r="D81" s="4">
        <v>300226.0</v>
      </c>
      <c r="E81" s="4">
        <v>34.0</v>
      </c>
      <c r="F81" s="4">
        <v>0.713</v>
      </c>
      <c r="G81" s="4">
        <v>0.349</v>
      </c>
      <c r="H81" s="4">
        <v>9.0</v>
      </c>
      <c r="I81" s="4">
        <v>-14.835</v>
      </c>
      <c r="J81" s="4">
        <v>1.0</v>
      </c>
      <c r="K81" s="4">
        <v>0.0329</v>
      </c>
      <c r="L81" s="4">
        <v>0.647</v>
      </c>
      <c r="M81" s="4">
        <v>0.825</v>
      </c>
      <c r="N81" s="4">
        <v>0.114</v>
      </c>
      <c r="O81" s="4">
        <v>0.405</v>
      </c>
      <c r="P81" s="4">
        <v>118.786</v>
      </c>
      <c r="Q81" s="4">
        <v>1.0</v>
      </c>
    </row>
    <row r="82">
      <c r="A82" s="4" t="s">
        <v>177</v>
      </c>
      <c r="B82" s="4" t="s">
        <v>178</v>
      </c>
      <c r="C82" s="5">
        <v>35710.0</v>
      </c>
      <c r="D82" s="4">
        <v>187026.0</v>
      </c>
      <c r="E82" s="4">
        <v>28.0</v>
      </c>
      <c r="F82" s="4">
        <v>0.325</v>
      </c>
      <c r="G82" s="4">
        <v>0.993</v>
      </c>
      <c r="H82" s="4">
        <v>1.0</v>
      </c>
      <c r="I82" s="4">
        <v>-5.78</v>
      </c>
      <c r="J82" s="4">
        <v>1.0</v>
      </c>
      <c r="K82" s="4">
        <v>0.114</v>
      </c>
      <c r="L82" s="6">
        <v>5.04E-5</v>
      </c>
      <c r="M82" s="4">
        <v>0.842</v>
      </c>
      <c r="N82" s="4">
        <v>0.0563</v>
      </c>
      <c r="O82" s="4">
        <v>0.257</v>
      </c>
      <c r="P82" s="4">
        <v>183.685</v>
      </c>
      <c r="Q82" s="4">
        <v>4.0</v>
      </c>
    </row>
    <row r="83">
      <c r="A83" s="4" t="s">
        <v>179</v>
      </c>
      <c r="B83" s="4" t="s">
        <v>180</v>
      </c>
      <c r="C83" s="5">
        <v>38081.0</v>
      </c>
      <c r="D83" s="4">
        <v>232693.0</v>
      </c>
      <c r="E83" s="4">
        <v>18.0</v>
      </c>
      <c r="F83" s="4">
        <v>0.741</v>
      </c>
      <c r="G83" s="4">
        <v>0.831</v>
      </c>
      <c r="H83" s="4">
        <v>7.0</v>
      </c>
      <c r="I83" s="4">
        <v>-5.033</v>
      </c>
      <c r="J83" s="4">
        <v>1.0</v>
      </c>
      <c r="K83" s="4">
        <v>0.0682</v>
      </c>
      <c r="L83" s="4">
        <v>0.0663</v>
      </c>
      <c r="M83" s="4">
        <v>0.554</v>
      </c>
      <c r="N83" s="4">
        <v>0.575</v>
      </c>
      <c r="O83" s="4">
        <v>0.661</v>
      </c>
      <c r="P83" s="4">
        <v>131.993</v>
      </c>
      <c r="Q83" s="4">
        <v>4.0</v>
      </c>
    </row>
    <row r="84">
      <c r="A84" s="4" t="s">
        <v>181</v>
      </c>
      <c r="B84" s="4" t="s">
        <v>182</v>
      </c>
      <c r="C84" s="5">
        <v>44141.0</v>
      </c>
      <c r="D84" s="4">
        <v>257760.0</v>
      </c>
      <c r="E84" s="4">
        <v>52.0</v>
      </c>
      <c r="F84" s="4">
        <v>0.421</v>
      </c>
      <c r="G84" s="4">
        <v>0.0132</v>
      </c>
      <c r="H84" s="4">
        <v>5.0</v>
      </c>
      <c r="I84" s="4">
        <v>-34.141</v>
      </c>
      <c r="J84" s="4">
        <v>1.0</v>
      </c>
      <c r="K84" s="4">
        <v>0.0515</v>
      </c>
      <c r="L84" s="4">
        <v>0.994</v>
      </c>
      <c r="M84" s="4">
        <v>0.921</v>
      </c>
      <c r="N84" s="4">
        <v>0.0937</v>
      </c>
      <c r="O84" s="4">
        <v>0.359</v>
      </c>
      <c r="P84" s="4">
        <v>132.129</v>
      </c>
      <c r="Q84" s="4">
        <v>4.0</v>
      </c>
    </row>
    <row r="85">
      <c r="A85" s="4" t="s">
        <v>183</v>
      </c>
      <c r="B85" s="4" t="s">
        <v>184</v>
      </c>
      <c r="C85" s="5">
        <v>44474.0</v>
      </c>
      <c r="D85" s="4">
        <v>360013.0</v>
      </c>
      <c r="E85" s="4">
        <v>9.0</v>
      </c>
      <c r="F85" s="4">
        <v>0.276</v>
      </c>
      <c r="G85" s="4">
        <v>0.0788</v>
      </c>
      <c r="H85" s="4">
        <v>11.0</v>
      </c>
      <c r="I85" s="4">
        <v>-25.753</v>
      </c>
      <c r="J85" s="4">
        <v>0.0</v>
      </c>
      <c r="K85" s="4">
        <v>0.0412</v>
      </c>
      <c r="L85" s="4">
        <v>0.948</v>
      </c>
      <c r="M85" s="4">
        <v>0.385</v>
      </c>
      <c r="N85" s="4">
        <v>0.0951</v>
      </c>
      <c r="O85" s="4">
        <v>0.111</v>
      </c>
      <c r="P85" s="4">
        <v>132.338</v>
      </c>
      <c r="Q85" s="4">
        <v>4.0</v>
      </c>
    </row>
    <row r="86">
      <c r="A86" s="4" t="s">
        <v>185</v>
      </c>
      <c r="B86" s="4" t="s">
        <v>186</v>
      </c>
      <c r="C86" s="5">
        <v>40637.0</v>
      </c>
      <c r="D86" s="4">
        <v>1177226.0</v>
      </c>
      <c r="E86" s="4">
        <v>8.0</v>
      </c>
      <c r="F86" s="4">
        <v>0.338</v>
      </c>
      <c r="G86" s="4">
        <v>0.149</v>
      </c>
      <c r="H86" s="4">
        <v>3.0</v>
      </c>
      <c r="I86" s="4">
        <v>-17.719</v>
      </c>
      <c r="J86" s="4">
        <v>1.0</v>
      </c>
      <c r="K86" s="4">
        <v>0.0372</v>
      </c>
      <c r="L86" s="4">
        <v>0.976</v>
      </c>
      <c r="M86" s="4">
        <v>0.914</v>
      </c>
      <c r="N86" s="4">
        <v>0.0823</v>
      </c>
      <c r="O86" s="4">
        <v>0.0772</v>
      </c>
      <c r="P86" s="4">
        <v>131.842</v>
      </c>
      <c r="Q86" s="4">
        <v>4.0</v>
      </c>
    </row>
    <row r="87">
      <c r="A87" s="4" t="s">
        <v>187</v>
      </c>
      <c r="B87" s="4" t="s">
        <v>188</v>
      </c>
      <c r="C87" s="5">
        <v>44485.0</v>
      </c>
      <c r="D87" s="4">
        <v>504973.0</v>
      </c>
      <c r="E87" s="4">
        <v>6.0</v>
      </c>
      <c r="F87" s="4">
        <v>0.373</v>
      </c>
      <c r="G87" s="4">
        <v>0.00286</v>
      </c>
      <c r="H87" s="4">
        <v>10.0</v>
      </c>
      <c r="I87" s="4">
        <v>-32.73</v>
      </c>
      <c r="J87" s="4">
        <v>1.0</v>
      </c>
      <c r="K87" s="4">
        <v>0.0546</v>
      </c>
      <c r="L87" s="4">
        <v>0.993</v>
      </c>
      <c r="M87" s="4">
        <v>0.928</v>
      </c>
      <c r="N87" s="4">
        <v>0.119</v>
      </c>
      <c r="O87" s="4">
        <v>0.0583</v>
      </c>
      <c r="P87" s="4">
        <v>77.876</v>
      </c>
      <c r="Q87" s="4">
        <v>4.0</v>
      </c>
    </row>
    <row r="88">
      <c r="A88" s="4" t="s">
        <v>189</v>
      </c>
      <c r="B88" s="4" t="s">
        <v>190</v>
      </c>
      <c r="C88" s="5">
        <v>44485.0</v>
      </c>
      <c r="D88" s="4">
        <v>297372.0</v>
      </c>
      <c r="E88" s="4">
        <v>7.0</v>
      </c>
      <c r="F88" s="4">
        <v>0.382</v>
      </c>
      <c r="G88" s="4">
        <v>0.0414</v>
      </c>
      <c r="H88" s="4">
        <v>8.0</v>
      </c>
      <c r="I88" s="4">
        <v>-22.443</v>
      </c>
      <c r="J88" s="4">
        <v>1.0</v>
      </c>
      <c r="K88" s="4">
        <v>0.0479</v>
      </c>
      <c r="L88" s="4">
        <v>0.993</v>
      </c>
      <c r="M88" s="4">
        <v>0.923</v>
      </c>
      <c r="N88" s="4">
        <v>0.113</v>
      </c>
      <c r="O88" s="4">
        <v>0.152</v>
      </c>
      <c r="P88" s="4">
        <v>104.905</v>
      </c>
      <c r="Q88" s="4">
        <v>1.0</v>
      </c>
    </row>
    <row r="89">
      <c r="A89" s="4" t="s">
        <v>191</v>
      </c>
      <c r="B89" s="4" t="s">
        <v>192</v>
      </c>
      <c r="C89" s="5">
        <v>44478.0</v>
      </c>
      <c r="D89" s="4">
        <v>89320.0</v>
      </c>
      <c r="E89" s="4">
        <v>8.0</v>
      </c>
      <c r="F89" s="4">
        <v>0.243</v>
      </c>
      <c r="G89" s="4">
        <v>0.135</v>
      </c>
      <c r="H89" s="4">
        <v>7.0</v>
      </c>
      <c r="I89" s="4">
        <v>-17.87</v>
      </c>
      <c r="J89" s="4">
        <v>1.0</v>
      </c>
      <c r="K89" s="4">
        <v>0.0367</v>
      </c>
      <c r="L89" s="4">
        <v>0.879</v>
      </c>
      <c r="M89" s="4">
        <v>0.611</v>
      </c>
      <c r="N89" s="4">
        <v>0.244</v>
      </c>
      <c r="O89" s="4">
        <v>0.0396</v>
      </c>
      <c r="P89" s="4">
        <v>73.967</v>
      </c>
      <c r="Q89" s="4">
        <v>5.0</v>
      </c>
    </row>
    <row r="90">
      <c r="A90" s="4" t="s">
        <v>193</v>
      </c>
      <c r="B90" s="4" t="s">
        <v>194</v>
      </c>
      <c r="C90" s="5">
        <v>44480.0</v>
      </c>
      <c r="D90" s="4">
        <v>387000.0</v>
      </c>
      <c r="E90" s="4">
        <v>8.0</v>
      </c>
      <c r="F90" s="4">
        <v>0.187</v>
      </c>
      <c r="G90" s="4">
        <v>0.0393</v>
      </c>
      <c r="H90" s="4">
        <v>10.0</v>
      </c>
      <c r="I90" s="4">
        <v>-26.074</v>
      </c>
      <c r="J90" s="4">
        <v>1.0</v>
      </c>
      <c r="K90" s="4">
        <v>0.0437</v>
      </c>
      <c r="L90" s="4">
        <v>0.966</v>
      </c>
      <c r="M90" s="4">
        <v>0.838</v>
      </c>
      <c r="N90" s="4">
        <v>0.0791</v>
      </c>
      <c r="O90" s="4">
        <v>0.0454</v>
      </c>
      <c r="P90" s="4">
        <v>139.733</v>
      </c>
      <c r="Q90" s="4">
        <v>4.0</v>
      </c>
    </row>
    <row r="91">
      <c r="A91" s="4" t="s">
        <v>195</v>
      </c>
      <c r="B91" s="4" t="s">
        <v>196</v>
      </c>
      <c r="C91" s="4">
        <v>1973.0</v>
      </c>
      <c r="D91" s="4">
        <v>407213.0</v>
      </c>
      <c r="E91" s="4">
        <v>18.0</v>
      </c>
      <c r="F91" s="4">
        <v>0.138</v>
      </c>
      <c r="G91" s="4">
        <v>0.0595</v>
      </c>
      <c r="H91" s="4">
        <v>9.0</v>
      </c>
      <c r="I91" s="4">
        <v>-29.556</v>
      </c>
      <c r="J91" s="4">
        <v>1.0</v>
      </c>
      <c r="K91" s="4">
        <v>0.0483</v>
      </c>
      <c r="L91" s="4">
        <v>0.801</v>
      </c>
      <c r="M91" s="4">
        <v>0.493</v>
      </c>
      <c r="N91" s="4">
        <v>0.273</v>
      </c>
      <c r="O91" s="4">
        <v>0.0851</v>
      </c>
      <c r="P91" s="4">
        <v>167.229</v>
      </c>
      <c r="Q91" s="4">
        <v>3.0</v>
      </c>
    </row>
    <row r="92">
      <c r="A92" s="4" t="s">
        <v>197</v>
      </c>
      <c r="B92" s="4" t="s">
        <v>198</v>
      </c>
      <c r="C92" s="5">
        <v>44478.0</v>
      </c>
      <c r="D92" s="4">
        <v>265160.0</v>
      </c>
      <c r="E92" s="4">
        <v>8.0</v>
      </c>
      <c r="F92" s="4">
        <v>0.359</v>
      </c>
      <c r="G92" s="4">
        <v>0.211</v>
      </c>
      <c r="H92" s="4">
        <v>7.0</v>
      </c>
      <c r="I92" s="4">
        <v>-16.41</v>
      </c>
      <c r="J92" s="4">
        <v>0.0</v>
      </c>
      <c r="K92" s="4">
        <v>0.0471</v>
      </c>
      <c r="L92" s="4">
        <v>0.951</v>
      </c>
      <c r="M92" s="4">
        <v>0.862</v>
      </c>
      <c r="N92" s="4">
        <v>0.0854</v>
      </c>
      <c r="O92" s="4">
        <v>0.337</v>
      </c>
      <c r="P92" s="4">
        <v>171.01</v>
      </c>
      <c r="Q92" s="4">
        <v>4.0</v>
      </c>
    </row>
    <row r="93">
      <c r="A93" s="4" t="s">
        <v>199</v>
      </c>
      <c r="B93" s="4" t="s">
        <v>200</v>
      </c>
      <c r="C93" s="5">
        <v>44485.0</v>
      </c>
      <c r="D93" s="4">
        <v>369000.0</v>
      </c>
      <c r="E93" s="4">
        <v>6.0</v>
      </c>
      <c r="F93" s="4">
        <v>0.149</v>
      </c>
      <c r="G93" s="4">
        <v>0.0396</v>
      </c>
      <c r="H93" s="4">
        <v>8.0</v>
      </c>
      <c r="I93" s="4">
        <v>-23.736</v>
      </c>
      <c r="J93" s="4">
        <v>1.0</v>
      </c>
      <c r="K93" s="4">
        <v>0.0452</v>
      </c>
      <c r="L93" s="4">
        <v>0.983</v>
      </c>
      <c r="M93" s="4">
        <v>0.389</v>
      </c>
      <c r="N93" s="4">
        <v>0.122</v>
      </c>
      <c r="O93" s="4">
        <v>0.0475</v>
      </c>
      <c r="P93" s="4">
        <v>85.72</v>
      </c>
      <c r="Q93" s="4">
        <v>4.0</v>
      </c>
    </row>
    <row r="94">
      <c r="A94" s="4" t="s">
        <v>201</v>
      </c>
      <c r="B94" s="4" t="s">
        <v>202</v>
      </c>
      <c r="C94" s="5">
        <v>44477.0</v>
      </c>
      <c r="D94" s="4">
        <v>708155.0</v>
      </c>
      <c r="E94" s="4">
        <v>6.0</v>
      </c>
      <c r="F94" s="4">
        <v>0.11</v>
      </c>
      <c r="G94" s="4">
        <v>0.099</v>
      </c>
      <c r="H94" s="4">
        <v>4.0</v>
      </c>
      <c r="I94" s="4">
        <v>-16.205</v>
      </c>
      <c r="J94" s="4">
        <v>1.0</v>
      </c>
      <c r="K94" s="4">
        <v>0.0413</v>
      </c>
      <c r="L94" s="4">
        <v>0.958</v>
      </c>
      <c r="M94" s="4">
        <v>0.844</v>
      </c>
      <c r="N94" s="4">
        <v>0.0789</v>
      </c>
      <c r="O94" s="4">
        <v>0.0389</v>
      </c>
      <c r="P94" s="4">
        <v>59.441</v>
      </c>
      <c r="Q94" s="4">
        <v>3.0</v>
      </c>
    </row>
    <row r="95">
      <c r="A95" s="4" t="s">
        <v>203</v>
      </c>
      <c r="B95" s="4" t="s">
        <v>204</v>
      </c>
      <c r="C95" s="5">
        <v>44488.0</v>
      </c>
      <c r="D95" s="4">
        <v>575440.0</v>
      </c>
      <c r="E95" s="4">
        <v>9.0</v>
      </c>
      <c r="F95" s="4">
        <v>0.318</v>
      </c>
      <c r="G95" s="4">
        <v>0.123</v>
      </c>
      <c r="H95" s="4">
        <v>7.0</v>
      </c>
      <c r="I95" s="4">
        <v>-20.378</v>
      </c>
      <c r="J95" s="4">
        <v>0.0</v>
      </c>
      <c r="K95" s="4">
        <v>0.0415</v>
      </c>
      <c r="L95" s="4">
        <v>0.989</v>
      </c>
      <c r="M95" s="4">
        <v>0.916</v>
      </c>
      <c r="N95" s="4">
        <v>0.102</v>
      </c>
      <c r="O95" s="4">
        <v>0.0514</v>
      </c>
      <c r="P95" s="4">
        <v>132.691</v>
      </c>
      <c r="Q95" s="4">
        <v>4.0</v>
      </c>
    </row>
    <row r="96">
      <c r="A96" s="4" t="s">
        <v>205</v>
      </c>
      <c r="B96" s="4" t="s">
        <v>206</v>
      </c>
      <c r="C96" s="5">
        <v>44486.0</v>
      </c>
      <c r="D96" s="4">
        <v>371600.0</v>
      </c>
      <c r="E96" s="4">
        <v>12.0</v>
      </c>
      <c r="F96" s="4">
        <v>0.325</v>
      </c>
      <c r="G96" s="4">
        <v>0.0323</v>
      </c>
      <c r="H96" s="4">
        <v>7.0</v>
      </c>
      <c r="I96" s="4">
        <v>-26.117</v>
      </c>
      <c r="J96" s="4">
        <v>0.0</v>
      </c>
      <c r="K96" s="4">
        <v>0.0524</v>
      </c>
      <c r="L96" s="4">
        <v>0.995</v>
      </c>
      <c r="M96" s="4">
        <v>0.893</v>
      </c>
      <c r="N96" s="4">
        <v>0.0428</v>
      </c>
      <c r="O96" s="4">
        <v>0.111</v>
      </c>
      <c r="P96" s="4">
        <v>75.416</v>
      </c>
      <c r="Q96" s="4">
        <v>5.0</v>
      </c>
    </row>
    <row r="97">
      <c r="A97" s="4" t="s">
        <v>207</v>
      </c>
      <c r="B97" s="4" t="s">
        <v>208</v>
      </c>
      <c r="C97" s="5">
        <v>44484.0</v>
      </c>
      <c r="D97" s="4">
        <v>136586.0</v>
      </c>
      <c r="E97" s="4">
        <v>10.0</v>
      </c>
      <c r="F97" s="4">
        <v>0.417</v>
      </c>
      <c r="G97" s="4">
        <v>0.00401</v>
      </c>
      <c r="H97" s="4">
        <v>9.0</v>
      </c>
      <c r="I97" s="4">
        <v>-33.715</v>
      </c>
      <c r="J97" s="4">
        <v>0.0</v>
      </c>
      <c r="K97" s="4">
        <v>0.0695</v>
      </c>
      <c r="L97" s="4">
        <v>0.995</v>
      </c>
      <c r="M97" s="4">
        <v>0.818</v>
      </c>
      <c r="N97" s="4">
        <v>0.0688</v>
      </c>
      <c r="O97" s="4">
        <v>0.0353</v>
      </c>
      <c r="P97" s="4">
        <v>73.162</v>
      </c>
      <c r="Q97" s="4">
        <v>4.0</v>
      </c>
    </row>
    <row r="98">
      <c r="A98" s="4" t="s">
        <v>209</v>
      </c>
      <c r="B98" s="4" t="s">
        <v>210</v>
      </c>
      <c r="C98" s="4">
        <v>1960.0</v>
      </c>
      <c r="D98" s="4">
        <v>183266.0</v>
      </c>
      <c r="E98" s="4">
        <v>46.0</v>
      </c>
      <c r="F98" s="4">
        <v>0.186</v>
      </c>
      <c r="G98" s="4">
        <v>0.124</v>
      </c>
      <c r="H98" s="4">
        <v>1.0</v>
      </c>
      <c r="I98" s="4">
        <v>-15.271</v>
      </c>
      <c r="J98" s="4">
        <v>1.0</v>
      </c>
      <c r="K98" s="4">
        <v>0.0434</v>
      </c>
      <c r="L98" s="4">
        <v>0.978</v>
      </c>
      <c r="M98" s="4">
        <v>0.865</v>
      </c>
      <c r="N98" s="4">
        <v>0.111</v>
      </c>
      <c r="O98" s="4">
        <v>0.248</v>
      </c>
      <c r="P98" s="4">
        <v>77.903</v>
      </c>
      <c r="Q98" s="4">
        <v>4.0</v>
      </c>
    </row>
    <row r="99">
      <c r="A99" s="4" t="s">
        <v>211</v>
      </c>
      <c r="B99" s="4" t="s">
        <v>212</v>
      </c>
      <c r="C99" s="5">
        <v>43308.0</v>
      </c>
      <c r="D99" s="4">
        <v>294960.0</v>
      </c>
      <c r="E99" s="4">
        <v>65.0</v>
      </c>
      <c r="F99" s="4">
        <v>0.335</v>
      </c>
      <c r="G99" s="4">
        <v>0.00501</v>
      </c>
      <c r="H99" s="4">
        <v>1.0</v>
      </c>
      <c r="I99" s="4">
        <v>-33.366</v>
      </c>
      <c r="J99" s="4">
        <v>1.0</v>
      </c>
      <c r="K99" s="4">
        <v>0.0451</v>
      </c>
      <c r="L99" s="4">
        <v>0.993</v>
      </c>
      <c r="M99" s="4">
        <v>0.919</v>
      </c>
      <c r="N99" s="4">
        <v>0.0618</v>
      </c>
      <c r="O99" s="4">
        <v>0.0383</v>
      </c>
      <c r="P99" s="4">
        <v>132.085</v>
      </c>
      <c r="Q99" s="4">
        <v>3.0</v>
      </c>
    </row>
    <row r="100">
      <c r="A100" s="4" t="s">
        <v>213</v>
      </c>
      <c r="B100" s="4" t="s">
        <v>214</v>
      </c>
      <c r="C100" s="5">
        <v>35431.0</v>
      </c>
      <c r="D100" s="4">
        <v>291493.0</v>
      </c>
      <c r="E100" s="4">
        <v>12.0</v>
      </c>
      <c r="F100" s="4">
        <v>0.526</v>
      </c>
      <c r="G100" s="4">
        <v>0.00662</v>
      </c>
      <c r="H100" s="4">
        <v>4.0</v>
      </c>
      <c r="I100" s="4">
        <v>-26.805</v>
      </c>
      <c r="J100" s="4">
        <v>1.0</v>
      </c>
      <c r="K100" s="4">
        <v>0.101</v>
      </c>
      <c r="L100" s="4">
        <v>0.996</v>
      </c>
      <c r="M100" s="4">
        <v>0.917</v>
      </c>
      <c r="N100" s="4">
        <v>0.0833</v>
      </c>
      <c r="O100" s="4">
        <v>0.0397</v>
      </c>
      <c r="P100" s="4">
        <v>127.576</v>
      </c>
      <c r="Q100" s="4">
        <v>3.0</v>
      </c>
    </row>
    <row r="101">
      <c r="A101" s="4" t="s">
        <v>215</v>
      </c>
      <c r="B101" s="4" t="s">
        <v>216</v>
      </c>
      <c r="C101" s="4">
        <v>1977.0</v>
      </c>
      <c r="D101" s="4">
        <v>604840.0</v>
      </c>
      <c r="E101" s="4">
        <v>15.0</v>
      </c>
      <c r="F101" s="4">
        <v>0.0713</v>
      </c>
      <c r="G101" s="4">
        <v>0.0721</v>
      </c>
      <c r="H101" s="4">
        <v>4.0</v>
      </c>
      <c r="I101" s="4">
        <v>-23.989</v>
      </c>
      <c r="J101" s="4">
        <v>1.0</v>
      </c>
      <c r="K101" s="4">
        <v>0.0469</v>
      </c>
      <c r="L101" s="4">
        <v>0.986</v>
      </c>
      <c r="M101" s="4">
        <v>0.879</v>
      </c>
      <c r="N101" s="4">
        <v>0.0921</v>
      </c>
      <c r="O101" s="4">
        <v>0.0315</v>
      </c>
      <c r="P101" s="4">
        <v>71.808</v>
      </c>
      <c r="Q101" s="4">
        <v>3.0</v>
      </c>
    </row>
    <row r="102">
      <c r="A102" s="4" t="s">
        <v>217</v>
      </c>
      <c r="B102" s="4" t="s">
        <v>218</v>
      </c>
      <c r="C102" s="5">
        <v>44481.0</v>
      </c>
      <c r="D102" s="4">
        <v>349800.0</v>
      </c>
      <c r="E102" s="4">
        <v>7.0</v>
      </c>
      <c r="F102" s="4">
        <v>0.231</v>
      </c>
      <c r="G102" s="4">
        <v>0.112</v>
      </c>
      <c r="H102" s="4">
        <v>7.0</v>
      </c>
      <c r="I102" s="4">
        <v>-22.407</v>
      </c>
      <c r="J102" s="4">
        <v>1.0</v>
      </c>
      <c r="K102" s="4">
        <v>0.0425</v>
      </c>
      <c r="L102" s="4">
        <v>0.853</v>
      </c>
      <c r="M102" s="4">
        <v>0.892</v>
      </c>
      <c r="N102" s="4">
        <v>0.369</v>
      </c>
      <c r="O102" s="4">
        <v>0.239</v>
      </c>
      <c r="P102" s="4">
        <v>82.008</v>
      </c>
      <c r="Q102" s="4">
        <v>3.0</v>
      </c>
    </row>
    <row r="103">
      <c r="A103" s="4" t="s">
        <v>219</v>
      </c>
      <c r="B103" s="4" t="s">
        <v>220</v>
      </c>
      <c r="C103" s="5">
        <v>32363.0</v>
      </c>
      <c r="D103" s="4">
        <v>478573.0</v>
      </c>
      <c r="E103" s="4">
        <v>53.0</v>
      </c>
      <c r="F103" s="4">
        <v>0.148</v>
      </c>
      <c r="G103" s="4">
        <v>0.0722</v>
      </c>
      <c r="H103" s="4">
        <v>4.0</v>
      </c>
      <c r="I103" s="4">
        <v>-25.217</v>
      </c>
      <c r="J103" s="4">
        <v>0.0</v>
      </c>
      <c r="K103" s="4">
        <v>0.0427</v>
      </c>
      <c r="L103" s="4">
        <v>0.944</v>
      </c>
      <c r="M103" s="4">
        <v>0.148</v>
      </c>
      <c r="N103" s="4">
        <v>0.115</v>
      </c>
      <c r="O103" s="4">
        <v>0.0467</v>
      </c>
      <c r="P103" s="4">
        <v>87.882</v>
      </c>
      <c r="Q103" s="4">
        <v>4.0</v>
      </c>
    </row>
    <row r="104">
      <c r="A104" s="4" t="s">
        <v>221</v>
      </c>
      <c r="B104" s="4" t="s">
        <v>222</v>
      </c>
      <c r="C104" s="5">
        <v>35431.0</v>
      </c>
      <c r="D104" s="4">
        <v>264000.0</v>
      </c>
      <c r="E104" s="4">
        <v>31.0</v>
      </c>
      <c r="F104" s="4">
        <v>0.0607</v>
      </c>
      <c r="G104" s="4">
        <v>0.019</v>
      </c>
      <c r="H104" s="4">
        <v>5.0</v>
      </c>
      <c r="I104" s="4">
        <v>-28.66</v>
      </c>
      <c r="J104" s="4">
        <v>0.0</v>
      </c>
      <c r="K104" s="4">
        <v>0.0516</v>
      </c>
      <c r="L104" s="4">
        <v>0.965</v>
      </c>
      <c r="M104" s="4">
        <v>0.964</v>
      </c>
      <c r="N104" s="4">
        <v>0.0782</v>
      </c>
      <c r="O104" s="4">
        <v>0.0352</v>
      </c>
      <c r="P104" s="4">
        <v>55.154</v>
      </c>
      <c r="Q104" s="4">
        <v>4.0</v>
      </c>
    </row>
    <row r="105">
      <c r="A105" s="4" t="s">
        <v>223</v>
      </c>
      <c r="B105" s="4" t="s">
        <v>224</v>
      </c>
      <c r="C105" s="4">
        <v>1981.0</v>
      </c>
      <c r="D105" s="4">
        <v>493800.0</v>
      </c>
      <c r="E105" s="4">
        <v>50.0</v>
      </c>
      <c r="F105" s="4">
        <v>0.0859</v>
      </c>
      <c r="G105" s="4">
        <v>0.0653</v>
      </c>
      <c r="H105" s="4">
        <v>5.0</v>
      </c>
      <c r="I105" s="4">
        <v>-24.541</v>
      </c>
      <c r="J105" s="4">
        <v>1.0</v>
      </c>
      <c r="K105" s="4">
        <v>0.0572</v>
      </c>
      <c r="L105" s="4">
        <v>0.972</v>
      </c>
      <c r="M105" s="4">
        <v>0.889</v>
      </c>
      <c r="N105" s="4">
        <v>0.0876</v>
      </c>
      <c r="O105" s="4">
        <v>0.068</v>
      </c>
      <c r="P105" s="4">
        <v>61.538</v>
      </c>
      <c r="Q105" s="4">
        <v>4.0</v>
      </c>
    </row>
    <row r="106">
      <c r="A106" s="4" t="s">
        <v>225</v>
      </c>
      <c r="B106" s="4" t="s">
        <v>226</v>
      </c>
      <c r="C106" s="5">
        <v>43287.0</v>
      </c>
      <c r="D106" s="4">
        <v>244561.0</v>
      </c>
      <c r="E106" s="4">
        <v>3.0</v>
      </c>
      <c r="F106" s="4">
        <v>0.461</v>
      </c>
      <c r="G106" s="4">
        <v>0.262</v>
      </c>
      <c r="H106" s="4">
        <v>0.0</v>
      </c>
      <c r="I106" s="4">
        <v>-20.5</v>
      </c>
      <c r="J106" s="4">
        <v>1.0</v>
      </c>
      <c r="K106" s="4">
        <v>0.0468</v>
      </c>
      <c r="L106" s="4">
        <v>0.987</v>
      </c>
      <c r="M106" s="4">
        <v>0.855</v>
      </c>
      <c r="N106" s="4">
        <v>0.0936</v>
      </c>
      <c r="O106" s="4">
        <v>0.892</v>
      </c>
      <c r="P106" s="4">
        <v>152.839</v>
      </c>
      <c r="Q106" s="4">
        <v>4.0</v>
      </c>
    </row>
    <row r="107">
      <c r="A107" s="4" t="s">
        <v>227</v>
      </c>
      <c r="B107" s="4" t="s">
        <v>228</v>
      </c>
      <c r="C107" s="5">
        <v>36161.0</v>
      </c>
      <c r="D107" s="4">
        <v>373093.0</v>
      </c>
      <c r="E107" s="4">
        <v>16.0</v>
      </c>
      <c r="F107" s="4">
        <v>0.42</v>
      </c>
      <c r="G107" s="4">
        <v>0.219</v>
      </c>
      <c r="H107" s="4">
        <v>4.0</v>
      </c>
      <c r="I107" s="4">
        <v>-18.677</v>
      </c>
      <c r="J107" s="4">
        <v>0.0</v>
      </c>
      <c r="K107" s="4">
        <v>0.0506</v>
      </c>
      <c r="L107" s="4">
        <v>0.962</v>
      </c>
      <c r="M107" s="4">
        <v>0.021</v>
      </c>
      <c r="N107" s="4">
        <v>0.281</v>
      </c>
      <c r="O107" s="4">
        <v>0.316</v>
      </c>
      <c r="P107" s="4">
        <v>118.305</v>
      </c>
      <c r="Q107" s="4">
        <v>3.0</v>
      </c>
    </row>
    <row r="108">
      <c r="A108" s="4" t="s">
        <v>229</v>
      </c>
      <c r="B108" s="4" t="s">
        <v>230</v>
      </c>
      <c r="C108" s="5">
        <v>44485.0</v>
      </c>
      <c r="D108" s="4">
        <v>570094.0</v>
      </c>
      <c r="E108" s="4">
        <v>7.0</v>
      </c>
      <c r="F108" s="4">
        <v>0.373</v>
      </c>
      <c r="G108" s="4">
        <v>0.251</v>
      </c>
      <c r="H108" s="4">
        <v>3.0</v>
      </c>
      <c r="I108" s="4">
        <v>-22.071</v>
      </c>
      <c r="J108" s="4">
        <v>1.0</v>
      </c>
      <c r="K108" s="4">
        <v>0.0407</v>
      </c>
      <c r="L108" s="4">
        <v>0.981</v>
      </c>
      <c r="M108" s="4">
        <v>0.87</v>
      </c>
      <c r="N108" s="4">
        <v>0.167</v>
      </c>
      <c r="O108" s="4">
        <v>0.0524</v>
      </c>
      <c r="P108" s="4">
        <v>107.36</v>
      </c>
      <c r="Q108" s="4">
        <v>4.0</v>
      </c>
    </row>
    <row r="109">
      <c r="A109" s="4" t="s">
        <v>231</v>
      </c>
      <c r="B109" s="4" t="s">
        <v>232</v>
      </c>
      <c r="C109" s="5">
        <v>33239.0</v>
      </c>
      <c r="D109" s="4">
        <v>973000.0</v>
      </c>
      <c r="E109" s="4">
        <v>33.0</v>
      </c>
      <c r="F109" s="4">
        <v>0.0827</v>
      </c>
      <c r="G109" s="4">
        <v>0.0234</v>
      </c>
      <c r="H109" s="4">
        <v>9.0</v>
      </c>
      <c r="I109" s="4">
        <v>-26.45</v>
      </c>
      <c r="J109" s="4">
        <v>1.0</v>
      </c>
      <c r="K109" s="4">
        <v>0.0443</v>
      </c>
      <c r="L109" s="4">
        <v>0.815</v>
      </c>
      <c r="M109" s="4">
        <v>0.0158</v>
      </c>
      <c r="N109" s="4">
        <v>0.0338</v>
      </c>
      <c r="O109" s="4">
        <v>0.0693</v>
      </c>
      <c r="P109" s="4">
        <v>175.846</v>
      </c>
      <c r="Q109" s="4">
        <v>4.0</v>
      </c>
    </row>
    <row r="110">
      <c r="A110" s="4" t="s">
        <v>233</v>
      </c>
      <c r="B110" s="4" t="s">
        <v>234</v>
      </c>
      <c r="C110" s="5">
        <v>37622.0</v>
      </c>
      <c r="D110" s="4">
        <v>150800.0</v>
      </c>
      <c r="E110" s="4">
        <v>36.0</v>
      </c>
      <c r="F110" s="4">
        <v>0.28</v>
      </c>
      <c r="G110" s="4">
        <v>0.0801</v>
      </c>
      <c r="H110" s="4">
        <v>0.0</v>
      </c>
      <c r="I110" s="4">
        <v>-19.353</v>
      </c>
      <c r="J110" s="4">
        <v>0.0</v>
      </c>
      <c r="K110" s="4">
        <v>0.0393</v>
      </c>
      <c r="L110" s="4">
        <v>0.837</v>
      </c>
      <c r="M110" s="4">
        <v>0.91</v>
      </c>
      <c r="N110" s="4">
        <v>0.393</v>
      </c>
      <c r="O110" s="4">
        <v>0.238</v>
      </c>
      <c r="P110" s="4">
        <v>80.019</v>
      </c>
      <c r="Q110" s="4">
        <v>4.0</v>
      </c>
    </row>
    <row r="111">
      <c r="A111" s="4" t="s">
        <v>235</v>
      </c>
      <c r="B111" s="4" t="s">
        <v>236</v>
      </c>
      <c r="C111" s="5">
        <v>42923.0</v>
      </c>
      <c r="D111" s="4">
        <v>367595.0</v>
      </c>
      <c r="E111" s="4">
        <v>12.0</v>
      </c>
      <c r="F111" s="4">
        <v>0.487</v>
      </c>
      <c r="G111" s="4">
        <v>0.179</v>
      </c>
      <c r="H111" s="4">
        <v>7.0</v>
      </c>
      <c r="I111" s="4">
        <v>-14.968</v>
      </c>
      <c r="J111" s="4">
        <v>1.0</v>
      </c>
      <c r="K111" s="4">
        <v>0.0405</v>
      </c>
      <c r="L111" s="4">
        <v>0.956</v>
      </c>
      <c r="M111" s="4">
        <v>0.405</v>
      </c>
      <c r="N111" s="4">
        <v>0.0599</v>
      </c>
      <c r="O111" s="4">
        <v>0.314</v>
      </c>
      <c r="P111" s="4">
        <v>130.277</v>
      </c>
      <c r="Q111" s="4">
        <v>4.0</v>
      </c>
    </row>
    <row r="112">
      <c r="A112" s="4" t="s">
        <v>237</v>
      </c>
      <c r="B112" s="4" t="s">
        <v>238</v>
      </c>
      <c r="C112" s="5">
        <v>34022.0</v>
      </c>
      <c r="D112" s="4">
        <v>238640.0</v>
      </c>
      <c r="E112" s="4">
        <v>84.0</v>
      </c>
      <c r="F112" s="4">
        <v>0.515</v>
      </c>
      <c r="G112" s="4">
        <v>0.43</v>
      </c>
      <c r="H112" s="4">
        <v>7.0</v>
      </c>
      <c r="I112" s="4">
        <v>-9.935</v>
      </c>
      <c r="J112" s="4">
        <v>1.0</v>
      </c>
      <c r="K112" s="4">
        <v>0.0372</v>
      </c>
      <c r="L112" s="4">
        <v>0.0097</v>
      </c>
      <c r="M112" s="4">
        <v>1.33E-4</v>
      </c>
      <c r="N112" s="4">
        <v>0.129</v>
      </c>
      <c r="O112" s="4">
        <v>0.104</v>
      </c>
      <c r="P112" s="4">
        <v>91.844</v>
      </c>
      <c r="Q112" s="4">
        <v>4.0</v>
      </c>
    </row>
    <row r="113">
      <c r="A113" s="4" t="s">
        <v>239</v>
      </c>
      <c r="B113" s="4" t="s">
        <v>240</v>
      </c>
      <c r="C113" s="5">
        <v>44478.0</v>
      </c>
      <c r="D113" s="4">
        <v>155000.0</v>
      </c>
      <c r="E113" s="4">
        <v>7.0</v>
      </c>
      <c r="F113" s="4">
        <v>0.329</v>
      </c>
      <c r="G113" s="4">
        <v>0.044</v>
      </c>
      <c r="H113" s="4">
        <v>4.0</v>
      </c>
      <c r="I113" s="4">
        <v>-22.459</v>
      </c>
      <c r="J113" s="4">
        <v>1.0</v>
      </c>
      <c r="K113" s="4">
        <v>0.0466</v>
      </c>
      <c r="L113" s="4">
        <v>0.966</v>
      </c>
      <c r="M113" s="4">
        <v>0.675</v>
      </c>
      <c r="N113" s="4">
        <v>0.557</v>
      </c>
      <c r="O113" s="4">
        <v>0.0848</v>
      </c>
      <c r="P113" s="4">
        <v>116.178</v>
      </c>
      <c r="Q113" s="4">
        <v>3.0</v>
      </c>
    </row>
    <row r="114">
      <c r="A114" s="4" t="s">
        <v>241</v>
      </c>
      <c r="B114" s="4" t="s">
        <v>242</v>
      </c>
      <c r="C114" s="5">
        <v>41334.0</v>
      </c>
      <c r="D114" s="4">
        <v>570946.0</v>
      </c>
      <c r="E114" s="4">
        <v>28.0</v>
      </c>
      <c r="F114" s="4">
        <v>0.0611</v>
      </c>
      <c r="G114" s="4">
        <v>0.26</v>
      </c>
      <c r="H114" s="4">
        <v>2.0</v>
      </c>
      <c r="I114" s="4">
        <v>-23.757</v>
      </c>
      <c r="J114" s="4">
        <v>1.0</v>
      </c>
      <c r="K114" s="4">
        <v>0.0701</v>
      </c>
      <c r="L114" s="4">
        <v>0.673</v>
      </c>
      <c r="M114" s="4">
        <v>0.66</v>
      </c>
      <c r="N114" s="4">
        <v>0.245</v>
      </c>
      <c r="O114" s="4">
        <v>0.0345</v>
      </c>
      <c r="P114" s="4">
        <v>56.708</v>
      </c>
      <c r="Q114" s="4">
        <v>4.0</v>
      </c>
    </row>
    <row r="115">
      <c r="A115" s="4" t="s">
        <v>243</v>
      </c>
      <c r="B115" s="4" t="s">
        <v>244</v>
      </c>
      <c r="C115" s="5">
        <v>44478.0</v>
      </c>
      <c r="D115" s="4">
        <v>240533.0</v>
      </c>
      <c r="E115" s="4">
        <v>8.0</v>
      </c>
      <c r="F115" s="4">
        <v>0.237</v>
      </c>
      <c r="G115" s="4">
        <v>0.103</v>
      </c>
      <c r="H115" s="4">
        <v>9.0</v>
      </c>
      <c r="I115" s="4">
        <v>-21.677</v>
      </c>
      <c r="J115" s="4">
        <v>0.0</v>
      </c>
      <c r="K115" s="4">
        <v>0.0324</v>
      </c>
      <c r="L115" s="4">
        <v>0.918</v>
      </c>
      <c r="M115" s="4">
        <v>0.918</v>
      </c>
      <c r="N115" s="4">
        <v>0.239</v>
      </c>
      <c r="O115" s="4">
        <v>0.122</v>
      </c>
      <c r="P115" s="4">
        <v>95.083</v>
      </c>
      <c r="Q115" s="4">
        <v>4.0</v>
      </c>
    </row>
    <row r="116">
      <c r="A116" s="4" t="s">
        <v>245</v>
      </c>
      <c r="B116" s="4" t="s">
        <v>246</v>
      </c>
      <c r="C116" s="5">
        <v>42948.0</v>
      </c>
      <c r="D116" s="4">
        <v>317830.0</v>
      </c>
      <c r="E116" s="4">
        <v>52.0</v>
      </c>
      <c r="F116" s="4">
        <v>0.203</v>
      </c>
      <c r="G116" s="4">
        <v>0.0851</v>
      </c>
      <c r="H116" s="4">
        <v>3.0</v>
      </c>
      <c r="I116" s="4">
        <v>-22.127</v>
      </c>
      <c r="J116" s="4">
        <v>0.0</v>
      </c>
      <c r="K116" s="4">
        <v>0.049</v>
      </c>
      <c r="L116" s="4">
        <v>0.989</v>
      </c>
      <c r="M116" s="4">
        <v>0.925</v>
      </c>
      <c r="N116" s="4">
        <v>0.113</v>
      </c>
      <c r="O116" s="4">
        <v>0.0395</v>
      </c>
      <c r="P116" s="4">
        <v>88.582</v>
      </c>
      <c r="Q116" s="4">
        <v>4.0</v>
      </c>
    </row>
    <row r="117">
      <c r="A117" s="4" t="s">
        <v>247</v>
      </c>
      <c r="B117" s="4" t="s">
        <v>248</v>
      </c>
      <c r="C117" s="5">
        <v>39264.0</v>
      </c>
      <c r="D117" s="4">
        <v>282000.0</v>
      </c>
      <c r="E117" s="4">
        <v>6.0</v>
      </c>
      <c r="F117" s="4">
        <v>0.261</v>
      </c>
      <c r="G117" s="4">
        <v>0.0142</v>
      </c>
      <c r="H117" s="4">
        <v>2.0</v>
      </c>
      <c r="I117" s="4">
        <v>-29.86</v>
      </c>
      <c r="J117" s="4">
        <v>1.0</v>
      </c>
      <c r="K117" s="4">
        <v>0.043</v>
      </c>
      <c r="L117" s="4">
        <v>0.996</v>
      </c>
      <c r="M117" s="4">
        <v>0.921</v>
      </c>
      <c r="N117" s="4">
        <v>0.0776</v>
      </c>
      <c r="O117" s="4">
        <v>0.0663</v>
      </c>
      <c r="P117" s="4">
        <v>65.61</v>
      </c>
      <c r="Q117" s="4">
        <v>3.0</v>
      </c>
    </row>
    <row r="118">
      <c r="A118" s="4" t="s">
        <v>249</v>
      </c>
      <c r="B118" s="4" t="s">
        <v>250</v>
      </c>
      <c r="C118" s="5">
        <v>42244.0</v>
      </c>
      <c r="D118" s="4">
        <v>174653.0</v>
      </c>
      <c r="E118" s="4">
        <v>54.0</v>
      </c>
      <c r="F118" s="4">
        <v>0.205</v>
      </c>
      <c r="G118" s="4">
        <v>0.0525</v>
      </c>
      <c r="H118" s="4">
        <v>1.0</v>
      </c>
      <c r="I118" s="4">
        <v>-23.841</v>
      </c>
      <c r="J118" s="4">
        <v>1.0</v>
      </c>
      <c r="K118" s="4">
        <v>0.0327</v>
      </c>
      <c r="L118" s="4">
        <v>0.98</v>
      </c>
      <c r="M118" s="4">
        <v>0.906</v>
      </c>
      <c r="N118" s="4">
        <v>0.103</v>
      </c>
      <c r="O118" s="4">
        <v>0.0511</v>
      </c>
      <c r="P118" s="4">
        <v>88.316</v>
      </c>
      <c r="Q118" s="4">
        <v>4.0</v>
      </c>
    </row>
    <row r="119">
      <c r="A119" s="4" t="s">
        <v>251</v>
      </c>
      <c r="B119" s="4" t="s">
        <v>252</v>
      </c>
      <c r="C119" s="4">
        <v>1994.0</v>
      </c>
      <c r="D119" s="4">
        <v>428152.0</v>
      </c>
      <c r="E119" s="4">
        <v>59.0</v>
      </c>
      <c r="F119" s="4">
        <v>0.17</v>
      </c>
      <c r="G119" s="4">
        <v>0.0479</v>
      </c>
      <c r="H119" s="4">
        <v>2.0</v>
      </c>
      <c r="I119" s="4">
        <v>-27.021</v>
      </c>
      <c r="J119" s="4">
        <v>1.0</v>
      </c>
      <c r="K119" s="4">
        <v>0.0438</v>
      </c>
      <c r="L119" s="4">
        <v>0.981</v>
      </c>
      <c r="M119" s="4">
        <v>0.906</v>
      </c>
      <c r="N119" s="4">
        <v>0.0795</v>
      </c>
      <c r="O119" s="4">
        <v>0.0304</v>
      </c>
      <c r="P119" s="4">
        <v>75.664</v>
      </c>
      <c r="Q119" s="4">
        <v>3.0</v>
      </c>
    </row>
    <row r="120">
      <c r="A120" s="4" t="s">
        <v>253</v>
      </c>
      <c r="B120" s="4" t="s">
        <v>254</v>
      </c>
      <c r="C120" s="5">
        <v>44477.0</v>
      </c>
      <c r="D120" s="4">
        <v>508537.0</v>
      </c>
      <c r="E120" s="4">
        <v>6.0</v>
      </c>
      <c r="F120" s="4">
        <v>0.214</v>
      </c>
      <c r="G120" s="4">
        <v>0.109</v>
      </c>
      <c r="H120" s="4">
        <v>5.0</v>
      </c>
      <c r="I120" s="4">
        <v>-23.632</v>
      </c>
      <c r="J120" s="4">
        <v>1.0</v>
      </c>
      <c r="K120" s="4">
        <v>0.0511</v>
      </c>
      <c r="L120" s="4">
        <v>0.968</v>
      </c>
      <c r="M120" s="4">
        <v>0.571</v>
      </c>
      <c r="N120" s="4">
        <v>0.0884</v>
      </c>
      <c r="O120" s="4">
        <v>0.0399</v>
      </c>
      <c r="P120" s="4">
        <v>105.361</v>
      </c>
      <c r="Q120" s="4">
        <v>4.0</v>
      </c>
    </row>
    <row r="121">
      <c r="A121" s="4" t="s">
        <v>255</v>
      </c>
      <c r="B121" s="4" t="s">
        <v>256</v>
      </c>
      <c r="C121" s="5">
        <v>41275.0</v>
      </c>
      <c r="D121" s="4">
        <v>251586.0</v>
      </c>
      <c r="E121" s="4">
        <v>65.0</v>
      </c>
      <c r="F121" s="4">
        <v>0.367</v>
      </c>
      <c r="G121" s="4">
        <v>0.156</v>
      </c>
      <c r="H121" s="4">
        <v>9.0</v>
      </c>
      <c r="I121" s="4">
        <v>-10.052</v>
      </c>
      <c r="J121" s="4">
        <v>0.0</v>
      </c>
      <c r="K121" s="4">
        <v>0.0314</v>
      </c>
      <c r="L121" s="4">
        <v>0.88</v>
      </c>
      <c r="M121" s="4">
        <v>0.0</v>
      </c>
      <c r="N121" s="4">
        <v>0.0972</v>
      </c>
      <c r="O121" s="4">
        <v>0.44</v>
      </c>
      <c r="P121" s="4">
        <v>73.138</v>
      </c>
      <c r="Q121" s="4">
        <v>4.0</v>
      </c>
    </row>
    <row r="122">
      <c r="A122" s="4" t="s">
        <v>257</v>
      </c>
      <c r="B122" s="4" t="s">
        <v>258</v>
      </c>
      <c r="C122" s="5">
        <v>39260.0</v>
      </c>
      <c r="D122" s="4">
        <v>462162.0</v>
      </c>
      <c r="E122" s="4">
        <v>51.0</v>
      </c>
      <c r="F122" s="4">
        <v>0.0754</v>
      </c>
      <c r="G122" s="4">
        <v>0.0102</v>
      </c>
      <c r="H122" s="4">
        <v>4.0</v>
      </c>
      <c r="I122" s="4">
        <v>-35.69</v>
      </c>
      <c r="J122" s="4">
        <v>1.0</v>
      </c>
      <c r="K122" s="4">
        <v>0.0464</v>
      </c>
      <c r="L122" s="4">
        <v>0.901</v>
      </c>
      <c r="M122" s="4">
        <v>0.106</v>
      </c>
      <c r="N122" s="4">
        <v>0.0817</v>
      </c>
      <c r="O122" s="4">
        <v>0.0331</v>
      </c>
      <c r="P122" s="4">
        <v>81.324</v>
      </c>
      <c r="Q122" s="4">
        <v>4.0</v>
      </c>
    </row>
    <row r="123">
      <c r="A123" s="4" t="s">
        <v>259</v>
      </c>
      <c r="B123" s="4" t="s">
        <v>260</v>
      </c>
      <c r="C123" s="5">
        <v>44485.0</v>
      </c>
      <c r="D123" s="4">
        <v>599887.0</v>
      </c>
      <c r="E123" s="4">
        <v>6.0</v>
      </c>
      <c r="F123" s="4">
        <v>0.0918</v>
      </c>
      <c r="G123" s="4">
        <v>0.0302</v>
      </c>
      <c r="H123" s="4">
        <v>7.0</v>
      </c>
      <c r="I123" s="4">
        <v>-29.008</v>
      </c>
      <c r="J123" s="4">
        <v>1.0</v>
      </c>
      <c r="K123" s="4">
        <v>0.0415</v>
      </c>
      <c r="L123" s="4">
        <v>0.963</v>
      </c>
      <c r="M123" s="4">
        <v>0.771</v>
      </c>
      <c r="N123" s="4">
        <v>0.0685</v>
      </c>
      <c r="O123" s="4">
        <v>0.0394</v>
      </c>
      <c r="P123" s="4">
        <v>80.16</v>
      </c>
      <c r="Q123" s="4">
        <v>3.0</v>
      </c>
    </row>
    <row r="124">
      <c r="A124" s="4" t="s">
        <v>261</v>
      </c>
      <c r="B124" s="4" t="s">
        <v>262</v>
      </c>
      <c r="C124" s="5">
        <v>44481.0</v>
      </c>
      <c r="D124" s="4">
        <v>569360.0</v>
      </c>
      <c r="E124" s="4">
        <v>6.0</v>
      </c>
      <c r="F124" s="4">
        <v>0.0927</v>
      </c>
      <c r="G124" s="4">
        <v>0.0339</v>
      </c>
      <c r="H124" s="4">
        <v>1.0</v>
      </c>
      <c r="I124" s="4">
        <v>-26.088</v>
      </c>
      <c r="J124" s="4">
        <v>1.0</v>
      </c>
      <c r="K124" s="4">
        <v>0.0447</v>
      </c>
      <c r="L124" s="4">
        <v>0.711</v>
      </c>
      <c r="M124" s="4">
        <v>0.909</v>
      </c>
      <c r="N124" s="4">
        <v>0.149</v>
      </c>
      <c r="O124" s="4">
        <v>0.0321</v>
      </c>
      <c r="P124" s="4">
        <v>88.047</v>
      </c>
      <c r="Q124" s="4">
        <v>4.0</v>
      </c>
    </row>
    <row r="125">
      <c r="A125" s="4" t="s">
        <v>263</v>
      </c>
      <c r="B125" s="4" t="s">
        <v>264</v>
      </c>
      <c r="C125" s="5">
        <v>42016.0</v>
      </c>
      <c r="D125" s="4">
        <v>738560.0</v>
      </c>
      <c r="E125" s="4">
        <v>20.0</v>
      </c>
      <c r="F125" s="4">
        <v>0.241</v>
      </c>
      <c r="G125" s="4">
        <v>0.0592</v>
      </c>
      <c r="H125" s="4">
        <v>0.0</v>
      </c>
      <c r="I125" s="4">
        <v>-23.96</v>
      </c>
      <c r="J125" s="4">
        <v>0.0</v>
      </c>
      <c r="K125" s="4">
        <v>0.0448</v>
      </c>
      <c r="L125" s="4">
        <v>0.994</v>
      </c>
      <c r="M125" s="4">
        <v>0.888</v>
      </c>
      <c r="N125" s="4">
        <v>0.122</v>
      </c>
      <c r="O125" s="4">
        <v>0.0386</v>
      </c>
      <c r="P125" s="4">
        <v>65.598</v>
      </c>
      <c r="Q125" s="4">
        <v>3.0</v>
      </c>
    </row>
    <row r="126">
      <c r="A126" s="4" t="s">
        <v>265</v>
      </c>
      <c r="B126" s="4" t="s">
        <v>266</v>
      </c>
      <c r="C126" s="5">
        <v>31027.0</v>
      </c>
      <c r="D126" s="4">
        <v>224066.0</v>
      </c>
      <c r="E126" s="4">
        <v>48.0</v>
      </c>
      <c r="F126" s="4">
        <v>0.43</v>
      </c>
      <c r="G126" s="4">
        <v>0.202</v>
      </c>
      <c r="H126" s="4">
        <v>4.0</v>
      </c>
      <c r="I126" s="4">
        <v>-15.892</v>
      </c>
      <c r="J126" s="4">
        <v>1.0</v>
      </c>
      <c r="K126" s="4">
        <v>0.0289</v>
      </c>
      <c r="L126" s="4">
        <v>0.839</v>
      </c>
      <c r="M126" s="4">
        <v>0.00106</v>
      </c>
      <c r="N126" s="4">
        <v>0.133</v>
      </c>
      <c r="O126" s="4">
        <v>0.134</v>
      </c>
      <c r="P126" s="4">
        <v>139.144</v>
      </c>
      <c r="Q126" s="4">
        <v>3.0</v>
      </c>
    </row>
    <row r="127">
      <c r="A127" s="4" t="s">
        <v>267</v>
      </c>
      <c r="B127" s="4" t="s">
        <v>268</v>
      </c>
      <c r="C127" s="4">
        <v>2006.0</v>
      </c>
      <c r="D127" s="4">
        <v>241293.0</v>
      </c>
      <c r="E127" s="4">
        <v>79.0</v>
      </c>
      <c r="F127" s="4">
        <v>0.403</v>
      </c>
      <c r="G127" s="4">
        <v>0.422</v>
      </c>
      <c r="H127" s="4">
        <v>7.0</v>
      </c>
      <c r="I127" s="4">
        <v>-13.964</v>
      </c>
      <c r="J127" s="4">
        <v>0.0</v>
      </c>
      <c r="K127" s="4">
        <v>0.0373</v>
      </c>
      <c r="L127" s="4">
        <v>0.134</v>
      </c>
      <c r="M127" s="6">
        <v>2.05E-5</v>
      </c>
      <c r="N127" s="4">
        <v>0.0861</v>
      </c>
      <c r="O127" s="4">
        <v>0.378</v>
      </c>
      <c r="P127" s="4">
        <v>122.728</v>
      </c>
      <c r="Q127" s="4">
        <v>4.0</v>
      </c>
    </row>
    <row r="128">
      <c r="A128" s="4" t="s">
        <v>269</v>
      </c>
      <c r="B128" s="4" t="s">
        <v>270</v>
      </c>
      <c r="C128" s="5">
        <v>43623.0</v>
      </c>
      <c r="D128" s="4">
        <v>948840.0</v>
      </c>
      <c r="E128" s="4">
        <v>22.0</v>
      </c>
      <c r="F128" s="4">
        <v>0.0606</v>
      </c>
      <c r="G128" s="4">
        <v>0.00239</v>
      </c>
      <c r="H128" s="4">
        <v>11.0</v>
      </c>
      <c r="I128" s="4">
        <v>-38.181</v>
      </c>
      <c r="J128" s="4">
        <v>1.0</v>
      </c>
      <c r="K128" s="4">
        <v>0.0417</v>
      </c>
      <c r="L128" s="4">
        <v>0.711</v>
      </c>
      <c r="M128" s="4">
        <v>0.817</v>
      </c>
      <c r="N128" s="4">
        <v>0.0771</v>
      </c>
      <c r="O128" s="4">
        <v>0.0378</v>
      </c>
      <c r="P128" s="4">
        <v>65.111</v>
      </c>
      <c r="Q128" s="4">
        <v>4.0</v>
      </c>
    </row>
    <row r="129">
      <c r="A129" s="4" t="s">
        <v>271</v>
      </c>
      <c r="B129" s="4" t="s">
        <v>272</v>
      </c>
      <c r="C129" s="5">
        <v>31444.0</v>
      </c>
      <c r="D129" s="4">
        <v>362520.0</v>
      </c>
      <c r="E129" s="4">
        <v>49.0</v>
      </c>
      <c r="F129" s="4">
        <v>0.155</v>
      </c>
      <c r="G129" s="4">
        <v>0.00395</v>
      </c>
      <c r="H129" s="4">
        <v>0.0</v>
      </c>
      <c r="I129" s="4">
        <v>-39.307</v>
      </c>
      <c r="J129" s="4">
        <v>0.0</v>
      </c>
      <c r="K129" s="4">
        <v>0.0413</v>
      </c>
      <c r="L129" s="4">
        <v>0.985</v>
      </c>
      <c r="M129" s="4">
        <v>0.875</v>
      </c>
      <c r="N129" s="4">
        <v>0.0678</v>
      </c>
      <c r="O129" s="4">
        <v>0.0478</v>
      </c>
      <c r="P129" s="4">
        <v>176.976</v>
      </c>
      <c r="Q129" s="4">
        <v>3.0</v>
      </c>
    </row>
    <row r="130">
      <c r="A130" s="4" t="s">
        <v>273</v>
      </c>
      <c r="B130" s="4" t="s">
        <v>274</v>
      </c>
      <c r="C130" s="5">
        <v>44478.0</v>
      </c>
      <c r="D130" s="4">
        <v>246800.0</v>
      </c>
      <c r="E130" s="4">
        <v>6.0</v>
      </c>
      <c r="F130" s="4">
        <v>0.35</v>
      </c>
      <c r="G130" s="4">
        <v>0.552</v>
      </c>
      <c r="H130" s="4">
        <v>11.0</v>
      </c>
      <c r="I130" s="4">
        <v>-11.225</v>
      </c>
      <c r="J130" s="4">
        <v>1.0</v>
      </c>
      <c r="K130" s="4">
        <v>0.0371</v>
      </c>
      <c r="L130" s="4">
        <v>0.73</v>
      </c>
      <c r="M130" s="4">
        <v>0.929</v>
      </c>
      <c r="N130" s="4">
        <v>0.0862</v>
      </c>
      <c r="O130" s="4">
        <v>0.172</v>
      </c>
      <c r="P130" s="4">
        <v>90.392</v>
      </c>
      <c r="Q130" s="4">
        <v>4.0</v>
      </c>
    </row>
    <row r="131">
      <c r="A131" s="4" t="s">
        <v>275</v>
      </c>
      <c r="B131" s="4" t="s">
        <v>276</v>
      </c>
      <c r="C131" s="5">
        <v>43287.0</v>
      </c>
      <c r="D131" s="4">
        <v>504146.0</v>
      </c>
      <c r="E131" s="4">
        <v>17.0</v>
      </c>
      <c r="F131" s="4">
        <v>0.213</v>
      </c>
      <c r="G131" s="4">
        <v>0.0546</v>
      </c>
      <c r="H131" s="4">
        <v>0.0</v>
      </c>
      <c r="I131" s="4">
        <v>-25.879</v>
      </c>
      <c r="J131" s="4">
        <v>1.0</v>
      </c>
      <c r="K131" s="4">
        <v>0.0383</v>
      </c>
      <c r="L131" s="4">
        <v>0.871</v>
      </c>
      <c r="M131" s="4">
        <v>0.775</v>
      </c>
      <c r="N131" s="4">
        <v>0.0961</v>
      </c>
      <c r="O131" s="4">
        <v>0.0961</v>
      </c>
      <c r="P131" s="4">
        <v>71.947</v>
      </c>
      <c r="Q131" s="4">
        <v>3.0</v>
      </c>
    </row>
    <row r="132">
      <c r="A132" s="4" t="s">
        <v>277</v>
      </c>
      <c r="B132" s="4" t="s">
        <v>278</v>
      </c>
      <c r="C132" s="5">
        <v>43056.0</v>
      </c>
      <c r="D132" s="4">
        <v>539120.0</v>
      </c>
      <c r="E132" s="4">
        <v>31.0</v>
      </c>
      <c r="F132" s="4">
        <v>0.28</v>
      </c>
      <c r="G132" s="4">
        <v>0.35</v>
      </c>
      <c r="H132" s="4">
        <v>10.0</v>
      </c>
      <c r="I132" s="4">
        <v>-13.378</v>
      </c>
      <c r="J132" s="4">
        <v>1.0</v>
      </c>
      <c r="K132" s="4">
        <v>0.0392</v>
      </c>
      <c r="L132" s="4">
        <v>0.822</v>
      </c>
      <c r="M132" s="4">
        <v>0.908</v>
      </c>
      <c r="N132" s="4">
        <v>0.157</v>
      </c>
      <c r="O132" s="4">
        <v>0.12</v>
      </c>
      <c r="P132" s="4">
        <v>106.269</v>
      </c>
      <c r="Q132" s="4">
        <v>4.0</v>
      </c>
    </row>
    <row r="133">
      <c r="A133" s="4" t="s">
        <v>279</v>
      </c>
      <c r="B133" s="4" t="s">
        <v>280</v>
      </c>
      <c r="C133" s="5">
        <v>44478.0</v>
      </c>
      <c r="D133" s="4">
        <v>203493.0</v>
      </c>
      <c r="E133" s="4">
        <v>6.0</v>
      </c>
      <c r="F133" s="4">
        <v>0.071</v>
      </c>
      <c r="G133" s="4">
        <v>0.00425</v>
      </c>
      <c r="H133" s="4">
        <v>3.0</v>
      </c>
      <c r="I133" s="4">
        <v>-36.164</v>
      </c>
      <c r="J133" s="4">
        <v>1.0</v>
      </c>
      <c r="K133" s="4">
        <v>0.0391</v>
      </c>
      <c r="L133" s="4">
        <v>0.773</v>
      </c>
      <c r="M133" s="4">
        <v>0.522</v>
      </c>
      <c r="N133" s="4">
        <v>0.104</v>
      </c>
      <c r="O133" s="4">
        <v>0.117</v>
      </c>
      <c r="P133" s="4">
        <v>78.806</v>
      </c>
      <c r="Q133" s="4">
        <v>3.0</v>
      </c>
    </row>
    <row r="134">
      <c r="A134" s="4" t="s">
        <v>281</v>
      </c>
      <c r="B134" s="4" t="s">
        <v>282</v>
      </c>
      <c r="C134" s="5">
        <v>44478.0</v>
      </c>
      <c r="D134" s="4">
        <v>441266.0</v>
      </c>
      <c r="E134" s="4">
        <v>7.0</v>
      </c>
      <c r="F134" s="4">
        <v>0.212</v>
      </c>
      <c r="G134" s="4">
        <v>0.0278</v>
      </c>
      <c r="H134" s="4">
        <v>2.0</v>
      </c>
      <c r="I134" s="4">
        <v>-26.895</v>
      </c>
      <c r="J134" s="4">
        <v>1.0</v>
      </c>
      <c r="K134" s="4">
        <v>0.0408</v>
      </c>
      <c r="L134" s="4">
        <v>0.977</v>
      </c>
      <c r="M134" s="4">
        <v>0.83</v>
      </c>
      <c r="N134" s="4">
        <v>0.0704</v>
      </c>
      <c r="O134" s="4">
        <v>0.071</v>
      </c>
      <c r="P134" s="4">
        <v>97.234</v>
      </c>
      <c r="Q134" s="4">
        <v>3.0</v>
      </c>
    </row>
    <row r="135">
      <c r="A135" s="4" t="s">
        <v>283</v>
      </c>
      <c r="B135" s="4" t="s">
        <v>284</v>
      </c>
      <c r="C135" s="5">
        <v>44478.0</v>
      </c>
      <c r="D135" s="4">
        <v>561653.0</v>
      </c>
      <c r="E135" s="4">
        <v>6.0</v>
      </c>
      <c r="F135" s="4">
        <v>0.275</v>
      </c>
      <c r="G135" s="4">
        <v>0.283</v>
      </c>
      <c r="H135" s="4">
        <v>5.0</v>
      </c>
      <c r="I135" s="4">
        <v>-18.319</v>
      </c>
      <c r="J135" s="4">
        <v>1.0</v>
      </c>
      <c r="K135" s="4">
        <v>0.0468</v>
      </c>
      <c r="L135" s="4">
        <v>0.926</v>
      </c>
      <c r="M135" s="4">
        <v>0.815</v>
      </c>
      <c r="N135" s="4">
        <v>0.091</v>
      </c>
      <c r="O135" s="4">
        <v>0.101</v>
      </c>
      <c r="P135" s="4">
        <v>147.885</v>
      </c>
      <c r="Q135" s="4">
        <v>4.0</v>
      </c>
    </row>
    <row r="136">
      <c r="A136" s="4" t="s">
        <v>285</v>
      </c>
      <c r="B136" s="4" t="s">
        <v>286</v>
      </c>
      <c r="C136" s="5">
        <v>44480.0</v>
      </c>
      <c r="D136" s="4">
        <v>364560.0</v>
      </c>
      <c r="E136" s="4">
        <v>11.0</v>
      </c>
      <c r="F136" s="4">
        <v>0.285</v>
      </c>
      <c r="G136" s="4">
        <v>0.188</v>
      </c>
      <c r="H136" s="4">
        <v>9.0</v>
      </c>
      <c r="I136" s="4">
        <v>-17.139</v>
      </c>
      <c r="J136" s="4">
        <v>1.0</v>
      </c>
      <c r="K136" s="4">
        <v>0.0386</v>
      </c>
      <c r="L136" s="4">
        <v>0.97</v>
      </c>
      <c r="M136" s="4">
        <v>0.933</v>
      </c>
      <c r="N136" s="4">
        <v>0.327</v>
      </c>
      <c r="O136" s="4">
        <v>0.198</v>
      </c>
      <c r="P136" s="4">
        <v>129.121</v>
      </c>
      <c r="Q136" s="4">
        <v>3.0</v>
      </c>
    </row>
    <row r="137">
      <c r="A137" s="4" t="s">
        <v>287</v>
      </c>
      <c r="B137" s="4" t="s">
        <v>288</v>
      </c>
      <c r="C137" s="5">
        <v>44485.0</v>
      </c>
      <c r="D137" s="4">
        <v>415360.0</v>
      </c>
      <c r="E137" s="4">
        <v>5.0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>
      <c r="A138" s="4" t="s">
        <v>289</v>
      </c>
      <c r="B138" s="4" t="s">
        <v>290</v>
      </c>
      <c r="C138" s="5">
        <v>42251.0</v>
      </c>
      <c r="D138" s="4">
        <v>201853.0</v>
      </c>
      <c r="E138" s="4">
        <v>64.0</v>
      </c>
      <c r="F138" s="4">
        <v>0.4</v>
      </c>
      <c r="G138" s="4">
        <v>0.247</v>
      </c>
      <c r="H138" s="4">
        <v>5.0</v>
      </c>
      <c r="I138" s="4">
        <v>-18.249</v>
      </c>
      <c r="J138" s="4">
        <v>0.0</v>
      </c>
      <c r="K138" s="4">
        <v>0.0423</v>
      </c>
      <c r="L138" s="4">
        <v>0.818</v>
      </c>
      <c r="M138" s="4">
        <v>0.64</v>
      </c>
      <c r="N138" s="4">
        <v>0.119</v>
      </c>
      <c r="O138" s="4">
        <v>0.394</v>
      </c>
      <c r="P138" s="4">
        <v>162.078</v>
      </c>
      <c r="Q138" s="4">
        <v>4.0</v>
      </c>
    </row>
    <row r="139">
      <c r="A139" s="4" t="s">
        <v>291</v>
      </c>
      <c r="B139" s="4" t="s">
        <v>292</v>
      </c>
      <c r="C139" s="5">
        <v>44485.0</v>
      </c>
      <c r="D139" s="4">
        <v>551933.0</v>
      </c>
      <c r="E139" s="4">
        <v>6.0</v>
      </c>
      <c r="F139" s="4">
        <v>0.0716</v>
      </c>
      <c r="G139" s="4">
        <v>0.126</v>
      </c>
      <c r="H139" s="4">
        <v>9.0</v>
      </c>
      <c r="I139" s="4">
        <v>-19.136</v>
      </c>
      <c r="J139" s="4">
        <v>1.0</v>
      </c>
      <c r="K139" s="4">
        <v>0.0404</v>
      </c>
      <c r="L139" s="4">
        <v>0.89</v>
      </c>
      <c r="M139" s="4">
        <v>0.918</v>
      </c>
      <c r="N139" s="4">
        <v>0.238</v>
      </c>
      <c r="O139" s="4">
        <v>0.0292</v>
      </c>
      <c r="P139" s="4">
        <v>75.282</v>
      </c>
      <c r="Q139" s="4">
        <v>3.0</v>
      </c>
    </row>
    <row r="140">
      <c r="A140" s="4" t="s">
        <v>293</v>
      </c>
      <c r="B140" s="4" t="s">
        <v>294</v>
      </c>
      <c r="C140" s="5">
        <v>44478.0</v>
      </c>
      <c r="D140" s="4">
        <v>313400.0</v>
      </c>
      <c r="E140" s="4">
        <v>5.0</v>
      </c>
      <c r="F140" s="4">
        <v>0.17</v>
      </c>
      <c r="G140" s="4">
        <v>0.039</v>
      </c>
      <c r="H140" s="4">
        <v>7.0</v>
      </c>
      <c r="I140" s="4">
        <v>-24.894</v>
      </c>
      <c r="J140" s="4">
        <v>1.0</v>
      </c>
      <c r="K140" s="4">
        <v>0.0415</v>
      </c>
      <c r="L140" s="4">
        <v>0.971</v>
      </c>
      <c r="M140" s="4">
        <v>0.00229</v>
      </c>
      <c r="N140" s="4">
        <v>0.221</v>
      </c>
      <c r="O140" s="4">
        <v>0.0616</v>
      </c>
      <c r="P140" s="4">
        <v>73.823</v>
      </c>
      <c r="Q140" s="4">
        <v>4.0</v>
      </c>
    </row>
    <row r="141">
      <c r="A141" s="4" t="s">
        <v>295</v>
      </c>
      <c r="B141" s="4" t="s">
        <v>296</v>
      </c>
      <c r="C141" s="5">
        <v>40663.0</v>
      </c>
      <c r="D141" s="4">
        <v>187771.0</v>
      </c>
      <c r="E141" s="4">
        <v>26.0</v>
      </c>
      <c r="F141" s="4">
        <v>0.1</v>
      </c>
      <c r="G141" s="4">
        <v>0.0421</v>
      </c>
      <c r="H141" s="4">
        <v>4.0</v>
      </c>
      <c r="I141" s="4">
        <v>-29.915</v>
      </c>
      <c r="J141" s="4">
        <v>0.0</v>
      </c>
      <c r="K141" s="4">
        <v>0.0451</v>
      </c>
      <c r="L141" s="4">
        <v>0.959</v>
      </c>
      <c r="M141" s="4">
        <v>0.888</v>
      </c>
      <c r="N141" s="4">
        <v>0.11</v>
      </c>
      <c r="O141" s="4">
        <v>0.0513</v>
      </c>
      <c r="P141" s="4">
        <v>82.159</v>
      </c>
      <c r="Q141" s="4">
        <v>3.0</v>
      </c>
    </row>
    <row r="142">
      <c r="A142" s="4" t="s">
        <v>297</v>
      </c>
      <c r="B142" s="4" t="s">
        <v>298</v>
      </c>
      <c r="C142" s="5">
        <v>39211.0</v>
      </c>
      <c r="D142" s="4">
        <v>219093.0</v>
      </c>
      <c r="E142" s="4">
        <v>28.0</v>
      </c>
      <c r="F142" s="4">
        <v>0.563</v>
      </c>
      <c r="G142" s="4">
        <v>0.883</v>
      </c>
      <c r="H142" s="4">
        <v>11.0</v>
      </c>
      <c r="I142" s="4">
        <v>-6.838</v>
      </c>
      <c r="J142" s="4">
        <v>0.0</v>
      </c>
      <c r="K142" s="4">
        <v>0.0409</v>
      </c>
      <c r="L142" s="4">
        <v>0.0441</v>
      </c>
      <c r="M142" s="4">
        <v>0.802</v>
      </c>
      <c r="N142" s="4">
        <v>0.23</v>
      </c>
      <c r="O142" s="4">
        <v>0.578</v>
      </c>
      <c r="P142" s="4">
        <v>129.964</v>
      </c>
      <c r="Q142" s="4">
        <v>4.0</v>
      </c>
    </row>
    <row r="143">
      <c r="A143" s="4" t="s">
        <v>299</v>
      </c>
      <c r="B143" s="4" t="s">
        <v>300</v>
      </c>
      <c r="C143" s="5">
        <v>38041.0</v>
      </c>
      <c r="D143" s="4">
        <v>224333.0</v>
      </c>
      <c r="E143" s="4">
        <v>38.0</v>
      </c>
      <c r="F143" s="4">
        <v>0.332</v>
      </c>
      <c r="G143" s="4">
        <v>0.638</v>
      </c>
      <c r="H143" s="4">
        <v>1.0</v>
      </c>
      <c r="I143" s="4">
        <v>-9.038</v>
      </c>
      <c r="J143" s="4">
        <v>1.0</v>
      </c>
      <c r="K143" s="4">
        <v>0.0344</v>
      </c>
      <c r="L143" s="4">
        <v>0.0132</v>
      </c>
      <c r="M143" s="4">
        <v>0.496</v>
      </c>
      <c r="N143" s="4">
        <v>0.134</v>
      </c>
      <c r="O143" s="4">
        <v>0.0387</v>
      </c>
      <c r="P143" s="4">
        <v>119.733</v>
      </c>
      <c r="Q143" s="4">
        <v>3.0</v>
      </c>
    </row>
    <row r="144">
      <c r="A144" s="4" t="s">
        <v>301</v>
      </c>
      <c r="B144" s="4" t="s">
        <v>302</v>
      </c>
      <c r="C144" s="4">
        <v>2003.0</v>
      </c>
      <c r="D144" s="4">
        <v>106026.0</v>
      </c>
      <c r="E144" s="4">
        <v>7.0</v>
      </c>
      <c r="F144" s="4">
        <v>0.143</v>
      </c>
      <c r="G144" s="4">
        <v>0.0816</v>
      </c>
      <c r="H144" s="4">
        <v>7.0</v>
      </c>
      <c r="I144" s="4">
        <v>-25.524</v>
      </c>
      <c r="J144" s="4">
        <v>1.0</v>
      </c>
      <c r="K144" s="4">
        <v>0.0356</v>
      </c>
      <c r="L144" s="4">
        <v>0.769</v>
      </c>
      <c r="M144" s="4">
        <v>0.934</v>
      </c>
      <c r="N144" s="4">
        <v>0.166</v>
      </c>
      <c r="O144" s="4">
        <v>0.0533</v>
      </c>
      <c r="P144" s="4">
        <v>170.933</v>
      </c>
      <c r="Q144" s="4">
        <v>3.0</v>
      </c>
    </row>
    <row r="145">
      <c r="A145" s="4" t="s">
        <v>303</v>
      </c>
      <c r="B145" s="4" t="s">
        <v>304</v>
      </c>
      <c r="C145" s="4">
        <v>2003.0</v>
      </c>
      <c r="D145" s="4">
        <v>259200.0</v>
      </c>
      <c r="E145" s="4">
        <v>12.0</v>
      </c>
      <c r="F145" s="4">
        <v>0.116</v>
      </c>
      <c r="G145" s="4">
        <v>0.159</v>
      </c>
      <c r="H145" s="4">
        <v>5.0</v>
      </c>
      <c r="I145" s="4">
        <v>-18.155</v>
      </c>
      <c r="J145" s="4">
        <v>0.0</v>
      </c>
      <c r="K145" s="4">
        <v>0.0414</v>
      </c>
      <c r="L145" s="4">
        <v>0.941</v>
      </c>
      <c r="M145" s="4">
        <v>0.939</v>
      </c>
      <c r="N145" s="4">
        <v>0.143</v>
      </c>
      <c r="O145" s="4">
        <v>0.12</v>
      </c>
      <c r="P145" s="4">
        <v>85.236</v>
      </c>
      <c r="Q145" s="4">
        <v>3.0</v>
      </c>
    </row>
    <row r="146">
      <c r="A146" s="4" t="s">
        <v>305</v>
      </c>
      <c r="B146" s="4" t="s">
        <v>306</v>
      </c>
      <c r="C146" s="5">
        <v>43960.0</v>
      </c>
      <c r="D146" s="4">
        <v>393466.0</v>
      </c>
      <c r="E146" s="4">
        <v>36.0</v>
      </c>
      <c r="F146" s="4">
        <v>0.0807</v>
      </c>
      <c r="G146" s="4">
        <v>0.0799</v>
      </c>
      <c r="H146" s="4">
        <v>2.0</v>
      </c>
      <c r="I146" s="4">
        <v>-21.192</v>
      </c>
      <c r="J146" s="4">
        <v>0.0</v>
      </c>
      <c r="K146" s="4">
        <v>0.0402</v>
      </c>
      <c r="L146" s="4">
        <v>0.117</v>
      </c>
      <c r="M146" s="4">
        <v>0.559</v>
      </c>
      <c r="N146" s="4">
        <v>0.112</v>
      </c>
      <c r="O146" s="4">
        <v>0.0369</v>
      </c>
      <c r="P146" s="4">
        <v>75.813</v>
      </c>
      <c r="Q146" s="4">
        <v>4.0</v>
      </c>
    </row>
    <row r="147">
      <c r="A147" s="4" t="s">
        <v>307</v>
      </c>
      <c r="B147" s="4" t="s">
        <v>308</v>
      </c>
      <c r="C147" s="5">
        <v>38453.0</v>
      </c>
      <c r="D147" s="4">
        <v>128333.0</v>
      </c>
      <c r="E147" s="4">
        <v>17.0</v>
      </c>
      <c r="F147" s="4">
        <v>0.471</v>
      </c>
      <c r="G147" s="4">
        <v>0.373</v>
      </c>
      <c r="H147" s="4">
        <v>10.0</v>
      </c>
      <c r="I147" s="4">
        <v>-10.704</v>
      </c>
      <c r="J147" s="4">
        <v>1.0</v>
      </c>
      <c r="K147" s="4">
        <v>0.0273</v>
      </c>
      <c r="L147" s="4">
        <v>0.0103</v>
      </c>
      <c r="M147" s="4">
        <v>0.0212</v>
      </c>
      <c r="N147" s="4">
        <v>0.196</v>
      </c>
      <c r="O147" s="4">
        <v>0.257</v>
      </c>
      <c r="P147" s="4">
        <v>111.898</v>
      </c>
      <c r="Q147" s="4">
        <v>3.0</v>
      </c>
    </row>
    <row r="148">
      <c r="A148" s="4" t="s">
        <v>309</v>
      </c>
      <c r="B148" s="4" t="s">
        <v>310</v>
      </c>
      <c r="C148" s="5">
        <v>38090.0</v>
      </c>
      <c r="D148" s="4">
        <v>284440.0</v>
      </c>
      <c r="E148" s="4">
        <v>44.0</v>
      </c>
      <c r="F148" s="4">
        <v>0.294</v>
      </c>
      <c r="G148" s="4">
        <v>0.454</v>
      </c>
      <c r="H148" s="4">
        <v>2.0</v>
      </c>
      <c r="I148" s="4">
        <v>-11.612</v>
      </c>
      <c r="J148" s="4">
        <v>1.0</v>
      </c>
      <c r="K148" s="4">
        <v>0.0493</v>
      </c>
      <c r="L148" s="4">
        <v>0.198</v>
      </c>
      <c r="M148" s="4">
        <v>0.886</v>
      </c>
      <c r="N148" s="4">
        <v>0.1</v>
      </c>
      <c r="O148" s="4">
        <v>0.144</v>
      </c>
      <c r="P148" s="4">
        <v>137.111</v>
      </c>
      <c r="Q148" s="4">
        <v>4.0</v>
      </c>
    </row>
    <row r="149">
      <c r="A149" s="4" t="s">
        <v>311</v>
      </c>
      <c r="B149" s="4" t="s">
        <v>312</v>
      </c>
      <c r="C149" s="5">
        <v>37214.0</v>
      </c>
      <c r="D149" s="4">
        <v>260266.0</v>
      </c>
      <c r="E149" s="4">
        <v>46.0</v>
      </c>
      <c r="F149" s="4">
        <v>0.0826</v>
      </c>
      <c r="G149" s="4">
        <v>0.22</v>
      </c>
      <c r="H149" s="4">
        <v>2.0</v>
      </c>
      <c r="I149" s="4">
        <v>-17.94</v>
      </c>
      <c r="J149" s="4">
        <v>0.0</v>
      </c>
      <c r="K149" s="4">
        <v>0.0409</v>
      </c>
      <c r="L149" s="4">
        <v>0.89</v>
      </c>
      <c r="M149" s="4">
        <v>0.906</v>
      </c>
      <c r="N149" s="4">
        <v>0.0741</v>
      </c>
      <c r="O149" s="4">
        <v>0.0373</v>
      </c>
      <c r="P149" s="4">
        <v>83.661</v>
      </c>
      <c r="Q149" s="4">
        <v>4.0</v>
      </c>
    </row>
    <row r="150">
      <c r="A150" s="4" t="s">
        <v>313</v>
      </c>
      <c r="B150" s="4" t="s">
        <v>314</v>
      </c>
      <c r="C150" s="5">
        <v>37214.0</v>
      </c>
      <c r="D150" s="4">
        <v>302200.0</v>
      </c>
      <c r="E150" s="4">
        <v>46.0</v>
      </c>
      <c r="F150" s="4">
        <v>0.0982</v>
      </c>
      <c r="G150" s="4">
        <v>0.127</v>
      </c>
      <c r="H150" s="4">
        <v>9.0</v>
      </c>
      <c r="I150" s="4">
        <v>-17.731</v>
      </c>
      <c r="J150" s="4">
        <v>0.0</v>
      </c>
      <c r="K150" s="4">
        <v>0.0367</v>
      </c>
      <c r="L150" s="4">
        <v>0.85</v>
      </c>
      <c r="M150" s="4">
        <v>0.913</v>
      </c>
      <c r="N150" s="4">
        <v>0.106</v>
      </c>
      <c r="O150" s="4">
        <v>0.0381</v>
      </c>
      <c r="P150" s="4">
        <v>81.303</v>
      </c>
      <c r="Q150" s="4">
        <v>4.0</v>
      </c>
    </row>
    <row r="151">
      <c r="A151" s="4" t="s">
        <v>315</v>
      </c>
      <c r="B151" s="4" t="s">
        <v>316</v>
      </c>
      <c r="C151" s="5">
        <v>37214.0</v>
      </c>
      <c r="D151" s="4">
        <v>175040.0</v>
      </c>
      <c r="E151" s="4">
        <v>65.0</v>
      </c>
      <c r="F151" s="4">
        <v>0.488</v>
      </c>
      <c r="G151" s="4">
        <v>0.0629</v>
      </c>
      <c r="H151" s="4">
        <v>2.0</v>
      </c>
      <c r="I151" s="4">
        <v>-21.524</v>
      </c>
      <c r="J151" s="4">
        <v>1.0</v>
      </c>
      <c r="K151" s="4">
        <v>0.0342</v>
      </c>
      <c r="L151" s="4">
        <v>0.843</v>
      </c>
      <c r="M151" s="4">
        <v>0.406</v>
      </c>
      <c r="N151" s="4">
        <v>0.133</v>
      </c>
      <c r="O151" s="4">
        <v>0.175</v>
      </c>
      <c r="P151" s="4">
        <v>104.311</v>
      </c>
      <c r="Q151" s="4">
        <v>4.0</v>
      </c>
    </row>
    <row r="152">
      <c r="A152" s="4" t="s">
        <v>317</v>
      </c>
      <c r="B152" s="4" t="s">
        <v>318</v>
      </c>
      <c r="C152" s="5">
        <v>37592.0</v>
      </c>
      <c r="D152" s="4">
        <v>245533.0</v>
      </c>
      <c r="E152" s="4">
        <v>50.0</v>
      </c>
      <c r="F152" s="4">
        <v>0.0829</v>
      </c>
      <c r="G152" s="4">
        <v>0.301</v>
      </c>
      <c r="H152" s="4">
        <v>7.0</v>
      </c>
      <c r="I152" s="4">
        <v>-14.301</v>
      </c>
      <c r="J152" s="4">
        <v>1.0</v>
      </c>
      <c r="K152" s="4">
        <v>0.0418</v>
      </c>
      <c r="L152" s="4">
        <v>0.746</v>
      </c>
      <c r="M152" s="4">
        <v>0.851</v>
      </c>
      <c r="N152" s="4">
        <v>0.112</v>
      </c>
      <c r="O152" s="4">
        <v>0.0752</v>
      </c>
      <c r="P152" s="4">
        <v>171.288</v>
      </c>
      <c r="Q152" s="4">
        <v>4.0</v>
      </c>
    </row>
    <row r="153">
      <c r="A153" s="4" t="s">
        <v>319</v>
      </c>
      <c r="B153" s="4" t="s">
        <v>320</v>
      </c>
      <c r="C153" s="5">
        <v>37592.0</v>
      </c>
      <c r="D153" s="4">
        <v>226000.0</v>
      </c>
      <c r="E153" s="4">
        <v>48.0</v>
      </c>
      <c r="F153" s="4">
        <v>0.0646</v>
      </c>
      <c r="G153" s="4">
        <v>0.0883</v>
      </c>
      <c r="H153" s="4">
        <v>7.0</v>
      </c>
      <c r="I153" s="4">
        <v>-20.109</v>
      </c>
      <c r="J153" s="4">
        <v>1.0</v>
      </c>
      <c r="K153" s="4">
        <v>0.0447</v>
      </c>
      <c r="L153" s="4">
        <v>0.805</v>
      </c>
      <c r="M153" s="4">
        <v>0.899</v>
      </c>
      <c r="N153" s="4">
        <v>0.117</v>
      </c>
      <c r="O153" s="4">
        <v>0.0376</v>
      </c>
      <c r="P153" s="4">
        <v>65.689</v>
      </c>
      <c r="Q153" s="4">
        <v>4.0</v>
      </c>
    </row>
    <row r="154">
      <c r="A154" s="4" t="s">
        <v>321</v>
      </c>
      <c r="B154" s="4" t="s">
        <v>322</v>
      </c>
      <c r="C154" s="5">
        <v>37214.0</v>
      </c>
      <c r="D154" s="4">
        <v>440800.0</v>
      </c>
      <c r="E154" s="4">
        <v>61.0</v>
      </c>
      <c r="F154" s="4">
        <v>0.131</v>
      </c>
      <c r="G154" s="4">
        <v>0.137</v>
      </c>
      <c r="H154" s="4">
        <v>2.0</v>
      </c>
      <c r="I154" s="4">
        <v>-20.553</v>
      </c>
      <c r="J154" s="4">
        <v>1.0</v>
      </c>
      <c r="K154" s="4">
        <v>0.0387</v>
      </c>
      <c r="L154" s="4">
        <v>0.934</v>
      </c>
      <c r="M154" s="4">
        <v>0.485</v>
      </c>
      <c r="N154" s="4">
        <v>0.087</v>
      </c>
      <c r="O154" s="4">
        <v>0.0465</v>
      </c>
      <c r="P154" s="4">
        <v>78.577</v>
      </c>
      <c r="Q154" s="4">
        <v>4.0</v>
      </c>
    </row>
    <row r="155">
      <c r="A155" s="4" t="s">
        <v>323</v>
      </c>
      <c r="B155" s="4" t="s">
        <v>324</v>
      </c>
      <c r="C155" s="5">
        <v>37592.0</v>
      </c>
      <c r="D155" s="4">
        <v>178493.0</v>
      </c>
      <c r="E155" s="4">
        <v>48.0</v>
      </c>
      <c r="F155" s="4">
        <v>0.115</v>
      </c>
      <c r="G155" s="4">
        <v>0.421</v>
      </c>
      <c r="H155" s="4">
        <v>2.0</v>
      </c>
      <c r="I155" s="4">
        <v>-14.503</v>
      </c>
      <c r="J155" s="4">
        <v>0.0</v>
      </c>
      <c r="K155" s="4">
        <v>0.0507</v>
      </c>
      <c r="L155" s="4">
        <v>0.754</v>
      </c>
      <c r="M155" s="4">
        <v>0.923</v>
      </c>
      <c r="N155" s="4">
        <v>0.119</v>
      </c>
      <c r="O155" s="4">
        <v>0.207</v>
      </c>
      <c r="P155" s="4">
        <v>84.198</v>
      </c>
      <c r="Q155" s="4">
        <v>3.0</v>
      </c>
    </row>
    <row r="156">
      <c r="A156" s="4" t="s">
        <v>325</v>
      </c>
      <c r="B156" s="4" t="s">
        <v>326</v>
      </c>
      <c r="C156" s="5">
        <v>38353.0</v>
      </c>
      <c r="D156" s="4">
        <v>255718.0</v>
      </c>
      <c r="E156" s="4">
        <v>48.0</v>
      </c>
      <c r="F156" s="4">
        <v>0.717</v>
      </c>
      <c r="G156" s="4">
        <v>0.965</v>
      </c>
      <c r="H156" s="4">
        <v>8.0</v>
      </c>
      <c r="I156" s="4">
        <v>-3.506</v>
      </c>
      <c r="J156" s="4">
        <v>0.0</v>
      </c>
      <c r="K156" s="4">
        <v>0.0457</v>
      </c>
      <c r="L156" s="4">
        <v>1.16E-4</v>
      </c>
      <c r="M156" s="4">
        <v>0.525</v>
      </c>
      <c r="N156" s="4">
        <v>0.0939</v>
      </c>
      <c r="O156" s="4">
        <v>0.741</v>
      </c>
      <c r="P156" s="4">
        <v>98.976</v>
      </c>
      <c r="Q156" s="4">
        <v>4.0</v>
      </c>
    </row>
    <row r="157">
      <c r="A157" s="4" t="s">
        <v>327</v>
      </c>
      <c r="B157" s="4" t="s">
        <v>328</v>
      </c>
      <c r="C157" s="5">
        <v>42601.0</v>
      </c>
      <c r="D157" s="4">
        <v>209880.0</v>
      </c>
      <c r="E157" s="4">
        <v>40.0</v>
      </c>
      <c r="F157" s="4">
        <v>0.101</v>
      </c>
      <c r="G157" s="4">
        <v>0.362</v>
      </c>
      <c r="H157" s="4">
        <v>9.0</v>
      </c>
      <c r="I157" s="4">
        <v>-8.879</v>
      </c>
      <c r="J157" s="4">
        <v>0.0</v>
      </c>
      <c r="K157" s="4">
        <v>0.0388</v>
      </c>
      <c r="L157" s="4">
        <v>0.754</v>
      </c>
      <c r="M157" s="4">
        <v>0.44</v>
      </c>
      <c r="N157" s="4">
        <v>0.0907</v>
      </c>
      <c r="O157" s="4">
        <v>0.0387</v>
      </c>
      <c r="P157" s="4">
        <v>66.78</v>
      </c>
      <c r="Q157" s="4">
        <v>4.0</v>
      </c>
    </row>
    <row r="158">
      <c r="A158" s="4" t="s">
        <v>329</v>
      </c>
      <c r="B158" s="4" t="s">
        <v>330</v>
      </c>
      <c r="C158" s="4">
        <v>1963.0</v>
      </c>
      <c r="D158" s="4">
        <v>198320.0</v>
      </c>
      <c r="E158" s="4">
        <v>54.0</v>
      </c>
      <c r="F158" s="4">
        <v>0.556</v>
      </c>
      <c r="G158" s="4">
        <v>0.547</v>
      </c>
      <c r="H158" s="4">
        <v>9.0</v>
      </c>
      <c r="I158" s="4">
        <v>-13.264</v>
      </c>
      <c r="J158" s="4">
        <v>1.0</v>
      </c>
      <c r="K158" s="4">
        <v>0.0284</v>
      </c>
      <c r="L158" s="4">
        <v>0.0597</v>
      </c>
      <c r="M158" s="4">
        <v>0.788</v>
      </c>
      <c r="N158" s="4">
        <v>0.107</v>
      </c>
      <c r="O158" s="4">
        <v>0.817</v>
      </c>
      <c r="P158" s="4">
        <v>141.437</v>
      </c>
      <c r="Q158" s="4">
        <v>4.0</v>
      </c>
    </row>
    <row r="159">
      <c r="A159" s="4" t="s">
        <v>331</v>
      </c>
      <c r="B159" s="4" t="s">
        <v>332</v>
      </c>
      <c r="C159" s="5">
        <v>36802.0</v>
      </c>
      <c r="D159" s="4">
        <v>234400.0</v>
      </c>
      <c r="E159" s="4">
        <v>55.0</v>
      </c>
      <c r="F159" s="4">
        <v>0.38</v>
      </c>
      <c r="G159" s="4">
        <v>0.246</v>
      </c>
      <c r="H159" s="4">
        <v>7.0</v>
      </c>
      <c r="I159" s="4">
        <v>-13.955</v>
      </c>
      <c r="J159" s="4">
        <v>0.0</v>
      </c>
      <c r="K159" s="4">
        <v>0.0329</v>
      </c>
      <c r="L159" s="4">
        <v>0.872</v>
      </c>
      <c r="M159" s="4">
        <v>0.905</v>
      </c>
      <c r="N159" s="4">
        <v>0.084</v>
      </c>
      <c r="O159" s="4">
        <v>0.0573</v>
      </c>
      <c r="P159" s="4">
        <v>133.805</v>
      </c>
      <c r="Q159" s="4">
        <v>4.0</v>
      </c>
    </row>
    <row r="160">
      <c r="A160" s="4" t="s">
        <v>333</v>
      </c>
      <c r="B160" s="4" t="s">
        <v>334</v>
      </c>
      <c r="C160" s="5">
        <v>37369.0</v>
      </c>
      <c r="D160" s="4">
        <v>333346.0</v>
      </c>
      <c r="E160" s="4">
        <v>58.0</v>
      </c>
      <c r="F160" s="4">
        <v>0.116</v>
      </c>
      <c r="G160" s="4">
        <v>0.13</v>
      </c>
      <c r="H160" s="4">
        <v>0.0</v>
      </c>
      <c r="I160" s="4">
        <v>-18.278</v>
      </c>
      <c r="J160" s="4">
        <v>1.0</v>
      </c>
      <c r="K160" s="4">
        <v>0.0355</v>
      </c>
      <c r="L160" s="4">
        <v>0.774</v>
      </c>
      <c r="M160" s="4">
        <v>0.914</v>
      </c>
      <c r="N160" s="4">
        <v>0.111</v>
      </c>
      <c r="O160" s="4">
        <v>0.0666</v>
      </c>
      <c r="P160" s="4">
        <v>80.611</v>
      </c>
      <c r="Q160" s="4">
        <v>4.0</v>
      </c>
    </row>
    <row r="161">
      <c r="A161" s="4" t="s">
        <v>335</v>
      </c>
      <c r="B161" s="4" t="s">
        <v>336</v>
      </c>
      <c r="C161" s="5">
        <v>39031.0</v>
      </c>
      <c r="D161" s="4">
        <v>505600.0</v>
      </c>
      <c r="E161" s="4">
        <v>43.0</v>
      </c>
      <c r="F161" s="4">
        <v>0.187</v>
      </c>
      <c r="G161" s="4">
        <v>0.411</v>
      </c>
      <c r="H161" s="4">
        <v>2.0</v>
      </c>
      <c r="I161" s="4">
        <v>-12.058</v>
      </c>
      <c r="J161" s="4">
        <v>0.0</v>
      </c>
      <c r="K161" s="4">
        <v>0.0358</v>
      </c>
      <c r="L161" s="4">
        <v>0.606</v>
      </c>
      <c r="M161" s="4">
        <v>0.877</v>
      </c>
      <c r="N161" s="4">
        <v>0.0975</v>
      </c>
      <c r="O161" s="4">
        <v>0.0763</v>
      </c>
      <c r="P161" s="4">
        <v>110.6</v>
      </c>
      <c r="Q161" s="4">
        <v>4.0</v>
      </c>
    </row>
    <row r="162">
      <c r="A162" s="4" t="s">
        <v>337</v>
      </c>
      <c r="B162" s="4" t="s">
        <v>338</v>
      </c>
      <c r="C162" s="5">
        <v>37963.0</v>
      </c>
      <c r="D162" s="4">
        <v>304000.0</v>
      </c>
      <c r="E162" s="4">
        <v>40.0</v>
      </c>
      <c r="F162" s="4">
        <v>0.0719</v>
      </c>
      <c r="G162" s="4">
        <v>0.261</v>
      </c>
      <c r="H162" s="4">
        <v>10.0</v>
      </c>
      <c r="I162" s="4">
        <v>-19.301</v>
      </c>
      <c r="J162" s="4">
        <v>1.0</v>
      </c>
      <c r="K162" s="4">
        <v>0.05</v>
      </c>
      <c r="L162" s="4">
        <v>0.545</v>
      </c>
      <c r="M162" s="4">
        <v>0.907</v>
      </c>
      <c r="N162" s="4">
        <v>0.11</v>
      </c>
      <c r="O162" s="4">
        <v>0.0398</v>
      </c>
      <c r="P162" s="4">
        <v>77.148</v>
      </c>
      <c r="Q162" s="4">
        <v>1.0</v>
      </c>
    </row>
    <row r="163">
      <c r="A163" s="4" t="s">
        <v>339</v>
      </c>
      <c r="B163" s="4" t="s">
        <v>340</v>
      </c>
      <c r="C163" s="5">
        <v>42921.0</v>
      </c>
      <c r="D163" s="4">
        <v>335026.0</v>
      </c>
      <c r="E163" s="4">
        <v>8.0</v>
      </c>
      <c r="F163" s="4">
        <v>0.266</v>
      </c>
      <c r="G163" s="4">
        <v>0.404</v>
      </c>
      <c r="H163" s="4">
        <v>2.0</v>
      </c>
      <c r="I163" s="4">
        <v>-16.671</v>
      </c>
      <c r="J163" s="4">
        <v>0.0</v>
      </c>
      <c r="K163" s="4">
        <v>0.0459</v>
      </c>
      <c r="L163" s="4">
        <v>0.921</v>
      </c>
      <c r="M163" s="4">
        <v>0.934</v>
      </c>
      <c r="N163" s="4">
        <v>0.252</v>
      </c>
      <c r="O163" s="4">
        <v>0.267</v>
      </c>
      <c r="P163" s="4">
        <v>130.91</v>
      </c>
      <c r="Q163" s="4">
        <v>4.0</v>
      </c>
    </row>
    <row r="164">
      <c r="A164" s="4" t="s">
        <v>341</v>
      </c>
      <c r="B164" s="4" t="s">
        <v>342</v>
      </c>
      <c r="C164" s="5">
        <v>36115.0</v>
      </c>
      <c r="D164" s="4">
        <v>310733.0</v>
      </c>
      <c r="E164" s="4">
        <v>31.0</v>
      </c>
      <c r="F164" s="4">
        <v>0.338</v>
      </c>
      <c r="G164" s="4">
        <v>0.103</v>
      </c>
      <c r="H164" s="4">
        <v>1.0</v>
      </c>
      <c r="I164" s="4">
        <v>-21.472</v>
      </c>
      <c r="J164" s="4">
        <v>0.0</v>
      </c>
      <c r="K164" s="4">
        <v>0.0315</v>
      </c>
      <c r="L164" s="4">
        <v>0.798</v>
      </c>
      <c r="M164" s="4">
        <v>0.00129</v>
      </c>
      <c r="N164" s="4">
        <v>0.124</v>
      </c>
      <c r="O164" s="4">
        <v>0.04</v>
      </c>
      <c r="P164" s="4">
        <v>98.531</v>
      </c>
      <c r="Q164" s="4">
        <v>4.0</v>
      </c>
    </row>
    <row r="165">
      <c r="A165" s="4" t="s">
        <v>343</v>
      </c>
      <c r="B165" s="4" t="s">
        <v>344</v>
      </c>
      <c r="C165" s="5">
        <v>39020.0</v>
      </c>
      <c r="D165" s="4">
        <v>325200.0</v>
      </c>
      <c r="E165" s="4">
        <v>8.0</v>
      </c>
      <c r="F165" s="4">
        <v>0.282</v>
      </c>
      <c r="G165" s="4">
        <v>0.522</v>
      </c>
      <c r="H165" s="4">
        <v>4.0</v>
      </c>
      <c r="I165" s="4">
        <v>-4.865</v>
      </c>
      <c r="J165" s="4">
        <v>1.0</v>
      </c>
      <c r="K165" s="4">
        <v>0.0318</v>
      </c>
      <c r="L165" s="4">
        <v>0.764</v>
      </c>
      <c r="M165" s="4">
        <v>0.0713</v>
      </c>
      <c r="N165" s="4">
        <v>0.289</v>
      </c>
      <c r="O165" s="4">
        <v>0.435</v>
      </c>
      <c r="P165" s="4">
        <v>177.844</v>
      </c>
      <c r="Q165" s="4">
        <v>4.0</v>
      </c>
    </row>
    <row r="166">
      <c r="A166" s="4" t="s">
        <v>345</v>
      </c>
      <c r="B166" s="4" t="s">
        <v>346</v>
      </c>
      <c r="C166" s="5">
        <v>40969.0</v>
      </c>
      <c r="D166" s="4">
        <v>204386.0</v>
      </c>
      <c r="E166" s="4">
        <v>29.0</v>
      </c>
      <c r="F166" s="4">
        <v>0.15</v>
      </c>
      <c r="G166" s="4">
        <v>0.0391</v>
      </c>
      <c r="H166" s="4">
        <v>1.0</v>
      </c>
      <c r="I166" s="4">
        <v>-21.669</v>
      </c>
      <c r="J166" s="4">
        <v>1.0</v>
      </c>
      <c r="K166" s="4">
        <v>0.038</v>
      </c>
      <c r="L166" s="4">
        <v>0.965</v>
      </c>
      <c r="M166" s="4">
        <v>0.938</v>
      </c>
      <c r="N166" s="4">
        <v>0.12</v>
      </c>
      <c r="O166" s="4">
        <v>0.0365</v>
      </c>
      <c r="P166" s="4">
        <v>65.602</v>
      </c>
      <c r="Q166" s="4">
        <v>4.0</v>
      </c>
    </row>
    <row r="167">
      <c r="A167" s="4" t="s">
        <v>347</v>
      </c>
      <c r="B167" s="4" t="s">
        <v>348</v>
      </c>
      <c r="C167" s="4">
        <v>1995.0</v>
      </c>
      <c r="D167" s="4">
        <v>269093.0</v>
      </c>
      <c r="E167" s="4">
        <v>17.0</v>
      </c>
      <c r="F167" s="4">
        <v>0.413</v>
      </c>
      <c r="G167" s="4">
        <v>0.0983</v>
      </c>
      <c r="H167" s="4">
        <v>2.0</v>
      </c>
      <c r="I167" s="4">
        <v>-24.519</v>
      </c>
      <c r="J167" s="4">
        <v>1.0</v>
      </c>
      <c r="K167" s="4">
        <v>0.044</v>
      </c>
      <c r="L167" s="4">
        <v>0.974</v>
      </c>
      <c r="M167" s="4">
        <v>0.926</v>
      </c>
      <c r="N167" s="4">
        <v>0.109</v>
      </c>
      <c r="O167" s="4">
        <v>0.283</v>
      </c>
      <c r="P167" s="4">
        <v>97.35</v>
      </c>
      <c r="Q167" s="4">
        <v>3.0</v>
      </c>
    </row>
    <row r="168">
      <c r="A168" s="4" t="s">
        <v>349</v>
      </c>
      <c r="B168" s="4" t="s">
        <v>350</v>
      </c>
      <c r="C168" s="5">
        <v>38993.0</v>
      </c>
      <c r="D168" s="4">
        <v>296800.0</v>
      </c>
      <c r="E168" s="4">
        <v>41.0</v>
      </c>
      <c r="F168" s="4">
        <v>0.593</v>
      </c>
      <c r="G168" s="4">
        <v>0.868</v>
      </c>
      <c r="H168" s="4">
        <v>9.0</v>
      </c>
      <c r="I168" s="4">
        <v>-8.464</v>
      </c>
      <c r="J168" s="4">
        <v>0.0</v>
      </c>
      <c r="K168" s="4">
        <v>0.041</v>
      </c>
      <c r="L168" s="4">
        <v>0.835</v>
      </c>
      <c r="M168" s="4">
        <v>0.922</v>
      </c>
      <c r="N168" s="4">
        <v>0.0937</v>
      </c>
      <c r="O168" s="4">
        <v>0.936</v>
      </c>
      <c r="P168" s="4">
        <v>138.535</v>
      </c>
      <c r="Q168" s="4">
        <v>4.0</v>
      </c>
    </row>
    <row r="169">
      <c r="A169" s="4" t="s">
        <v>351</v>
      </c>
      <c r="B169" s="4" t="s">
        <v>352</v>
      </c>
      <c r="C169" s="5">
        <v>38993.0</v>
      </c>
      <c r="D169" s="4">
        <v>205800.0</v>
      </c>
      <c r="E169" s="4">
        <v>47.0</v>
      </c>
      <c r="F169" s="4">
        <v>0.596</v>
      </c>
      <c r="G169" s="4">
        <v>0.904</v>
      </c>
      <c r="H169" s="4">
        <v>7.0</v>
      </c>
      <c r="I169" s="4">
        <v>-7.458</v>
      </c>
      <c r="J169" s="4">
        <v>1.0</v>
      </c>
      <c r="K169" s="4">
        <v>0.0352</v>
      </c>
      <c r="L169" s="4">
        <v>0.797</v>
      </c>
      <c r="M169" s="4">
        <v>0.823</v>
      </c>
      <c r="N169" s="4">
        <v>0.1</v>
      </c>
      <c r="O169" s="4">
        <v>0.971</v>
      </c>
      <c r="P169" s="4">
        <v>128.498</v>
      </c>
      <c r="Q169" s="4">
        <v>4.0</v>
      </c>
    </row>
    <row r="170">
      <c r="A170" s="4" t="s">
        <v>353</v>
      </c>
      <c r="B170" s="4" t="s">
        <v>354</v>
      </c>
      <c r="C170" s="5">
        <v>42430.0</v>
      </c>
      <c r="D170" s="4">
        <v>245946.0</v>
      </c>
      <c r="E170" s="4">
        <v>32.0</v>
      </c>
      <c r="F170" s="4">
        <v>0.458</v>
      </c>
      <c r="G170" s="4">
        <v>0.197</v>
      </c>
      <c r="H170" s="4">
        <v>9.0</v>
      </c>
      <c r="I170" s="4">
        <v>-21.578</v>
      </c>
      <c r="J170" s="4">
        <v>0.0</v>
      </c>
      <c r="K170" s="4">
        <v>0.0701</v>
      </c>
      <c r="L170" s="4">
        <v>0.954</v>
      </c>
      <c r="M170" s="4">
        <v>0.755</v>
      </c>
      <c r="N170" s="4">
        <v>0.113</v>
      </c>
      <c r="O170" s="4">
        <v>0.262</v>
      </c>
      <c r="P170" s="4">
        <v>133.399</v>
      </c>
      <c r="Q170" s="4">
        <v>1.0</v>
      </c>
    </row>
    <row r="171">
      <c r="A171" s="4" t="s">
        <v>355</v>
      </c>
      <c r="B171" s="4" t="s">
        <v>356</v>
      </c>
      <c r="C171" s="5">
        <v>40416.0</v>
      </c>
      <c r="D171" s="4">
        <v>307800.0</v>
      </c>
      <c r="E171" s="4">
        <v>14.0</v>
      </c>
      <c r="F171" s="4">
        <v>0.253</v>
      </c>
      <c r="G171" s="4">
        <v>0.22</v>
      </c>
      <c r="H171" s="4">
        <v>0.0</v>
      </c>
      <c r="I171" s="4">
        <v>-20.364</v>
      </c>
      <c r="J171" s="4">
        <v>1.0</v>
      </c>
      <c r="K171" s="4">
        <v>0.0497</v>
      </c>
      <c r="L171" s="4">
        <v>0.975</v>
      </c>
      <c r="M171" s="4">
        <v>0.913</v>
      </c>
      <c r="N171" s="4">
        <v>0.0786</v>
      </c>
      <c r="O171" s="4">
        <v>0.0767</v>
      </c>
      <c r="P171" s="4">
        <v>125.147</v>
      </c>
      <c r="Q171" s="4">
        <v>3.0</v>
      </c>
    </row>
    <row r="172">
      <c r="A172" s="4" t="s">
        <v>357</v>
      </c>
      <c r="B172" s="4" t="s">
        <v>358</v>
      </c>
      <c r="C172" s="5">
        <v>39083.0</v>
      </c>
      <c r="D172" s="4">
        <v>260880.0</v>
      </c>
      <c r="E172" s="4">
        <v>6.0</v>
      </c>
      <c r="F172" s="4">
        <v>0.192</v>
      </c>
      <c r="G172" s="4">
        <v>0.242</v>
      </c>
      <c r="H172" s="4">
        <v>0.0</v>
      </c>
      <c r="I172" s="4">
        <v>-13.112</v>
      </c>
      <c r="J172" s="4">
        <v>1.0</v>
      </c>
      <c r="K172" s="4">
        <v>0.0367</v>
      </c>
      <c r="L172" s="4">
        <v>0.494</v>
      </c>
      <c r="M172" s="4">
        <v>0.754</v>
      </c>
      <c r="N172" s="4">
        <v>0.134</v>
      </c>
      <c r="O172" s="4">
        <v>0.307</v>
      </c>
      <c r="P172" s="4">
        <v>74.493</v>
      </c>
      <c r="Q172" s="4">
        <v>4.0</v>
      </c>
    </row>
    <row r="173">
      <c r="A173" s="4" t="s">
        <v>359</v>
      </c>
      <c r="B173" s="4" t="s">
        <v>360</v>
      </c>
      <c r="C173" s="5">
        <v>38621.0</v>
      </c>
      <c r="D173" s="4">
        <v>504973.0</v>
      </c>
      <c r="E173" s="4">
        <v>18.0</v>
      </c>
      <c r="F173" s="4">
        <v>0.404</v>
      </c>
      <c r="G173" s="4">
        <v>0.518</v>
      </c>
      <c r="H173" s="4">
        <v>8.0</v>
      </c>
      <c r="I173" s="4">
        <v>-12.535</v>
      </c>
      <c r="J173" s="4">
        <v>1.0</v>
      </c>
      <c r="K173" s="4">
        <v>0.0324</v>
      </c>
      <c r="L173" s="4">
        <v>0.665</v>
      </c>
      <c r="M173" s="4">
        <v>0.936</v>
      </c>
      <c r="N173" s="4">
        <v>0.109</v>
      </c>
      <c r="O173" s="4">
        <v>0.31</v>
      </c>
      <c r="P173" s="4">
        <v>82.616</v>
      </c>
      <c r="Q173" s="4">
        <v>4.0</v>
      </c>
    </row>
    <row r="174">
      <c r="A174" s="4" t="s">
        <v>361</v>
      </c>
      <c r="B174" s="4" t="s">
        <v>362</v>
      </c>
      <c r="C174" s="5">
        <v>43766.0</v>
      </c>
      <c r="D174" s="4">
        <v>101386.0</v>
      </c>
      <c r="E174" s="4">
        <v>52.0</v>
      </c>
      <c r="F174" s="4">
        <v>0.389</v>
      </c>
      <c r="G174" s="4">
        <v>0.127</v>
      </c>
      <c r="H174" s="4">
        <v>7.0</v>
      </c>
      <c r="I174" s="4">
        <v>-16.157</v>
      </c>
      <c r="J174" s="4">
        <v>0.0</v>
      </c>
      <c r="K174" s="4">
        <v>0.0392</v>
      </c>
      <c r="L174" s="4">
        <v>0.99</v>
      </c>
      <c r="M174" s="4">
        <v>0.958</v>
      </c>
      <c r="N174" s="4">
        <v>0.111</v>
      </c>
      <c r="O174" s="4">
        <v>0.0807</v>
      </c>
      <c r="P174" s="4">
        <v>74.023</v>
      </c>
      <c r="Q174" s="4">
        <v>1.0</v>
      </c>
    </row>
    <row r="175">
      <c r="A175" s="4" t="s">
        <v>363</v>
      </c>
      <c r="B175" s="4" t="s">
        <v>364</v>
      </c>
      <c r="C175" s="5">
        <v>39252.0</v>
      </c>
      <c r="D175" s="4">
        <v>574000.0</v>
      </c>
      <c r="E175" s="4">
        <v>44.0</v>
      </c>
      <c r="F175" s="4">
        <v>0.318</v>
      </c>
      <c r="G175" s="4">
        <v>0.479</v>
      </c>
      <c r="H175" s="4">
        <v>4.0</v>
      </c>
      <c r="I175" s="4">
        <v>-13.336</v>
      </c>
      <c r="J175" s="4">
        <v>1.0</v>
      </c>
      <c r="K175" s="4">
        <v>0.0313</v>
      </c>
      <c r="L175" s="4">
        <v>0.0186</v>
      </c>
      <c r="M175" s="4">
        <v>0.682</v>
      </c>
      <c r="N175" s="4">
        <v>0.268</v>
      </c>
      <c r="O175" s="4">
        <v>0.057</v>
      </c>
      <c r="P175" s="4">
        <v>119.534</v>
      </c>
      <c r="Q175" s="4">
        <v>4.0</v>
      </c>
    </row>
    <row r="176">
      <c r="A176" s="4" t="s">
        <v>365</v>
      </c>
      <c r="B176" s="4" t="s">
        <v>366</v>
      </c>
      <c r="C176" s="4">
        <v>1987.0</v>
      </c>
      <c r="D176" s="4">
        <v>202533.0</v>
      </c>
      <c r="E176" s="4">
        <v>53.0</v>
      </c>
      <c r="F176" s="4">
        <v>0.575</v>
      </c>
      <c r="G176" s="4">
        <v>0.295</v>
      </c>
      <c r="H176" s="4">
        <v>11.0</v>
      </c>
      <c r="I176" s="4">
        <v>-12.584</v>
      </c>
      <c r="J176" s="4">
        <v>1.0</v>
      </c>
      <c r="K176" s="4">
        <v>0.0326</v>
      </c>
      <c r="L176" s="4">
        <v>0.484</v>
      </c>
      <c r="M176" s="4">
        <v>0.703</v>
      </c>
      <c r="N176" s="4">
        <v>0.0639</v>
      </c>
      <c r="O176" s="4">
        <v>0.394</v>
      </c>
      <c r="P176" s="4">
        <v>144.366</v>
      </c>
      <c r="Q176" s="4">
        <v>3.0</v>
      </c>
    </row>
    <row r="177">
      <c r="A177" s="4" t="s">
        <v>367</v>
      </c>
      <c r="B177" s="4" t="s">
        <v>368</v>
      </c>
      <c r="C177" s="5">
        <v>41951.0</v>
      </c>
      <c r="D177" s="4">
        <v>248120.0</v>
      </c>
      <c r="E177" s="4">
        <v>12.0</v>
      </c>
      <c r="F177" s="4">
        <v>0.429</v>
      </c>
      <c r="G177" s="4">
        <v>0.3</v>
      </c>
      <c r="H177" s="4">
        <v>2.0</v>
      </c>
      <c r="I177" s="4">
        <v>-10.638</v>
      </c>
      <c r="J177" s="4">
        <v>0.0</v>
      </c>
      <c r="K177" s="4">
        <v>0.0347</v>
      </c>
      <c r="L177" s="4">
        <v>0.669</v>
      </c>
      <c r="M177" s="4">
        <v>0.888</v>
      </c>
      <c r="N177" s="4">
        <v>0.113</v>
      </c>
      <c r="O177" s="4">
        <v>0.247</v>
      </c>
      <c r="P177" s="4">
        <v>102.438</v>
      </c>
      <c r="Q177" s="4">
        <v>4.0</v>
      </c>
    </row>
    <row r="178">
      <c r="A178" s="4" t="s">
        <v>369</v>
      </c>
      <c r="B178" s="4" t="s">
        <v>370</v>
      </c>
      <c r="C178" s="4">
        <v>1995.0</v>
      </c>
      <c r="D178" s="4">
        <v>542466.0</v>
      </c>
      <c r="E178" s="4">
        <v>9.0</v>
      </c>
      <c r="F178" s="4">
        <v>0.182</v>
      </c>
      <c r="G178" s="4">
        <v>0.164</v>
      </c>
      <c r="H178" s="4">
        <v>7.0</v>
      </c>
      <c r="I178" s="4">
        <v>-15.006</v>
      </c>
      <c r="J178" s="4">
        <v>0.0</v>
      </c>
      <c r="K178" s="4">
        <v>0.0372</v>
      </c>
      <c r="L178" s="4">
        <v>0.877</v>
      </c>
      <c r="M178" s="4">
        <v>0.623</v>
      </c>
      <c r="N178" s="4">
        <v>0.164</v>
      </c>
      <c r="O178" s="4">
        <v>0.168</v>
      </c>
      <c r="P178" s="4">
        <v>83.193</v>
      </c>
      <c r="Q178" s="4">
        <v>3.0</v>
      </c>
    </row>
    <row r="179">
      <c r="A179" s="4" t="s">
        <v>371</v>
      </c>
      <c r="B179" s="4" t="s">
        <v>372</v>
      </c>
      <c r="C179" s="5">
        <v>43942.0</v>
      </c>
      <c r="D179" s="4">
        <v>146146.0</v>
      </c>
      <c r="E179" s="4">
        <v>9.0</v>
      </c>
      <c r="F179" s="4">
        <v>0.5</v>
      </c>
      <c r="G179" s="4">
        <v>0.362</v>
      </c>
      <c r="H179" s="4">
        <v>0.0</v>
      </c>
      <c r="I179" s="4">
        <v>-8.475</v>
      </c>
      <c r="J179" s="4">
        <v>1.0</v>
      </c>
      <c r="K179" s="4">
        <v>0.0345</v>
      </c>
      <c r="L179" s="4">
        <v>0.438</v>
      </c>
      <c r="M179" s="4">
        <v>0.831</v>
      </c>
      <c r="N179" s="4">
        <v>0.096</v>
      </c>
      <c r="O179" s="4">
        <v>0.581</v>
      </c>
      <c r="P179" s="4">
        <v>116.28</v>
      </c>
      <c r="Q179" s="4">
        <v>3.0</v>
      </c>
    </row>
    <row r="180">
      <c r="A180" s="4" t="s">
        <v>373</v>
      </c>
      <c r="B180" s="4" t="s">
        <v>374</v>
      </c>
      <c r="C180" s="4">
        <v>1958.0</v>
      </c>
      <c r="D180" s="4">
        <v>505453.0</v>
      </c>
      <c r="E180" s="4">
        <v>53.0</v>
      </c>
      <c r="F180" s="4">
        <v>0.616</v>
      </c>
      <c r="G180" s="4">
        <v>0.434</v>
      </c>
      <c r="H180" s="4">
        <v>5.0</v>
      </c>
      <c r="I180" s="4">
        <v>-7.257</v>
      </c>
      <c r="J180" s="4">
        <v>0.0</v>
      </c>
      <c r="K180" s="4">
        <v>0.031</v>
      </c>
      <c r="L180" s="4">
        <v>0.581</v>
      </c>
      <c r="M180" s="4">
        <v>0.0</v>
      </c>
      <c r="N180" s="4">
        <v>0.131</v>
      </c>
      <c r="O180" s="4">
        <v>0.404</v>
      </c>
      <c r="P180" s="4">
        <v>108.467</v>
      </c>
      <c r="Q180" s="4">
        <v>4.0</v>
      </c>
    </row>
    <row r="181">
      <c r="A181" s="4" t="s">
        <v>375</v>
      </c>
      <c r="B181" s="4" t="s">
        <v>376</v>
      </c>
      <c r="C181" s="5">
        <v>36526.0</v>
      </c>
      <c r="D181" s="4">
        <v>307626.0</v>
      </c>
      <c r="E181" s="4">
        <v>41.0</v>
      </c>
      <c r="F181" s="4">
        <v>0.502</v>
      </c>
      <c r="G181" s="4">
        <v>0.312</v>
      </c>
      <c r="H181" s="4">
        <v>1.0</v>
      </c>
      <c r="I181" s="4">
        <v>-12.822</v>
      </c>
      <c r="J181" s="4">
        <v>1.0</v>
      </c>
      <c r="K181" s="4">
        <v>0.122</v>
      </c>
      <c r="L181" s="4">
        <v>0.724</v>
      </c>
      <c r="M181" s="4">
        <v>0.00453</v>
      </c>
      <c r="N181" s="4">
        <v>0.0839</v>
      </c>
      <c r="O181" s="4">
        <v>0.544</v>
      </c>
      <c r="P181" s="4">
        <v>169.891</v>
      </c>
      <c r="Q181" s="4">
        <v>4.0</v>
      </c>
    </row>
    <row r="182">
      <c r="A182" s="4" t="s">
        <v>377</v>
      </c>
      <c r="B182" s="4" t="s">
        <v>378</v>
      </c>
      <c r="C182" s="4">
        <v>1959.0</v>
      </c>
      <c r="D182" s="4">
        <v>492760.0</v>
      </c>
      <c r="E182" s="4">
        <v>39.0</v>
      </c>
      <c r="F182" s="4">
        <v>0.518</v>
      </c>
      <c r="G182" s="4">
        <v>0.159</v>
      </c>
      <c r="H182" s="4">
        <v>5.0</v>
      </c>
      <c r="I182" s="4">
        <v>-16.645</v>
      </c>
      <c r="J182" s="4">
        <v>0.0</v>
      </c>
      <c r="K182" s="4">
        <v>0.06</v>
      </c>
      <c r="L182" s="4">
        <v>0.457</v>
      </c>
      <c r="M182" s="4">
        <v>0.0724</v>
      </c>
      <c r="N182" s="4">
        <v>0.175</v>
      </c>
      <c r="O182" s="4">
        <v>0.351</v>
      </c>
      <c r="P182" s="4">
        <v>63.841</v>
      </c>
      <c r="Q182" s="4">
        <v>4.0</v>
      </c>
    </row>
    <row r="183">
      <c r="A183" s="4" t="s">
        <v>379</v>
      </c>
      <c r="B183" s="4" t="s">
        <v>380</v>
      </c>
      <c r="C183" s="4">
        <v>2018.0</v>
      </c>
      <c r="D183" s="4">
        <v>560386.0</v>
      </c>
      <c r="E183" s="4">
        <v>22.0</v>
      </c>
      <c r="F183" s="4">
        <v>0.479</v>
      </c>
      <c r="G183" s="4">
        <v>0.548</v>
      </c>
      <c r="H183" s="4">
        <v>11.0</v>
      </c>
      <c r="I183" s="4">
        <v>-14.931</v>
      </c>
      <c r="J183" s="4">
        <v>1.0</v>
      </c>
      <c r="K183" s="4">
        <v>0.0378</v>
      </c>
      <c r="L183" s="4">
        <v>0.583</v>
      </c>
      <c r="M183" s="4">
        <v>0.875</v>
      </c>
      <c r="N183" s="4">
        <v>0.682</v>
      </c>
      <c r="O183" s="4">
        <v>0.589</v>
      </c>
      <c r="P183" s="4">
        <v>127.305</v>
      </c>
      <c r="Q183" s="4">
        <v>4.0</v>
      </c>
    </row>
    <row r="184">
      <c r="A184" s="4" t="s">
        <v>381</v>
      </c>
      <c r="B184" s="4" t="s">
        <v>382</v>
      </c>
      <c r="C184" s="4">
        <v>2001.0</v>
      </c>
      <c r="D184" s="4">
        <v>325226.0</v>
      </c>
      <c r="E184" s="4">
        <v>17.0</v>
      </c>
      <c r="F184" s="4">
        <v>0.371</v>
      </c>
      <c r="G184" s="4">
        <v>0.383</v>
      </c>
      <c r="H184" s="4">
        <v>2.0</v>
      </c>
      <c r="I184" s="4">
        <v>-9.478</v>
      </c>
      <c r="J184" s="4">
        <v>1.0</v>
      </c>
      <c r="K184" s="4">
        <v>0.0261</v>
      </c>
      <c r="L184" s="4">
        <v>0.643</v>
      </c>
      <c r="M184" s="6">
        <v>6.02E-5</v>
      </c>
      <c r="N184" s="4">
        <v>0.089</v>
      </c>
      <c r="O184" s="4">
        <v>0.247</v>
      </c>
      <c r="P184" s="4">
        <v>109.372</v>
      </c>
      <c r="Q184" s="4">
        <v>4.0</v>
      </c>
    </row>
    <row r="185">
      <c r="A185" s="4" t="s">
        <v>383</v>
      </c>
      <c r="B185" s="4" t="s">
        <v>384</v>
      </c>
      <c r="C185" s="5">
        <v>37747.0</v>
      </c>
      <c r="D185" s="4">
        <v>187626.0</v>
      </c>
      <c r="E185" s="4">
        <v>13.0</v>
      </c>
      <c r="F185" s="4">
        <v>0.582</v>
      </c>
      <c r="G185" s="4">
        <v>0.82</v>
      </c>
      <c r="H185" s="4">
        <v>8.0</v>
      </c>
      <c r="I185" s="4">
        <v>-7.313</v>
      </c>
      <c r="J185" s="4">
        <v>0.0</v>
      </c>
      <c r="K185" s="4">
        <v>0.04</v>
      </c>
      <c r="L185" s="4">
        <v>0.00743</v>
      </c>
      <c r="M185" s="4">
        <v>0.86</v>
      </c>
      <c r="N185" s="4">
        <v>0.146</v>
      </c>
      <c r="O185" s="4">
        <v>0.796</v>
      </c>
      <c r="P185" s="4">
        <v>101.022</v>
      </c>
      <c r="Q185" s="4">
        <v>4.0</v>
      </c>
    </row>
    <row r="186">
      <c r="A186" s="4" t="s">
        <v>385</v>
      </c>
      <c r="B186" s="4" t="s">
        <v>386</v>
      </c>
      <c r="C186" s="5">
        <v>36526.0</v>
      </c>
      <c r="D186" s="4">
        <v>487706.0</v>
      </c>
      <c r="E186" s="4">
        <v>25.0</v>
      </c>
      <c r="F186" s="4">
        <v>0.607</v>
      </c>
      <c r="G186" s="4">
        <v>0.414</v>
      </c>
      <c r="H186" s="4">
        <v>8.0</v>
      </c>
      <c r="I186" s="4">
        <v>-13.713</v>
      </c>
      <c r="J186" s="4">
        <v>1.0</v>
      </c>
      <c r="K186" s="4">
        <v>0.101</v>
      </c>
      <c r="L186" s="4">
        <v>0.363</v>
      </c>
      <c r="M186" s="4">
        <v>0.536</v>
      </c>
      <c r="N186" s="4">
        <v>0.111</v>
      </c>
      <c r="O186" s="4">
        <v>0.69</v>
      </c>
      <c r="P186" s="4">
        <v>113.336</v>
      </c>
      <c r="Q186" s="4">
        <v>4.0</v>
      </c>
    </row>
    <row r="187">
      <c r="A187" s="4" t="s">
        <v>387</v>
      </c>
      <c r="B187" s="4" t="s">
        <v>388</v>
      </c>
      <c r="C187" s="5">
        <v>35241.0</v>
      </c>
      <c r="D187" s="4">
        <v>458986.0</v>
      </c>
      <c r="E187" s="4">
        <v>19.0</v>
      </c>
      <c r="F187" s="4">
        <v>0.456</v>
      </c>
      <c r="G187" s="4">
        <v>0.269</v>
      </c>
      <c r="H187" s="4">
        <v>11.0</v>
      </c>
      <c r="I187" s="4">
        <v>-17.862</v>
      </c>
      <c r="J187" s="4">
        <v>0.0</v>
      </c>
      <c r="K187" s="4">
        <v>0.0336</v>
      </c>
      <c r="L187" s="4">
        <v>0.594</v>
      </c>
      <c r="M187" s="4">
        <v>0.0734</v>
      </c>
      <c r="N187" s="4">
        <v>0.118</v>
      </c>
      <c r="O187" s="4">
        <v>0.315</v>
      </c>
      <c r="P187" s="4">
        <v>112.795</v>
      </c>
      <c r="Q187" s="4">
        <v>4.0</v>
      </c>
    </row>
    <row r="188">
      <c r="A188" s="4" t="s">
        <v>389</v>
      </c>
      <c r="B188" s="4" t="s">
        <v>390</v>
      </c>
      <c r="C188" s="5">
        <v>36070.0</v>
      </c>
      <c r="D188" s="4">
        <v>307000.0</v>
      </c>
      <c r="E188" s="4">
        <v>10.0</v>
      </c>
      <c r="F188" s="4">
        <v>0.336</v>
      </c>
      <c r="G188" s="4">
        <v>0.203</v>
      </c>
      <c r="H188" s="4">
        <v>0.0</v>
      </c>
      <c r="I188" s="4">
        <v>-22.22</v>
      </c>
      <c r="J188" s="4">
        <v>1.0</v>
      </c>
      <c r="K188" s="4">
        <v>0.052</v>
      </c>
      <c r="L188" s="4">
        <v>0.981</v>
      </c>
      <c r="M188" s="4">
        <v>0.86</v>
      </c>
      <c r="N188" s="4">
        <v>0.156</v>
      </c>
      <c r="O188" s="4">
        <v>0.14</v>
      </c>
      <c r="P188" s="4">
        <v>80.135</v>
      </c>
      <c r="Q188" s="4">
        <v>3.0</v>
      </c>
    </row>
    <row r="189">
      <c r="A189" s="4" t="s">
        <v>391</v>
      </c>
      <c r="B189" s="4" t="s">
        <v>392</v>
      </c>
      <c r="C189" s="5">
        <v>35969.0</v>
      </c>
      <c r="D189" s="4">
        <v>306906.0</v>
      </c>
      <c r="E189" s="4">
        <v>44.0</v>
      </c>
      <c r="F189" s="4">
        <v>0.587</v>
      </c>
      <c r="G189" s="4">
        <v>0.132</v>
      </c>
      <c r="H189" s="4">
        <v>3.0</v>
      </c>
      <c r="I189" s="4">
        <v>-17.782</v>
      </c>
      <c r="J189" s="4">
        <v>1.0</v>
      </c>
      <c r="K189" s="4">
        <v>0.039</v>
      </c>
      <c r="L189" s="4">
        <v>0.963</v>
      </c>
      <c r="M189" s="4">
        <v>0.0166</v>
      </c>
      <c r="N189" s="4">
        <v>0.0882</v>
      </c>
      <c r="O189" s="4">
        <v>0.437</v>
      </c>
      <c r="P189" s="4">
        <v>132.245</v>
      </c>
      <c r="Q189" s="4">
        <v>4.0</v>
      </c>
    </row>
    <row r="190">
      <c r="A190" s="4" t="s">
        <v>393</v>
      </c>
      <c r="B190" s="4" t="s">
        <v>394</v>
      </c>
      <c r="C190" s="4">
        <v>1989.0</v>
      </c>
      <c r="D190" s="4">
        <v>590000.0</v>
      </c>
      <c r="E190" s="4">
        <v>39.0</v>
      </c>
      <c r="F190" s="4">
        <v>0.428</v>
      </c>
      <c r="G190" s="4">
        <v>0.483</v>
      </c>
      <c r="H190" s="4">
        <v>0.0</v>
      </c>
      <c r="I190" s="4">
        <v>-11.912</v>
      </c>
      <c r="J190" s="4">
        <v>1.0</v>
      </c>
      <c r="K190" s="4">
        <v>0.046</v>
      </c>
      <c r="L190" s="4">
        <v>0.0822</v>
      </c>
      <c r="M190" s="4">
        <v>0.382</v>
      </c>
      <c r="N190" s="4">
        <v>0.0753</v>
      </c>
      <c r="O190" s="4">
        <v>0.542</v>
      </c>
      <c r="P190" s="4">
        <v>98.096</v>
      </c>
      <c r="Q190" s="4">
        <v>4.0</v>
      </c>
    </row>
    <row r="191">
      <c r="A191" s="4" t="s">
        <v>395</v>
      </c>
      <c r="B191" s="4" t="s">
        <v>396</v>
      </c>
      <c r="C191" s="4">
        <v>1976.0</v>
      </c>
      <c r="D191" s="4">
        <v>323173.0</v>
      </c>
      <c r="E191" s="4">
        <v>24.0</v>
      </c>
      <c r="F191" s="4">
        <v>0.429</v>
      </c>
      <c r="G191" s="4">
        <v>0.0211</v>
      </c>
      <c r="H191" s="4">
        <v>8.0</v>
      </c>
      <c r="I191" s="4">
        <v>-25.943</v>
      </c>
      <c r="J191" s="4">
        <v>1.0</v>
      </c>
      <c r="K191" s="4">
        <v>0.0699</v>
      </c>
      <c r="L191" s="4">
        <v>0.994</v>
      </c>
      <c r="M191" s="4">
        <v>0.949</v>
      </c>
      <c r="N191" s="4">
        <v>0.145</v>
      </c>
      <c r="O191" s="4">
        <v>0.407</v>
      </c>
      <c r="P191" s="4">
        <v>73.2</v>
      </c>
      <c r="Q191" s="4">
        <v>4.0</v>
      </c>
    </row>
    <row r="192">
      <c r="A192" s="4" t="s">
        <v>397</v>
      </c>
      <c r="B192" s="4" t="s">
        <v>398</v>
      </c>
      <c r="C192" s="4">
        <v>1985.0</v>
      </c>
      <c r="D192" s="4">
        <v>302600.0</v>
      </c>
      <c r="E192" s="4">
        <v>28.0</v>
      </c>
      <c r="F192" s="4">
        <v>0.288</v>
      </c>
      <c r="G192" s="4">
        <v>0.0806</v>
      </c>
      <c r="H192" s="4">
        <v>8.0</v>
      </c>
      <c r="I192" s="4">
        <v>-22.098</v>
      </c>
      <c r="J192" s="4">
        <v>1.0</v>
      </c>
      <c r="K192" s="4">
        <v>0.037</v>
      </c>
      <c r="L192" s="4">
        <v>0.81</v>
      </c>
      <c r="M192" s="4">
        <v>0.914</v>
      </c>
      <c r="N192" s="4">
        <v>0.295</v>
      </c>
      <c r="O192" s="4">
        <v>0.0617</v>
      </c>
      <c r="P192" s="4">
        <v>144.176</v>
      </c>
      <c r="Q192" s="4">
        <v>4.0</v>
      </c>
    </row>
    <row r="193">
      <c r="A193" s="4" t="s">
        <v>399</v>
      </c>
      <c r="B193" s="4" t="s">
        <v>400</v>
      </c>
      <c r="C193" s="5">
        <v>36683.0</v>
      </c>
      <c r="D193" s="4">
        <v>157000.0</v>
      </c>
      <c r="E193" s="4">
        <v>61.0</v>
      </c>
      <c r="F193" s="4">
        <v>0.5</v>
      </c>
      <c r="G193" s="4">
        <v>0.47</v>
      </c>
      <c r="H193" s="4">
        <v>0.0</v>
      </c>
      <c r="I193" s="4">
        <v>-9.995</v>
      </c>
      <c r="J193" s="4">
        <v>0.0</v>
      </c>
      <c r="K193" s="4">
        <v>0.0395</v>
      </c>
      <c r="L193" s="4">
        <v>0.798</v>
      </c>
      <c r="M193" s="4">
        <v>0.88</v>
      </c>
      <c r="N193" s="4">
        <v>0.0899</v>
      </c>
      <c r="O193" s="4">
        <v>0.0766</v>
      </c>
      <c r="P193" s="4">
        <v>141.454</v>
      </c>
      <c r="Q193" s="4">
        <v>4.0</v>
      </c>
    </row>
    <row r="194">
      <c r="A194" s="4" t="s">
        <v>401</v>
      </c>
      <c r="B194" s="4" t="s">
        <v>402</v>
      </c>
      <c r="C194" s="5">
        <v>37900.0</v>
      </c>
      <c r="D194" s="4">
        <v>241306.0</v>
      </c>
      <c r="E194" s="4">
        <v>17.0</v>
      </c>
      <c r="F194" s="4">
        <v>0.223</v>
      </c>
      <c r="G194" s="4">
        <v>0.592</v>
      </c>
      <c r="H194" s="4">
        <v>4.0</v>
      </c>
      <c r="I194" s="4">
        <v>-7.815</v>
      </c>
      <c r="J194" s="4">
        <v>0.0</v>
      </c>
      <c r="K194" s="4">
        <v>0.0322</v>
      </c>
      <c r="L194" s="4">
        <v>0.00336</v>
      </c>
      <c r="M194" s="4">
        <v>0.456</v>
      </c>
      <c r="N194" s="4">
        <v>0.328</v>
      </c>
      <c r="O194" s="4">
        <v>0.202</v>
      </c>
      <c r="P194" s="4">
        <v>152.218</v>
      </c>
      <c r="Q194" s="4">
        <v>4.0</v>
      </c>
    </row>
    <row r="195">
      <c r="A195" s="4" t="s">
        <v>403</v>
      </c>
      <c r="B195" s="4" t="s">
        <v>404</v>
      </c>
      <c r="C195" s="5">
        <v>36598.0</v>
      </c>
      <c r="D195" s="4">
        <v>339440.0</v>
      </c>
      <c r="E195" s="4">
        <v>37.0</v>
      </c>
      <c r="F195" s="4">
        <v>0.113</v>
      </c>
      <c r="G195" s="4">
        <v>0.341</v>
      </c>
      <c r="H195" s="4">
        <v>1.0</v>
      </c>
      <c r="I195" s="4">
        <v>-12.603</v>
      </c>
      <c r="J195" s="4">
        <v>0.0</v>
      </c>
      <c r="K195" s="4">
        <v>0.0347</v>
      </c>
      <c r="L195" s="4">
        <v>0.748</v>
      </c>
      <c r="M195" s="4">
        <v>0.883</v>
      </c>
      <c r="N195" s="4">
        <v>0.112</v>
      </c>
      <c r="O195" s="4">
        <v>0.101</v>
      </c>
      <c r="P195" s="4">
        <v>68.868</v>
      </c>
      <c r="Q195" s="4">
        <v>4.0</v>
      </c>
    </row>
    <row r="196">
      <c r="A196" s="4" t="s">
        <v>405</v>
      </c>
      <c r="B196" s="4" t="s">
        <v>406</v>
      </c>
      <c r="C196" s="5">
        <v>36526.0</v>
      </c>
      <c r="D196" s="4">
        <v>1355946.0</v>
      </c>
      <c r="E196" s="4">
        <v>39.0</v>
      </c>
      <c r="F196" s="4">
        <v>0.211</v>
      </c>
      <c r="G196" s="4">
        <v>0.421</v>
      </c>
      <c r="H196" s="4">
        <v>8.0</v>
      </c>
      <c r="I196" s="4">
        <v>-12.643</v>
      </c>
      <c r="J196" s="4">
        <v>0.0</v>
      </c>
      <c r="K196" s="4">
        <v>0.0525</v>
      </c>
      <c r="L196" s="4">
        <v>0.294</v>
      </c>
      <c r="M196" s="4">
        <v>0.765</v>
      </c>
      <c r="N196" s="4">
        <v>0.183</v>
      </c>
      <c r="O196" s="4">
        <v>0.0393</v>
      </c>
      <c r="P196" s="4">
        <v>124.007</v>
      </c>
      <c r="Q196" s="4">
        <v>4.0</v>
      </c>
    </row>
    <row r="197">
      <c r="A197" s="4" t="s">
        <v>407</v>
      </c>
      <c r="B197" s="4" t="s">
        <v>408</v>
      </c>
      <c r="C197" s="5">
        <v>36526.0</v>
      </c>
      <c r="D197" s="4">
        <v>1352413.0</v>
      </c>
      <c r="E197" s="4">
        <v>47.0</v>
      </c>
      <c r="F197" s="4">
        <v>0.102</v>
      </c>
      <c r="G197" s="4">
        <v>0.614</v>
      </c>
      <c r="H197" s="4">
        <v>3.0</v>
      </c>
      <c r="I197" s="4">
        <v>-9.433</v>
      </c>
      <c r="J197" s="4">
        <v>1.0</v>
      </c>
      <c r="K197" s="4">
        <v>0.0649</v>
      </c>
      <c r="L197" s="4">
        <v>0.21</v>
      </c>
      <c r="M197" s="4">
        <v>0.714</v>
      </c>
      <c r="N197" s="4">
        <v>0.0996</v>
      </c>
      <c r="O197" s="4">
        <v>0.0379</v>
      </c>
      <c r="P197" s="4">
        <v>182.349</v>
      </c>
      <c r="Q197" s="4">
        <v>3.0</v>
      </c>
    </row>
    <row r="198">
      <c r="A198" s="4" t="s">
        <v>409</v>
      </c>
      <c r="B198" s="4" t="s">
        <v>410</v>
      </c>
      <c r="C198" s="5">
        <v>39173.0</v>
      </c>
      <c r="D198" s="4">
        <v>370760.0</v>
      </c>
      <c r="E198" s="4">
        <v>34.0</v>
      </c>
      <c r="F198" s="4">
        <v>0.64</v>
      </c>
      <c r="G198" s="4">
        <v>0.748</v>
      </c>
      <c r="H198" s="4">
        <v>5.0</v>
      </c>
      <c r="I198" s="4">
        <v>-6.696</v>
      </c>
      <c r="J198" s="4">
        <v>0.0</v>
      </c>
      <c r="K198" s="4">
        <v>0.0517</v>
      </c>
      <c r="L198" s="4">
        <v>0.00616</v>
      </c>
      <c r="M198" s="4">
        <v>0.869</v>
      </c>
      <c r="N198" s="4">
        <v>0.147</v>
      </c>
      <c r="O198" s="4">
        <v>0.198</v>
      </c>
      <c r="P198" s="4">
        <v>144.991</v>
      </c>
      <c r="Q198" s="4">
        <v>4.0</v>
      </c>
    </row>
    <row r="199">
      <c r="A199" s="4" t="s">
        <v>411</v>
      </c>
      <c r="B199" s="4" t="s">
        <v>412</v>
      </c>
      <c r="C199" s="5">
        <v>39173.0</v>
      </c>
      <c r="D199" s="4">
        <v>521013.0</v>
      </c>
      <c r="E199" s="4">
        <v>39.0</v>
      </c>
      <c r="F199" s="4">
        <v>0.611</v>
      </c>
      <c r="G199" s="4">
        <v>0.604</v>
      </c>
      <c r="H199" s="4">
        <v>4.0</v>
      </c>
      <c r="I199" s="4">
        <v>-7.268</v>
      </c>
      <c r="J199" s="4">
        <v>0.0</v>
      </c>
      <c r="K199" s="4">
        <v>0.0301</v>
      </c>
      <c r="L199" s="4">
        <v>0.0243</v>
      </c>
      <c r="M199" s="4">
        <v>0.668</v>
      </c>
      <c r="N199" s="4">
        <v>0.117</v>
      </c>
      <c r="O199" s="4">
        <v>0.15</v>
      </c>
      <c r="P199" s="4">
        <v>139.99</v>
      </c>
      <c r="Q199" s="4">
        <v>4.0</v>
      </c>
    </row>
    <row r="200">
      <c r="A200" s="4" t="s">
        <v>413</v>
      </c>
      <c r="B200" s="4" t="s">
        <v>414</v>
      </c>
      <c r="C200" s="5">
        <v>27649.0</v>
      </c>
      <c r="D200" s="4">
        <v>811077.0</v>
      </c>
      <c r="E200" s="4">
        <v>67.0</v>
      </c>
      <c r="F200" s="4">
        <v>0.264</v>
      </c>
      <c r="G200" s="4">
        <v>0.294</v>
      </c>
      <c r="H200" s="4">
        <v>7.0</v>
      </c>
      <c r="I200" s="4">
        <v>-11.941</v>
      </c>
      <c r="J200" s="4">
        <v>0.0</v>
      </c>
      <c r="K200" s="4">
        <v>0.028</v>
      </c>
      <c r="L200" s="4">
        <v>0.772</v>
      </c>
      <c r="M200" s="4">
        <v>0.686</v>
      </c>
      <c r="N200" s="4">
        <v>0.107</v>
      </c>
      <c r="O200" s="4">
        <v>0.0402</v>
      </c>
      <c r="P200" s="4">
        <v>137.937</v>
      </c>
      <c r="Q200" s="4">
        <v>3.0</v>
      </c>
    </row>
    <row r="201">
      <c r="A201" s="4" t="s">
        <v>415</v>
      </c>
      <c r="B201" s="4" t="s">
        <v>416</v>
      </c>
      <c r="C201" s="5">
        <v>39173.0</v>
      </c>
      <c r="D201" s="4">
        <v>413466.0</v>
      </c>
      <c r="E201" s="4">
        <v>33.0</v>
      </c>
      <c r="F201" s="4">
        <v>0.437</v>
      </c>
      <c r="G201" s="4">
        <v>0.798</v>
      </c>
      <c r="H201" s="4">
        <v>4.0</v>
      </c>
      <c r="I201" s="4">
        <v>-7.68</v>
      </c>
      <c r="J201" s="4">
        <v>0.0</v>
      </c>
      <c r="K201" s="4">
        <v>0.0603</v>
      </c>
      <c r="L201" s="4">
        <v>0.0285</v>
      </c>
      <c r="M201" s="4">
        <v>0.741</v>
      </c>
      <c r="N201" s="4">
        <v>0.468</v>
      </c>
      <c r="O201" s="4">
        <v>0.467</v>
      </c>
      <c r="P201" s="4">
        <v>144.99</v>
      </c>
      <c r="Q201" s="4">
        <v>4.0</v>
      </c>
    </row>
    <row r="202">
      <c r="A202" s="4" t="s">
        <v>417</v>
      </c>
      <c r="B202" s="4" t="s">
        <v>418</v>
      </c>
      <c r="C202" s="5">
        <v>25498.0</v>
      </c>
      <c r="D202" s="4">
        <v>260959.0</v>
      </c>
      <c r="E202" s="4">
        <v>50.0</v>
      </c>
      <c r="F202" s="4">
        <v>0.492</v>
      </c>
      <c r="G202" s="4">
        <v>0.446</v>
      </c>
      <c r="H202" s="4">
        <v>7.0</v>
      </c>
      <c r="I202" s="4">
        <v>-17.181</v>
      </c>
      <c r="J202" s="4">
        <v>1.0</v>
      </c>
      <c r="K202" s="4">
        <v>0.064</v>
      </c>
      <c r="L202" s="4">
        <v>0.025</v>
      </c>
      <c r="M202" s="4">
        <v>0.874</v>
      </c>
      <c r="N202" s="4">
        <v>0.566</v>
      </c>
      <c r="O202" s="4">
        <v>0.356</v>
      </c>
      <c r="P202" s="4">
        <v>112.818</v>
      </c>
      <c r="Q202" s="4">
        <v>4.0</v>
      </c>
    </row>
    <row r="203">
      <c r="A203" s="4" t="s">
        <v>419</v>
      </c>
      <c r="B203" s="4" t="s">
        <v>420</v>
      </c>
      <c r="C203" s="5">
        <v>25215.0</v>
      </c>
      <c r="D203" s="4">
        <v>559120.0</v>
      </c>
      <c r="E203" s="4">
        <v>28.0</v>
      </c>
      <c r="F203" s="4">
        <v>0.233</v>
      </c>
      <c r="G203" s="4">
        <v>0.598</v>
      </c>
      <c r="H203" s="4">
        <v>7.0</v>
      </c>
      <c r="I203" s="4">
        <v>-7.965</v>
      </c>
      <c r="J203" s="4">
        <v>1.0</v>
      </c>
      <c r="K203" s="4">
        <v>0.0643</v>
      </c>
      <c r="L203" s="4">
        <v>0.577</v>
      </c>
      <c r="M203" s="4">
        <v>0.343</v>
      </c>
      <c r="N203" s="4">
        <v>0.963</v>
      </c>
      <c r="O203" s="4">
        <v>0.175</v>
      </c>
      <c r="P203" s="4">
        <v>71.011</v>
      </c>
      <c r="Q203" s="4">
        <v>4.0</v>
      </c>
    </row>
    <row r="204">
      <c r="A204" s="4" t="s">
        <v>421</v>
      </c>
      <c r="B204" s="4" t="s">
        <v>422</v>
      </c>
      <c r="C204" s="4">
        <v>1998.0</v>
      </c>
      <c r="D204" s="4">
        <v>262586.0</v>
      </c>
      <c r="E204" s="4">
        <v>7.0</v>
      </c>
      <c r="F204" s="4">
        <v>0.417</v>
      </c>
      <c r="G204" s="4">
        <v>0.73</v>
      </c>
      <c r="H204" s="4">
        <v>1.0</v>
      </c>
      <c r="I204" s="4">
        <v>-9.902</v>
      </c>
      <c r="J204" s="4">
        <v>0.0</v>
      </c>
      <c r="K204" s="4">
        <v>0.0694</v>
      </c>
      <c r="L204" s="4">
        <v>1.47E-4</v>
      </c>
      <c r="M204" s="4">
        <v>0.229</v>
      </c>
      <c r="N204" s="4">
        <v>0.0713</v>
      </c>
      <c r="O204" s="4">
        <v>0.119</v>
      </c>
      <c r="P204" s="4">
        <v>180.382</v>
      </c>
      <c r="Q204" s="4">
        <v>4.0</v>
      </c>
    </row>
    <row r="205">
      <c r="A205" s="4" t="s">
        <v>423</v>
      </c>
      <c r="B205" s="4" t="s">
        <v>424</v>
      </c>
      <c r="C205" s="4">
        <v>1997.0</v>
      </c>
      <c r="D205" s="4">
        <v>187986.0</v>
      </c>
      <c r="E205" s="4">
        <v>27.0</v>
      </c>
      <c r="F205" s="4">
        <v>0.607</v>
      </c>
      <c r="G205" s="4">
        <v>0.464</v>
      </c>
      <c r="H205" s="4">
        <v>9.0</v>
      </c>
      <c r="I205" s="4">
        <v>-11.105</v>
      </c>
      <c r="J205" s="4">
        <v>0.0</v>
      </c>
      <c r="K205" s="4">
        <v>0.0282</v>
      </c>
      <c r="L205" s="4">
        <v>0.853</v>
      </c>
      <c r="M205" s="4">
        <v>0.922</v>
      </c>
      <c r="N205" s="4">
        <v>0.123</v>
      </c>
      <c r="O205" s="4">
        <v>0.838</v>
      </c>
      <c r="P205" s="4">
        <v>139.871</v>
      </c>
      <c r="Q205" s="4">
        <v>4.0</v>
      </c>
    </row>
    <row r="206">
      <c r="A206" s="4" t="s">
        <v>425</v>
      </c>
      <c r="B206" s="4" t="s">
        <v>426</v>
      </c>
      <c r="C206" s="5">
        <v>44488.0</v>
      </c>
      <c r="D206" s="4">
        <v>273240.0</v>
      </c>
      <c r="E206" s="4">
        <v>13.0</v>
      </c>
      <c r="F206" s="4">
        <v>0.656</v>
      </c>
      <c r="G206" s="4">
        <v>0.842</v>
      </c>
      <c r="H206" s="4">
        <v>6.0</v>
      </c>
      <c r="I206" s="4">
        <v>-9.245</v>
      </c>
      <c r="J206" s="4">
        <v>0.0</v>
      </c>
      <c r="K206" s="4">
        <v>0.0587</v>
      </c>
      <c r="L206" s="4">
        <v>0.0123</v>
      </c>
      <c r="M206" s="4">
        <v>0.885</v>
      </c>
      <c r="N206" s="4">
        <v>0.136</v>
      </c>
      <c r="O206" s="4">
        <v>0.171</v>
      </c>
      <c r="P206" s="4">
        <v>135.969</v>
      </c>
      <c r="Q206" s="4">
        <v>4.0</v>
      </c>
    </row>
    <row r="207">
      <c r="A207" s="4" t="s">
        <v>427</v>
      </c>
      <c r="B207" s="4" t="s">
        <v>428</v>
      </c>
      <c r="C207" s="5">
        <v>39224.0</v>
      </c>
      <c r="D207" s="4">
        <v>373133.0</v>
      </c>
      <c r="E207" s="4">
        <v>6.0</v>
      </c>
      <c r="F207" s="4">
        <v>0.661</v>
      </c>
      <c r="G207" s="4">
        <v>0.801</v>
      </c>
      <c r="H207" s="4">
        <v>4.0</v>
      </c>
      <c r="I207" s="4">
        <v>-7.289</v>
      </c>
      <c r="J207" s="4">
        <v>0.0</v>
      </c>
      <c r="K207" s="4">
        <v>0.0836</v>
      </c>
      <c r="L207" s="4">
        <v>0.00175</v>
      </c>
      <c r="M207" s="4">
        <v>3.66E-4</v>
      </c>
      <c r="N207" s="4">
        <v>0.045</v>
      </c>
      <c r="O207" s="4">
        <v>0.571</v>
      </c>
      <c r="P207" s="4">
        <v>128.618</v>
      </c>
      <c r="Q207" s="4">
        <v>4.0</v>
      </c>
    </row>
    <row r="208">
      <c r="A208" s="4" t="s">
        <v>429</v>
      </c>
      <c r="B208" s="4" t="s">
        <v>430</v>
      </c>
      <c r="C208" s="5">
        <v>38740.0</v>
      </c>
      <c r="D208" s="4">
        <v>198933.0</v>
      </c>
      <c r="E208" s="4">
        <v>35.0</v>
      </c>
      <c r="F208" s="4">
        <v>0.622</v>
      </c>
      <c r="G208" s="4">
        <v>0.911</v>
      </c>
      <c r="H208" s="4">
        <v>9.0</v>
      </c>
      <c r="I208" s="4">
        <v>-9.254</v>
      </c>
      <c r="J208" s="4">
        <v>1.0</v>
      </c>
      <c r="K208" s="4">
        <v>0.0328</v>
      </c>
      <c r="L208" s="4">
        <v>0.0117</v>
      </c>
      <c r="M208" s="4">
        <v>0.79</v>
      </c>
      <c r="N208" s="4">
        <v>0.0909</v>
      </c>
      <c r="O208" s="4">
        <v>0.545</v>
      </c>
      <c r="P208" s="4">
        <v>138.015</v>
      </c>
      <c r="Q208" s="4">
        <v>4.0</v>
      </c>
    </row>
    <row r="209">
      <c r="A209" s="4" t="s">
        <v>431</v>
      </c>
      <c r="B209" s="4" t="s">
        <v>432</v>
      </c>
      <c r="C209" s="5">
        <v>43066.0</v>
      </c>
      <c r="D209" s="4">
        <v>195483.0</v>
      </c>
      <c r="E209" s="4">
        <v>25.0</v>
      </c>
      <c r="F209" s="4">
        <v>0.283</v>
      </c>
      <c r="G209" s="4">
        <v>0.996</v>
      </c>
      <c r="H209" s="4">
        <v>4.0</v>
      </c>
      <c r="I209" s="4">
        <v>-4.093</v>
      </c>
      <c r="J209" s="4">
        <v>0.0</v>
      </c>
      <c r="K209" s="4">
        <v>0.0787</v>
      </c>
      <c r="L209" s="4">
        <v>0.154</v>
      </c>
      <c r="M209" s="4">
        <v>0.545</v>
      </c>
      <c r="N209" s="4">
        <v>0.406</v>
      </c>
      <c r="O209" s="4">
        <v>0.267</v>
      </c>
      <c r="P209" s="4">
        <v>122.717</v>
      </c>
      <c r="Q209" s="4">
        <v>4.0</v>
      </c>
    </row>
    <row r="210">
      <c r="A210" s="4" t="s">
        <v>433</v>
      </c>
      <c r="B210" s="4" t="s">
        <v>434</v>
      </c>
      <c r="C210" s="5">
        <v>40315.0</v>
      </c>
      <c r="D210" s="4">
        <v>205053.0</v>
      </c>
      <c r="E210" s="4">
        <v>60.0</v>
      </c>
      <c r="F210" s="4">
        <v>0.49</v>
      </c>
      <c r="G210" s="4">
        <v>0.916</v>
      </c>
      <c r="H210" s="4">
        <v>10.0</v>
      </c>
      <c r="I210" s="4">
        <v>-8.663</v>
      </c>
      <c r="J210" s="4">
        <v>0.0</v>
      </c>
      <c r="K210" s="4">
        <v>0.0461</v>
      </c>
      <c r="L210" s="4">
        <v>0.0202</v>
      </c>
      <c r="M210" s="4">
        <v>0.939</v>
      </c>
      <c r="N210" s="4">
        <v>0.119</v>
      </c>
      <c r="O210" s="4">
        <v>0.367</v>
      </c>
      <c r="P210" s="4">
        <v>139.976</v>
      </c>
      <c r="Q210" s="4">
        <v>4.0</v>
      </c>
    </row>
    <row r="211">
      <c r="A211" s="4" t="s">
        <v>435</v>
      </c>
      <c r="B211" s="4" t="s">
        <v>436</v>
      </c>
      <c r="C211" s="5">
        <v>40016.0</v>
      </c>
      <c r="D211" s="4">
        <v>404320.0</v>
      </c>
      <c r="E211" s="4">
        <v>39.0</v>
      </c>
      <c r="F211" s="4">
        <v>0.63</v>
      </c>
      <c r="G211" s="4">
        <v>0.781</v>
      </c>
      <c r="H211" s="4">
        <v>8.0</v>
      </c>
      <c r="I211" s="4">
        <v>-10.064</v>
      </c>
      <c r="J211" s="4">
        <v>1.0</v>
      </c>
      <c r="K211" s="4">
        <v>0.0403</v>
      </c>
      <c r="L211" s="4">
        <v>0.00149</v>
      </c>
      <c r="M211" s="4">
        <v>0.878</v>
      </c>
      <c r="N211" s="4">
        <v>0.103</v>
      </c>
      <c r="O211" s="4">
        <v>0.304</v>
      </c>
      <c r="P211" s="4">
        <v>140.02</v>
      </c>
      <c r="Q211" s="4">
        <v>4.0</v>
      </c>
    </row>
    <row r="212">
      <c r="A212" s="4" t="s">
        <v>437</v>
      </c>
      <c r="B212" s="4" t="s">
        <v>438</v>
      </c>
      <c r="C212" s="5">
        <v>40141.0</v>
      </c>
      <c r="D212" s="4">
        <v>450960.0</v>
      </c>
      <c r="E212" s="4">
        <v>27.0</v>
      </c>
      <c r="F212" s="4">
        <v>0.671</v>
      </c>
      <c r="G212" s="4">
        <v>0.659</v>
      </c>
      <c r="H212" s="4">
        <v>7.0</v>
      </c>
      <c r="I212" s="4">
        <v>-12.599</v>
      </c>
      <c r="J212" s="4">
        <v>1.0</v>
      </c>
      <c r="K212" s="4">
        <v>0.0417</v>
      </c>
      <c r="L212" s="4">
        <v>2.63E-4</v>
      </c>
      <c r="M212" s="4">
        <v>0.761</v>
      </c>
      <c r="N212" s="4">
        <v>0.106</v>
      </c>
      <c r="O212" s="4">
        <v>0.0814</v>
      </c>
      <c r="P212" s="4">
        <v>135.727</v>
      </c>
      <c r="Q212" s="4">
        <v>4.0</v>
      </c>
    </row>
    <row r="213">
      <c r="A213" s="4" t="s">
        <v>439</v>
      </c>
      <c r="B213" s="4" t="s">
        <v>440</v>
      </c>
      <c r="C213" s="5">
        <v>43363.0</v>
      </c>
      <c r="D213" s="4">
        <v>202533.0</v>
      </c>
      <c r="E213" s="4">
        <v>32.0</v>
      </c>
      <c r="F213" s="4">
        <v>0.296</v>
      </c>
      <c r="G213" s="4">
        <v>0.943</v>
      </c>
      <c r="H213" s="4">
        <v>9.0</v>
      </c>
      <c r="I213" s="4">
        <v>-4.784</v>
      </c>
      <c r="J213" s="4">
        <v>0.0</v>
      </c>
      <c r="K213" s="4">
        <v>0.17</v>
      </c>
      <c r="L213" s="4">
        <v>0.00232</v>
      </c>
      <c r="M213" s="4">
        <v>0.367</v>
      </c>
      <c r="N213" s="4">
        <v>0.403</v>
      </c>
      <c r="O213" s="4">
        <v>0.0846</v>
      </c>
      <c r="P213" s="4">
        <v>150.199</v>
      </c>
      <c r="Q213" s="4">
        <v>3.0</v>
      </c>
    </row>
    <row r="214">
      <c r="A214" s="4" t="s">
        <v>441</v>
      </c>
      <c r="B214" s="4" t="s">
        <v>442</v>
      </c>
      <c r="C214" s="5">
        <v>37135.0</v>
      </c>
      <c r="D214" s="4">
        <v>485666.0</v>
      </c>
      <c r="E214" s="4">
        <v>45.0</v>
      </c>
      <c r="F214" s="4">
        <v>0.177</v>
      </c>
      <c r="G214" s="4">
        <v>0.127</v>
      </c>
      <c r="H214" s="4">
        <v>8.0</v>
      </c>
      <c r="I214" s="4">
        <v>-19.167</v>
      </c>
      <c r="J214" s="4">
        <v>1.0</v>
      </c>
      <c r="K214" s="4">
        <v>0.0394</v>
      </c>
      <c r="L214" s="4">
        <v>0.903</v>
      </c>
      <c r="M214" s="4">
        <v>0.901</v>
      </c>
      <c r="N214" s="4">
        <v>0.114</v>
      </c>
      <c r="O214" s="4">
        <v>0.0612</v>
      </c>
      <c r="P214" s="4">
        <v>149.698</v>
      </c>
      <c r="Q214" s="4">
        <v>4.0</v>
      </c>
    </row>
    <row r="215">
      <c r="A215" s="4" t="s">
        <v>443</v>
      </c>
      <c r="B215" s="4" t="s">
        <v>444</v>
      </c>
      <c r="C215" s="5">
        <v>37166.0</v>
      </c>
      <c r="D215" s="4">
        <v>529640.0</v>
      </c>
      <c r="E215" s="4">
        <v>50.0</v>
      </c>
      <c r="F215" s="4">
        <v>0.11</v>
      </c>
      <c r="G215" s="4">
        <v>0.122</v>
      </c>
      <c r="H215" s="4">
        <v>5.0</v>
      </c>
      <c r="I215" s="4">
        <v>-15.631</v>
      </c>
      <c r="J215" s="4">
        <v>1.0</v>
      </c>
      <c r="K215" s="4">
        <v>0.038</v>
      </c>
      <c r="L215" s="4">
        <v>0.958</v>
      </c>
      <c r="M215" s="4">
        <v>0.871</v>
      </c>
      <c r="N215" s="4">
        <v>0.0758</v>
      </c>
      <c r="O215" s="4">
        <v>0.039</v>
      </c>
      <c r="P215" s="4">
        <v>75.766</v>
      </c>
      <c r="Q215" s="4">
        <v>4.0</v>
      </c>
    </row>
    <row r="216">
      <c r="A216" s="4" t="s">
        <v>445</v>
      </c>
      <c r="B216" s="4" t="s">
        <v>446</v>
      </c>
      <c r="C216" s="5">
        <v>43301.0</v>
      </c>
      <c r="D216" s="4">
        <v>654226.0</v>
      </c>
      <c r="E216" s="4">
        <v>14.0</v>
      </c>
      <c r="F216" s="4">
        <v>0.232</v>
      </c>
      <c r="G216" s="4">
        <v>0.13</v>
      </c>
      <c r="H216" s="4">
        <v>2.0</v>
      </c>
      <c r="I216" s="4">
        <v>-18.105</v>
      </c>
      <c r="J216" s="4">
        <v>1.0</v>
      </c>
      <c r="K216" s="4">
        <v>0.0397</v>
      </c>
      <c r="L216" s="4">
        <v>0.762</v>
      </c>
      <c r="M216" s="4">
        <v>0.831</v>
      </c>
      <c r="N216" s="4">
        <v>0.183</v>
      </c>
      <c r="O216" s="4">
        <v>0.0708</v>
      </c>
      <c r="P216" s="4">
        <v>115.727</v>
      </c>
      <c r="Q216" s="4">
        <v>4.0</v>
      </c>
    </row>
    <row r="217">
      <c r="A217" s="4" t="s">
        <v>447</v>
      </c>
      <c r="B217" s="4" t="s">
        <v>448</v>
      </c>
      <c r="C217" s="5">
        <v>42064.0</v>
      </c>
      <c r="D217" s="4">
        <v>230240.0</v>
      </c>
      <c r="E217" s="4">
        <v>13.0</v>
      </c>
      <c r="F217" s="4">
        <v>0.569</v>
      </c>
      <c r="G217" s="4">
        <v>0.0143</v>
      </c>
      <c r="H217" s="4">
        <v>3.0</v>
      </c>
      <c r="I217" s="4">
        <v>-16.946</v>
      </c>
      <c r="J217" s="4">
        <v>1.0</v>
      </c>
      <c r="K217" s="4">
        <v>0.184</v>
      </c>
      <c r="L217" s="4">
        <v>0.993</v>
      </c>
      <c r="M217" s="4">
        <v>0.95</v>
      </c>
      <c r="N217" s="4">
        <v>0.136</v>
      </c>
      <c r="O217" s="4">
        <v>0.209</v>
      </c>
      <c r="P217" s="4">
        <v>75.179</v>
      </c>
      <c r="Q217" s="4">
        <v>4.0</v>
      </c>
    </row>
    <row r="218">
      <c r="A218" s="4" t="s">
        <v>449</v>
      </c>
      <c r="B218" s="4" t="s">
        <v>450</v>
      </c>
      <c r="C218" s="5">
        <v>44478.0</v>
      </c>
      <c r="D218" s="4">
        <v>151386.0</v>
      </c>
      <c r="E218" s="4">
        <v>5.0</v>
      </c>
      <c r="F218" s="4">
        <v>0.229</v>
      </c>
      <c r="G218" s="4">
        <v>0.218</v>
      </c>
      <c r="H218" s="4">
        <v>5.0</v>
      </c>
      <c r="I218" s="4">
        <v>-13.673</v>
      </c>
      <c r="J218" s="4">
        <v>1.0</v>
      </c>
      <c r="K218" s="4">
        <v>0.0357</v>
      </c>
      <c r="L218" s="4">
        <v>0.971</v>
      </c>
      <c r="M218" s="4">
        <v>0.0625</v>
      </c>
      <c r="N218" s="4">
        <v>0.08</v>
      </c>
      <c r="O218" s="4">
        <v>0.158</v>
      </c>
      <c r="P218" s="4">
        <v>123.259</v>
      </c>
      <c r="Q218" s="4">
        <v>1.0</v>
      </c>
    </row>
    <row r="219">
      <c r="A219" s="4" t="s">
        <v>451</v>
      </c>
      <c r="B219" s="4" t="s">
        <v>452</v>
      </c>
      <c r="C219" s="5">
        <v>36841.0</v>
      </c>
      <c r="D219" s="4">
        <v>218546.0</v>
      </c>
      <c r="E219" s="4">
        <v>72.0</v>
      </c>
      <c r="F219" s="4">
        <v>0.418</v>
      </c>
      <c r="G219" s="4">
        <v>0.249</v>
      </c>
      <c r="H219" s="4">
        <v>3.0</v>
      </c>
      <c r="I219" s="4">
        <v>-13.744</v>
      </c>
      <c r="J219" s="4">
        <v>1.0</v>
      </c>
      <c r="K219" s="4">
        <v>0.0301</v>
      </c>
      <c r="L219" s="4">
        <v>0.841</v>
      </c>
      <c r="M219" s="4">
        <v>0.661</v>
      </c>
      <c r="N219" s="4">
        <v>0.112</v>
      </c>
      <c r="O219" s="4">
        <v>0.213</v>
      </c>
      <c r="P219" s="4">
        <v>82.803</v>
      </c>
      <c r="Q219" s="4">
        <v>4.0</v>
      </c>
    </row>
    <row r="220">
      <c r="A220" s="4" t="s">
        <v>453</v>
      </c>
      <c r="B220" s="4" t="s">
        <v>454</v>
      </c>
      <c r="C220" s="5">
        <v>38718.0</v>
      </c>
      <c r="D220" s="4">
        <v>422560.0</v>
      </c>
      <c r="E220" s="4">
        <v>42.0</v>
      </c>
      <c r="F220" s="4">
        <v>0.507</v>
      </c>
      <c r="G220" s="4">
        <v>0.857</v>
      </c>
      <c r="H220" s="4">
        <v>10.0</v>
      </c>
      <c r="I220" s="4">
        <v>-10.101</v>
      </c>
      <c r="J220" s="4">
        <v>0.0</v>
      </c>
      <c r="K220" s="4">
        <v>0.049</v>
      </c>
      <c r="L220" s="4">
        <v>3.02E-4</v>
      </c>
      <c r="M220" s="4">
        <v>0.898</v>
      </c>
      <c r="N220" s="4">
        <v>0.226</v>
      </c>
      <c r="O220" s="4">
        <v>0.694</v>
      </c>
      <c r="P220" s="4">
        <v>139.988</v>
      </c>
      <c r="Q220" s="4">
        <v>4.0</v>
      </c>
    </row>
    <row r="221">
      <c r="A221" s="4" t="s">
        <v>455</v>
      </c>
      <c r="B221" s="4" t="s">
        <v>456</v>
      </c>
      <c r="C221" s="5">
        <v>38681.0</v>
      </c>
      <c r="D221" s="4">
        <v>246373.0</v>
      </c>
      <c r="E221" s="4">
        <v>53.0</v>
      </c>
      <c r="F221" s="4">
        <v>0.746</v>
      </c>
      <c r="G221" s="4">
        <v>0.47</v>
      </c>
      <c r="H221" s="4">
        <v>1.0</v>
      </c>
      <c r="I221" s="4">
        <v>-9.049</v>
      </c>
      <c r="J221" s="4">
        <v>1.0</v>
      </c>
      <c r="K221" s="4">
        <v>0.0321</v>
      </c>
      <c r="L221" s="4">
        <v>0.0398</v>
      </c>
      <c r="M221" s="6">
        <v>9.2E-5</v>
      </c>
      <c r="N221" s="4">
        <v>0.105</v>
      </c>
      <c r="O221" s="4">
        <v>0.607</v>
      </c>
      <c r="P221" s="4">
        <v>94.011</v>
      </c>
      <c r="Q221" s="4">
        <v>4.0</v>
      </c>
    </row>
    <row r="222">
      <c r="A222" s="4" t="s">
        <v>457</v>
      </c>
      <c r="B222" s="4" t="s">
        <v>458</v>
      </c>
      <c r="C222" s="5">
        <v>35464.0</v>
      </c>
      <c r="D222" s="4">
        <v>189466.0</v>
      </c>
      <c r="E222" s="4">
        <v>50.0</v>
      </c>
      <c r="F222" s="4">
        <v>0.45</v>
      </c>
      <c r="G222" s="4">
        <v>0.422</v>
      </c>
      <c r="H222" s="4">
        <v>0.0</v>
      </c>
      <c r="I222" s="4">
        <v>-10.922</v>
      </c>
      <c r="J222" s="4">
        <v>0.0</v>
      </c>
      <c r="K222" s="4">
        <v>0.0296</v>
      </c>
      <c r="L222" s="4">
        <v>0.304</v>
      </c>
      <c r="M222" s="4">
        <v>0.0</v>
      </c>
      <c r="N222" s="4">
        <v>0.111</v>
      </c>
      <c r="O222" s="4">
        <v>0.196</v>
      </c>
      <c r="P222" s="4">
        <v>96.823</v>
      </c>
      <c r="Q222" s="4">
        <v>4.0</v>
      </c>
    </row>
    <row r="223">
      <c r="A223" s="4" t="s">
        <v>459</v>
      </c>
      <c r="B223" s="4" t="s">
        <v>460</v>
      </c>
      <c r="C223" s="5">
        <v>34757.0</v>
      </c>
      <c r="D223" s="4">
        <v>195080.0</v>
      </c>
      <c r="E223" s="4">
        <v>73.0</v>
      </c>
      <c r="F223" s="4">
        <v>0.741</v>
      </c>
      <c r="G223" s="4">
        <v>0.29</v>
      </c>
      <c r="H223" s="4">
        <v>5.0</v>
      </c>
      <c r="I223" s="4">
        <v>-13.251</v>
      </c>
      <c r="J223" s="4">
        <v>1.0</v>
      </c>
      <c r="K223" s="4">
        <v>0.0302</v>
      </c>
      <c r="L223" s="4">
        <v>0.294</v>
      </c>
      <c r="M223" s="4">
        <v>0.118</v>
      </c>
      <c r="N223" s="4">
        <v>0.0924</v>
      </c>
      <c r="O223" s="4">
        <v>0.443</v>
      </c>
      <c r="P223" s="4">
        <v>93.699</v>
      </c>
      <c r="Q223" s="4">
        <v>4.0</v>
      </c>
    </row>
    <row r="224">
      <c r="A224" s="4" t="s">
        <v>461</v>
      </c>
      <c r="B224" s="4" t="s">
        <v>462</v>
      </c>
      <c r="C224" s="5">
        <v>37476.0</v>
      </c>
      <c r="D224" s="4">
        <v>309600.0</v>
      </c>
      <c r="E224" s="4">
        <v>84.0</v>
      </c>
      <c r="F224" s="4">
        <v>0.557</v>
      </c>
      <c r="G224" s="4">
        <v>0.442</v>
      </c>
      <c r="H224" s="4">
        <v>5.0</v>
      </c>
      <c r="I224" s="4">
        <v>-7.224</v>
      </c>
      <c r="J224" s="4">
        <v>1.0</v>
      </c>
      <c r="K224" s="4">
        <v>0.0243</v>
      </c>
      <c r="L224" s="4">
        <v>0.731</v>
      </c>
      <c r="M224" s="6">
        <v>1.46E-5</v>
      </c>
      <c r="N224" s="4">
        <v>0.11</v>
      </c>
      <c r="O224" s="4">
        <v>0.213</v>
      </c>
      <c r="P224" s="4">
        <v>146.277</v>
      </c>
      <c r="Q224" s="4">
        <v>4.0</v>
      </c>
    </row>
    <row r="225">
      <c r="A225" s="4" t="s">
        <v>463</v>
      </c>
      <c r="B225" s="4" t="s">
        <v>464</v>
      </c>
      <c r="C225" s="4">
        <v>1999.0</v>
      </c>
      <c r="D225" s="4">
        <v>203493.0</v>
      </c>
      <c r="E225" s="4">
        <v>58.0</v>
      </c>
      <c r="F225" s="4">
        <v>0.35</v>
      </c>
      <c r="G225" s="4">
        <v>0.231</v>
      </c>
      <c r="H225" s="4">
        <v>5.0</v>
      </c>
      <c r="I225" s="4">
        <v>-13.319</v>
      </c>
      <c r="J225" s="4">
        <v>1.0</v>
      </c>
      <c r="K225" s="4">
        <v>0.031</v>
      </c>
      <c r="L225" s="4">
        <v>0.961</v>
      </c>
      <c r="M225" s="4">
        <v>0.0947</v>
      </c>
      <c r="N225" s="4">
        <v>0.118</v>
      </c>
      <c r="O225" s="4">
        <v>0.0713</v>
      </c>
      <c r="P225" s="4">
        <v>107.763</v>
      </c>
      <c r="Q225" s="4">
        <v>4.0</v>
      </c>
    </row>
    <row r="226">
      <c r="A226" s="4" t="s">
        <v>465</v>
      </c>
      <c r="B226" s="4" t="s">
        <v>466</v>
      </c>
      <c r="C226" s="5">
        <v>34610.0</v>
      </c>
      <c r="D226" s="4">
        <v>306440.0</v>
      </c>
      <c r="E226" s="4">
        <v>82.0</v>
      </c>
      <c r="F226" s="4">
        <v>0.309</v>
      </c>
      <c r="G226" s="4">
        <v>0.649</v>
      </c>
      <c r="H226" s="4">
        <v>7.0</v>
      </c>
      <c r="I226" s="4">
        <v>-8.994</v>
      </c>
      <c r="J226" s="4">
        <v>1.0</v>
      </c>
      <c r="K226" s="4">
        <v>0.035</v>
      </c>
      <c r="L226" s="4">
        <v>0.0158</v>
      </c>
      <c r="M226" s="4">
        <v>0.00591</v>
      </c>
      <c r="N226" s="4">
        <v>0.367</v>
      </c>
      <c r="O226" s="4">
        <v>0.312</v>
      </c>
      <c r="P226" s="4">
        <v>166.915</v>
      </c>
      <c r="Q226" s="4">
        <v>4.0</v>
      </c>
    </row>
    <row r="227">
      <c r="A227" s="4" t="s">
        <v>467</v>
      </c>
      <c r="B227" s="4" t="s">
        <v>468</v>
      </c>
      <c r="C227" s="5">
        <v>30603.0</v>
      </c>
      <c r="D227" s="4">
        <v>241333.0</v>
      </c>
      <c r="E227" s="4">
        <v>74.0</v>
      </c>
      <c r="F227" s="4">
        <v>0.726</v>
      </c>
      <c r="G227" s="4">
        <v>0.449</v>
      </c>
      <c r="H227" s="4">
        <v>0.0</v>
      </c>
      <c r="I227" s="4">
        <v>-9.206</v>
      </c>
      <c r="J227" s="4">
        <v>1.0</v>
      </c>
      <c r="K227" s="4">
        <v>0.0286</v>
      </c>
      <c r="L227" s="4">
        <v>0.487</v>
      </c>
      <c r="M227" s="6">
        <v>1.34E-6</v>
      </c>
      <c r="N227" s="4">
        <v>0.0824</v>
      </c>
      <c r="O227" s="4">
        <v>0.294</v>
      </c>
      <c r="P227" s="4">
        <v>130.388</v>
      </c>
      <c r="Q227" s="4">
        <v>4.0</v>
      </c>
    </row>
    <row r="228">
      <c r="A228" s="4" t="s">
        <v>469</v>
      </c>
      <c r="B228" s="4" t="s">
        <v>470</v>
      </c>
      <c r="C228" s="5">
        <v>38517.0</v>
      </c>
      <c r="D228" s="4">
        <v>255626.0</v>
      </c>
      <c r="E228" s="4">
        <v>76.0</v>
      </c>
      <c r="F228" s="4">
        <v>0.366</v>
      </c>
      <c r="G228" s="4">
        <v>0.94</v>
      </c>
      <c r="H228" s="4">
        <v>1.0</v>
      </c>
      <c r="I228" s="4">
        <v>-5.119</v>
      </c>
      <c r="J228" s="4">
        <v>0.0</v>
      </c>
      <c r="K228" s="4">
        <v>0.0696</v>
      </c>
      <c r="L228" s="4">
        <v>7.69E-4</v>
      </c>
      <c r="M228" s="6">
        <v>9.42E-5</v>
      </c>
      <c r="N228" s="4">
        <v>0.188</v>
      </c>
      <c r="O228" s="4">
        <v>0.369</v>
      </c>
      <c r="P228" s="4">
        <v>130.198</v>
      </c>
      <c r="Q228" s="4">
        <v>4.0</v>
      </c>
    </row>
    <row r="229">
      <c r="A229" s="4" t="s">
        <v>471</v>
      </c>
      <c r="B229" s="4" t="s">
        <v>472</v>
      </c>
      <c r="C229" s="4">
        <v>1995.0</v>
      </c>
      <c r="D229" s="4">
        <v>258773.0</v>
      </c>
      <c r="E229" s="4">
        <v>78.0</v>
      </c>
      <c r="F229" s="4">
        <v>0.375</v>
      </c>
      <c r="G229" s="4">
        <v>0.893</v>
      </c>
      <c r="H229" s="4">
        <v>2.0</v>
      </c>
      <c r="I229" s="4">
        <v>-4.097</v>
      </c>
      <c r="J229" s="4">
        <v>1.0</v>
      </c>
      <c r="K229" s="4">
        <v>0.0406</v>
      </c>
      <c r="L229" s="4">
        <v>5.09E-4</v>
      </c>
      <c r="M229" s="4">
        <v>0.0</v>
      </c>
      <c r="N229" s="4">
        <v>0.187</v>
      </c>
      <c r="O229" s="4">
        <v>0.434</v>
      </c>
      <c r="P229" s="4">
        <v>174.323</v>
      </c>
      <c r="Q229" s="4">
        <v>4.0</v>
      </c>
    </row>
    <row r="230">
      <c r="A230" s="4" t="s">
        <v>473</v>
      </c>
      <c r="B230" s="4" t="s">
        <v>474</v>
      </c>
      <c r="C230" s="5">
        <v>42657.0</v>
      </c>
      <c r="D230" s="4">
        <v>206360.0</v>
      </c>
      <c r="E230" s="4">
        <v>76.0</v>
      </c>
      <c r="F230" s="4">
        <v>0.58</v>
      </c>
      <c r="G230" s="4">
        <v>0.498</v>
      </c>
      <c r="H230" s="4">
        <v>1.0</v>
      </c>
      <c r="I230" s="4">
        <v>-6.901</v>
      </c>
      <c r="J230" s="4">
        <v>1.0</v>
      </c>
      <c r="K230" s="4">
        <v>0.0277</v>
      </c>
      <c r="L230" s="4">
        <v>0.198</v>
      </c>
      <c r="M230" s="4">
        <v>0.0</v>
      </c>
      <c r="N230" s="4">
        <v>0.132</v>
      </c>
      <c r="O230" s="4">
        <v>0.111</v>
      </c>
      <c r="P230" s="4">
        <v>116.271</v>
      </c>
      <c r="Q230" s="4">
        <v>4.0</v>
      </c>
    </row>
    <row r="231">
      <c r="A231" s="4" t="s">
        <v>475</v>
      </c>
      <c r="B231" s="4" t="s">
        <v>476</v>
      </c>
      <c r="C231" s="5">
        <v>35671.0</v>
      </c>
      <c r="D231" s="4">
        <v>270400.0</v>
      </c>
      <c r="E231" s="4">
        <v>68.0</v>
      </c>
      <c r="F231" s="4">
        <v>0.532</v>
      </c>
      <c r="G231" s="4">
        <v>0.0744</v>
      </c>
      <c r="H231" s="4">
        <v>1.0</v>
      </c>
      <c r="I231" s="4">
        <v>-16.092</v>
      </c>
      <c r="J231" s="4">
        <v>1.0</v>
      </c>
      <c r="K231" s="4">
        <v>0.0355</v>
      </c>
      <c r="L231" s="4">
        <v>0.949</v>
      </c>
      <c r="M231" s="6">
        <v>1.22E-5</v>
      </c>
      <c r="N231" s="4">
        <v>0.106</v>
      </c>
      <c r="O231" s="4">
        <v>0.125</v>
      </c>
      <c r="P231" s="4">
        <v>117.131</v>
      </c>
      <c r="Q231" s="4">
        <v>3.0</v>
      </c>
    </row>
    <row r="232">
      <c r="A232" s="4" t="s">
        <v>477</v>
      </c>
      <c r="B232" s="4" t="s">
        <v>478</v>
      </c>
      <c r="C232" s="5">
        <v>35156.0</v>
      </c>
      <c r="D232" s="4">
        <v>207360.0</v>
      </c>
      <c r="E232" s="4">
        <v>64.0</v>
      </c>
      <c r="F232" s="4">
        <v>0.563</v>
      </c>
      <c r="G232" s="4">
        <v>0.536</v>
      </c>
      <c r="H232" s="4">
        <v>10.0</v>
      </c>
      <c r="I232" s="4">
        <v>-9.488</v>
      </c>
      <c r="J232" s="4">
        <v>1.0</v>
      </c>
      <c r="K232" s="4">
        <v>0.0286</v>
      </c>
      <c r="L232" s="4">
        <v>0.0874</v>
      </c>
      <c r="M232" s="4">
        <v>1.05E-4</v>
      </c>
      <c r="N232" s="4">
        <v>0.164</v>
      </c>
      <c r="O232" s="4">
        <v>0.312</v>
      </c>
      <c r="P232" s="4">
        <v>81.094</v>
      </c>
      <c r="Q232" s="4">
        <v>4.0</v>
      </c>
    </row>
    <row r="233">
      <c r="A233" s="4" t="s">
        <v>479</v>
      </c>
      <c r="B233" s="4" t="s">
        <v>480</v>
      </c>
      <c r="C233" s="5">
        <v>34037.0</v>
      </c>
      <c r="D233" s="4">
        <v>222120.0</v>
      </c>
      <c r="E233" s="4">
        <v>72.0</v>
      </c>
      <c r="F233" s="4">
        <v>0.651</v>
      </c>
      <c r="G233" s="4">
        <v>0.339</v>
      </c>
      <c r="H233" s="4">
        <v>2.0</v>
      </c>
      <c r="I233" s="4">
        <v>-11.917</v>
      </c>
      <c r="J233" s="4">
        <v>1.0</v>
      </c>
      <c r="K233" s="4">
        <v>0.0246</v>
      </c>
      <c r="L233" s="4">
        <v>0.372</v>
      </c>
      <c r="M233" s="4">
        <v>0.0141</v>
      </c>
      <c r="N233" s="4">
        <v>0.0739</v>
      </c>
      <c r="O233" s="4">
        <v>0.32</v>
      </c>
      <c r="P233" s="4">
        <v>103.996</v>
      </c>
      <c r="Q233" s="4">
        <v>4.0</v>
      </c>
    </row>
    <row r="234">
      <c r="A234" s="4" t="s">
        <v>481</v>
      </c>
      <c r="B234" s="4" t="s">
        <v>482</v>
      </c>
      <c r="C234" s="5">
        <v>35702.0</v>
      </c>
      <c r="D234" s="4">
        <v>357266.0</v>
      </c>
      <c r="E234" s="4">
        <v>80.0</v>
      </c>
      <c r="F234" s="4">
        <v>0.356</v>
      </c>
      <c r="G234" s="4">
        <v>0.917</v>
      </c>
      <c r="H234" s="4">
        <v>9.0</v>
      </c>
      <c r="I234" s="4">
        <v>-6.006</v>
      </c>
      <c r="J234" s="4">
        <v>1.0</v>
      </c>
      <c r="K234" s="4">
        <v>0.0479</v>
      </c>
      <c r="L234" s="4">
        <v>0.0335</v>
      </c>
      <c r="M234" s="4">
        <v>0.0</v>
      </c>
      <c r="N234" s="4">
        <v>0.406</v>
      </c>
      <c r="O234" s="4">
        <v>0.518</v>
      </c>
      <c r="P234" s="4">
        <v>171.176</v>
      </c>
      <c r="Q234" s="4">
        <v>4.0</v>
      </c>
    </row>
    <row r="235">
      <c r="A235" s="4" t="s">
        <v>483</v>
      </c>
      <c r="B235" s="4" t="s">
        <v>484</v>
      </c>
      <c r="C235" s="5">
        <v>43133.0</v>
      </c>
      <c r="D235" s="4">
        <v>341746.0</v>
      </c>
      <c r="E235" s="4">
        <v>70.0</v>
      </c>
      <c r="F235" s="4">
        <v>0.388</v>
      </c>
      <c r="G235" s="4">
        <v>0.72</v>
      </c>
      <c r="H235" s="4">
        <v>7.0</v>
      </c>
      <c r="I235" s="4">
        <v>-5.541</v>
      </c>
      <c r="J235" s="4">
        <v>1.0</v>
      </c>
      <c r="K235" s="4">
        <v>0.033</v>
      </c>
      <c r="L235" s="4">
        <v>0.202</v>
      </c>
      <c r="M235" s="4">
        <v>2.88E-4</v>
      </c>
      <c r="N235" s="4">
        <v>0.283</v>
      </c>
      <c r="O235" s="4">
        <v>0.554</v>
      </c>
      <c r="P235" s="4">
        <v>141.283</v>
      </c>
      <c r="Q235" s="4">
        <v>4.0</v>
      </c>
    </row>
    <row r="236">
      <c r="A236" s="4" t="s">
        <v>485</v>
      </c>
      <c r="B236" s="4" t="s">
        <v>486</v>
      </c>
      <c r="C236" s="5">
        <v>38353.0</v>
      </c>
      <c r="D236" s="4">
        <v>232533.0</v>
      </c>
      <c r="E236" s="4">
        <v>80.0</v>
      </c>
      <c r="F236" s="4">
        <v>0.656</v>
      </c>
      <c r="G236" s="4">
        <v>0.291</v>
      </c>
      <c r="H236" s="4">
        <v>2.0</v>
      </c>
      <c r="I236" s="4">
        <v>-10.572</v>
      </c>
      <c r="J236" s="4">
        <v>1.0</v>
      </c>
      <c r="K236" s="4">
        <v>0.0293</v>
      </c>
      <c r="L236" s="4">
        <v>0.872</v>
      </c>
      <c r="M236" s="4">
        <v>0.0</v>
      </c>
      <c r="N236" s="4">
        <v>0.114</v>
      </c>
      <c r="O236" s="4">
        <v>0.298</v>
      </c>
      <c r="P236" s="4">
        <v>103.971</v>
      </c>
      <c r="Q236" s="4">
        <v>4.0</v>
      </c>
    </row>
    <row r="237">
      <c r="A237" s="4" t="s">
        <v>487</v>
      </c>
      <c r="B237" s="4" t="s">
        <v>488</v>
      </c>
      <c r="C237" s="5">
        <v>32238.0</v>
      </c>
      <c r="D237" s="4">
        <v>296800.0</v>
      </c>
      <c r="E237" s="4">
        <v>78.0</v>
      </c>
      <c r="F237" s="4">
        <v>0.711</v>
      </c>
      <c r="G237" s="4">
        <v>0.292</v>
      </c>
      <c r="H237" s="4">
        <v>4.0</v>
      </c>
      <c r="I237" s="4">
        <v>-15.523</v>
      </c>
      <c r="J237" s="4">
        <v>0.0</v>
      </c>
      <c r="K237" s="4">
        <v>0.037</v>
      </c>
      <c r="L237" s="4">
        <v>0.313</v>
      </c>
      <c r="M237" s="4">
        <v>0.0</v>
      </c>
      <c r="N237" s="4">
        <v>0.131</v>
      </c>
      <c r="O237" s="4">
        <v>0.194</v>
      </c>
      <c r="P237" s="4">
        <v>103.951</v>
      </c>
      <c r="Q237" s="4">
        <v>4.0</v>
      </c>
    </row>
    <row r="238">
      <c r="A238" s="4" t="s">
        <v>489</v>
      </c>
      <c r="B238" s="4" t="s">
        <v>490</v>
      </c>
      <c r="C238" s="5">
        <v>33277.0</v>
      </c>
      <c r="D238" s="4">
        <v>252613.0</v>
      </c>
      <c r="E238" s="4">
        <v>71.0</v>
      </c>
      <c r="F238" s="4">
        <v>0.567</v>
      </c>
      <c r="G238" s="4">
        <v>0.512</v>
      </c>
      <c r="H238" s="4">
        <v>0.0</v>
      </c>
      <c r="I238" s="4">
        <v>-8.831</v>
      </c>
      <c r="J238" s="4">
        <v>1.0</v>
      </c>
      <c r="K238" s="4">
        <v>0.0357</v>
      </c>
      <c r="L238" s="4">
        <v>0.545</v>
      </c>
      <c r="M238" s="4">
        <v>0.0</v>
      </c>
      <c r="N238" s="4">
        <v>0.296</v>
      </c>
      <c r="O238" s="4">
        <v>0.334</v>
      </c>
      <c r="P238" s="4">
        <v>130.271</v>
      </c>
      <c r="Q238" s="4">
        <v>4.0</v>
      </c>
    </row>
    <row r="239">
      <c r="A239" s="4" t="s">
        <v>491</v>
      </c>
      <c r="B239" s="4" t="s">
        <v>492</v>
      </c>
      <c r="C239" s="5">
        <v>39898.0</v>
      </c>
      <c r="D239" s="4">
        <v>267360.0</v>
      </c>
      <c r="E239" s="4">
        <v>78.0</v>
      </c>
      <c r="F239" s="4">
        <v>0.431</v>
      </c>
      <c r="G239" s="4">
        <v>0.723</v>
      </c>
      <c r="H239" s="4">
        <v>8.0</v>
      </c>
      <c r="I239" s="4">
        <v>-5.887</v>
      </c>
      <c r="J239" s="4">
        <v>1.0</v>
      </c>
      <c r="K239" s="4">
        <v>0.0568</v>
      </c>
      <c r="L239" s="4">
        <v>0.145</v>
      </c>
      <c r="M239" s="4">
        <v>0.0</v>
      </c>
      <c r="N239" s="4">
        <v>0.374</v>
      </c>
      <c r="O239" s="4">
        <v>0.19</v>
      </c>
      <c r="P239" s="4">
        <v>130.141</v>
      </c>
      <c r="Q239" s="4">
        <v>4.0</v>
      </c>
    </row>
    <row r="240">
      <c r="A240" s="4" t="s">
        <v>493</v>
      </c>
      <c r="B240" s="4" t="s">
        <v>494</v>
      </c>
      <c r="C240" s="4">
        <v>1971.0</v>
      </c>
      <c r="D240" s="4">
        <v>243493.0</v>
      </c>
      <c r="E240" s="4">
        <v>70.0</v>
      </c>
      <c r="F240" s="4">
        <v>0.419</v>
      </c>
      <c r="G240" s="4">
        <v>0.085</v>
      </c>
      <c r="H240" s="4">
        <v>7.0</v>
      </c>
      <c r="I240" s="4">
        <v>-19.387</v>
      </c>
      <c r="J240" s="4">
        <v>1.0</v>
      </c>
      <c r="K240" s="4">
        <v>0.0362</v>
      </c>
      <c r="L240" s="4">
        <v>0.908</v>
      </c>
      <c r="M240" s="6">
        <v>5.33E-6</v>
      </c>
      <c r="N240" s="4">
        <v>0.34</v>
      </c>
      <c r="O240" s="4">
        <v>0.458</v>
      </c>
      <c r="P240" s="4">
        <v>91.509</v>
      </c>
      <c r="Q240" s="4">
        <v>3.0</v>
      </c>
    </row>
    <row r="241">
      <c r="A241" s="4" t="s">
        <v>495</v>
      </c>
      <c r="B241" s="4" t="s">
        <v>496</v>
      </c>
      <c r="C241" s="5">
        <v>39448.0</v>
      </c>
      <c r="D241" s="4">
        <v>234320.0</v>
      </c>
      <c r="E241" s="4">
        <v>41.0</v>
      </c>
      <c r="F241" s="4">
        <v>0.467</v>
      </c>
      <c r="G241" s="4">
        <v>0.334</v>
      </c>
      <c r="H241" s="4">
        <v>0.0</v>
      </c>
      <c r="I241" s="4">
        <v>-7.604</v>
      </c>
      <c r="J241" s="4">
        <v>1.0</v>
      </c>
      <c r="K241" s="4">
        <v>0.0303</v>
      </c>
      <c r="L241" s="4">
        <v>0.924</v>
      </c>
      <c r="M241" s="4">
        <v>0.0047</v>
      </c>
      <c r="N241" s="4">
        <v>0.0836</v>
      </c>
      <c r="O241" s="4">
        <v>0.189</v>
      </c>
      <c r="P241" s="4">
        <v>139.627</v>
      </c>
      <c r="Q241" s="4">
        <v>3.0</v>
      </c>
    </row>
    <row r="242">
      <c r="A242" s="4" t="s">
        <v>497</v>
      </c>
      <c r="B242" s="4" t="s">
        <v>498</v>
      </c>
      <c r="C242" s="4">
        <v>2006.0</v>
      </c>
      <c r="D242" s="4">
        <v>161680.0</v>
      </c>
      <c r="E242" s="4">
        <v>63.0</v>
      </c>
      <c r="F242" s="4">
        <v>0.589</v>
      </c>
      <c r="G242" s="4">
        <v>0.177</v>
      </c>
      <c r="H242" s="4">
        <v>3.0</v>
      </c>
      <c r="I242" s="4">
        <v>-14.891</v>
      </c>
      <c r="J242" s="4">
        <v>1.0</v>
      </c>
      <c r="K242" s="4">
        <v>0.0325</v>
      </c>
      <c r="L242" s="4">
        <v>0.977</v>
      </c>
      <c r="M242" s="4">
        <v>0.714</v>
      </c>
      <c r="N242" s="4">
        <v>0.0958</v>
      </c>
      <c r="O242" s="4">
        <v>0.311</v>
      </c>
      <c r="P242" s="4">
        <v>88.409</v>
      </c>
      <c r="Q242" s="4">
        <v>4.0</v>
      </c>
    </row>
    <row r="243">
      <c r="A243" s="4" t="s">
        <v>499</v>
      </c>
      <c r="B243" s="4" t="s">
        <v>500</v>
      </c>
      <c r="C243" s="5">
        <v>25204.0</v>
      </c>
      <c r="D243" s="4">
        <v>248586.0</v>
      </c>
      <c r="E243" s="4">
        <v>61.0</v>
      </c>
      <c r="F243" s="4">
        <v>0.396</v>
      </c>
      <c r="G243" s="4">
        <v>0.295</v>
      </c>
      <c r="H243" s="4">
        <v>4.0</v>
      </c>
      <c r="I243" s="4">
        <v>-15.126</v>
      </c>
      <c r="J243" s="4">
        <v>1.0</v>
      </c>
      <c r="K243" s="4">
        <v>0.0343</v>
      </c>
      <c r="L243" s="4">
        <v>0.625</v>
      </c>
      <c r="M243" s="6">
        <v>7.6E-5</v>
      </c>
      <c r="N243" s="4">
        <v>0.0989</v>
      </c>
      <c r="O243" s="4">
        <v>0.187</v>
      </c>
      <c r="P243" s="4">
        <v>155.531</v>
      </c>
      <c r="Q243" s="4">
        <v>4.0</v>
      </c>
    </row>
    <row r="244">
      <c r="A244" s="4" t="s">
        <v>501</v>
      </c>
      <c r="B244" s="4" t="s">
        <v>502</v>
      </c>
      <c r="C244" s="5">
        <v>23669.0</v>
      </c>
      <c r="D244" s="4">
        <v>185413.0</v>
      </c>
      <c r="E244" s="4">
        <v>74.0</v>
      </c>
      <c r="F244" s="4">
        <v>0.525</v>
      </c>
      <c r="G244" s="4">
        <v>0.216</v>
      </c>
      <c r="H244" s="4">
        <v>6.0</v>
      </c>
      <c r="I244" s="4">
        <v>-13.551</v>
      </c>
      <c r="J244" s="4">
        <v>1.0</v>
      </c>
      <c r="K244" s="4">
        <v>0.0301</v>
      </c>
      <c r="L244" s="4">
        <v>0.837</v>
      </c>
      <c r="M244" s="4">
        <v>0.0</v>
      </c>
      <c r="N244" s="4">
        <v>0.107</v>
      </c>
      <c r="O244" s="4">
        <v>0.328</v>
      </c>
      <c r="P244" s="4">
        <v>106.761</v>
      </c>
      <c r="Q244" s="4">
        <v>4.0</v>
      </c>
    </row>
    <row r="245">
      <c r="A245" s="4" t="s">
        <v>503</v>
      </c>
      <c r="B245" s="4" t="s">
        <v>504</v>
      </c>
      <c r="C245" s="5">
        <v>44485.0</v>
      </c>
      <c r="D245" s="4">
        <v>455960.0</v>
      </c>
      <c r="E245" s="4">
        <v>5.0</v>
      </c>
      <c r="F245" s="4">
        <v>0.171</v>
      </c>
      <c r="G245" s="4">
        <v>0.0896</v>
      </c>
      <c r="H245" s="4">
        <v>2.0</v>
      </c>
      <c r="I245" s="4">
        <v>-21.545</v>
      </c>
      <c r="J245" s="4">
        <v>1.0</v>
      </c>
      <c r="K245" s="4">
        <v>0.0436</v>
      </c>
      <c r="L245" s="4">
        <v>0.986</v>
      </c>
      <c r="M245" s="4">
        <v>0.579</v>
      </c>
      <c r="N245" s="4">
        <v>0.0995</v>
      </c>
      <c r="O245" s="4">
        <v>0.0715</v>
      </c>
      <c r="P245" s="4">
        <v>99.452</v>
      </c>
      <c r="Q245" s="4">
        <v>4.0</v>
      </c>
    </row>
    <row r="246">
      <c r="A246" s="4" t="s">
        <v>505</v>
      </c>
      <c r="B246" s="4" t="s">
        <v>506</v>
      </c>
      <c r="C246" s="5">
        <v>21944.0</v>
      </c>
      <c r="D246" s="4">
        <v>87000.0</v>
      </c>
      <c r="E246" s="4">
        <v>13.0</v>
      </c>
      <c r="F246" s="4">
        <v>0.366</v>
      </c>
      <c r="G246" s="4">
        <v>0.612</v>
      </c>
      <c r="H246" s="4">
        <v>1.0</v>
      </c>
      <c r="I246" s="4">
        <v>-11.058</v>
      </c>
      <c r="J246" s="4">
        <v>1.0</v>
      </c>
      <c r="K246" s="4">
        <v>0.0398</v>
      </c>
      <c r="L246" s="4">
        <v>0.78</v>
      </c>
      <c r="M246" s="4">
        <v>0.925</v>
      </c>
      <c r="N246" s="4">
        <v>0.79</v>
      </c>
      <c r="O246" s="4">
        <v>0.342</v>
      </c>
      <c r="P246" s="4">
        <v>105.315</v>
      </c>
      <c r="Q246" s="4">
        <v>4.0</v>
      </c>
    </row>
    <row r="247">
      <c r="A247" s="4" t="s">
        <v>507</v>
      </c>
      <c r="B247" s="4" t="s">
        <v>508</v>
      </c>
      <c r="C247" s="4">
        <v>1977.0</v>
      </c>
      <c r="D247" s="4">
        <v>822053.0</v>
      </c>
      <c r="E247" s="4">
        <v>7.0</v>
      </c>
      <c r="F247" s="4">
        <v>0.153</v>
      </c>
      <c r="G247" s="4">
        <v>0.117</v>
      </c>
      <c r="H247" s="4">
        <v>4.0</v>
      </c>
      <c r="I247" s="4">
        <v>-15.657</v>
      </c>
      <c r="J247" s="4">
        <v>0.0</v>
      </c>
      <c r="K247" s="4">
        <v>0.0379</v>
      </c>
      <c r="L247" s="4">
        <v>0.383</v>
      </c>
      <c r="M247" s="4">
        <v>0.832</v>
      </c>
      <c r="N247" s="4">
        <v>0.201</v>
      </c>
      <c r="O247" s="4">
        <v>0.0346</v>
      </c>
      <c r="P247" s="4">
        <v>71.433</v>
      </c>
      <c r="Q247" s="4">
        <v>4.0</v>
      </c>
    </row>
    <row r="248">
      <c r="A248" s="4" t="s">
        <v>509</v>
      </c>
      <c r="B248" s="4" t="s">
        <v>510</v>
      </c>
      <c r="C248" s="5">
        <v>44485.0</v>
      </c>
      <c r="D248" s="4">
        <v>965160.0</v>
      </c>
      <c r="E248" s="4">
        <v>5.0</v>
      </c>
      <c r="F248" s="4">
        <v>0.267</v>
      </c>
      <c r="G248" s="4">
        <v>0.0745</v>
      </c>
      <c r="H248" s="4">
        <v>10.0</v>
      </c>
      <c r="I248" s="4">
        <v>-26.211</v>
      </c>
      <c r="J248" s="4">
        <v>1.0</v>
      </c>
      <c r="K248" s="4">
        <v>0.0474</v>
      </c>
      <c r="L248" s="4">
        <v>0.873</v>
      </c>
      <c r="M248" s="4">
        <v>0.657</v>
      </c>
      <c r="N248" s="4">
        <v>0.0801</v>
      </c>
      <c r="O248" s="4">
        <v>0.0445</v>
      </c>
      <c r="P248" s="4">
        <v>114.266</v>
      </c>
      <c r="Q248" s="4">
        <v>4.0</v>
      </c>
    </row>
    <row r="249">
      <c r="A249" s="4" t="s">
        <v>511</v>
      </c>
      <c r="B249" s="4" t="s">
        <v>512</v>
      </c>
      <c r="C249" s="5">
        <v>33069.0</v>
      </c>
      <c r="D249" s="4">
        <v>286733.0</v>
      </c>
      <c r="E249" s="4">
        <v>41.0</v>
      </c>
      <c r="F249" s="4">
        <v>0.57</v>
      </c>
      <c r="G249" s="4">
        <v>0.982</v>
      </c>
      <c r="H249" s="4">
        <v>0.0</v>
      </c>
      <c r="I249" s="4">
        <v>-4.122</v>
      </c>
      <c r="J249" s="4">
        <v>1.0</v>
      </c>
      <c r="K249" s="4">
        <v>0.0494</v>
      </c>
      <c r="L249" s="4">
        <v>0.229</v>
      </c>
      <c r="M249" s="6">
        <v>2.44E-5</v>
      </c>
      <c r="N249" s="4">
        <v>0.986</v>
      </c>
      <c r="O249" s="4">
        <v>0.624</v>
      </c>
      <c r="P249" s="4">
        <v>131.64</v>
      </c>
      <c r="Q249" s="4">
        <v>4.0</v>
      </c>
    </row>
    <row r="250">
      <c r="A250" s="4" t="s">
        <v>513</v>
      </c>
      <c r="B250" s="4" t="s">
        <v>514</v>
      </c>
      <c r="C250" s="5">
        <v>44485.0</v>
      </c>
      <c r="D250" s="4">
        <v>306000.0</v>
      </c>
      <c r="E250" s="4">
        <v>4.0</v>
      </c>
      <c r="F250" s="4">
        <v>0.151</v>
      </c>
      <c r="G250" s="4">
        <v>0.0299</v>
      </c>
      <c r="H250" s="4">
        <v>7.0</v>
      </c>
      <c r="I250" s="4">
        <v>-25.486</v>
      </c>
      <c r="J250" s="4">
        <v>1.0</v>
      </c>
      <c r="K250" s="4">
        <v>0.0427</v>
      </c>
      <c r="L250" s="4">
        <v>0.984</v>
      </c>
      <c r="M250" s="4">
        <v>0.894</v>
      </c>
      <c r="N250" s="4">
        <v>0.134</v>
      </c>
      <c r="O250" s="4">
        <v>0.0397</v>
      </c>
      <c r="P250" s="4">
        <v>137.577</v>
      </c>
      <c r="Q250" s="4">
        <v>4.0</v>
      </c>
    </row>
    <row r="251">
      <c r="A251" s="4" t="s">
        <v>515</v>
      </c>
      <c r="B251" s="4" t="s">
        <v>516</v>
      </c>
      <c r="C251" s="5">
        <v>44478.0</v>
      </c>
      <c r="D251" s="4">
        <v>473000.0</v>
      </c>
      <c r="E251" s="4">
        <v>4.0</v>
      </c>
      <c r="F251" s="4">
        <v>0.269</v>
      </c>
      <c r="G251" s="4">
        <v>0.0635</v>
      </c>
      <c r="H251" s="4">
        <v>9.0</v>
      </c>
      <c r="I251" s="4">
        <v>-22.945</v>
      </c>
      <c r="J251" s="4">
        <v>1.0</v>
      </c>
      <c r="K251" s="4">
        <v>0.045</v>
      </c>
      <c r="L251" s="4">
        <v>0.927</v>
      </c>
      <c r="M251" s="4">
        <v>0.799</v>
      </c>
      <c r="N251" s="4">
        <v>0.0807</v>
      </c>
      <c r="O251" s="4">
        <v>0.0906</v>
      </c>
      <c r="P251" s="4">
        <v>95.417</v>
      </c>
      <c r="Q251" s="4">
        <v>4.0</v>
      </c>
    </row>
    <row r="252">
      <c r="A252" s="4" t="s">
        <v>517</v>
      </c>
      <c r="B252" s="4" t="s">
        <v>256</v>
      </c>
      <c r="C252" s="4">
        <v>1994.0</v>
      </c>
      <c r="D252" s="4">
        <v>413826.0</v>
      </c>
      <c r="E252" s="4">
        <v>73.0</v>
      </c>
      <c r="F252" s="4">
        <v>0.324</v>
      </c>
      <c r="G252" s="4">
        <v>0.136</v>
      </c>
      <c r="H252" s="4">
        <v>0.0</v>
      </c>
      <c r="I252" s="4">
        <v>-10.33</v>
      </c>
      <c r="J252" s="4">
        <v>1.0</v>
      </c>
      <c r="K252" s="4">
        <v>0.0318</v>
      </c>
      <c r="L252" s="4">
        <v>0.931</v>
      </c>
      <c r="M252" s="4">
        <v>0.00117</v>
      </c>
      <c r="N252" s="4">
        <v>0.176</v>
      </c>
      <c r="O252" s="4">
        <v>0.0831</v>
      </c>
      <c r="P252" s="4">
        <v>97.256</v>
      </c>
      <c r="Q252" s="4">
        <v>3.0</v>
      </c>
    </row>
    <row r="253">
      <c r="A253" s="4" t="s">
        <v>518</v>
      </c>
      <c r="B253" s="4" t="s">
        <v>519</v>
      </c>
      <c r="C253" s="4">
        <v>1961.0</v>
      </c>
      <c r="D253" s="4">
        <v>700000.0</v>
      </c>
      <c r="E253" s="4">
        <v>34.0</v>
      </c>
      <c r="F253" s="4">
        <v>0.239</v>
      </c>
      <c r="G253" s="4">
        <v>0.212</v>
      </c>
      <c r="H253" s="4">
        <v>9.0</v>
      </c>
      <c r="I253" s="4">
        <v>-19.998</v>
      </c>
      <c r="J253" s="4">
        <v>1.0</v>
      </c>
      <c r="K253" s="4">
        <v>0.0514</v>
      </c>
      <c r="L253" s="4">
        <v>0.827</v>
      </c>
      <c r="M253" s="4">
        <v>0.748</v>
      </c>
      <c r="N253" s="4">
        <v>0.157</v>
      </c>
      <c r="O253" s="4">
        <v>0.0435</v>
      </c>
      <c r="P253" s="4">
        <v>81.475</v>
      </c>
      <c r="Q253" s="4">
        <v>3.0</v>
      </c>
    </row>
    <row r="254">
      <c r="A254" s="4" t="s">
        <v>520</v>
      </c>
      <c r="B254" s="4" t="s">
        <v>521</v>
      </c>
      <c r="C254" s="4">
        <v>2008.0</v>
      </c>
      <c r="D254" s="4">
        <v>184320.0</v>
      </c>
      <c r="E254" s="4">
        <v>43.0</v>
      </c>
      <c r="F254" s="4">
        <v>0.324</v>
      </c>
      <c r="G254" s="4">
        <v>0.682</v>
      </c>
      <c r="H254" s="4">
        <v>4.0</v>
      </c>
      <c r="I254" s="4">
        <v>-10.208</v>
      </c>
      <c r="J254" s="4">
        <v>1.0</v>
      </c>
      <c r="K254" s="4">
        <v>0.0619</v>
      </c>
      <c r="L254" s="4">
        <v>0.763</v>
      </c>
      <c r="M254" s="4">
        <v>0.658</v>
      </c>
      <c r="N254" s="4">
        <v>0.127</v>
      </c>
      <c r="O254" s="4">
        <v>0.645</v>
      </c>
      <c r="P254" s="4">
        <v>169.329</v>
      </c>
      <c r="Q254" s="4">
        <v>4.0</v>
      </c>
    </row>
    <row r="255">
      <c r="A255" s="4" t="s">
        <v>522</v>
      </c>
      <c r="B255" s="4" t="s">
        <v>523</v>
      </c>
      <c r="C255" s="5">
        <v>41021.0</v>
      </c>
      <c r="D255" s="4">
        <v>340746.0</v>
      </c>
      <c r="E255" s="4">
        <v>20.0</v>
      </c>
      <c r="F255" s="4">
        <v>0.387</v>
      </c>
      <c r="G255" s="4">
        <v>0.406</v>
      </c>
      <c r="H255" s="4">
        <v>11.0</v>
      </c>
      <c r="I255" s="4">
        <v>-9.184</v>
      </c>
      <c r="J255" s="4">
        <v>1.0</v>
      </c>
      <c r="K255" s="4">
        <v>0.03</v>
      </c>
      <c r="L255" s="4">
        <v>0.799</v>
      </c>
      <c r="M255" s="6">
        <v>6.43E-5</v>
      </c>
      <c r="N255" s="4">
        <v>0.091</v>
      </c>
      <c r="O255" s="4">
        <v>0.39</v>
      </c>
      <c r="P255" s="4">
        <v>150.634</v>
      </c>
      <c r="Q255" s="4">
        <v>3.0</v>
      </c>
    </row>
    <row r="256">
      <c r="A256" s="4" t="s">
        <v>524</v>
      </c>
      <c r="B256" s="4" t="s">
        <v>525</v>
      </c>
      <c r="C256" s="5">
        <v>44481.0</v>
      </c>
      <c r="D256" s="4">
        <v>472653.0</v>
      </c>
      <c r="E256" s="4">
        <v>6.0</v>
      </c>
      <c r="F256" s="4">
        <v>0.16</v>
      </c>
      <c r="G256" s="4">
        <v>0.193</v>
      </c>
      <c r="H256" s="4">
        <v>10.0</v>
      </c>
      <c r="I256" s="4">
        <v>-14.489</v>
      </c>
      <c r="J256" s="4">
        <v>1.0</v>
      </c>
      <c r="K256" s="4">
        <v>0.0442</v>
      </c>
      <c r="L256" s="4">
        <v>0.965</v>
      </c>
      <c r="M256" s="4">
        <v>0.0363</v>
      </c>
      <c r="N256" s="4">
        <v>0.318</v>
      </c>
      <c r="O256" s="4">
        <v>0.0383</v>
      </c>
      <c r="P256" s="4">
        <v>86.714</v>
      </c>
      <c r="Q256" s="4">
        <v>4.0</v>
      </c>
    </row>
    <row r="257">
      <c r="A257" s="4" t="s">
        <v>526</v>
      </c>
      <c r="B257" s="4" t="s">
        <v>527</v>
      </c>
      <c r="C257" s="5">
        <v>41929.0</v>
      </c>
      <c r="D257" s="4">
        <v>275293.0</v>
      </c>
      <c r="E257" s="4">
        <v>40.0</v>
      </c>
      <c r="F257" s="4">
        <v>0.109</v>
      </c>
      <c r="G257" s="4">
        <v>0.0935</v>
      </c>
      <c r="H257" s="4">
        <v>5.0</v>
      </c>
      <c r="I257" s="4">
        <v>-19.813</v>
      </c>
      <c r="J257" s="4">
        <v>0.0</v>
      </c>
      <c r="K257" s="4">
        <v>0.0475</v>
      </c>
      <c r="L257" s="4">
        <v>0.979</v>
      </c>
      <c r="M257" s="4">
        <v>0.909</v>
      </c>
      <c r="N257" s="4">
        <v>0.108</v>
      </c>
      <c r="O257" s="4">
        <v>0.0728</v>
      </c>
      <c r="P257" s="4">
        <v>88.286</v>
      </c>
      <c r="Q257" s="4">
        <v>5.0</v>
      </c>
    </row>
    <row r="258">
      <c r="A258" s="4" t="s">
        <v>528</v>
      </c>
      <c r="B258" s="4" t="s">
        <v>529</v>
      </c>
      <c r="C258" s="5">
        <v>38607.0</v>
      </c>
      <c r="D258" s="4">
        <v>268706.0</v>
      </c>
      <c r="E258" s="4">
        <v>48.0</v>
      </c>
      <c r="F258" s="4">
        <v>0.316</v>
      </c>
      <c r="G258" s="4">
        <v>0.684</v>
      </c>
      <c r="H258" s="4">
        <v>11.0</v>
      </c>
      <c r="I258" s="4">
        <v>-6.447</v>
      </c>
      <c r="J258" s="4">
        <v>1.0</v>
      </c>
      <c r="K258" s="4">
        <v>0.0327</v>
      </c>
      <c r="L258" s="4">
        <v>0.0302</v>
      </c>
      <c r="M258" s="4">
        <v>0.215</v>
      </c>
      <c r="N258" s="4">
        <v>0.219</v>
      </c>
      <c r="O258" s="4">
        <v>0.175</v>
      </c>
      <c r="P258" s="4">
        <v>139.863</v>
      </c>
      <c r="Q258" s="4">
        <v>4.0</v>
      </c>
    </row>
    <row r="259">
      <c r="A259" s="4" t="s">
        <v>530</v>
      </c>
      <c r="B259" s="4" t="s">
        <v>531</v>
      </c>
      <c r="C259" s="5">
        <v>40603.0</v>
      </c>
      <c r="D259" s="4">
        <v>564146.0</v>
      </c>
      <c r="E259" s="4">
        <v>30.0</v>
      </c>
      <c r="F259" s="4">
        <v>0.172</v>
      </c>
      <c r="G259" s="4">
        <v>0.256</v>
      </c>
      <c r="H259" s="4">
        <v>6.0</v>
      </c>
      <c r="I259" s="4">
        <v>-17.842</v>
      </c>
      <c r="J259" s="4">
        <v>0.0</v>
      </c>
      <c r="K259" s="4">
        <v>0.0361</v>
      </c>
      <c r="L259" s="4">
        <v>0.951</v>
      </c>
      <c r="M259" s="4">
        <v>0.854</v>
      </c>
      <c r="N259" s="4">
        <v>0.103</v>
      </c>
      <c r="O259" s="4">
        <v>0.117</v>
      </c>
      <c r="P259" s="4">
        <v>136.616</v>
      </c>
      <c r="Q259" s="4">
        <v>4.0</v>
      </c>
    </row>
    <row r="260">
      <c r="A260" s="4" t="s">
        <v>532</v>
      </c>
      <c r="B260" s="4" t="s">
        <v>533</v>
      </c>
      <c r="C260" s="5">
        <v>39552.0</v>
      </c>
      <c r="D260" s="4">
        <v>123506.0</v>
      </c>
      <c r="E260" s="4">
        <v>60.0</v>
      </c>
      <c r="F260" s="4">
        <v>0.168</v>
      </c>
      <c r="G260" s="4">
        <v>0.235</v>
      </c>
      <c r="H260" s="4">
        <v>5.0</v>
      </c>
      <c r="I260" s="4">
        <v>-17.462</v>
      </c>
      <c r="J260" s="4">
        <v>1.0</v>
      </c>
      <c r="K260" s="4">
        <v>0.0389</v>
      </c>
      <c r="L260" s="4">
        <v>0.681</v>
      </c>
      <c r="M260" s="4">
        <v>0.852</v>
      </c>
      <c r="N260" s="4">
        <v>0.089</v>
      </c>
      <c r="O260" s="4">
        <v>0.0791</v>
      </c>
      <c r="P260" s="4">
        <v>109.098</v>
      </c>
      <c r="Q260" s="4">
        <v>3.0</v>
      </c>
    </row>
    <row r="261">
      <c r="A261" s="4" t="s">
        <v>534</v>
      </c>
      <c r="B261" s="4" t="s">
        <v>535</v>
      </c>
      <c r="C261" s="5">
        <v>29221.0</v>
      </c>
      <c r="D261" s="4">
        <v>463401.0</v>
      </c>
      <c r="E261" s="4">
        <v>41.0</v>
      </c>
      <c r="F261" s="4">
        <v>0.264</v>
      </c>
      <c r="G261" s="4">
        <v>0.294</v>
      </c>
      <c r="H261" s="4">
        <v>4.0</v>
      </c>
      <c r="I261" s="4">
        <v>-17.417</v>
      </c>
      <c r="J261" s="4">
        <v>0.0</v>
      </c>
      <c r="K261" s="4">
        <v>0.0494</v>
      </c>
      <c r="L261" s="4">
        <v>0.983</v>
      </c>
      <c r="M261" s="4">
        <v>0.901</v>
      </c>
      <c r="N261" s="4">
        <v>0.112</v>
      </c>
      <c r="O261" s="4">
        <v>0.295</v>
      </c>
      <c r="P261" s="4">
        <v>134.808</v>
      </c>
      <c r="Q261" s="4">
        <v>4.0</v>
      </c>
    </row>
    <row r="262">
      <c r="A262" s="4" t="s">
        <v>536</v>
      </c>
      <c r="B262" s="4" t="s">
        <v>537</v>
      </c>
      <c r="C262" s="5">
        <v>39083.0</v>
      </c>
      <c r="D262" s="4">
        <v>276000.0</v>
      </c>
      <c r="E262" s="4">
        <v>47.0</v>
      </c>
      <c r="F262" s="4">
        <v>0.556</v>
      </c>
      <c r="G262" s="4">
        <v>0.446</v>
      </c>
      <c r="H262" s="4">
        <v>1.0</v>
      </c>
      <c r="I262" s="4">
        <v>-8.328</v>
      </c>
      <c r="J262" s="4">
        <v>1.0</v>
      </c>
      <c r="K262" s="4">
        <v>0.03</v>
      </c>
      <c r="L262" s="4">
        <v>0.537</v>
      </c>
      <c r="M262" s="4">
        <v>0.0</v>
      </c>
      <c r="N262" s="4">
        <v>0.201</v>
      </c>
      <c r="O262" s="4">
        <v>0.307</v>
      </c>
      <c r="P262" s="4">
        <v>96.043</v>
      </c>
      <c r="Q262" s="4">
        <v>4.0</v>
      </c>
    </row>
    <row r="263">
      <c r="A263" s="4" t="s">
        <v>538</v>
      </c>
      <c r="B263" s="4" t="s">
        <v>539</v>
      </c>
      <c r="C263" s="5">
        <v>44224.0</v>
      </c>
      <c r="D263" s="4">
        <v>233824.0</v>
      </c>
      <c r="E263" s="4">
        <v>48.0</v>
      </c>
      <c r="F263" s="4">
        <v>0.567</v>
      </c>
      <c r="G263" s="4">
        <v>0.53</v>
      </c>
      <c r="H263" s="4">
        <v>11.0</v>
      </c>
      <c r="I263" s="4">
        <v>-16.376</v>
      </c>
      <c r="J263" s="4">
        <v>0.0</v>
      </c>
      <c r="K263" s="4">
        <v>0.0411</v>
      </c>
      <c r="L263" s="4">
        <v>0.424</v>
      </c>
      <c r="M263" s="4">
        <v>0.018</v>
      </c>
      <c r="N263" s="4">
        <v>0.13</v>
      </c>
      <c r="O263" s="4">
        <v>0.545</v>
      </c>
      <c r="P263" s="4">
        <v>175.967</v>
      </c>
      <c r="Q263" s="4">
        <v>4.0</v>
      </c>
    </row>
    <row r="264">
      <c r="A264" s="4" t="s">
        <v>540</v>
      </c>
      <c r="B264" s="4" t="s">
        <v>541</v>
      </c>
      <c r="C264" s="5">
        <v>33546.0</v>
      </c>
      <c r="D264" s="4">
        <v>333200.0</v>
      </c>
      <c r="E264" s="4">
        <v>42.0</v>
      </c>
      <c r="F264" s="4">
        <v>0.198</v>
      </c>
      <c r="G264" s="4">
        <v>0.658</v>
      </c>
      <c r="H264" s="4">
        <v>7.0</v>
      </c>
      <c r="I264" s="4">
        <v>-12.434</v>
      </c>
      <c r="J264" s="4">
        <v>1.0</v>
      </c>
      <c r="K264" s="4">
        <v>0.072</v>
      </c>
      <c r="L264" s="4">
        <v>0.169</v>
      </c>
      <c r="M264" s="4">
        <v>0.891</v>
      </c>
      <c r="N264" s="4">
        <v>0.226</v>
      </c>
      <c r="O264" s="4">
        <v>0.0386</v>
      </c>
      <c r="P264" s="4">
        <v>133.182</v>
      </c>
      <c r="Q264" s="4">
        <v>4.0</v>
      </c>
    </row>
    <row r="265">
      <c r="A265" s="4" t="s">
        <v>542</v>
      </c>
      <c r="B265" s="4" t="s">
        <v>543</v>
      </c>
      <c r="C265" s="5">
        <v>39213.0</v>
      </c>
      <c r="D265" s="4">
        <v>241786.0</v>
      </c>
      <c r="E265" s="4">
        <v>29.0</v>
      </c>
      <c r="F265" s="4">
        <v>0.538</v>
      </c>
      <c r="G265" s="4">
        <v>0.406</v>
      </c>
      <c r="H265" s="4">
        <v>7.0</v>
      </c>
      <c r="I265" s="4">
        <v>-8.334</v>
      </c>
      <c r="J265" s="4">
        <v>1.0</v>
      </c>
      <c r="K265" s="4">
        <v>0.0285</v>
      </c>
      <c r="L265" s="4">
        <v>0.82</v>
      </c>
      <c r="M265" s="4">
        <v>0.179</v>
      </c>
      <c r="N265" s="4">
        <v>0.109</v>
      </c>
      <c r="O265" s="4">
        <v>0.417</v>
      </c>
      <c r="P265" s="4">
        <v>115.73</v>
      </c>
      <c r="Q265" s="4">
        <v>4.0</v>
      </c>
    </row>
    <row r="266">
      <c r="A266" s="4" t="s">
        <v>544</v>
      </c>
      <c r="B266" s="4" t="s">
        <v>545</v>
      </c>
      <c r="C266" s="5">
        <v>36892.0</v>
      </c>
      <c r="D266" s="4">
        <v>509266.0</v>
      </c>
      <c r="E266" s="4">
        <v>20.0</v>
      </c>
      <c r="F266" s="4">
        <v>0.0811</v>
      </c>
      <c r="G266" s="4">
        <v>0.155</v>
      </c>
      <c r="H266" s="4">
        <v>3.0</v>
      </c>
      <c r="I266" s="4">
        <v>-16.831</v>
      </c>
      <c r="J266" s="4">
        <v>1.0</v>
      </c>
      <c r="K266" s="4">
        <v>0.0414</v>
      </c>
      <c r="L266" s="4">
        <v>0.774</v>
      </c>
      <c r="M266" s="4">
        <v>0.905</v>
      </c>
      <c r="N266" s="4">
        <v>0.152</v>
      </c>
      <c r="O266" s="4">
        <v>0.06</v>
      </c>
      <c r="P266" s="4">
        <v>81.212</v>
      </c>
      <c r="Q266" s="4">
        <v>3.0</v>
      </c>
    </row>
    <row r="267">
      <c r="A267" s="4" t="s">
        <v>546</v>
      </c>
      <c r="B267" s="4" t="s">
        <v>547</v>
      </c>
      <c r="C267" s="5">
        <v>44485.0</v>
      </c>
      <c r="D267" s="4">
        <v>628400.0</v>
      </c>
      <c r="E267" s="4">
        <v>6.0</v>
      </c>
      <c r="F267" s="4">
        <v>0.143</v>
      </c>
      <c r="G267" s="4">
        <v>0.0884</v>
      </c>
      <c r="H267" s="4">
        <v>9.0</v>
      </c>
      <c r="I267" s="4">
        <v>-21.613</v>
      </c>
      <c r="J267" s="4">
        <v>1.0</v>
      </c>
      <c r="K267" s="4">
        <v>0.0408</v>
      </c>
      <c r="L267" s="4">
        <v>0.98</v>
      </c>
      <c r="M267" s="4">
        <v>0.841</v>
      </c>
      <c r="N267" s="4">
        <v>0.0642</v>
      </c>
      <c r="O267" s="4">
        <v>0.027</v>
      </c>
      <c r="P267" s="4">
        <v>140.371</v>
      </c>
      <c r="Q267" s="4">
        <v>4.0</v>
      </c>
    </row>
    <row r="268">
      <c r="A268" s="4" t="s">
        <v>548</v>
      </c>
      <c r="B268" s="4" t="s">
        <v>549</v>
      </c>
      <c r="C268" s="5">
        <v>39833.0</v>
      </c>
      <c r="D268" s="4">
        <v>340786.0</v>
      </c>
      <c r="E268" s="4">
        <v>55.0</v>
      </c>
      <c r="F268" s="4">
        <v>0.508</v>
      </c>
      <c r="G268" s="4">
        <v>0.953</v>
      </c>
      <c r="H268" s="4">
        <v>4.0</v>
      </c>
      <c r="I268" s="4">
        <v>-6.031</v>
      </c>
      <c r="J268" s="4">
        <v>0.0</v>
      </c>
      <c r="K268" s="4">
        <v>0.0806</v>
      </c>
      <c r="L268" s="4">
        <v>0.256</v>
      </c>
      <c r="M268" s="4">
        <v>0.0445</v>
      </c>
      <c r="N268" s="4">
        <v>0.929</v>
      </c>
      <c r="O268" s="4">
        <v>0.555</v>
      </c>
      <c r="P268" s="4">
        <v>119.973</v>
      </c>
      <c r="Q268" s="4">
        <v>4.0</v>
      </c>
    </row>
    <row r="269">
      <c r="A269" s="4" t="s">
        <v>550</v>
      </c>
      <c r="B269" s="4" t="s">
        <v>551</v>
      </c>
      <c r="C269" s="5">
        <v>39952.0</v>
      </c>
      <c r="D269" s="4">
        <v>228773.0</v>
      </c>
      <c r="E269" s="4">
        <v>14.0</v>
      </c>
      <c r="F269" s="4">
        <v>0.429</v>
      </c>
      <c r="G269" s="4">
        <v>0.638</v>
      </c>
      <c r="H269" s="4">
        <v>4.0</v>
      </c>
      <c r="I269" s="4">
        <v>-6.999</v>
      </c>
      <c r="J269" s="4">
        <v>0.0</v>
      </c>
      <c r="K269" s="4">
        <v>0.0301</v>
      </c>
      <c r="L269" s="4">
        <v>0.0397</v>
      </c>
      <c r="M269" s="4">
        <v>0.879</v>
      </c>
      <c r="N269" s="4">
        <v>0.149</v>
      </c>
      <c r="O269" s="4">
        <v>0.201</v>
      </c>
      <c r="P269" s="4">
        <v>89.063</v>
      </c>
      <c r="Q269" s="4">
        <v>4.0</v>
      </c>
    </row>
    <row r="270">
      <c r="A270" s="4" t="s">
        <v>552</v>
      </c>
      <c r="B270" s="4" t="s">
        <v>553</v>
      </c>
      <c r="C270" s="5">
        <v>39497.0</v>
      </c>
      <c r="D270" s="4">
        <v>219000.0</v>
      </c>
      <c r="E270" s="4">
        <v>64.0</v>
      </c>
      <c r="F270" s="4">
        <v>0.448</v>
      </c>
      <c r="G270" s="4">
        <v>0.143</v>
      </c>
      <c r="H270" s="4">
        <v>11.0</v>
      </c>
      <c r="I270" s="4">
        <v>-17.012</v>
      </c>
      <c r="J270" s="4">
        <v>1.0</v>
      </c>
      <c r="K270" s="4">
        <v>0.0328</v>
      </c>
      <c r="L270" s="4">
        <v>0.929</v>
      </c>
      <c r="M270" s="4">
        <v>0.0356</v>
      </c>
      <c r="N270" s="4">
        <v>0.109</v>
      </c>
      <c r="O270" s="4">
        <v>0.0873</v>
      </c>
      <c r="P270" s="4">
        <v>132.829</v>
      </c>
      <c r="Q270" s="4">
        <v>4.0</v>
      </c>
    </row>
    <row r="271">
      <c r="A271" s="4" t="s">
        <v>554</v>
      </c>
      <c r="B271" s="4" t="s">
        <v>555</v>
      </c>
      <c r="C271" s="5">
        <v>40169.0</v>
      </c>
      <c r="D271" s="4">
        <v>170240.0</v>
      </c>
      <c r="E271" s="4">
        <v>18.0</v>
      </c>
      <c r="F271" s="4">
        <v>0.619</v>
      </c>
      <c r="G271" s="4">
        <v>0.59</v>
      </c>
      <c r="H271" s="4">
        <v>7.0</v>
      </c>
      <c r="I271" s="4">
        <v>-10.275</v>
      </c>
      <c r="J271" s="4">
        <v>1.0</v>
      </c>
      <c r="K271" s="4">
        <v>0.0516</v>
      </c>
      <c r="L271" s="4">
        <v>0.507</v>
      </c>
      <c r="M271" s="6">
        <v>5.13E-5</v>
      </c>
      <c r="N271" s="4">
        <v>0.0919</v>
      </c>
      <c r="O271" s="4">
        <v>0.862</v>
      </c>
      <c r="P271" s="4">
        <v>116.054</v>
      </c>
      <c r="Q271" s="4">
        <v>4.0</v>
      </c>
    </row>
    <row r="272">
      <c r="A272" s="4" t="s">
        <v>556</v>
      </c>
      <c r="B272" s="4" t="s">
        <v>557</v>
      </c>
      <c r="C272" s="5">
        <v>39707.0</v>
      </c>
      <c r="D272" s="4">
        <v>272626.0</v>
      </c>
      <c r="E272" s="4">
        <v>30.0</v>
      </c>
      <c r="F272" s="4">
        <v>0.59</v>
      </c>
      <c r="G272" s="4">
        <v>0.845</v>
      </c>
      <c r="H272" s="4">
        <v>0.0</v>
      </c>
      <c r="I272" s="4">
        <v>-4.795</v>
      </c>
      <c r="J272" s="4">
        <v>1.0</v>
      </c>
      <c r="K272" s="4">
        <v>0.197</v>
      </c>
      <c r="L272" s="4">
        <v>0.174</v>
      </c>
      <c r="M272" s="6">
        <v>1.47E-6</v>
      </c>
      <c r="N272" s="4">
        <v>0.427</v>
      </c>
      <c r="O272" s="4">
        <v>0.504</v>
      </c>
      <c r="P272" s="4">
        <v>118.79</v>
      </c>
      <c r="Q272" s="4">
        <v>4.0</v>
      </c>
    </row>
    <row r="273">
      <c r="A273" s="4" t="s">
        <v>558</v>
      </c>
      <c r="B273" s="4" t="s">
        <v>559</v>
      </c>
      <c r="C273" s="5">
        <v>33086.0</v>
      </c>
      <c r="D273" s="4">
        <v>271440.0</v>
      </c>
      <c r="E273" s="4">
        <v>23.0</v>
      </c>
      <c r="F273" s="4">
        <v>0.187</v>
      </c>
      <c r="G273" s="4">
        <v>0.0169</v>
      </c>
      <c r="H273" s="4">
        <v>8.0</v>
      </c>
      <c r="I273" s="4">
        <v>-30.742</v>
      </c>
      <c r="J273" s="4">
        <v>1.0</v>
      </c>
      <c r="K273" s="4">
        <v>0.0359</v>
      </c>
      <c r="L273" s="4">
        <v>0.943</v>
      </c>
      <c r="M273" s="4">
        <v>0.891</v>
      </c>
      <c r="N273" s="4">
        <v>0.101</v>
      </c>
      <c r="O273" s="4">
        <v>0.0843</v>
      </c>
      <c r="P273" s="4">
        <v>103.833</v>
      </c>
      <c r="Q273" s="4">
        <v>4.0</v>
      </c>
    </row>
    <row r="274">
      <c r="A274" s="4" t="s">
        <v>560</v>
      </c>
      <c r="B274" s="4" t="s">
        <v>561</v>
      </c>
      <c r="C274" s="5">
        <v>34628.0</v>
      </c>
      <c r="D274" s="4">
        <v>195333.0</v>
      </c>
      <c r="E274" s="4">
        <v>51.0</v>
      </c>
      <c r="F274" s="4">
        <v>0.613</v>
      </c>
      <c r="G274" s="4">
        <v>0.716</v>
      </c>
      <c r="H274" s="4">
        <v>2.0</v>
      </c>
      <c r="I274" s="4">
        <v>-9.365</v>
      </c>
      <c r="J274" s="4">
        <v>1.0</v>
      </c>
      <c r="K274" s="4">
        <v>0.0261</v>
      </c>
      <c r="L274" s="4">
        <v>0.0836</v>
      </c>
      <c r="M274" s="4">
        <v>3.81E-4</v>
      </c>
      <c r="N274" s="4">
        <v>0.105</v>
      </c>
      <c r="O274" s="4">
        <v>0.507</v>
      </c>
      <c r="P274" s="4">
        <v>112.588</v>
      </c>
      <c r="Q274" s="4">
        <v>4.0</v>
      </c>
    </row>
    <row r="275">
      <c r="A275" s="4" t="s">
        <v>562</v>
      </c>
      <c r="B275" s="4" t="s">
        <v>563</v>
      </c>
      <c r="C275" s="5">
        <v>40544.0</v>
      </c>
      <c r="D275" s="4">
        <v>235813.0</v>
      </c>
      <c r="E275" s="4">
        <v>70.0</v>
      </c>
      <c r="F275" s="4">
        <v>0.636</v>
      </c>
      <c r="G275" s="4">
        <v>0.72</v>
      </c>
      <c r="H275" s="4">
        <v>11.0</v>
      </c>
      <c r="I275" s="4">
        <v>-6.195</v>
      </c>
      <c r="J275" s="4">
        <v>1.0</v>
      </c>
      <c r="K275" s="4">
        <v>0.0432</v>
      </c>
      <c r="L275" s="4">
        <v>0.0893</v>
      </c>
      <c r="M275" s="4">
        <v>0.0178</v>
      </c>
      <c r="N275" s="4">
        <v>0.0868</v>
      </c>
      <c r="O275" s="4">
        <v>0.425</v>
      </c>
      <c r="P275" s="4">
        <v>124.944</v>
      </c>
      <c r="Q275" s="4">
        <v>4.0</v>
      </c>
    </row>
    <row r="276">
      <c r="A276" s="4" t="s">
        <v>564</v>
      </c>
      <c r="B276" s="4" t="s">
        <v>565</v>
      </c>
      <c r="C276" s="5">
        <v>35913.0</v>
      </c>
      <c r="D276" s="4">
        <v>489333.0</v>
      </c>
      <c r="E276" s="4">
        <v>51.0</v>
      </c>
      <c r="F276" s="4">
        <v>0.564</v>
      </c>
      <c r="G276" s="4">
        <v>0.745</v>
      </c>
      <c r="H276" s="4">
        <v>0.0</v>
      </c>
      <c r="I276" s="4">
        <v>-6.933</v>
      </c>
      <c r="J276" s="4">
        <v>1.0</v>
      </c>
      <c r="K276" s="4">
        <v>0.0411</v>
      </c>
      <c r="L276" s="4">
        <v>0.262</v>
      </c>
      <c r="M276" s="6">
        <v>2.78E-5</v>
      </c>
      <c r="N276" s="4">
        <v>0.108</v>
      </c>
      <c r="O276" s="4">
        <v>0.672</v>
      </c>
      <c r="P276" s="4">
        <v>94.044</v>
      </c>
      <c r="Q276" s="4">
        <v>4.0</v>
      </c>
    </row>
    <row r="277">
      <c r="A277" s="4" t="s">
        <v>566</v>
      </c>
      <c r="B277" s="4" t="s">
        <v>567</v>
      </c>
      <c r="C277" s="5">
        <v>38958.0</v>
      </c>
      <c r="D277" s="4">
        <v>317280.0</v>
      </c>
      <c r="E277" s="4">
        <v>48.0</v>
      </c>
      <c r="F277" s="4">
        <v>0.482</v>
      </c>
      <c r="G277" s="4">
        <v>0.381</v>
      </c>
      <c r="H277" s="4">
        <v>2.0</v>
      </c>
      <c r="I277" s="4">
        <v>-13.93</v>
      </c>
      <c r="J277" s="4">
        <v>1.0</v>
      </c>
      <c r="K277" s="4">
        <v>0.0311</v>
      </c>
      <c r="L277" s="4">
        <v>0.455</v>
      </c>
      <c r="M277" s="4">
        <v>0.00295</v>
      </c>
      <c r="N277" s="4">
        <v>0.114</v>
      </c>
      <c r="O277" s="4">
        <v>0.42</v>
      </c>
      <c r="P277" s="4">
        <v>81.712</v>
      </c>
      <c r="Q277" s="4">
        <v>4.0</v>
      </c>
    </row>
    <row r="278">
      <c r="A278" s="4" t="s">
        <v>568</v>
      </c>
      <c r="B278" s="4" t="s">
        <v>569</v>
      </c>
      <c r="C278" s="5">
        <v>38353.0</v>
      </c>
      <c r="D278" s="4">
        <v>160453.0</v>
      </c>
      <c r="E278" s="4">
        <v>61.0</v>
      </c>
      <c r="F278" s="4">
        <v>0.681</v>
      </c>
      <c r="G278" s="4">
        <v>0.168</v>
      </c>
      <c r="H278" s="4">
        <v>7.0</v>
      </c>
      <c r="I278" s="4">
        <v>-13.397</v>
      </c>
      <c r="J278" s="4">
        <v>1.0</v>
      </c>
      <c r="K278" s="4">
        <v>0.0291</v>
      </c>
      <c r="L278" s="4">
        <v>0.793</v>
      </c>
      <c r="M278" s="4">
        <v>1.34E-4</v>
      </c>
      <c r="N278" s="4">
        <v>0.109</v>
      </c>
      <c r="O278" s="4">
        <v>0.29</v>
      </c>
      <c r="P278" s="4">
        <v>128.615</v>
      </c>
      <c r="Q278" s="4">
        <v>4.0</v>
      </c>
    </row>
    <row r="279">
      <c r="A279" s="4" t="s">
        <v>570</v>
      </c>
      <c r="B279" s="4" t="s">
        <v>571</v>
      </c>
      <c r="C279" s="4">
        <v>1977.0</v>
      </c>
      <c r="D279" s="4">
        <v>214240.0</v>
      </c>
      <c r="E279" s="4">
        <v>75.0</v>
      </c>
      <c r="F279" s="4">
        <v>0.532</v>
      </c>
      <c r="G279" s="4">
        <v>0.495</v>
      </c>
      <c r="H279" s="4">
        <v>10.0</v>
      </c>
      <c r="I279" s="4">
        <v>-6.662</v>
      </c>
      <c r="J279" s="4">
        <v>1.0</v>
      </c>
      <c r="K279" s="4">
        <v>0.0343</v>
      </c>
      <c r="L279" s="4">
        <v>0.659</v>
      </c>
      <c r="M279" s="4">
        <v>0.0</v>
      </c>
      <c r="N279" s="4">
        <v>0.0754</v>
      </c>
      <c r="O279" s="4">
        <v>0.308</v>
      </c>
      <c r="P279" s="4">
        <v>124.936</v>
      </c>
      <c r="Q279" s="4">
        <v>4.0</v>
      </c>
    </row>
    <row r="280">
      <c r="A280" s="4" t="s">
        <v>572</v>
      </c>
      <c r="B280" s="4" t="s">
        <v>573</v>
      </c>
      <c r="C280" s="4">
        <v>2006.0</v>
      </c>
      <c r="D280" s="4">
        <v>264266.0</v>
      </c>
      <c r="E280" s="4">
        <v>16.0</v>
      </c>
      <c r="F280" s="4">
        <v>0.579</v>
      </c>
      <c r="G280" s="4">
        <v>0.462</v>
      </c>
      <c r="H280" s="4">
        <v>3.0</v>
      </c>
      <c r="I280" s="4">
        <v>-9.03</v>
      </c>
      <c r="J280" s="4">
        <v>1.0</v>
      </c>
      <c r="K280" s="4">
        <v>0.0266</v>
      </c>
      <c r="L280" s="4">
        <v>0.579</v>
      </c>
      <c r="M280" s="6">
        <v>2.11E-5</v>
      </c>
      <c r="N280" s="4">
        <v>0.141</v>
      </c>
      <c r="O280" s="4">
        <v>0.224</v>
      </c>
      <c r="P280" s="4">
        <v>105.369</v>
      </c>
      <c r="Q280" s="4">
        <v>4.0</v>
      </c>
    </row>
    <row r="281">
      <c r="A281" s="4" t="s">
        <v>574</v>
      </c>
      <c r="B281" s="4" t="s">
        <v>575</v>
      </c>
      <c r="C281" s="5">
        <v>39594.0</v>
      </c>
      <c r="D281" s="4">
        <v>249666.0</v>
      </c>
      <c r="E281" s="4">
        <v>56.0</v>
      </c>
      <c r="F281" s="4">
        <v>0.378</v>
      </c>
      <c r="G281" s="4">
        <v>0.663</v>
      </c>
      <c r="H281" s="4">
        <v>1.0</v>
      </c>
      <c r="I281" s="4">
        <v>-10.476</v>
      </c>
      <c r="J281" s="4">
        <v>1.0</v>
      </c>
      <c r="K281" s="4">
        <v>0.0458</v>
      </c>
      <c r="L281" s="4">
        <v>0.00722</v>
      </c>
      <c r="M281" s="4">
        <v>0.797</v>
      </c>
      <c r="N281" s="4">
        <v>0.191</v>
      </c>
      <c r="O281" s="4">
        <v>0.428</v>
      </c>
      <c r="P281" s="4">
        <v>173.136</v>
      </c>
      <c r="Q281" s="4">
        <v>4.0</v>
      </c>
    </row>
    <row r="282">
      <c r="A282" s="4" t="s">
        <v>576</v>
      </c>
      <c r="B282" s="4" t="s">
        <v>577</v>
      </c>
      <c r="C282" s="5">
        <v>41394.0</v>
      </c>
      <c r="D282" s="4">
        <v>246173.0</v>
      </c>
      <c r="E282" s="4">
        <v>42.0</v>
      </c>
      <c r="F282" s="4">
        <v>0.43</v>
      </c>
      <c r="G282" s="4">
        <v>0.425</v>
      </c>
      <c r="H282" s="4">
        <v>2.0</v>
      </c>
      <c r="I282" s="4">
        <v>-8.526</v>
      </c>
      <c r="J282" s="4">
        <v>1.0</v>
      </c>
      <c r="K282" s="4">
        <v>0.0307</v>
      </c>
      <c r="L282" s="4">
        <v>0.748</v>
      </c>
      <c r="M282" s="4">
        <v>5.02E-4</v>
      </c>
      <c r="N282" s="4">
        <v>0.159</v>
      </c>
      <c r="O282" s="4">
        <v>0.416</v>
      </c>
      <c r="P282" s="4">
        <v>145.23</v>
      </c>
      <c r="Q282" s="4">
        <v>4.0</v>
      </c>
    </row>
    <row r="283">
      <c r="A283" s="4" t="s">
        <v>578</v>
      </c>
      <c r="B283" s="4" t="s">
        <v>579</v>
      </c>
      <c r="C283" s="5">
        <v>30467.0</v>
      </c>
      <c r="D283" s="4">
        <v>296146.0</v>
      </c>
      <c r="E283" s="4">
        <v>71.0</v>
      </c>
      <c r="F283" s="4">
        <v>0.942</v>
      </c>
      <c r="G283" s="4">
        <v>0.641</v>
      </c>
      <c r="H283" s="4">
        <v>7.0</v>
      </c>
      <c r="I283" s="4">
        <v>-10.15</v>
      </c>
      <c r="J283" s="4">
        <v>1.0</v>
      </c>
      <c r="K283" s="4">
        <v>0.0333</v>
      </c>
      <c r="L283" s="4">
        <v>0.331</v>
      </c>
      <c r="M283" s="4">
        <v>0.179</v>
      </c>
      <c r="N283" s="4">
        <v>0.028</v>
      </c>
      <c r="O283" s="4">
        <v>0.966</v>
      </c>
      <c r="P283" s="4">
        <v>114.443</v>
      </c>
      <c r="Q283" s="4">
        <v>4.0</v>
      </c>
    </row>
    <row r="284">
      <c r="A284" s="4" t="s">
        <v>580</v>
      </c>
      <c r="B284" s="4" t="s">
        <v>581</v>
      </c>
      <c r="C284" s="5">
        <v>37362.0</v>
      </c>
      <c r="D284" s="4">
        <v>231000.0</v>
      </c>
      <c r="E284" s="4">
        <v>66.0</v>
      </c>
      <c r="F284" s="4">
        <v>0.756</v>
      </c>
      <c r="G284" s="4">
        <v>0.28</v>
      </c>
      <c r="H284" s="4">
        <v>5.0</v>
      </c>
      <c r="I284" s="4">
        <v>-14.27</v>
      </c>
      <c r="J284" s="4">
        <v>1.0</v>
      </c>
      <c r="K284" s="4">
        <v>0.0296</v>
      </c>
      <c r="L284" s="4">
        <v>0.616</v>
      </c>
      <c r="M284" s="4">
        <v>3.3E-4</v>
      </c>
      <c r="N284" s="4">
        <v>0.414</v>
      </c>
      <c r="O284" s="4">
        <v>0.695</v>
      </c>
      <c r="P284" s="4">
        <v>109.413</v>
      </c>
      <c r="Q284" s="4">
        <v>4.0</v>
      </c>
    </row>
    <row r="285">
      <c r="A285" s="4" t="s">
        <v>582</v>
      </c>
      <c r="B285" s="4" t="s">
        <v>583</v>
      </c>
      <c r="C285" s="5">
        <v>36683.0</v>
      </c>
      <c r="D285" s="4">
        <v>249600.0</v>
      </c>
      <c r="E285" s="4">
        <v>26.0</v>
      </c>
      <c r="F285" s="4">
        <v>0.407</v>
      </c>
      <c r="G285" s="4">
        <v>0.394</v>
      </c>
      <c r="H285" s="4">
        <v>4.0</v>
      </c>
      <c r="I285" s="4">
        <v>-9.102</v>
      </c>
      <c r="J285" s="4">
        <v>0.0</v>
      </c>
      <c r="K285" s="4">
        <v>0.0353</v>
      </c>
      <c r="L285" s="4">
        <v>0.0943</v>
      </c>
      <c r="M285" s="6">
        <v>1.2E-5</v>
      </c>
      <c r="N285" s="4">
        <v>0.176</v>
      </c>
      <c r="O285" s="4">
        <v>0.303</v>
      </c>
      <c r="P285" s="4">
        <v>129.368</v>
      </c>
      <c r="Q285" s="4">
        <v>4.0</v>
      </c>
    </row>
    <row r="286">
      <c r="A286" s="4" t="s">
        <v>584</v>
      </c>
      <c r="B286" s="4" t="s">
        <v>585</v>
      </c>
      <c r="C286" s="5">
        <v>36683.0</v>
      </c>
      <c r="D286" s="4">
        <v>240200.0</v>
      </c>
      <c r="E286" s="4">
        <v>23.0</v>
      </c>
      <c r="F286" s="4">
        <v>0.531</v>
      </c>
      <c r="G286" s="4">
        <v>0.544</v>
      </c>
      <c r="H286" s="4">
        <v>2.0</v>
      </c>
      <c r="I286" s="4">
        <v>-8.708</v>
      </c>
      <c r="J286" s="4">
        <v>1.0</v>
      </c>
      <c r="K286" s="4">
        <v>0.0282</v>
      </c>
      <c r="L286" s="4">
        <v>0.565</v>
      </c>
      <c r="M286" s="6">
        <v>9.6E-6</v>
      </c>
      <c r="N286" s="4">
        <v>0.049</v>
      </c>
      <c r="O286" s="4">
        <v>0.784</v>
      </c>
      <c r="P286" s="4">
        <v>141.242</v>
      </c>
      <c r="Q286" s="4">
        <v>4.0</v>
      </c>
    </row>
    <row r="287">
      <c r="A287" s="4" t="s">
        <v>586</v>
      </c>
      <c r="B287" s="4" t="s">
        <v>587</v>
      </c>
      <c r="C287" s="5">
        <v>35065.0</v>
      </c>
      <c r="D287" s="4">
        <v>252733.0</v>
      </c>
      <c r="E287" s="4">
        <v>35.0</v>
      </c>
      <c r="F287" s="4">
        <v>0.505</v>
      </c>
      <c r="G287" s="4">
        <v>0.444</v>
      </c>
      <c r="H287" s="4">
        <v>1.0</v>
      </c>
      <c r="I287" s="4">
        <v>-12.672</v>
      </c>
      <c r="J287" s="4">
        <v>0.0</v>
      </c>
      <c r="K287" s="4">
        <v>0.0279</v>
      </c>
      <c r="L287" s="4">
        <v>0.319</v>
      </c>
      <c r="M287" s="4">
        <v>1.33E-4</v>
      </c>
      <c r="N287" s="4">
        <v>0.147</v>
      </c>
      <c r="O287" s="4">
        <v>0.625</v>
      </c>
      <c r="P287" s="4">
        <v>157.899</v>
      </c>
      <c r="Q287" s="4">
        <v>4.0</v>
      </c>
    </row>
    <row r="288">
      <c r="A288" s="4" t="s">
        <v>588</v>
      </c>
      <c r="B288" s="4" t="s">
        <v>589</v>
      </c>
      <c r="C288" s="5">
        <v>42829.0</v>
      </c>
      <c r="D288" s="4">
        <v>232520.0</v>
      </c>
      <c r="E288" s="4">
        <v>21.0</v>
      </c>
      <c r="F288" s="4">
        <v>0.324</v>
      </c>
      <c r="G288" s="4">
        <v>0.681</v>
      </c>
      <c r="H288" s="4">
        <v>1.0</v>
      </c>
      <c r="I288" s="4">
        <v>-3.062</v>
      </c>
      <c r="J288" s="4">
        <v>1.0</v>
      </c>
      <c r="K288" s="4">
        <v>0.0363</v>
      </c>
      <c r="L288" s="4">
        <v>0.0809</v>
      </c>
      <c r="M288" s="4">
        <v>0.0</v>
      </c>
      <c r="N288" s="4">
        <v>0.0538</v>
      </c>
      <c r="O288" s="4">
        <v>0.565</v>
      </c>
      <c r="P288" s="4">
        <v>169.573</v>
      </c>
      <c r="Q288" s="4">
        <v>4.0</v>
      </c>
    </row>
    <row r="289">
      <c r="A289" s="4" t="s">
        <v>590</v>
      </c>
      <c r="B289" s="4" t="s">
        <v>591</v>
      </c>
      <c r="C289" s="5">
        <v>40163.0</v>
      </c>
      <c r="D289" s="4">
        <v>358586.0</v>
      </c>
      <c r="E289" s="4">
        <v>28.0</v>
      </c>
      <c r="F289" s="4">
        <v>0.33</v>
      </c>
      <c r="G289" s="4">
        <v>0.532</v>
      </c>
      <c r="H289" s="4">
        <v>6.0</v>
      </c>
      <c r="I289" s="4">
        <v>-6.296</v>
      </c>
      <c r="J289" s="4">
        <v>1.0</v>
      </c>
      <c r="K289" s="4">
        <v>0.0345</v>
      </c>
      <c r="L289" s="4">
        <v>0.357</v>
      </c>
      <c r="M289" s="4">
        <v>0.0</v>
      </c>
      <c r="N289" s="4">
        <v>0.0827</v>
      </c>
      <c r="O289" s="4">
        <v>0.336</v>
      </c>
      <c r="P289" s="4">
        <v>140.265</v>
      </c>
      <c r="Q289" s="4">
        <v>4.0</v>
      </c>
    </row>
    <row r="290">
      <c r="A290" s="4" t="s">
        <v>592</v>
      </c>
      <c r="B290" s="4" t="s">
        <v>593</v>
      </c>
      <c r="C290" s="5">
        <v>40870.0</v>
      </c>
      <c r="D290" s="4">
        <v>268506.0</v>
      </c>
      <c r="E290" s="4">
        <v>30.0</v>
      </c>
      <c r="F290" s="4">
        <v>0.482</v>
      </c>
      <c r="G290" s="4">
        <v>0.973</v>
      </c>
      <c r="H290" s="4">
        <v>5.0</v>
      </c>
      <c r="I290" s="4">
        <v>-3.014</v>
      </c>
      <c r="J290" s="4">
        <v>1.0</v>
      </c>
      <c r="K290" s="4">
        <v>0.151</v>
      </c>
      <c r="L290" s="4">
        <v>0.323</v>
      </c>
      <c r="M290" s="4">
        <v>0.0</v>
      </c>
      <c r="N290" s="4">
        <v>0.319</v>
      </c>
      <c r="O290" s="4">
        <v>0.327</v>
      </c>
      <c r="P290" s="4">
        <v>141.049</v>
      </c>
      <c r="Q290" s="4">
        <v>4.0</v>
      </c>
    </row>
    <row r="291">
      <c r="A291" s="4" t="s">
        <v>594</v>
      </c>
      <c r="B291" s="4" t="s">
        <v>595</v>
      </c>
      <c r="C291" s="5">
        <v>42683.0</v>
      </c>
      <c r="D291" s="4">
        <v>396000.0</v>
      </c>
      <c r="E291" s="4">
        <v>25.0</v>
      </c>
      <c r="F291" s="4">
        <v>0.398</v>
      </c>
      <c r="G291" s="4">
        <v>0.555</v>
      </c>
      <c r="H291" s="4">
        <v>4.0</v>
      </c>
      <c r="I291" s="4">
        <v>-10.995</v>
      </c>
      <c r="J291" s="4">
        <v>0.0</v>
      </c>
      <c r="K291" s="4">
        <v>0.0367</v>
      </c>
      <c r="L291" s="4">
        <v>0.00649</v>
      </c>
      <c r="M291" s="4">
        <v>0.00152</v>
      </c>
      <c r="N291" s="4">
        <v>0.314</v>
      </c>
      <c r="O291" s="4">
        <v>0.34</v>
      </c>
      <c r="P291" s="4">
        <v>159.881</v>
      </c>
      <c r="Q291" s="4">
        <v>4.0</v>
      </c>
    </row>
    <row r="292">
      <c r="A292" s="4" t="s">
        <v>596</v>
      </c>
      <c r="B292" s="4" t="s">
        <v>597</v>
      </c>
      <c r="C292" s="5">
        <v>39176.0</v>
      </c>
      <c r="D292" s="4">
        <v>218173.0</v>
      </c>
      <c r="E292" s="4">
        <v>8.0</v>
      </c>
      <c r="F292" s="4">
        <v>0.632</v>
      </c>
      <c r="G292" s="4">
        <v>0.762</v>
      </c>
      <c r="H292" s="4">
        <v>11.0</v>
      </c>
      <c r="I292" s="4">
        <v>-2.142</v>
      </c>
      <c r="J292" s="4">
        <v>1.0</v>
      </c>
      <c r="K292" s="4">
        <v>0.0307</v>
      </c>
      <c r="L292" s="4">
        <v>0.0617</v>
      </c>
      <c r="M292" s="4">
        <v>0.0</v>
      </c>
      <c r="N292" s="4">
        <v>0.148</v>
      </c>
      <c r="O292" s="4">
        <v>0.485</v>
      </c>
      <c r="P292" s="4">
        <v>122.155</v>
      </c>
      <c r="Q292" s="4">
        <v>4.0</v>
      </c>
    </row>
    <row r="293">
      <c r="A293" s="4" t="s">
        <v>598</v>
      </c>
      <c r="B293" s="4" t="s">
        <v>599</v>
      </c>
      <c r="C293" s="4">
        <v>2008.0</v>
      </c>
      <c r="D293" s="4">
        <v>246173.0</v>
      </c>
      <c r="E293" s="4">
        <v>17.0</v>
      </c>
      <c r="F293" s="4">
        <v>0.365</v>
      </c>
      <c r="G293" s="4">
        <v>0.912</v>
      </c>
      <c r="H293" s="4">
        <v>8.0</v>
      </c>
      <c r="I293" s="4">
        <v>-1.823</v>
      </c>
      <c r="J293" s="4">
        <v>1.0</v>
      </c>
      <c r="K293" s="4">
        <v>0.0642</v>
      </c>
      <c r="L293" s="4">
        <v>0.00165</v>
      </c>
      <c r="M293" s="6">
        <v>6.54E-5</v>
      </c>
      <c r="N293" s="4">
        <v>0.0594</v>
      </c>
      <c r="O293" s="4">
        <v>0.559</v>
      </c>
      <c r="P293" s="4">
        <v>149.932</v>
      </c>
      <c r="Q293" s="4">
        <v>4.0</v>
      </c>
    </row>
    <row r="294">
      <c r="A294" s="4" t="s">
        <v>600</v>
      </c>
      <c r="B294" s="4" t="s">
        <v>601</v>
      </c>
      <c r="C294" s="4">
        <v>1999.0</v>
      </c>
      <c r="D294" s="4">
        <v>313066.0</v>
      </c>
      <c r="E294" s="4">
        <v>38.0</v>
      </c>
      <c r="F294" s="4">
        <v>0.5</v>
      </c>
      <c r="G294" s="4">
        <v>0.475</v>
      </c>
      <c r="H294" s="4">
        <v>0.0</v>
      </c>
      <c r="I294" s="4">
        <v>-4.834</v>
      </c>
      <c r="J294" s="4">
        <v>0.0</v>
      </c>
      <c r="K294" s="4">
        <v>0.0268</v>
      </c>
      <c r="L294" s="4">
        <v>0.111</v>
      </c>
      <c r="M294" s="4">
        <v>0.0</v>
      </c>
      <c r="N294" s="4">
        <v>0.28</v>
      </c>
      <c r="O294" s="4">
        <v>0.255</v>
      </c>
      <c r="P294" s="4">
        <v>149.096</v>
      </c>
      <c r="Q294" s="4">
        <v>4.0</v>
      </c>
    </row>
    <row r="295">
      <c r="A295" s="4" t="s">
        <v>602</v>
      </c>
      <c r="B295" s="4" t="s">
        <v>603</v>
      </c>
      <c r="C295" s="5">
        <v>39435.0</v>
      </c>
      <c r="D295" s="4">
        <v>357960.0</v>
      </c>
      <c r="E295" s="4">
        <v>31.0</v>
      </c>
      <c r="F295" s="4">
        <v>0.53</v>
      </c>
      <c r="G295" s="4">
        <v>0.683</v>
      </c>
      <c r="H295" s="4">
        <v>4.0</v>
      </c>
      <c r="I295" s="4">
        <v>-4.743</v>
      </c>
      <c r="J295" s="4">
        <v>1.0</v>
      </c>
      <c r="K295" s="4">
        <v>0.0236</v>
      </c>
      <c r="L295" s="4">
        <v>0.241</v>
      </c>
      <c r="M295" s="6">
        <v>2.62E-5</v>
      </c>
      <c r="N295" s="4">
        <v>0.119</v>
      </c>
      <c r="O295" s="4">
        <v>0.363</v>
      </c>
      <c r="P295" s="4">
        <v>170.058</v>
      </c>
      <c r="Q295" s="4">
        <v>4.0</v>
      </c>
    </row>
    <row r="296">
      <c r="A296" s="4" t="s">
        <v>604</v>
      </c>
      <c r="B296" s="4" t="s">
        <v>605</v>
      </c>
      <c r="C296" s="5">
        <v>40275.0</v>
      </c>
      <c r="D296" s="4">
        <v>232946.0</v>
      </c>
      <c r="E296" s="4">
        <v>17.0</v>
      </c>
      <c r="F296" s="4">
        <v>0.4</v>
      </c>
      <c r="G296" s="4">
        <v>0.93</v>
      </c>
      <c r="H296" s="4">
        <v>1.0</v>
      </c>
      <c r="I296" s="4">
        <v>-3.099</v>
      </c>
      <c r="J296" s="4">
        <v>0.0</v>
      </c>
      <c r="K296" s="4">
        <v>0.0403</v>
      </c>
      <c r="L296" s="6">
        <v>2.26E-5</v>
      </c>
      <c r="M296" s="4">
        <v>0.00243</v>
      </c>
      <c r="N296" s="4">
        <v>0.167</v>
      </c>
      <c r="O296" s="4">
        <v>0.698</v>
      </c>
      <c r="P296" s="4">
        <v>179.165</v>
      </c>
      <c r="Q296" s="4">
        <v>4.0</v>
      </c>
    </row>
    <row r="297">
      <c r="A297" s="4" t="s">
        <v>606</v>
      </c>
      <c r="B297" s="4" t="s">
        <v>607</v>
      </c>
      <c r="C297" s="5">
        <v>40457.0</v>
      </c>
      <c r="D297" s="4">
        <v>304293.0</v>
      </c>
      <c r="E297" s="4">
        <v>43.0</v>
      </c>
      <c r="F297" s="4">
        <v>0.678</v>
      </c>
      <c r="G297" s="4">
        <v>0.833</v>
      </c>
      <c r="H297" s="4">
        <v>6.0</v>
      </c>
      <c r="I297" s="4">
        <v>-4.539</v>
      </c>
      <c r="J297" s="4">
        <v>0.0</v>
      </c>
      <c r="K297" s="4">
        <v>0.0362</v>
      </c>
      <c r="L297" s="4">
        <v>0.0633</v>
      </c>
      <c r="M297" s="4">
        <v>0.0</v>
      </c>
      <c r="N297" s="4">
        <v>0.497</v>
      </c>
      <c r="O297" s="4">
        <v>0.622</v>
      </c>
      <c r="P297" s="4">
        <v>118.957</v>
      </c>
      <c r="Q297" s="4">
        <v>4.0</v>
      </c>
    </row>
    <row r="298">
      <c r="A298" s="4" t="s">
        <v>608</v>
      </c>
      <c r="B298" s="4" t="s">
        <v>609</v>
      </c>
      <c r="C298" s="5">
        <v>40751.0</v>
      </c>
      <c r="D298" s="4">
        <v>359493.0</v>
      </c>
      <c r="E298" s="4">
        <v>5.0</v>
      </c>
      <c r="F298" s="4">
        <v>0.377</v>
      </c>
      <c r="G298" s="4">
        <v>0.937</v>
      </c>
      <c r="H298" s="4">
        <v>11.0</v>
      </c>
      <c r="I298" s="4">
        <v>-3.503</v>
      </c>
      <c r="J298" s="4">
        <v>1.0</v>
      </c>
      <c r="K298" s="4">
        <v>0.114</v>
      </c>
      <c r="L298" s="4">
        <v>0.00236</v>
      </c>
      <c r="M298" s="6">
        <v>1.44E-5</v>
      </c>
      <c r="N298" s="4">
        <v>0.174</v>
      </c>
      <c r="O298" s="4">
        <v>0.448</v>
      </c>
      <c r="P298" s="4">
        <v>143.898</v>
      </c>
      <c r="Q298" s="4">
        <v>4.0</v>
      </c>
    </row>
    <row r="299">
      <c r="A299" s="4" t="s">
        <v>610</v>
      </c>
      <c r="B299" s="4" t="s">
        <v>611</v>
      </c>
      <c r="C299" s="5">
        <v>38224.0</v>
      </c>
      <c r="D299" s="4">
        <v>265720.0</v>
      </c>
      <c r="E299" s="4">
        <v>49.0</v>
      </c>
      <c r="F299" s="4">
        <v>0.583</v>
      </c>
      <c r="G299" s="4">
        <v>0.818</v>
      </c>
      <c r="H299" s="4">
        <v>6.0</v>
      </c>
      <c r="I299" s="4">
        <v>-5.325</v>
      </c>
      <c r="J299" s="4">
        <v>1.0</v>
      </c>
      <c r="K299" s="4">
        <v>0.0285</v>
      </c>
      <c r="L299" s="4">
        <v>0.00299</v>
      </c>
      <c r="M299" s="4">
        <v>0.0</v>
      </c>
      <c r="N299" s="4">
        <v>0.196</v>
      </c>
      <c r="O299" s="4">
        <v>0.563</v>
      </c>
      <c r="P299" s="4">
        <v>110.03</v>
      </c>
      <c r="Q299" s="4">
        <v>4.0</v>
      </c>
    </row>
    <row r="300">
      <c r="A300" s="4" t="s">
        <v>612</v>
      </c>
      <c r="B300" s="4" t="s">
        <v>613</v>
      </c>
      <c r="C300" s="5">
        <v>36364.0</v>
      </c>
      <c r="D300" s="4">
        <v>262202.0</v>
      </c>
      <c r="E300" s="4">
        <v>51.0</v>
      </c>
      <c r="F300" s="4">
        <v>0.375</v>
      </c>
      <c r="G300" s="4">
        <v>0.81</v>
      </c>
      <c r="H300" s="4">
        <v>0.0</v>
      </c>
      <c r="I300" s="4">
        <v>-4.899</v>
      </c>
      <c r="J300" s="4">
        <v>1.0</v>
      </c>
      <c r="K300" s="4">
        <v>0.034</v>
      </c>
      <c r="L300" s="4">
        <v>0.08</v>
      </c>
      <c r="M300" s="4">
        <v>0.00113</v>
      </c>
      <c r="N300" s="4">
        <v>0.134</v>
      </c>
      <c r="O300" s="4">
        <v>0.566</v>
      </c>
      <c r="P300" s="4">
        <v>172.469</v>
      </c>
      <c r="Q300" s="4">
        <v>4.0</v>
      </c>
    </row>
    <row r="301">
      <c r="A301" s="4" t="s">
        <v>614</v>
      </c>
      <c r="B301" s="4" t="s">
        <v>615</v>
      </c>
      <c r="C301" s="5">
        <v>43334.0</v>
      </c>
      <c r="D301" s="4">
        <v>351173.0</v>
      </c>
      <c r="E301" s="4">
        <v>38.0</v>
      </c>
      <c r="F301" s="4">
        <v>0.378</v>
      </c>
      <c r="G301" s="4">
        <v>0.591</v>
      </c>
      <c r="H301" s="4">
        <v>8.0</v>
      </c>
      <c r="I301" s="4">
        <v>-5.955</v>
      </c>
      <c r="J301" s="4">
        <v>1.0</v>
      </c>
      <c r="K301" s="4">
        <v>0.0349</v>
      </c>
      <c r="L301" s="4">
        <v>0.345</v>
      </c>
      <c r="M301" s="4">
        <v>0.0</v>
      </c>
      <c r="N301" s="4">
        <v>0.0855</v>
      </c>
      <c r="O301" s="4">
        <v>0.231</v>
      </c>
      <c r="P301" s="4">
        <v>151.277</v>
      </c>
      <c r="Q301" s="4">
        <v>4.0</v>
      </c>
    </row>
    <row r="302">
      <c r="A302" s="4" t="s">
        <v>616</v>
      </c>
      <c r="B302" s="4" t="s">
        <v>617</v>
      </c>
      <c r="C302" s="5">
        <v>38854.0</v>
      </c>
      <c r="D302" s="4">
        <v>255293.0</v>
      </c>
      <c r="E302" s="4">
        <v>54.0</v>
      </c>
      <c r="F302" s="4">
        <v>0.585</v>
      </c>
      <c r="G302" s="4">
        <v>0.837</v>
      </c>
      <c r="H302" s="4">
        <v>5.0</v>
      </c>
      <c r="I302" s="4">
        <v>-4.866</v>
      </c>
      <c r="J302" s="4">
        <v>1.0</v>
      </c>
      <c r="K302" s="4">
        <v>0.0387</v>
      </c>
      <c r="L302" s="4">
        <v>0.139</v>
      </c>
      <c r="M302" s="4">
        <v>0.0</v>
      </c>
      <c r="N302" s="4">
        <v>0.0958</v>
      </c>
      <c r="O302" s="4">
        <v>0.734</v>
      </c>
      <c r="P302" s="4">
        <v>102.076</v>
      </c>
      <c r="Q302" s="4">
        <v>4.0</v>
      </c>
    </row>
    <row r="303">
      <c r="A303" s="4" t="s">
        <v>618</v>
      </c>
      <c r="B303" s="4" t="s">
        <v>619</v>
      </c>
      <c r="C303" s="4">
        <v>2006.0</v>
      </c>
      <c r="D303" s="4">
        <v>227693.0</v>
      </c>
      <c r="E303" s="4">
        <v>21.0</v>
      </c>
      <c r="F303" s="4">
        <v>0.576</v>
      </c>
      <c r="G303" s="4">
        <v>0.912</v>
      </c>
      <c r="H303" s="4">
        <v>11.0</v>
      </c>
      <c r="I303" s="4">
        <v>-2.495</v>
      </c>
      <c r="J303" s="4">
        <v>1.0</v>
      </c>
      <c r="K303" s="4">
        <v>0.0342</v>
      </c>
      <c r="L303" s="4">
        <v>0.0357</v>
      </c>
      <c r="M303" s="6">
        <v>5.99E-5</v>
      </c>
      <c r="N303" s="4">
        <v>0.217</v>
      </c>
      <c r="O303" s="4">
        <v>0.7</v>
      </c>
      <c r="P303" s="4">
        <v>95.984</v>
      </c>
      <c r="Q303" s="4">
        <v>4.0</v>
      </c>
    </row>
    <row r="304">
      <c r="A304" s="4" t="s">
        <v>620</v>
      </c>
      <c r="B304" s="4" t="s">
        <v>621</v>
      </c>
      <c r="C304" s="5">
        <v>39260.0</v>
      </c>
      <c r="D304" s="4">
        <v>250506.0</v>
      </c>
      <c r="E304" s="4">
        <v>18.0</v>
      </c>
      <c r="F304" s="4">
        <v>0.443</v>
      </c>
      <c r="G304" s="4">
        <v>0.962</v>
      </c>
      <c r="H304" s="4">
        <v>4.0</v>
      </c>
      <c r="I304" s="4">
        <v>-4.52</v>
      </c>
      <c r="J304" s="4">
        <v>0.0</v>
      </c>
      <c r="K304" s="4">
        <v>0.0913</v>
      </c>
      <c r="L304" s="4">
        <v>8.73E-4</v>
      </c>
      <c r="M304" s="6">
        <v>4.37E-6</v>
      </c>
      <c r="N304" s="4">
        <v>0.255</v>
      </c>
      <c r="O304" s="4">
        <v>0.47</v>
      </c>
      <c r="P304" s="4">
        <v>140.083</v>
      </c>
      <c r="Q304" s="4">
        <v>4.0</v>
      </c>
    </row>
    <row r="305">
      <c r="A305" s="4" t="s">
        <v>622</v>
      </c>
      <c r="B305" s="4" t="s">
        <v>623</v>
      </c>
      <c r="C305" s="5">
        <v>38812.0</v>
      </c>
      <c r="D305" s="4">
        <v>286666.0</v>
      </c>
      <c r="E305" s="4">
        <v>41.0</v>
      </c>
      <c r="F305" s="4">
        <v>0.436</v>
      </c>
      <c r="G305" s="4">
        <v>0.918</v>
      </c>
      <c r="H305" s="4">
        <v>1.0</v>
      </c>
      <c r="I305" s="4">
        <v>-5.456</v>
      </c>
      <c r="J305" s="4">
        <v>0.0</v>
      </c>
      <c r="K305" s="4">
        <v>0.129</v>
      </c>
      <c r="L305" s="4">
        <v>0.106</v>
      </c>
      <c r="M305" s="4">
        <v>0.0</v>
      </c>
      <c r="N305" s="4">
        <v>0.198</v>
      </c>
      <c r="O305" s="4">
        <v>0.546</v>
      </c>
      <c r="P305" s="4">
        <v>139.957</v>
      </c>
      <c r="Q305" s="4">
        <v>4.0</v>
      </c>
    </row>
    <row r="306">
      <c r="A306" s="4" t="s">
        <v>624</v>
      </c>
      <c r="B306" s="4" t="s">
        <v>625</v>
      </c>
      <c r="C306" s="5">
        <v>38567.0</v>
      </c>
      <c r="D306" s="4">
        <v>280293.0</v>
      </c>
      <c r="E306" s="4">
        <v>39.0</v>
      </c>
      <c r="F306" s="4">
        <v>0.354</v>
      </c>
      <c r="G306" s="4">
        <v>0.933</v>
      </c>
      <c r="H306" s="4">
        <v>0.0</v>
      </c>
      <c r="I306" s="4">
        <v>-4.107</v>
      </c>
      <c r="J306" s="4">
        <v>0.0</v>
      </c>
      <c r="K306" s="4">
        <v>0.094</v>
      </c>
      <c r="L306" s="4">
        <v>0.0133</v>
      </c>
      <c r="M306" s="6">
        <v>1.34E-5</v>
      </c>
      <c r="N306" s="4">
        <v>0.341</v>
      </c>
      <c r="O306" s="4">
        <v>0.405</v>
      </c>
      <c r="P306" s="4">
        <v>165.782</v>
      </c>
      <c r="Q306" s="4">
        <v>4.0</v>
      </c>
    </row>
    <row r="307">
      <c r="A307" s="4" t="s">
        <v>626</v>
      </c>
      <c r="B307" s="4" t="s">
        <v>627</v>
      </c>
      <c r="C307" s="5">
        <v>43495.0</v>
      </c>
      <c r="D307" s="4">
        <v>248426.0</v>
      </c>
      <c r="E307" s="4">
        <v>45.0</v>
      </c>
      <c r="F307" s="4">
        <v>0.551</v>
      </c>
      <c r="G307" s="4">
        <v>0.908</v>
      </c>
      <c r="H307" s="4">
        <v>5.0</v>
      </c>
      <c r="I307" s="4">
        <v>-3.174</v>
      </c>
      <c r="J307" s="4">
        <v>1.0</v>
      </c>
      <c r="K307" s="4">
        <v>0.0749</v>
      </c>
      <c r="L307" s="4">
        <v>7.76E-4</v>
      </c>
      <c r="M307" s="4">
        <v>0.0</v>
      </c>
      <c r="N307" s="4">
        <v>0.37</v>
      </c>
      <c r="O307" s="4">
        <v>0.192</v>
      </c>
      <c r="P307" s="4">
        <v>122.001</v>
      </c>
      <c r="Q307" s="4">
        <v>4.0</v>
      </c>
    </row>
    <row r="308">
      <c r="A308" s="4" t="s">
        <v>628</v>
      </c>
      <c r="B308" s="4" t="s">
        <v>629</v>
      </c>
      <c r="C308" s="5">
        <v>41325.0</v>
      </c>
      <c r="D308" s="4">
        <v>420920.0</v>
      </c>
      <c r="E308" s="4">
        <v>62.0</v>
      </c>
      <c r="F308" s="4">
        <v>0.515</v>
      </c>
      <c r="G308" s="4">
        <v>0.579</v>
      </c>
      <c r="H308" s="4">
        <v>1.0</v>
      </c>
      <c r="I308" s="4">
        <v>-5.321</v>
      </c>
      <c r="J308" s="4">
        <v>1.0</v>
      </c>
      <c r="K308" s="4">
        <v>0.0334</v>
      </c>
      <c r="L308" s="4">
        <v>0.507</v>
      </c>
      <c r="M308" s="4">
        <v>0.0</v>
      </c>
      <c r="N308" s="4">
        <v>0.11</v>
      </c>
      <c r="O308" s="4">
        <v>0.23</v>
      </c>
      <c r="P308" s="4">
        <v>131.934</v>
      </c>
      <c r="Q308" s="4">
        <v>4.0</v>
      </c>
    </row>
    <row r="309">
      <c r="A309" s="4" t="s">
        <v>630</v>
      </c>
      <c r="B309" s="4" t="s">
        <v>631</v>
      </c>
      <c r="C309" s="5">
        <v>37307.0</v>
      </c>
      <c r="D309" s="4">
        <v>333093.0</v>
      </c>
      <c r="E309" s="4">
        <v>40.0</v>
      </c>
      <c r="F309" s="4">
        <v>0.425</v>
      </c>
      <c r="G309" s="4">
        <v>0.904</v>
      </c>
      <c r="H309" s="4">
        <v>3.0</v>
      </c>
      <c r="I309" s="4">
        <v>-4.142</v>
      </c>
      <c r="J309" s="4">
        <v>1.0</v>
      </c>
      <c r="K309" s="4">
        <v>0.0478</v>
      </c>
      <c r="L309" s="6">
        <v>6.83E-5</v>
      </c>
      <c r="M309" s="4">
        <v>0.014</v>
      </c>
      <c r="N309" s="4">
        <v>0.064</v>
      </c>
      <c r="O309" s="4">
        <v>0.338</v>
      </c>
      <c r="P309" s="4">
        <v>134.756</v>
      </c>
      <c r="Q309" s="4">
        <v>4.0</v>
      </c>
    </row>
    <row r="310">
      <c r="A310" s="4" t="s">
        <v>632</v>
      </c>
      <c r="B310" s="4" t="s">
        <v>633</v>
      </c>
      <c r="C310" s="5">
        <v>39717.0</v>
      </c>
      <c r="D310" s="4">
        <v>316320.0</v>
      </c>
      <c r="E310" s="4">
        <v>21.0</v>
      </c>
      <c r="F310" s="4">
        <v>0.294</v>
      </c>
      <c r="G310" s="4">
        <v>0.952</v>
      </c>
      <c r="H310" s="4">
        <v>0.0</v>
      </c>
      <c r="I310" s="4">
        <v>-5.938</v>
      </c>
      <c r="J310" s="4">
        <v>1.0</v>
      </c>
      <c r="K310" s="4">
        <v>0.174</v>
      </c>
      <c r="L310" s="4">
        <v>7.9E-4</v>
      </c>
      <c r="M310" s="4">
        <v>0.0065</v>
      </c>
      <c r="N310" s="4">
        <v>0.452</v>
      </c>
      <c r="O310" s="4">
        <v>0.117</v>
      </c>
      <c r="P310" s="4">
        <v>170.057</v>
      </c>
      <c r="Q310" s="4">
        <v>4.0</v>
      </c>
    </row>
    <row r="311">
      <c r="A311" s="4" t="s">
        <v>634</v>
      </c>
      <c r="B311" s="4" t="s">
        <v>635</v>
      </c>
      <c r="C311" s="5">
        <v>38224.0</v>
      </c>
      <c r="D311" s="4">
        <v>244666.0</v>
      </c>
      <c r="E311" s="4">
        <v>46.0</v>
      </c>
      <c r="F311" s="4">
        <v>0.422</v>
      </c>
      <c r="G311" s="4">
        <v>0.953</v>
      </c>
      <c r="H311" s="4">
        <v>3.0</v>
      </c>
      <c r="I311" s="4">
        <v>-2.233</v>
      </c>
      <c r="J311" s="4">
        <v>1.0</v>
      </c>
      <c r="K311" s="4">
        <v>0.0391</v>
      </c>
      <c r="L311" s="4">
        <v>0.00674</v>
      </c>
      <c r="M311" s="4">
        <v>0.0</v>
      </c>
      <c r="N311" s="4">
        <v>0.0999</v>
      </c>
      <c r="O311" s="4">
        <v>0.744</v>
      </c>
      <c r="P311" s="4">
        <v>94.826</v>
      </c>
      <c r="Q311" s="4">
        <v>4.0</v>
      </c>
    </row>
    <row r="312">
      <c r="A312" s="4" t="s">
        <v>636</v>
      </c>
      <c r="B312" s="4" t="s">
        <v>637</v>
      </c>
      <c r="C312" s="5">
        <v>40352.0</v>
      </c>
      <c r="D312" s="4">
        <v>272760.0</v>
      </c>
      <c r="E312" s="4">
        <v>27.0</v>
      </c>
      <c r="F312" s="4">
        <v>0.4</v>
      </c>
      <c r="G312" s="4">
        <v>0.771</v>
      </c>
      <c r="H312" s="4">
        <v>4.0</v>
      </c>
      <c r="I312" s="4">
        <v>-5.08</v>
      </c>
      <c r="J312" s="4">
        <v>1.0</v>
      </c>
      <c r="K312" s="4">
        <v>0.0366</v>
      </c>
      <c r="L312" s="4">
        <v>2.62E-4</v>
      </c>
      <c r="M312" s="4">
        <v>0.103</v>
      </c>
      <c r="N312" s="4">
        <v>0.157</v>
      </c>
      <c r="O312" s="4">
        <v>0.262</v>
      </c>
      <c r="P312" s="4">
        <v>178.958</v>
      </c>
      <c r="Q312" s="4">
        <v>4.0</v>
      </c>
    </row>
    <row r="313">
      <c r="A313" s="4" t="s">
        <v>638</v>
      </c>
      <c r="B313" s="4" t="s">
        <v>639</v>
      </c>
      <c r="C313" s="4">
        <v>2009.0</v>
      </c>
      <c r="D313" s="4">
        <v>293626.0</v>
      </c>
      <c r="E313" s="4">
        <v>31.0</v>
      </c>
      <c r="F313" s="4">
        <v>0.602</v>
      </c>
      <c r="G313" s="4">
        <v>0.976</v>
      </c>
      <c r="H313" s="4">
        <v>8.0</v>
      </c>
      <c r="I313" s="4">
        <v>-1.618</v>
      </c>
      <c r="J313" s="4">
        <v>1.0</v>
      </c>
      <c r="K313" s="4">
        <v>0.131</v>
      </c>
      <c r="L313" s="4">
        <v>0.00848</v>
      </c>
      <c r="M313" s="4">
        <v>0.0013</v>
      </c>
      <c r="N313" s="4">
        <v>0.446</v>
      </c>
      <c r="O313" s="4">
        <v>0.574</v>
      </c>
      <c r="P313" s="4">
        <v>135.012</v>
      </c>
      <c r="Q313" s="4">
        <v>4.0</v>
      </c>
    </row>
    <row r="314">
      <c r="A314" s="4" t="s">
        <v>640</v>
      </c>
      <c r="B314" s="4" t="s">
        <v>641</v>
      </c>
      <c r="C314" s="5">
        <v>42627.0</v>
      </c>
      <c r="D314" s="4">
        <v>359760.0</v>
      </c>
      <c r="E314" s="4">
        <v>32.0</v>
      </c>
      <c r="F314" s="4">
        <v>0.462</v>
      </c>
      <c r="G314" s="4">
        <v>0.708</v>
      </c>
      <c r="H314" s="4">
        <v>4.0</v>
      </c>
      <c r="I314" s="4">
        <v>-11.328</v>
      </c>
      <c r="J314" s="4">
        <v>1.0</v>
      </c>
      <c r="K314" s="4">
        <v>0.0262</v>
      </c>
      <c r="L314" s="4">
        <v>0.0292</v>
      </c>
      <c r="M314" s="4">
        <v>0.00177</v>
      </c>
      <c r="N314" s="4">
        <v>0.0581</v>
      </c>
      <c r="O314" s="4">
        <v>0.485</v>
      </c>
      <c r="P314" s="4">
        <v>154.009</v>
      </c>
      <c r="Q314" s="4">
        <v>4.0</v>
      </c>
    </row>
    <row r="315">
      <c r="A315" s="4" t="s">
        <v>642</v>
      </c>
      <c r="B315" s="4" t="s">
        <v>643</v>
      </c>
      <c r="C315" s="4">
        <v>1981.0</v>
      </c>
      <c r="D315" s="4">
        <v>261106.0</v>
      </c>
      <c r="E315" s="4">
        <v>25.0</v>
      </c>
      <c r="F315" s="4">
        <v>0.877</v>
      </c>
      <c r="G315" s="4">
        <v>0.656</v>
      </c>
      <c r="H315" s="4">
        <v>7.0</v>
      </c>
      <c r="I315" s="4">
        <v>-8.911</v>
      </c>
      <c r="J315" s="4">
        <v>1.0</v>
      </c>
      <c r="K315" s="4">
        <v>0.059</v>
      </c>
      <c r="L315" s="4">
        <v>0.0855</v>
      </c>
      <c r="M315" s="6">
        <v>5.87E-5</v>
      </c>
      <c r="N315" s="4">
        <v>0.254</v>
      </c>
      <c r="O315" s="4">
        <v>0.959</v>
      </c>
      <c r="P315" s="4">
        <v>115.833</v>
      </c>
      <c r="Q315" s="4">
        <v>4.0</v>
      </c>
    </row>
    <row r="316">
      <c r="A316" s="4" t="s">
        <v>644</v>
      </c>
      <c r="B316" s="4" t="s">
        <v>645</v>
      </c>
      <c r="C316" s="5">
        <v>39148.0</v>
      </c>
      <c r="D316" s="4">
        <v>279200.0</v>
      </c>
      <c r="E316" s="4">
        <v>54.0</v>
      </c>
      <c r="F316" s="4">
        <v>0.478</v>
      </c>
      <c r="G316" s="4">
        <v>0.592</v>
      </c>
      <c r="H316" s="4">
        <v>2.0</v>
      </c>
      <c r="I316" s="4">
        <v>-5.975</v>
      </c>
      <c r="J316" s="4">
        <v>1.0</v>
      </c>
      <c r="K316" s="4">
        <v>0.0265</v>
      </c>
      <c r="L316" s="4">
        <v>0.00209</v>
      </c>
      <c r="M316" s="4">
        <v>0.0</v>
      </c>
      <c r="N316" s="4">
        <v>0.245</v>
      </c>
      <c r="O316" s="4">
        <v>0.271</v>
      </c>
      <c r="P316" s="4">
        <v>139.607</v>
      </c>
      <c r="Q316" s="4">
        <v>4.0</v>
      </c>
    </row>
    <row r="317">
      <c r="A317" s="4" t="s">
        <v>646</v>
      </c>
      <c r="B317" s="4" t="s">
        <v>647</v>
      </c>
      <c r="C317" s="5">
        <v>39148.0</v>
      </c>
      <c r="D317" s="4">
        <v>277366.0</v>
      </c>
      <c r="E317" s="4">
        <v>57.0</v>
      </c>
      <c r="F317" s="4">
        <v>0.649</v>
      </c>
      <c r="G317" s="4">
        <v>0.842</v>
      </c>
      <c r="H317" s="4">
        <v>8.0</v>
      </c>
      <c r="I317" s="4">
        <v>-4.599</v>
      </c>
      <c r="J317" s="4">
        <v>0.0</v>
      </c>
      <c r="K317" s="4">
        <v>0.0622</v>
      </c>
      <c r="L317" s="4">
        <v>0.577</v>
      </c>
      <c r="M317" s="4">
        <v>0.0</v>
      </c>
      <c r="N317" s="4">
        <v>0.116</v>
      </c>
      <c r="O317" s="4">
        <v>0.653</v>
      </c>
      <c r="P317" s="4">
        <v>91.983</v>
      </c>
      <c r="Q317" s="4">
        <v>4.0</v>
      </c>
    </row>
    <row r="318">
      <c r="A318" s="4" t="s">
        <v>648</v>
      </c>
      <c r="B318" s="4" t="s">
        <v>649</v>
      </c>
      <c r="C318" s="5">
        <v>39057.0</v>
      </c>
      <c r="D318" s="4">
        <v>250840.0</v>
      </c>
      <c r="E318" s="4">
        <v>49.0</v>
      </c>
      <c r="F318" s="4">
        <v>0.538</v>
      </c>
      <c r="G318" s="4">
        <v>0.813</v>
      </c>
      <c r="H318" s="4">
        <v>2.0</v>
      </c>
      <c r="I318" s="4">
        <v>-4.949</v>
      </c>
      <c r="J318" s="4">
        <v>1.0</v>
      </c>
      <c r="K318" s="4">
        <v>0.111</v>
      </c>
      <c r="L318" s="4">
        <v>0.0149</v>
      </c>
      <c r="M318" s="4">
        <v>0.0</v>
      </c>
      <c r="N318" s="4">
        <v>0.0875</v>
      </c>
      <c r="O318" s="4">
        <v>0.568</v>
      </c>
      <c r="P318" s="4">
        <v>145.132</v>
      </c>
      <c r="Q318" s="4">
        <v>4.0</v>
      </c>
    </row>
    <row r="319">
      <c r="A319" s="4" t="s">
        <v>650</v>
      </c>
      <c r="B319" s="4" t="s">
        <v>651</v>
      </c>
      <c r="C319" s="5">
        <v>42829.0</v>
      </c>
      <c r="D319" s="4">
        <v>296626.0</v>
      </c>
      <c r="E319" s="4">
        <v>43.0</v>
      </c>
      <c r="F319" s="4">
        <v>0.341</v>
      </c>
      <c r="G319" s="4">
        <v>0.827</v>
      </c>
      <c r="H319" s="4">
        <v>7.0</v>
      </c>
      <c r="I319" s="4">
        <v>-2.836</v>
      </c>
      <c r="J319" s="4">
        <v>1.0</v>
      </c>
      <c r="K319" s="4">
        <v>0.0466</v>
      </c>
      <c r="L319" s="4">
        <v>0.0957</v>
      </c>
      <c r="M319" s="4">
        <v>0.00161</v>
      </c>
      <c r="N319" s="4">
        <v>0.0746</v>
      </c>
      <c r="O319" s="4">
        <v>0.422</v>
      </c>
      <c r="P319" s="4">
        <v>161.986</v>
      </c>
      <c r="Q319" s="4">
        <v>4.0</v>
      </c>
    </row>
    <row r="320">
      <c r="A320" s="4" t="s">
        <v>652</v>
      </c>
      <c r="B320" s="4" t="s">
        <v>653</v>
      </c>
      <c r="C320" s="5">
        <v>38882.0</v>
      </c>
      <c r="D320" s="4">
        <v>313186.0</v>
      </c>
      <c r="E320" s="4">
        <v>33.0</v>
      </c>
      <c r="F320" s="4">
        <v>0.343</v>
      </c>
      <c r="G320" s="4">
        <v>0.452</v>
      </c>
      <c r="H320" s="4">
        <v>10.0</v>
      </c>
      <c r="I320" s="4">
        <v>-4.945</v>
      </c>
      <c r="J320" s="4">
        <v>1.0</v>
      </c>
      <c r="K320" s="4">
        <v>0.0302</v>
      </c>
      <c r="L320" s="4">
        <v>0.441</v>
      </c>
      <c r="M320" s="4">
        <v>0.0</v>
      </c>
      <c r="N320" s="4">
        <v>0.274</v>
      </c>
      <c r="O320" s="4">
        <v>0.185</v>
      </c>
      <c r="P320" s="4">
        <v>79.535</v>
      </c>
      <c r="Q320" s="4">
        <v>4.0</v>
      </c>
    </row>
    <row r="321">
      <c r="A321" s="4" t="s">
        <v>654</v>
      </c>
      <c r="B321" s="4" t="s">
        <v>655</v>
      </c>
      <c r="C321" s="5">
        <v>38882.0</v>
      </c>
      <c r="D321" s="4">
        <v>282973.0</v>
      </c>
      <c r="E321" s="4">
        <v>41.0</v>
      </c>
      <c r="F321" s="4">
        <v>0.462</v>
      </c>
      <c r="G321" s="4">
        <v>0.496</v>
      </c>
      <c r="H321" s="4">
        <v>9.0</v>
      </c>
      <c r="I321" s="4">
        <v>-5.551</v>
      </c>
      <c r="J321" s="4">
        <v>1.0</v>
      </c>
      <c r="K321" s="4">
        <v>0.0264</v>
      </c>
      <c r="L321" s="4">
        <v>0.741</v>
      </c>
      <c r="M321" s="4">
        <v>0.0</v>
      </c>
      <c r="N321" s="4">
        <v>0.109</v>
      </c>
      <c r="O321" s="4">
        <v>0.244</v>
      </c>
      <c r="P321" s="4">
        <v>133.172</v>
      </c>
      <c r="Q321" s="4">
        <v>3.0</v>
      </c>
    </row>
    <row r="322">
      <c r="A322" s="4" t="s">
        <v>656</v>
      </c>
      <c r="B322" s="4" t="s">
        <v>657</v>
      </c>
      <c r="C322" s="5">
        <v>41297.0</v>
      </c>
      <c r="D322" s="4">
        <v>227306.0</v>
      </c>
      <c r="E322" s="4">
        <v>27.0</v>
      </c>
      <c r="F322" s="4">
        <v>0.178</v>
      </c>
      <c r="G322" s="4">
        <v>0.918</v>
      </c>
      <c r="H322" s="4">
        <v>9.0</v>
      </c>
      <c r="I322" s="4">
        <v>-2.014</v>
      </c>
      <c r="J322" s="4">
        <v>1.0</v>
      </c>
      <c r="K322" s="4">
        <v>0.056</v>
      </c>
      <c r="L322" s="4">
        <v>0.00169</v>
      </c>
      <c r="M322" s="6">
        <v>2.59E-5</v>
      </c>
      <c r="N322" s="4">
        <v>0.15</v>
      </c>
      <c r="O322" s="4">
        <v>0.477</v>
      </c>
      <c r="P322" s="4">
        <v>191.125</v>
      </c>
      <c r="Q322" s="4">
        <v>4.0</v>
      </c>
    </row>
    <row r="323">
      <c r="A323" s="4" t="s">
        <v>658</v>
      </c>
      <c r="B323" s="4" t="s">
        <v>659</v>
      </c>
      <c r="C323" s="5">
        <v>37150.0</v>
      </c>
      <c r="D323" s="4">
        <v>338693.0</v>
      </c>
      <c r="E323" s="4">
        <v>42.0</v>
      </c>
      <c r="F323" s="4">
        <v>0.43</v>
      </c>
      <c r="G323" s="4">
        <v>0.754</v>
      </c>
      <c r="H323" s="4">
        <v>9.0</v>
      </c>
      <c r="I323" s="4">
        <v>-7.039</v>
      </c>
      <c r="J323" s="4">
        <v>1.0</v>
      </c>
      <c r="K323" s="4">
        <v>0.0513</v>
      </c>
      <c r="L323" s="4">
        <v>0.0205</v>
      </c>
      <c r="M323" s="4">
        <v>0.0</v>
      </c>
      <c r="N323" s="4">
        <v>0.113</v>
      </c>
      <c r="O323" s="4">
        <v>0.377</v>
      </c>
      <c r="P323" s="4">
        <v>121.02</v>
      </c>
      <c r="Q323" s="4">
        <v>4.0</v>
      </c>
    </row>
    <row r="324">
      <c r="A324" s="4" t="s">
        <v>660</v>
      </c>
      <c r="B324" s="4" t="s">
        <v>661</v>
      </c>
      <c r="C324" s="5">
        <v>40618.0</v>
      </c>
      <c r="D324" s="4">
        <v>339573.0</v>
      </c>
      <c r="E324" s="4">
        <v>58.0</v>
      </c>
      <c r="F324" s="4">
        <v>0.433</v>
      </c>
      <c r="G324" s="4">
        <v>0.897</v>
      </c>
      <c r="H324" s="4">
        <v>9.0</v>
      </c>
      <c r="I324" s="4">
        <v>-3.156</v>
      </c>
      <c r="J324" s="4">
        <v>1.0</v>
      </c>
      <c r="K324" s="4">
        <v>0.0438</v>
      </c>
      <c r="L324" s="4">
        <v>0.0169</v>
      </c>
      <c r="M324" s="4">
        <v>0.0</v>
      </c>
      <c r="N324" s="4">
        <v>0.109</v>
      </c>
      <c r="O324" s="4">
        <v>0.563</v>
      </c>
      <c r="P324" s="4">
        <v>164.986</v>
      </c>
      <c r="Q324" s="4">
        <v>4.0</v>
      </c>
    </row>
    <row r="325">
      <c r="A325" s="4" t="s">
        <v>662</v>
      </c>
      <c r="B325" s="4" t="s">
        <v>663</v>
      </c>
      <c r="C325" s="5">
        <v>38798.0</v>
      </c>
      <c r="D325" s="4">
        <v>199773.0</v>
      </c>
      <c r="E325" s="4">
        <v>46.0</v>
      </c>
      <c r="F325" s="4">
        <v>0.377</v>
      </c>
      <c r="G325" s="4">
        <v>0.869</v>
      </c>
      <c r="H325" s="4">
        <v>6.0</v>
      </c>
      <c r="I325" s="4">
        <v>-4.52</v>
      </c>
      <c r="J325" s="4">
        <v>1.0</v>
      </c>
      <c r="K325" s="4">
        <v>0.0433</v>
      </c>
      <c r="L325" s="4">
        <v>0.00482</v>
      </c>
      <c r="M325" s="4">
        <v>1.46E-4</v>
      </c>
      <c r="N325" s="4">
        <v>0.358</v>
      </c>
      <c r="O325" s="4">
        <v>0.61</v>
      </c>
      <c r="P325" s="4">
        <v>97.523</v>
      </c>
      <c r="Q325" s="4">
        <v>4.0</v>
      </c>
    </row>
    <row r="326">
      <c r="A326" s="4" t="s">
        <v>664</v>
      </c>
      <c r="B326" s="4" t="s">
        <v>665</v>
      </c>
      <c r="C326" s="5">
        <v>40611.0</v>
      </c>
      <c r="D326" s="4">
        <v>268400.0</v>
      </c>
      <c r="E326" s="4">
        <v>16.0</v>
      </c>
      <c r="F326" s="4">
        <v>0.353</v>
      </c>
      <c r="G326" s="4">
        <v>0.869</v>
      </c>
      <c r="H326" s="4">
        <v>1.0</v>
      </c>
      <c r="I326" s="4">
        <v>-4.376</v>
      </c>
      <c r="J326" s="4">
        <v>1.0</v>
      </c>
      <c r="K326" s="4">
        <v>0.24</v>
      </c>
      <c r="L326" s="4">
        <v>0.0193</v>
      </c>
      <c r="M326" s="4">
        <v>0.0</v>
      </c>
      <c r="N326" s="4">
        <v>0.0338</v>
      </c>
      <c r="O326" s="4">
        <v>0.416</v>
      </c>
      <c r="P326" s="4">
        <v>177.846</v>
      </c>
      <c r="Q326" s="4">
        <v>4.0</v>
      </c>
    </row>
    <row r="327">
      <c r="A327" s="4" t="s">
        <v>666</v>
      </c>
      <c r="B327" s="4" t="s">
        <v>667</v>
      </c>
      <c r="C327" s="5">
        <v>39778.0</v>
      </c>
      <c r="D327" s="4">
        <v>243426.0</v>
      </c>
      <c r="E327" s="4">
        <v>9.0</v>
      </c>
      <c r="F327" s="4">
        <v>0.671</v>
      </c>
      <c r="G327" s="4">
        <v>0.654</v>
      </c>
      <c r="H327" s="4">
        <v>7.0</v>
      </c>
      <c r="I327" s="4">
        <v>-5.007</v>
      </c>
      <c r="J327" s="4">
        <v>1.0</v>
      </c>
      <c r="K327" s="4">
        <v>0.0435</v>
      </c>
      <c r="L327" s="4">
        <v>0.352</v>
      </c>
      <c r="M327" s="4">
        <v>0.0</v>
      </c>
      <c r="N327" s="4">
        <v>0.127</v>
      </c>
      <c r="O327" s="4">
        <v>0.441</v>
      </c>
      <c r="P327" s="4">
        <v>104.029</v>
      </c>
      <c r="Q327" s="4">
        <v>4.0</v>
      </c>
    </row>
    <row r="328">
      <c r="A328" s="4" t="s">
        <v>668</v>
      </c>
      <c r="B328" s="4" t="s">
        <v>669</v>
      </c>
      <c r="C328" s="5">
        <v>44485.0</v>
      </c>
      <c r="D328" s="4">
        <v>352600.0</v>
      </c>
      <c r="E328" s="4">
        <v>3.0</v>
      </c>
      <c r="F328" s="4">
        <v>0.144</v>
      </c>
      <c r="G328" s="4">
        <v>0.306</v>
      </c>
      <c r="H328" s="4">
        <v>1.0</v>
      </c>
      <c r="I328" s="4">
        <v>-15.384</v>
      </c>
      <c r="J328" s="4">
        <v>1.0</v>
      </c>
      <c r="K328" s="4">
        <v>0.0376</v>
      </c>
      <c r="L328" s="4">
        <v>0.964</v>
      </c>
      <c r="M328" s="4">
        <v>0.535</v>
      </c>
      <c r="N328" s="4">
        <v>0.226</v>
      </c>
      <c r="O328" s="4">
        <v>0.218</v>
      </c>
      <c r="P328" s="4">
        <v>83.648</v>
      </c>
      <c r="Q328" s="4">
        <v>3.0</v>
      </c>
    </row>
    <row r="329">
      <c r="A329" s="4" t="s">
        <v>670</v>
      </c>
      <c r="B329" s="4" t="s">
        <v>671</v>
      </c>
      <c r="C329" s="5">
        <v>44478.0</v>
      </c>
      <c r="D329" s="4">
        <v>141255.0</v>
      </c>
      <c r="E329" s="4">
        <v>7.0</v>
      </c>
      <c r="F329" s="4">
        <v>0.339</v>
      </c>
      <c r="G329" s="4">
        <v>0.354</v>
      </c>
      <c r="H329" s="4">
        <v>2.0</v>
      </c>
      <c r="I329" s="4">
        <v>-12.949</v>
      </c>
      <c r="J329" s="4">
        <v>1.0</v>
      </c>
      <c r="K329" s="4">
        <v>0.032</v>
      </c>
      <c r="L329" s="4">
        <v>0.886</v>
      </c>
      <c r="M329" s="4">
        <v>0.831</v>
      </c>
      <c r="N329" s="4">
        <v>0.337</v>
      </c>
      <c r="O329" s="4">
        <v>0.408</v>
      </c>
      <c r="P329" s="4">
        <v>154.711</v>
      </c>
      <c r="Q329" s="4">
        <v>3.0</v>
      </c>
    </row>
    <row r="330">
      <c r="A330" s="4" t="s">
        <v>672</v>
      </c>
      <c r="B330" s="4" t="s">
        <v>673</v>
      </c>
      <c r="C330" s="5">
        <v>42328.0</v>
      </c>
      <c r="D330" s="4">
        <v>295502.0</v>
      </c>
      <c r="E330" s="4">
        <v>77.0</v>
      </c>
      <c r="F330" s="4">
        <v>0.578</v>
      </c>
      <c r="G330" s="4">
        <v>0.43</v>
      </c>
      <c r="H330" s="4">
        <v>5.0</v>
      </c>
      <c r="I330" s="4">
        <v>-6.134</v>
      </c>
      <c r="J330" s="4">
        <v>0.0</v>
      </c>
      <c r="K330" s="4">
        <v>0.0305</v>
      </c>
      <c r="L330" s="4">
        <v>0.33</v>
      </c>
      <c r="M330" s="4">
        <v>0.0</v>
      </c>
      <c r="N330" s="4">
        <v>0.0854</v>
      </c>
      <c r="O330" s="4">
        <v>0.288</v>
      </c>
      <c r="P330" s="4">
        <v>78.991</v>
      </c>
      <c r="Q330" s="4">
        <v>4.0</v>
      </c>
    </row>
    <row r="331">
      <c r="A331" s="4" t="s">
        <v>674</v>
      </c>
      <c r="B331" s="4" t="s">
        <v>675</v>
      </c>
      <c r="C331" s="5">
        <v>43161.0</v>
      </c>
      <c r="D331" s="4">
        <v>300893.0</v>
      </c>
      <c r="E331" s="4">
        <v>54.0</v>
      </c>
      <c r="F331" s="4">
        <v>0.268</v>
      </c>
      <c r="G331" s="4">
        <v>0.17</v>
      </c>
      <c r="H331" s="4">
        <v>8.0</v>
      </c>
      <c r="I331" s="4">
        <v>-14.293</v>
      </c>
      <c r="J331" s="4">
        <v>1.0</v>
      </c>
      <c r="K331" s="4">
        <v>0.0287</v>
      </c>
      <c r="L331" s="4">
        <v>0.896</v>
      </c>
      <c r="M331" s="4">
        <v>0.0413</v>
      </c>
      <c r="N331" s="4">
        <v>0.114</v>
      </c>
      <c r="O331" s="4">
        <v>0.107</v>
      </c>
      <c r="P331" s="4">
        <v>90.732</v>
      </c>
      <c r="Q331" s="4">
        <v>4.0</v>
      </c>
    </row>
    <row r="332">
      <c r="A332" s="4" t="s">
        <v>676</v>
      </c>
      <c r="B332" s="4" t="s">
        <v>677</v>
      </c>
      <c r="C332" s="5">
        <v>39790.0</v>
      </c>
      <c r="D332" s="4">
        <v>157240.0</v>
      </c>
      <c r="E332" s="4">
        <v>62.0</v>
      </c>
      <c r="F332" s="4">
        <v>0.175</v>
      </c>
      <c r="G332" s="4">
        <v>0.143</v>
      </c>
      <c r="H332" s="4">
        <v>3.0</v>
      </c>
      <c r="I332" s="4">
        <v>-17.439</v>
      </c>
      <c r="J332" s="4">
        <v>0.0</v>
      </c>
      <c r="K332" s="4">
        <v>0.0412</v>
      </c>
      <c r="L332" s="4">
        <v>0.937</v>
      </c>
      <c r="M332" s="4">
        <v>0.933</v>
      </c>
      <c r="N332" s="4">
        <v>0.0915</v>
      </c>
      <c r="O332" s="4">
        <v>0.0662</v>
      </c>
      <c r="P332" s="4">
        <v>173.33</v>
      </c>
      <c r="Q332" s="4">
        <v>4.0</v>
      </c>
    </row>
    <row r="333">
      <c r="A333" s="4" t="s">
        <v>678</v>
      </c>
      <c r="B333" s="4" t="s">
        <v>679</v>
      </c>
      <c r="C333" s="4">
        <v>1959.0</v>
      </c>
      <c r="D333" s="4">
        <v>987266.0</v>
      </c>
      <c r="E333" s="4">
        <v>50.0</v>
      </c>
      <c r="F333" s="4">
        <v>0.305</v>
      </c>
      <c r="G333" s="4">
        <v>0.184</v>
      </c>
      <c r="H333" s="4">
        <v>9.0</v>
      </c>
      <c r="I333" s="4">
        <v>-18.342</v>
      </c>
      <c r="J333" s="4">
        <v>1.0</v>
      </c>
      <c r="K333" s="4">
        <v>0.0409</v>
      </c>
      <c r="L333" s="4">
        <v>0.969</v>
      </c>
      <c r="M333" s="4">
        <v>0.781</v>
      </c>
      <c r="N333" s="4">
        <v>0.132</v>
      </c>
      <c r="O333" s="4">
        <v>0.0771</v>
      </c>
      <c r="P333" s="4">
        <v>70.813</v>
      </c>
      <c r="Q333" s="4">
        <v>4.0</v>
      </c>
    </row>
    <row r="334">
      <c r="A334" s="4" t="s">
        <v>680</v>
      </c>
      <c r="B334" s="4" t="s">
        <v>681</v>
      </c>
      <c r="C334" s="4">
        <v>1985.0</v>
      </c>
      <c r="D334" s="4">
        <v>285866.0</v>
      </c>
      <c r="E334" s="4">
        <v>25.0</v>
      </c>
      <c r="F334" s="4">
        <v>0.329</v>
      </c>
      <c r="G334" s="4">
        <v>0.124</v>
      </c>
      <c r="H334" s="4">
        <v>3.0</v>
      </c>
      <c r="I334" s="4">
        <v>-13.587</v>
      </c>
      <c r="J334" s="4">
        <v>1.0</v>
      </c>
      <c r="K334" s="4">
        <v>0.0397</v>
      </c>
      <c r="L334" s="4">
        <v>0.959</v>
      </c>
      <c r="M334" s="6">
        <v>3.96E-5</v>
      </c>
      <c r="N334" s="4">
        <v>0.0521</v>
      </c>
      <c r="O334" s="4">
        <v>0.166</v>
      </c>
      <c r="P334" s="4">
        <v>113.869</v>
      </c>
      <c r="Q334" s="4">
        <v>3.0</v>
      </c>
    </row>
    <row r="335">
      <c r="A335" s="4" t="s">
        <v>682</v>
      </c>
      <c r="B335" s="4" t="s">
        <v>683</v>
      </c>
      <c r="C335" s="5">
        <v>44485.0</v>
      </c>
      <c r="D335" s="4">
        <v>224506.0</v>
      </c>
      <c r="E335" s="4">
        <v>5.0</v>
      </c>
      <c r="F335" s="4">
        <v>0.488</v>
      </c>
      <c r="G335" s="4">
        <v>0.263</v>
      </c>
      <c r="H335" s="4">
        <v>7.0</v>
      </c>
      <c r="I335" s="4">
        <v>-16.395</v>
      </c>
      <c r="J335" s="4">
        <v>0.0</v>
      </c>
      <c r="K335" s="4">
        <v>0.053</v>
      </c>
      <c r="L335" s="4">
        <v>0.945</v>
      </c>
      <c r="M335" s="4">
        <v>0.00397</v>
      </c>
      <c r="N335" s="4">
        <v>0.0888</v>
      </c>
      <c r="O335" s="4">
        <v>0.813</v>
      </c>
      <c r="P335" s="4">
        <v>97.253</v>
      </c>
      <c r="Q335" s="4">
        <v>4.0</v>
      </c>
    </row>
    <row r="336">
      <c r="A336" s="4" t="s">
        <v>684</v>
      </c>
      <c r="B336" s="4" t="s">
        <v>685</v>
      </c>
      <c r="C336" s="5">
        <v>32391.0</v>
      </c>
      <c r="D336" s="4">
        <v>272466.0</v>
      </c>
      <c r="E336" s="4">
        <v>86.0</v>
      </c>
      <c r="F336" s="4">
        <v>0.271</v>
      </c>
      <c r="G336" s="4">
        <v>0.551</v>
      </c>
      <c r="H336" s="4">
        <v>2.0</v>
      </c>
      <c r="I336" s="4">
        <v>-7.48</v>
      </c>
      <c r="J336" s="4">
        <v>1.0</v>
      </c>
      <c r="K336" s="4">
        <v>0.0457</v>
      </c>
      <c r="L336" s="4">
        <v>0.582</v>
      </c>
      <c r="M336" s="6">
        <v>4.16E-5</v>
      </c>
      <c r="N336" s="4">
        <v>0.256</v>
      </c>
      <c r="O336" s="4">
        <v>0.428</v>
      </c>
      <c r="P336" s="4">
        <v>78.111</v>
      </c>
      <c r="Q336" s="4">
        <v>4.0</v>
      </c>
    </row>
    <row r="337">
      <c r="A337" s="4" t="s">
        <v>686</v>
      </c>
      <c r="B337" s="4" t="s">
        <v>687</v>
      </c>
      <c r="C337" s="5">
        <v>38607.0</v>
      </c>
      <c r="D337" s="4">
        <v>375933.0</v>
      </c>
      <c r="E337" s="4">
        <v>40.0</v>
      </c>
      <c r="F337" s="4">
        <v>0.15</v>
      </c>
      <c r="G337" s="4">
        <v>0.754</v>
      </c>
      <c r="H337" s="4">
        <v>7.0</v>
      </c>
      <c r="I337" s="4">
        <v>-6.98</v>
      </c>
      <c r="J337" s="4">
        <v>1.0</v>
      </c>
      <c r="K337" s="4">
        <v>0.0553</v>
      </c>
      <c r="L337" s="4">
        <v>0.0563</v>
      </c>
      <c r="M337" s="4">
        <v>0.935</v>
      </c>
      <c r="N337" s="4">
        <v>0.108</v>
      </c>
      <c r="O337" s="4">
        <v>0.295</v>
      </c>
      <c r="P337" s="4">
        <v>148.493</v>
      </c>
      <c r="Q337" s="4">
        <v>4.0</v>
      </c>
    </row>
    <row r="338">
      <c r="A338" s="4" t="s">
        <v>688</v>
      </c>
      <c r="B338" s="4" t="s">
        <v>689</v>
      </c>
      <c r="C338" s="5">
        <v>44477.0</v>
      </c>
      <c r="D338" s="4">
        <v>662106.0</v>
      </c>
      <c r="E338" s="4">
        <v>8.0</v>
      </c>
      <c r="F338" s="4">
        <v>0.209</v>
      </c>
      <c r="G338" s="4">
        <v>0.0614</v>
      </c>
      <c r="H338" s="4">
        <v>2.0</v>
      </c>
      <c r="I338" s="4">
        <v>-22.989</v>
      </c>
      <c r="J338" s="4">
        <v>1.0</v>
      </c>
      <c r="K338" s="4">
        <v>0.0384</v>
      </c>
      <c r="L338" s="4">
        <v>0.972</v>
      </c>
      <c r="M338" s="4">
        <v>0.752</v>
      </c>
      <c r="N338" s="4">
        <v>0.0895</v>
      </c>
      <c r="O338" s="4">
        <v>0.037</v>
      </c>
      <c r="P338" s="4">
        <v>104.81</v>
      </c>
      <c r="Q338" s="4">
        <v>3.0</v>
      </c>
    </row>
    <row r="339">
      <c r="A339" s="4" t="s">
        <v>690</v>
      </c>
      <c r="B339" s="4" t="s">
        <v>691</v>
      </c>
      <c r="C339" s="5">
        <v>42065.0</v>
      </c>
      <c r="D339" s="4">
        <v>810322.0</v>
      </c>
      <c r="E339" s="4">
        <v>35.0</v>
      </c>
      <c r="F339" s="4">
        <v>0.325</v>
      </c>
      <c r="G339" s="4">
        <v>0.504</v>
      </c>
      <c r="H339" s="4">
        <v>4.0</v>
      </c>
      <c r="I339" s="4">
        <v>-12.269</v>
      </c>
      <c r="J339" s="4">
        <v>1.0</v>
      </c>
      <c r="K339" s="4">
        <v>0.048</v>
      </c>
      <c r="L339" s="4">
        <v>0.0115</v>
      </c>
      <c r="M339" s="4">
        <v>0.417</v>
      </c>
      <c r="N339" s="4">
        <v>0.108</v>
      </c>
      <c r="O339" s="4">
        <v>0.159</v>
      </c>
      <c r="P339" s="4">
        <v>127.968</v>
      </c>
      <c r="Q339" s="4">
        <v>1.0</v>
      </c>
    </row>
    <row r="340">
      <c r="A340" s="4" t="s">
        <v>692</v>
      </c>
      <c r="B340" s="4" t="s">
        <v>693</v>
      </c>
      <c r="C340" s="5">
        <v>35497.0</v>
      </c>
      <c r="D340" s="4">
        <v>453200.0</v>
      </c>
      <c r="E340" s="4">
        <v>25.0</v>
      </c>
      <c r="F340" s="4">
        <v>0.239</v>
      </c>
      <c r="G340" s="4">
        <v>0.616</v>
      </c>
      <c r="H340" s="4">
        <v>0.0</v>
      </c>
      <c r="I340" s="4">
        <v>-8.379</v>
      </c>
      <c r="J340" s="4">
        <v>1.0</v>
      </c>
      <c r="K340" s="4">
        <v>0.0368</v>
      </c>
      <c r="L340" s="4">
        <v>0.0749</v>
      </c>
      <c r="M340" s="4">
        <v>0.0</v>
      </c>
      <c r="N340" s="4">
        <v>0.0887</v>
      </c>
      <c r="O340" s="4">
        <v>0.198</v>
      </c>
      <c r="P340" s="4">
        <v>86.664</v>
      </c>
      <c r="Q340" s="4">
        <v>4.0</v>
      </c>
    </row>
    <row r="341">
      <c r="A341" s="4" t="s">
        <v>694</v>
      </c>
      <c r="B341" s="4" t="s">
        <v>695</v>
      </c>
      <c r="C341" s="5">
        <v>42128.0</v>
      </c>
      <c r="D341" s="4">
        <v>257200.0</v>
      </c>
      <c r="E341" s="4">
        <v>64.0</v>
      </c>
      <c r="F341" s="4">
        <v>0.421</v>
      </c>
      <c r="G341" s="4">
        <v>0.791</v>
      </c>
      <c r="H341" s="4">
        <v>9.0</v>
      </c>
      <c r="I341" s="4">
        <v>-4.998</v>
      </c>
      <c r="J341" s="4">
        <v>1.0</v>
      </c>
      <c r="K341" s="4">
        <v>0.0496</v>
      </c>
      <c r="L341" s="4">
        <v>0.0117</v>
      </c>
      <c r="M341" s="6">
        <v>1.48E-5</v>
      </c>
      <c r="N341" s="4">
        <v>0.146</v>
      </c>
      <c r="O341" s="4">
        <v>0.499</v>
      </c>
      <c r="P341" s="4">
        <v>130.075</v>
      </c>
      <c r="Q341" s="4">
        <v>4.0</v>
      </c>
    </row>
    <row r="342">
      <c r="A342" s="4" t="s">
        <v>696</v>
      </c>
      <c r="B342" s="4" t="s">
        <v>697</v>
      </c>
      <c r="C342" s="4">
        <v>2001.0</v>
      </c>
      <c r="D342" s="4">
        <v>184693.0</v>
      </c>
      <c r="E342" s="4">
        <v>42.0</v>
      </c>
      <c r="F342" s="4">
        <v>0.639</v>
      </c>
      <c r="G342" s="4">
        <v>0.0996</v>
      </c>
      <c r="H342" s="4">
        <v>0.0</v>
      </c>
      <c r="I342" s="4">
        <v>-16.144</v>
      </c>
      <c r="J342" s="4">
        <v>1.0</v>
      </c>
      <c r="K342" s="4">
        <v>0.0992</v>
      </c>
      <c r="L342" s="4">
        <v>0.949</v>
      </c>
      <c r="M342" s="4">
        <v>0.00273</v>
      </c>
      <c r="N342" s="4">
        <v>0.105</v>
      </c>
      <c r="O342" s="4">
        <v>0.359</v>
      </c>
      <c r="P342" s="4">
        <v>121.289</v>
      </c>
      <c r="Q342" s="4">
        <v>4.0</v>
      </c>
    </row>
    <row r="343">
      <c r="A343" s="4" t="s">
        <v>698</v>
      </c>
      <c r="B343" s="4" t="s">
        <v>699</v>
      </c>
      <c r="C343" s="5">
        <v>38608.0</v>
      </c>
      <c r="D343" s="4">
        <v>262533.0</v>
      </c>
      <c r="E343" s="4">
        <v>81.0</v>
      </c>
      <c r="F343" s="4">
        <v>0.64</v>
      </c>
      <c r="G343" s="4">
        <v>0.743</v>
      </c>
      <c r="H343" s="4">
        <v>10.0</v>
      </c>
      <c r="I343" s="4">
        <v>-4.08</v>
      </c>
      <c r="J343" s="4">
        <v>1.0</v>
      </c>
      <c r="K343" s="4">
        <v>0.0379</v>
      </c>
      <c r="L343" s="4">
        <v>0.269</v>
      </c>
      <c r="M343" s="4">
        <v>0.0</v>
      </c>
      <c r="N343" s="4">
        <v>0.101</v>
      </c>
      <c r="O343" s="4">
        <v>0.361</v>
      </c>
      <c r="P343" s="4">
        <v>122.035</v>
      </c>
      <c r="Q343" s="4">
        <v>4.0</v>
      </c>
    </row>
    <row r="344">
      <c r="A344" s="4" t="s">
        <v>700</v>
      </c>
      <c r="B344" s="4" t="s">
        <v>701</v>
      </c>
      <c r="C344" s="5">
        <v>42498.0</v>
      </c>
      <c r="D344" s="4">
        <v>384438.0</v>
      </c>
      <c r="E344" s="4">
        <v>60.0</v>
      </c>
      <c r="F344" s="4">
        <v>0.214</v>
      </c>
      <c r="G344" s="4">
        <v>0.263</v>
      </c>
      <c r="H344" s="4">
        <v>9.0</v>
      </c>
      <c r="I344" s="4">
        <v>-13.207</v>
      </c>
      <c r="J344" s="4">
        <v>0.0</v>
      </c>
      <c r="K344" s="4">
        <v>0.0336</v>
      </c>
      <c r="L344" s="4">
        <v>0.968</v>
      </c>
      <c r="M344" s="4">
        <v>0.853</v>
      </c>
      <c r="N344" s="4">
        <v>0.126</v>
      </c>
      <c r="O344" s="4">
        <v>0.113</v>
      </c>
      <c r="P344" s="4">
        <v>137.561</v>
      </c>
      <c r="Q344" s="4">
        <v>3.0</v>
      </c>
    </row>
    <row r="345">
      <c r="A345" s="4" t="s">
        <v>702</v>
      </c>
      <c r="B345" s="4" t="s">
        <v>703</v>
      </c>
      <c r="C345" s="5">
        <v>35367.0</v>
      </c>
      <c r="D345" s="4">
        <v>287893.0</v>
      </c>
      <c r="E345" s="4">
        <v>60.0</v>
      </c>
      <c r="F345" s="4">
        <v>0.37</v>
      </c>
      <c r="G345" s="4">
        <v>0.0772</v>
      </c>
      <c r="H345" s="4">
        <v>0.0</v>
      </c>
      <c r="I345" s="4">
        <v>-19.322</v>
      </c>
      <c r="J345" s="4">
        <v>1.0</v>
      </c>
      <c r="K345" s="4">
        <v>0.0414</v>
      </c>
      <c r="L345" s="4">
        <v>0.642</v>
      </c>
      <c r="M345" s="4">
        <v>0.69</v>
      </c>
      <c r="N345" s="4">
        <v>0.112</v>
      </c>
      <c r="O345" s="4">
        <v>0.0954</v>
      </c>
      <c r="P345" s="4">
        <v>119.942</v>
      </c>
      <c r="Q345" s="4">
        <v>4.0</v>
      </c>
    </row>
    <row r="346">
      <c r="A346" s="4" t="s">
        <v>704</v>
      </c>
      <c r="B346" s="4" t="s">
        <v>705</v>
      </c>
      <c r="C346" s="5">
        <v>36801.0</v>
      </c>
      <c r="D346" s="4">
        <v>251426.0</v>
      </c>
      <c r="E346" s="4">
        <v>67.0</v>
      </c>
      <c r="F346" s="4">
        <v>0.296</v>
      </c>
      <c r="G346" s="4">
        <v>0.463</v>
      </c>
      <c r="H346" s="4">
        <v>5.0</v>
      </c>
      <c r="I346" s="4">
        <v>-11.412</v>
      </c>
      <c r="J346" s="4">
        <v>0.0</v>
      </c>
      <c r="K346" s="4">
        <v>0.0449</v>
      </c>
      <c r="L346" s="4">
        <v>0.705</v>
      </c>
      <c r="M346" s="4">
        <v>0.0482</v>
      </c>
      <c r="N346" s="4">
        <v>0.0954</v>
      </c>
      <c r="O346" s="4">
        <v>0.0629</v>
      </c>
      <c r="P346" s="4">
        <v>123.943</v>
      </c>
      <c r="Q346" s="4">
        <v>5.0</v>
      </c>
    </row>
    <row r="347">
      <c r="A347" s="4" t="s">
        <v>706</v>
      </c>
      <c r="B347" s="4" t="s">
        <v>707</v>
      </c>
      <c r="C347" s="5">
        <v>42307.0</v>
      </c>
      <c r="D347" s="4">
        <v>273640.0</v>
      </c>
      <c r="E347" s="4">
        <v>58.0</v>
      </c>
      <c r="F347" s="4">
        <v>0.358</v>
      </c>
      <c r="G347" s="4">
        <v>0.909</v>
      </c>
      <c r="H347" s="4">
        <v>0.0</v>
      </c>
      <c r="I347" s="4">
        <v>-6.856</v>
      </c>
      <c r="J347" s="4">
        <v>0.0</v>
      </c>
      <c r="K347" s="4">
        <v>0.0949</v>
      </c>
      <c r="L347" s="4">
        <v>0.0429</v>
      </c>
      <c r="M347" s="4">
        <v>0.00468</v>
      </c>
      <c r="N347" s="4">
        <v>0.138</v>
      </c>
      <c r="O347" s="4">
        <v>0.0419</v>
      </c>
      <c r="P347" s="4">
        <v>129.945</v>
      </c>
      <c r="Q347" s="4">
        <v>4.0</v>
      </c>
    </row>
    <row r="348">
      <c r="A348" s="4" t="s">
        <v>708</v>
      </c>
      <c r="B348" s="4" t="s">
        <v>709</v>
      </c>
      <c r="C348" s="5">
        <v>40142.0</v>
      </c>
      <c r="D348" s="4">
        <v>284853.0</v>
      </c>
      <c r="E348" s="4">
        <v>10.0</v>
      </c>
      <c r="F348" s="4">
        <v>0.62</v>
      </c>
      <c r="G348" s="4">
        <v>0.856</v>
      </c>
      <c r="H348" s="4">
        <v>0.0</v>
      </c>
      <c r="I348" s="4">
        <v>-7.303</v>
      </c>
      <c r="J348" s="4">
        <v>1.0</v>
      </c>
      <c r="K348" s="4">
        <v>0.0344</v>
      </c>
      <c r="L348" s="4">
        <v>0.0355</v>
      </c>
      <c r="M348" s="6">
        <v>5.5E-5</v>
      </c>
      <c r="N348" s="4">
        <v>0.114</v>
      </c>
      <c r="O348" s="4">
        <v>0.44</v>
      </c>
      <c r="P348" s="4">
        <v>121.338</v>
      </c>
      <c r="Q348" s="4">
        <v>4.0</v>
      </c>
    </row>
    <row r="349">
      <c r="A349" s="4" t="s">
        <v>710</v>
      </c>
      <c r="B349" s="4" t="s">
        <v>711</v>
      </c>
      <c r="C349" s="5">
        <v>42418.0</v>
      </c>
      <c r="D349" s="4">
        <v>179658.0</v>
      </c>
      <c r="E349" s="4">
        <v>59.0</v>
      </c>
      <c r="F349" s="4">
        <v>0.794</v>
      </c>
      <c r="G349" s="4">
        <v>0.476</v>
      </c>
      <c r="H349" s="4">
        <v>2.0</v>
      </c>
      <c r="I349" s="4">
        <v>-4.337</v>
      </c>
      <c r="J349" s="4">
        <v>0.0</v>
      </c>
      <c r="K349" s="4">
        <v>0.0558</v>
      </c>
      <c r="L349" s="4">
        <v>0.354</v>
      </c>
      <c r="M349" s="4">
        <v>0.00307</v>
      </c>
      <c r="N349" s="4">
        <v>0.332</v>
      </c>
      <c r="O349" s="4">
        <v>0.471</v>
      </c>
      <c r="P349" s="4">
        <v>129.827</v>
      </c>
      <c r="Q349" s="4">
        <v>4.0</v>
      </c>
    </row>
    <row r="350">
      <c r="A350" s="4" t="s">
        <v>712</v>
      </c>
      <c r="B350" s="4" t="s">
        <v>713</v>
      </c>
      <c r="C350" s="5">
        <v>42158.0</v>
      </c>
      <c r="D350" s="4">
        <v>228553.0</v>
      </c>
      <c r="E350" s="4">
        <v>26.0</v>
      </c>
      <c r="F350" s="4">
        <v>0.51</v>
      </c>
      <c r="G350" s="4">
        <v>0.377</v>
      </c>
      <c r="H350" s="4">
        <v>1.0</v>
      </c>
      <c r="I350" s="4">
        <v>-11.849</v>
      </c>
      <c r="J350" s="4">
        <v>0.0</v>
      </c>
      <c r="K350" s="4">
        <v>0.0272</v>
      </c>
      <c r="L350" s="4">
        <v>0.128</v>
      </c>
      <c r="M350" s="4">
        <v>0.00317</v>
      </c>
      <c r="N350" s="4">
        <v>0.364</v>
      </c>
      <c r="O350" s="4">
        <v>0.246</v>
      </c>
      <c r="P350" s="4">
        <v>97.908</v>
      </c>
      <c r="Q350" s="4">
        <v>4.0</v>
      </c>
    </row>
    <row r="351">
      <c r="A351" s="4" t="s">
        <v>714</v>
      </c>
      <c r="B351" s="4" t="s">
        <v>715</v>
      </c>
      <c r="C351" s="5">
        <v>41379.0</v>
      </c>
      <c r="D351" s="4">
        <v>303440.0</v>
      </c>
      <c r="E351" s="4">
        <v>26.0</v>
      </c>
      <c r="F351" s="4">
        <v>0.326</v>
      </c>
      <c r="G351" s="4">
        <v>0.366</v>
      </c>
      <c r="H351" s="4">
        <v>2.0</v>
      </c>
      <c r="I351" s="4">
        <v>-9.326</v>
      </c>
      <c r="J351" s="4">
        <v>0.0</v>
      </c>
      <c r="K351" s="4">
        <v>0.0617</v>
      </c>
      <c r="L351" s="4">
        <v>0.87</v>
      </c>
      <c r="M351" s="4">
        <v>0.831</v>
      </c>
      <c r="N351" s="4">
        <v>0.101</v>
      </c>
      <c r="O351" s="4">
        <v>0.269</v>
      </c>
      <c r="P351" s="4">
        <v>83.323</v>
      </c>
      <c r="Q351" s="4">
        <v>4.0</v>
      </c>
    </row>
    <row r="352">
      <c r="A352" s="4" t="s">
        <v>716</v>
      </c>
      <c r="B352" s="4" t="s">
        <v>717</v>
      </c>
      <c r="C352" s="5">
        <v>37892.0</v>
      </c>
      <c r="D352" s="4">
        <v>317800.0</v>
      </c>
      <c r="E352" s="4">
        <v>49.0</v>
      </c>
      <c r="F352" s="4">
        <v>0.11</v>
      </c>
      <c r="G352" s="4">
        <v>0.939</v>
      </c>
      <c r="H352" s="4">
        <v>3.0</v>
      </c>
      <c r="I352" s="4">
        <v>-3.975</v>
      </c>
      <c r="J352" s="4">
        <v>0.0</v>
      </c>
      <c r="K352" s="4">
        <v>0.104</v>
      </c>
      <c r="L352" s="4">
        <v>3.91E-4</v>
      </c>
      <c r="M352" s="4">
        <v>0.35</v>
      </c>
      <c r="N352" s="4">
        <v>0.145</v>
      </c>
      <c r="O352" s="4">
        <v>0.097</v>
      </c>
      <c r="P352" s="4">
        <v>88.58</v>
      </c>
      <c r="Q352" s="4">
        <v>5.0</v>
      </c>
    </row>
    <row r="353">
      <c r="A353" s="4" t="s">
        <v>718</v>
      </c>
      <c r="B353" s="4" t="s">
        <v>719</v>
      </c>
      <c r="C353" s="5">
        <v>34773.0</v>
      </c>
      <c r="D353" s="4">
        <v>121626.0</v>
      </c>
      <c r="E353" s="4">
        <v>6.0</v>
      </c>
      <c r="F353" s="4">
        <v>0.174</v>
      </c>
      <c r="G353" s="4">
        <v>0.9</v>
      </c>
      <c r="H353" s="4">
        <v>10.0</v>
      </c>
      <c r="I353" s="4">
        <v>-14.739</v>
      </c>
      <c r="J353" s="4">
        <v>0.0</v>
      </c>
      <c r="K353" s="4">
        <v>0.0999</v>
      </c>
      <c r="L353" s="4">
        <v>0.144</v>
      </c>
      <c r="M353" s="4">
        <v>0.0286</v>
      </c>
      <c r="N353" s="4">
        <v>0.0835</v>
      </c>
      <c r="O353" s="4">
        <v>0.15</v>
      </c>
      <c r="P353" s="4">
        <v>204.342</v>
      </c>
      <c r="Q353" s="4">
        <v>4.0</v>
      </c>
    </row>
    <row r="354">
      <c r="A354" s="4" t="s">
        <v>720</v>
      </c>
      <c r="B354" s="4" t="s">
        <v>721</v>
      </c>
      <c r="C354" s="5">
        <v>44351.0</v>
      </c>
      <c r="D354" s="4">
        <v>222253.0</v>
      </c>
      <c r="E354" s="4">
        <v>31.0</v>
      </c>
      <c r="F354" s="4">
        <v>0.339</v>
      </c>
      <c r="G354" s="4">
        <v>0.542</v>
      </c>
      <c r="H354" s="4">
        <v>7.0</v>
      </c>
      <c r="I354" s="4">
        <v>-7.779</v>
      </c>
      <c r="J354" s="4">
        <v>1.0</v>
      </c>
      <c r="K354" s="4">
        <v>0.0307</v>
      </c>
      <c r="L354" s="4">
        <v>0.27</v>
      </c>
      <c r="M354" s="4">
        <v>0.426</v>
      </c>
      <c r="N354" s="4">
        <v>0.173</v>
      </c>
      <c r="O354" s="4">
        <v>0.0386</v>
      </c>
      <c r="P354" s="4">
        <v>94.856</v>
      </c>
      <c r="Q354" s="4">
        <v>4.0</v>
      </c>
    </row>
    <row r="355">
      <c r="A355" s="4" t="s">
        <v>722</v>
      </c>
      <c r="B355" s="4" t="s">
        <v>723</v>
      </c>
      <c r="C355" s="5">
        <v>41022.0</v>
      </c>
      <c r="D355" s="4">
        <v>275520.0</v>
      </c>
      <c r="E355" s="4">
        <v>58.0</v>
      </c>
      <c r="F355" s="4">
        <v>0.681</v>
      </c>
      <c r="G355" s="4">
        <v>0.88</v>
      </c>
      <c r="H355" s="4">
        <v>9.0</v>
      </c>
      <c r="I355" s="4">
        <v>-3.895</v>
      </c>
      <c r="J355" s="4">
        <v>1.0</v>
      </c>
      <c r="K355" s="4">
        <v>0.227</v>
      </c>
      <c r="L355" s="4">
        <v>0.0567</v>
      </c>
      <c r="M355" s="4">
        <v>0.0</v>
      </c>
      <c r="N355" s="4">
        <v>0.0893</v>
      </c>
      <c r="O355" s="4">
        <v>0.38</v>
      </c>
      <c r="P355" s="4">
        <v>124.885</v>
      </c>
      <c r="Q355" s="4">
        <v>4.0</v>
      </c>
    </row>
    <row r="356">
      <c r="A356" s="4" t="s">
        <v>724</v>
      </c>
      <c r="B356" s="4" t="s">
        <v>725</v>
      </c>
      <c r="C356" s="5">
        <v>37781.0</v>
      </c>
      <c r="D356" s="4">
        <v>201706.0</v>
      </c>
      <c r="E356" s="4">
        <v>46.0</v>
      </c>
      <c r="F356" s="4">
        <v>0.491</v>
      </c>
      <c r="G356" s="4">
        <v>0.753</v>
      </c>
      <c r="H356" s="4">
        <v>7.0</v>
      </c>
      <c r="I356" s="4">
        <v>-8.62</v>
      </c>
      <c r="J356" s="4">
        <v>1.0</v>
      </c>
      <c r="K356" s="4">
        <v>0.0314</v>
      </c>
      <c r="L356" s="4">
        <v>0.0316</v>
      </c>
      <c r="M356" s="4">
        <v>0.0587</v>
      </c>
      <c r="N356" s="4">
        <v>0.0617</v>
      </c>
      <c r="O356" s="4">
        <v>0.234</v>
      </c>
      <c r="P356" s="4">
        <v>126.142</v>
      </c>
      <c r="Q356" s="4">
        <v>4.0</v>
      </c>
    </row>
    <row r="357">
      <c r="A357" s="4" t="s">
        <v>726</v>
      </c>
      <c r="B357" s="4" t="s">
        <v>727</v>
      </c>
      <c r="C357" s="5">
        <v>39203.0</v>
      </c>
      <c r="D357" s="4">
        <v>226066.0</v>
      </c>
      <c r="E357" s="4">
        <v>46.0</v>
      </c>
      <c r="F357" s="4">
        <v>0.295</v>
      </c>
      <c r="G357" s="4">
        <v>0.691</v>
      </c>
      <c r="H357" s="4">
        <v>6.0</v>
      </c>
      <c r="I357" s="4">
        <v>-4.322</v>
      </c>
      <c r="J357" s="4">
        <v>1.0</v>
      </c>
      <c r="K357" s="4">
        <v>0.0307</v>
      </c>
      <c r="L357" s="4">
        <v>0.00564</v>
      </c>
      <c r="M357" s="4">
        <v>0.0</v>
      </c>
      <c r="N357" s="4">
        <v>0.162</v>
      </c>
      <c r="O357" s="4">
        <v>0.178</v>
      </c>
      <c r="P357" s="4">
        <v>151.598</v>
      </c>
      <c r="Q357" s="4">
        <v>4.0</v>
      </c>
    </row>
    <row r="358">
      <c r="A358" s="4" t="s">
        <v>728</v>
      </c>
      <c r="B358" s="4" t="s">
        <v>729</v>
      </c>
      <c r="C358" s="5">
        <v>41275.0</v>
      </c>
      <c r="D358" s="4">
        <v>221933.0</v>
      </c>
      <c r="E358" s="4">
        <v>49.0</v>
      </c>
      <c r="F358" s="4">
        <v>0.264</v>
      </c>
      <c r="G358" s="4">
        <v>0.265</v>
      </c>
      <c r="H358" s="4">
        <v>11.0</v>
      </c>
      <c r="I358" s="4">
        <v>-11.901</v>
      </c>
      <c r="J358" s="4">
        <v>0.0</v>
      </c>
      <c r="K358" s="4">
        <v>0.033</v>
      </c>
      <c r="L358" s="4">
        <v>0.832</v>
      </c>
      <c r="M358" s="4">
        <v>0.0</v>
      </c>
      <c r="N358" s="4">
        <v>0.0738</v>
      </c>
      <c r="O358" s="4">
        <v>0.307</v>
      </c>
      <c r="P358" s="4">
        <v>86.193</v>
      </c>
      <c r="Q358" s="4">
        <v>4.0</v>
      </c>
    </row>
    <row r="359">
      <c r="A359" s="4" t="s">
        <v>730</v>
      </c>
      <c r="B359" s="4" t="s">
        <v>731</v>
      </c>
      <c r="C359" s="5">
        <v>38818.0</v>
      </c>
      <c r="D359" s="4">
        <v>784533.0</v>
      </c>
      <c r="E359" s="4">
        <v>26.0</v>
      </c>
      <c r="F359" s="4">
        <v>0.149</v>
      </c>
      <c r="G359" s="4">
        <v>0.283</v>
      </c>
      <c r="H359" s="4">
        <v>3.0</v>
      </c>
      <c r="I359" s="4">
        <v>-11.735</v>
      </c>
      <c r="J359" s="4">
        <v>0.0</v>
      </c>
      <c r="K359" s="4">
        <v>0.0354</v>
      </c>
      <c r="L359" s="4">
        <v>0.487</v>
      </c>
      <c r="M359" s="4">
        <v>0.928</v>
      </c>
      <c r="N359" s="4">
        <v>0.225</v>
      </c>
      <c r="O359" s="4">
        <v>0.0369</v>
      </c>
      <c r="P359" s="4">
        <v>141.568</v>
      </c>
      <c r="Q359" s="4">
        <v>3.0</v>
      </c>
    </row>
    <row r="360">
      <c r="A360" s="4" t="s">
        <v>732</v>
      </c>
      <c r="B360" s="4" t="s">
        <v>733</v>
      </c>
      <c r="C360" s="5">
        <v>40842.0</v>
      </c>
      <c r="D360" s="4">
        <v>639000.0</v>
      </c>
      <c r="E360" s="4">
        <v>47.0</v>
      </c>
      <c r="F360" s="4">
        <v>0.26</v>
      </c>
      <c r="G360" s="4">
        <v>0.218</v>
      </c>
      <c r="H360" s="4">
        <v>7.0</v>
      </c>
      <c r="I360" s="4">
        <v>-10.849</v>
      </c>
      <c r="J360" s="4">
        <v>0.0</v>
      </c>
      <c r="K360" s="4">
        <v>0.0353</v>
      </c>
      <c r="L360" s="4">
        <v>0.673</v>
      </c>
      <c r="M360" s="4">
        <v>0.942</v>
      </c>
      <c r="N360" s="4">
        <v>0.116</v>
      </c>
      <c r="O360" s="4">
        <v>0.0547</v>
      </c>
      <c r="P360" s="4">
        <v>64.012</v>
      </c>
      <c r="Q360" s="4">
        <v>5.0</v>
      </c>
    </row>
    <row r="361">
      <c r="A361" s="4" t="s">
        <v>734</v>
      </c>
      <c r="B361" s="4" t="s">
        <v>735</v>
      </c>
      <c r="C361" s="5">
        <v>41275.0</v>
      </c>
      <c r="D361" s="4">
        <v>230426.0</v>
      </c>
      <c r="E361" s="4">
        <v>22.0</v>
      </c>
      <c r="F361" s="4">
        <v>0.608</v>
      </c>
      <c r="G361" s="4">
        <v>0.446</v>
      </c>
      <c r="H361" s="4">
        <v>4.0</v>
      </c>
      <c r="I361" s="4">
        <v>-13.282</v>
      </c>
      <c r="J361" s="4">
        <v>0.0</v>
      </c>
      <c r="K361" s="4">
        <v>0.114</v>
      </c>
      <c r="L361" s="4">
        <v>0.828</v>
      </c>
      <c r="M361" s="4">
        <v>0.894</v>
      </c>
      <c r="N361" s="4">
        <v>0.101</v>
      </c>
      <c r="O361" s="4">
        <v>0.147</v>
      </c>
      <c r="P361" s="4">
        <v>119.991</v>
      </c>
      <c r="Q361" s="4">
        <v>4.0</v>
      </c>
    </row>
    <row r="362">
      <c r="A362" s="4" t="s">
        <v>736</v>
      </c>
      <c r="B362" s="4" t="s">
        <v>737</v>
      </c>
      <c r="C362" s="5">
        <v>42639.0</v>
      </c>
      <c r="D362" s="4">
        <v>188336.0</v>
      </c>
      <c r="E362" s="4">
        <v>56.0</v>
      </c>
      <c r="F362" s="4">
        <v>0.457</v>
      </c>
      <c r="G362" s="4">
        <v>0.477</v>
      </c>
      <c r="H362" s="4">
        <v>8.0</v>
      </c>
      <c r="I362" s="4">
        <v>-9.323</v>
      </c>
      <c r="J362" s="4">
        <v>1.0</v>
      </c>
      <c r="K362" s="4">
        <v>0.102</v>
      </c>
      <c r="L362" s="4">
        <v>0.281</v>
      </c>
      <c r="M362" s="4">
        <v>8.22E-4</v>
      </c>
      <c r="N362" s="4">
        <v>0.0914</v>
      </c>
      <c r="O362" s="4">
        <v>0.627</v>
      </c>
      <c r="P362" s="4">
        <v>144.855</v>
      </c>
      <c r="Q362" s="4">
        <v>4.0</v>
      </c>
    </row>
    <row r="363">
      <c r="A363" s="4" t="s">
        <v>738</v>
      </c>
      <c r="B363" s="4" t="s">
        <v>739</v>
      </c>
      <c r="C363" s="5">
        <v>42328.0</v>
      </c>
      <c r="D363" s="4">
        <v>290900.0</v>
      </c>
      <c r="E363" s="4">
        <v>79.0</v>
      </c>
      <c r="F363" s="4">
        <v>0.376</v>
      </c>
      <c r="G363" s="4">
        <v>0.595</v>
      </c>
      <c r="H363" s="4">
        <v>3.0</v>
      </c>
      <c r="I363" s="4">
        <v>-5.936</v>
      </c>
      <c r="J363" s="4">
        <v>1.0</v>
      </c>
      <c r="K363" s="4">
        <v>0.0496</v>
      </c>
      <c r="L363" s="4">
        <v>0.303</v>
      </c>
      <c r="M363" s="4">
        <v>0.0</v>
      </c>
      <c r="N363" s="4">
        <v>0.095</v>
      </c>
      <c r="O363" s="4">
        <v>0.265</v>
      </c>
      <c r="P363" s="4">
        <v>144.361</v>
      </c>
      <c r="Q363" s="4">
        <v>4.0</v>
      </c>
    </row>
    <row r="364">
      <c r="A364" s="4" t="s">
        <v>740</v>
      </c>
      <c r="B364" s="4" t="s">
        <v>741</v>
      </c>
      <c r="C364" s="5">
        <v>42440.0</v>
      </c>
      <c r="D364" s="4">
        <v>240066.0</v>
      </c>
      <c r="E364" s="4">
        <v>20.0</v>
      </c>
      <c r="F364" s="4">
        <v>0.244</v>
      </c>
      <c r="G364" s="4">
        <v>0.189</v>
      </c>
      <c r="H364" s="4">
        <v>10.0</v>
      </c>
      <c r="I364" s="4">
        <v>-13.214</v>
      </c>
      <c r="J364" s="4">
        <v>1.0</v>
      </c>
      <c r="K364" s="4">
        <v>0.0377</v>
      </c>
      <c r="L364" s="4">
        <v>0.601</v>
      </c>
      <c r="M364" s="4">
        <v>0.00645</v>
      </c>
      <c r="N364" s="4">
        <v>0.0801</v>
      </c>
      <c r="O364" s="4">
        <v>0.253</v>
      </c>
      <c r="P364" s="4">
        <v>205.319</v>
      </c>
      <c r="Q364" s="4">
        <v>3.0</v>
      </c>
    </row>
    <row r="365">
      <c r="A365" s="4" t="s">
        <v>742</v>
      </c>
      <c r="B365" s="4" t="s">
        <v>743</v>
      </c>
      <c r="C365" s="4">
        <v>1995.0</v>
      </c>
      <c r="D365" s="4">
        <v>255333.0</v>
      </c>
      <c r="E365" s="4">
        <v>41.0</v>
      </c>
      <c r="F365" s="4">
        <v>0.158</v>
      </c>
      <c r="G365" s="4">
        <v>0.208</v>
      </c>
      <c r="H365" s="4">
        <v>0.0</v>
      </c>
      <c r="I365" s="4">
        <v>-14.578</v>
      </c>
      <c r="J365" s="4">
        <v>1.0</v>
      </c>
      <c r="K365" s="4">
        <v>0.0374</v>
      </c>
      <c r="L365" s="4">
        <v>0.296</v>
      </c>
      <c r="M365" s="6">
        <v>6.43E-5</v>
      </c>
      <c r="N365" s="4">
        <v>0.0889</v>
      </c>
      <c r="O365" s="4">
        <v>0.0389</v>
      </c>
      <c r="P365" s="4">
        <v>133.117</v>
      </c>
      <c r="Q365" s="4">
        <v>5.0</v>
      </c>
    </row>
    <row r="366">
      <c r="A366" s="4" t="s">
        <v>744</v>
      </c>
      <c r="B366" s="4" t="s">
        <v>745</v>
      </c>
      <c r="C366" s="5">
        <v>42494.0</v>
      </c>
      <c r="D366" s="4">
        <v>203813.0</v>
      </c>
      <c r="E366" s="4">
        <v>55.0</v>
      </c>
      <c r="F366" s="4">
        <v>0.38</v>
      </c>
      <c r="G366" s="4">
        <v>0.438</v>
      </c>
      <c r="H366" s="4">
        <v>5.0</v>
      </c>
      <c r="I366" s="4">
        <v>-5.526</v>
      </c>
      <c r="J366" s="4">
        <v>0.0</v>
      </c>
      <c r="K366" s="4">
        <v>0.0962</v>
      </c>
      <c r="L366" s="4">
        <v>0.0259</v>
      </c>
      <c r="M366" s="6">
        <v>1.29E-5</v>
      </c>
      <c r="N366" s="4">
        <v>0.154</v>
      </c>
      <c r="O366" s="4">
        <v>0.349</v>
      </c>
      <c r="P366" s="4">
        <v>179.404</v>
      </c>
      <c r="Q366" s="4">
        <v>3.0</v>
      </c>
    </row>
    <row r="367">
      <c r="A367" s="4" t="s">
        <v>746</v>
      </c>
      <c r="B367" s="4" t="s">
        <v>747</v>
      </c>
      <c r="C367" s="5">
        <v>42262.0</v>
      </c>
      <c r="D367" s="4">
        <v>150545.0</v>
      </c>
      <c r="E367" s="4">
        <v>62.0</v>
      </c>
      <c r="F367" s="4">
        <v>0.657</v>
      </c>
      <c r="G367" s="4">
        <v>0.486</v>
      </c>
      <c r="H367" s="4">
        <v>2.0</v>
      </c>
      <c r="I367" s="4">
        <v>-13.438</v>
      </c>
      <c r="J367" s="4">
        <v>1.0</v>
      </c>
      <c r="K367" s="4">
        <v>0.0485</v>
      </c>
      <c r="L367" s="4">
        <v>0.904</v>
      </c>
      <c r="M367" s="4">
        <v>0.904</v>
      </c>
      <c r="N367" s="4">
        <v>0.114</v>
      </c>
      <c r="O367" s="4">
        <v>0.845</v>
      </c>
      <c r="P367" s="4">
        <v>109.989</v>
      </c>
      <c r="Q367" s="4">
        <v>3.0</v>
      </c>
    </row>
    <row r="368">
      <c r="A368" s="4" t="s">
        <v>748</v>
      </c>
      <c r="B368" s="4" t="s">
        <v>749</v>
      </c>
      <c r="C368" s="5">
        <v>42370.0</v>
      </c>
      <c r="D368" s="4">
        <v>203440.0</v>
      </c>
      <c r="E368" s="4">
        <v>4.0</v>
      </c>
      <c r="F368" s="4">
        <v>0.544</v>
      </c>
      <c r="G368" s="4">
        <v>0.916</v>
      </c>
      <c r="H368" s="4">
        <v>0.0</v>
      </c>
      <c r="I368" s="4">
        <v>-6.825</v>
      </c>
      <c r="J368" s="4">
        <v>0.0</v>
      </c>
      <c r="K368" s="4">
        <v>0.048</v>
      </c>
      <c r="L368" s="6">
        <v>1.29E-5</v>
      </c>
      <c r="M368" s="4">
        <v>0.018</v>
      </c>
      <c r="N368" s="4">
        <v>0.373</v>
      </c>
      <c r="O368" s="4">
        <v>0.465</v>
      </c>
      <c r="P368" s="4">
        <v>99.953</v>
      </c>
      <c r="Q368" s="4">
        <v>4.0</v>
      </c>
    </row>
    <row r="369">
      <c r="A369" s="4" t="s">
        <v>750</v>
      </c>
      <c r="B369" s="4" t="s">
        <v>751</v>
      </c>
      <c r="C369" s="5">
        <v>39244.0</v>
      </c>
      <c r="D369" s="4">
        <v>198226.0</v>
      </c>
      <c r="E369" s="4">
        <v>54.0</v>
      </c>
      <c r="F369" s="4">
        <v>0.514</v>
      </c>
      <c r="G369" s="4">
        <v>0.92</v>
      </c>
      <c r="H369" s="4">
        <v>6.0</v>
      </c>
      <c r="I369" s="4">
        <v>-3.541</v>
      </c>
      <c r="J369" s="4">
        <v>0.0</v>
      </c>
      <c r="K369" s="4">
        <v>0.0385</v>
      </c>
      <c r="L369" s="4">
        <v>2.02E-4</v>
      </c>
      <c r="M369" s="4">
        <v>0.0185</v>
      </c>
      <c r="N369" s="4">
        <v>0.25</v>
      </c>
      <c r="O369" s="4">
        <v>0.334</v>
      </c>
      <c r="P369" s="4">
        <v>161.0</v>
      </c>
      <c r="Q369" s="4">
        <v>4.0</v>
      </c>
    </row>
    <row r="370">
      <c r="A370" s="4" t="s">
        <v>752</v>
      </c>
      <c r="B370" s="4" t="s">
        <v>753</v>
      </c>
      <c r="C370" s="5">
        <v>34610.0</v>
      </c>
      <c r="D370" s="4">
        <v>449106.0</v>
      </c>
      <c r="E370" s="4">
        <v>47.0</v>
      </c>
      <c r="F370" s="4">
        <v>0.564</v>
      </c>
      <c r="G370" s="4">
        <v>0.615</v>
      </c>
      <c r="H370" s="4">
        <v>2.0</v>
      </c>
      <c r="I370" s="4">
        <v>-8.957</v>
      </c>
      <c r="J370" s="4">
        <v>0.0</v>
      </c>
      <c r="K370" s="4">
        <v>0.0293</v>
      </c>
      <c r="L370" s="4">
        <v>0.174</v>
      </c>
      <c r="M370" s="4">
        <v>0.179</v>
      </c>
      <c r="N370" s="4">
        <v>0.199</v>
      </c>
      <c r="O370" s="4">
        <v>0.0814</v>
      </c>
      <c r="P370" s="4">
        <v>101.888</v>
      </c>
      <c r="Q370" s="4">
        <v>4.0</v>
      </c>
    </row>
    <row r="371">
      <c r="A371" s="4" t="s">
        <v>754</v>
      </c>
      <c r="B371" s="4" t="s">
        <v>755</v>
      </c>
      <c r="C371" s="5">
        <v>41913.0</v>
      </c>
      <c r="D371" s="4">
        <v>197733.0</v>
      </c>
      <c r="E371" s="4">
        <v>34.0</v>
      </c>
      <c r="F371" s="4">
        <v>0.424</v>
      </c>
      <c r="G371" s="4">
        <v>0.982</v>
      </c>
      <c r="H371" s="4">
        <v>6.0</v>
      </c>
      <c r="I371" s="4">
        <v>-3.33</v>
      </c>
      <c r="J371" s="4">
        <v>1.0</v>
      </c>
      <c r="K371" s="4">
        <v>0.116</v>
      </c>
      <c r="L371" s="4">
        <v>0.0468</v>
      </c>
      <c r="M371" s="4">
        <v>0.0</v>
      </c>
      <c r="N371" s="4">
        <v>0.17</v>
      </c>
      <c r="O371" s="4">
        <v>0.735</v>
      </c>
      <c r="P371" s="4">
        <v>174.894</v>
      </c>
      <c r="Q371" s="4">
        <v>4.0</v>
      </c>
    </row>
    <row r="372">
      <c r="A372" s="4" t="s">
        <v>756</v>
      </c>
      <c r="B372" s="4" t="s">
        <v>757</v>
      </c>
      <c r="C372" s="5">
        <v>44175.0</v>
      </c>
      <c r="D372" s="4">
        <v>129000.0</v>
      </c>
      <c r="E372" s="4">
        <v>13.0</v>
      </c>
      <c r="F372" s="4">
        <v>0.731</v>
      </c>
      <c r="G372" s="4">
        <v>0.141</v>
      </c>
      <c r="H372" s="4">
        <v>2.0</v>
      </c>
      <c r="I372" s="4">
        <v>-19.478</v>
      </c>
      <c r="J372" s="4">
        <v>0.0</v>
      </c>
      <c r="K372" s="4">
        <v>0.0539</v>
      </c>
      <c r="L372" s="4">
        <v>0.993</v>
      </c>
      <c r="M372" s="4">
        <v>0.902</v>
      </c>
      <c r="N372" s="4">
        <v>0.0722</v>
      </c>
      <c r="O372" s="4">
        <v>0.433</v>
      </c>
      <c r="P372" s="4">
        <v>120.02</v>
      </c>
      <c r="Q372" s="4">
        <v>4.0</v>
      </c>
    </row>
    <row r="373">
      <c r="A373" s="4" t="s">
        <v>758</v>
      </c>
      <c r="B373" s="4" t="s">
        <v>759</v>
      </c>
      <c r="C373" s="5">
        <v>35009.0</v>
      </c>
      <c r="D373" s="4">
        <v>290093.0</v>
      </c>
      <c r="E373" s="4">
        <v>50.0</v>
      </c>
      <c r="F373" s="4">
        <v>0.276</v>
      </c>
      <c r="G373" s="4">
        <v>0.607</v>
      </c>
      <c r="H373" s="4">
        <v>10.0</v>
      </c>
      <c r="I373" s="4">
        <v>-8.089</v>
      </c>
      <c r="J373" s="4">
        <v>1.0</v>
      </c>
      <c r="K373" s="4">
        <v>0.0369</v>
      </c>
      <c r="L373" s="4">
        <v>0.283</v>
      </c>
      <c r="M373" s="4">
        <v>0.44</v>
      </c>
      <c r="N373" s="4">
        <v>0.107</v>
      </c>
      <c r="O373" s="4">
        <v>0.157</v>
      </c>
      <c r="P373" s="4">
        <v>160.45</v>
      </c>
      <c r="Q373" s="4">
        <v>4.0</v>
      </c>
    </row>
    <row r="374">
      <c r="A374" s="4" t="s">
        <v>760</v>
      </c>
      <c r="B374" s="4" t="s">
        <v>761</v>
      </c>
      <c r="C374" s="5">
        <v>39703.0</v>
      </c>
      <c r="D374" s="4">
        <v>277053.0</v>
      </c>
      <c r="E374" s="4">
        <v>38.0</v>
      </c>
      <c r="F374" s="4">
        <v>0.443</v>
      </c>
      <c r="G374" s="4">
        <v>0.758</v>
      </c>
      <c r="H374" s="4">
        <v>9.0</v>
      </c>
      <c r="I374" s="4">
        <v>-7.051</v>
      </c>
      <c r="J374" s="4">
        <v>0.0</v>
      </c>
      <c r="K374" s="4">
        <v>0.0398</v>
      </c>
      <c r="L374" s="4">
        <v>0.0588</v>
      </c>
      <c r="M374" s="6">
        <v>9.23E-6</v>
      </c>
      <c r="N374" s="4">
        <v>0.0893</v>
      </c>
      <c r="O374" s="4">
        <v>0.434</v>
      </c>
      <c r="P374" s="4">
        <v>105.503</v>
      </c>
      <c r="Q374" s="4">
        <v>4.0</v>
      </c>
    </row>
    <row r="375">
      <c r="A375" s="4" t="s">
        <v>762</v>
      </c>
      <c r="B375" s="4" t="s">
        <v>763</v>
      </c>
      <c r="C375" s="5">
        <v>40889.0</v>
      </c>
      <c r="D375" s="4">
        <v>542000.0</v>
      </c>
      <c r="E375" s="4">
        <v>13.0</v>
      </c>
      <c r="F375" s="4">
        <v>0.624</v>
      </c>
      <c r="G375" s="4">
        <v>0.913</v>
      </c>
      <c r="H375" s="4">
        <v>4.0</v>
      </c>
      <c r="I375" s="4">
        <v>-3.18</v>
      </c>
      <c r="J375" s="4">
        <v>1.0</v>
      </c>
      <c r="K375" s="4">
        <v>0.0945</v>
      </c>
      <c r="L375" s="4">
        <v>0.00109</v>
      </c>
      <c r="M375" s="4">
        <v>0.372</v>
      </c>
      <c r="N375" s="4">
        <v>0.382</v>
      </c>
      <c r="O375" s="4">
        <v>0.236</v>
      </c>
      <c r="P375" s="4">
        <v>131.988</v>
      </c>
      <c r="Q375" s="4">
        <v>4.0</v>
      </c>
    </row>
    <row r="376">
      <c r="A376" s="4" t="s">
        <v>764</v>
      </c>
      <c r="B376" s="4" t="s">
        <v>765</v>
      </c>
      <c r="C376" s="5">
        <v>42550.0</v>
      </c>
      <c r="D376" s="4">
        <v>229742.0</v>
      </c>
      <c r="E376" s="4">
        <v>63.0</v>
      </c>
      <c r="F376" s="4">
        <v>0.467</v>
      </c>
      <c r="G376" s="4">
        <v>0.967</v>
      </c>
      <c r="H376" s="4">
        <v>2.0</v>
      </c>
      <c r="I376" s="4">
        <v>-3.528</v>
      </c>
      <c r="J376" s="4">
        <v>1.0</v>
      </c>
      <c r="K376" s="4">
        <v>0.116</v>
      </c>
      <c r="L376" s="6">
        <v>4.68E-5</v>
      </c>
      <c r="M376" s="4">
        <v>0.0</v>
      </c>
      <c r="N376" s="4">
        <v>0.195</v>
      </c>
      <c r="O376" s="4">
        <v>0.177</v>
      </c>
      <c r="P376" s="4">
        <v>130.175</v>
      </c>
      <c r="Q376" s="4">
        <v>4.0</v>
      </c>
    </row>
    <row r="377">
      <c r="A377" s="4" t="s">
        <v>766</v>
      </c>
      <c r="B377" s="4" t="s">
        <v>767</v>
      </c>
      <c r="C377" s="5">
        <v>38653.0</v>
      </c>
      <c r="D377" s="4">
        <v>317906.0</v>
      </c>
      <c r="E377" s="4">
        <v>8.0</v>
      </c>
      <c r="F377" s="4">
        <v>0.533</v>
      </c>
      <c r="G377" s="4">
        <v>0.807</v>
      </c>
      <c r="H377" s="4">
        <v>5.0</v>
      </c>
      <c r="I377" s="4">
        <v>-8.831</v>
      </c>
      <c r="J377" s="4">
        <v>0.0</v>
      </c>
      <c r="K377" s="4">
        <v>0.042</v>
      </c>
      <c r="L377" s="4">
        <v>0.0231</v>
      </c>
      <c r="M377" s="4">
        <v>0.0118</v>
      </c>
      <c r="N377" s="4">
        <v>0.0682</v>
      </c>
      <c r="O377" s="4">
        <v>0.243</v>
      </c>
      <c r="P377" s="4">
        <v>159.977</v>
      </c>
      <c r="Q377" s="4">
        <v>4.0</v>
      </c>
    </row>
    <row r="378">
      <c r="A378" s="4" t="s">
        <v>768</v>
      </c>
      <c r="B378" s="4" t="s">
        <v>769</v>
      </c>
      <c r="C378" s="5">
        <v>42086.0</v>
      </c>
      <c r="D378" s="4">
        <v>232373.0</v>
      </c>
      <c r="E378" s="4">
        <v>46.0</v>
      </c>
      <c r="F378" s="4">
        <v>0.876</v>
      </c>
      <c r="G378" s="4">
        <v>0.553</v>
      </c>
      <c r="H378" s="4">
        <v>1.0</v>
      </c>
      <c r="I378" s="4">
        <v>-9.209</v>
      </c>
      <c r="J378" s="4">
        <v>1.0</v>
      </c>
      <c r="K378" s="4">
        <v>0.236</v>
      </c>
      <c r="L378" s="4">
        <v>0.498</v>
      </c>
      <c r="M378" s="4">
        <v>6.49E-4</v>
      </c>
      <c r="N378" s="4">
        <v>0.186</v>
      </c>
      <c r="O378" s="4">
        <v>0.326</v>
      </c>
      <c r="P378" s="4">
        <v>119.983</v>
      </c>
      <c r="Q378" s="4">
        <v>4.0</v>
      </c>
    </row>
    <row r="379">
      <c r="A379" s="4" t="s">
        <v>770</v>
      </c>
      <c r="B379" s="4" t="s">
        <v>771</v>
      </c>
      <c r="C379" s="5">
        <v>43140.0</v>
      </c>
      <c r="D379" s="4">
        <v>205841.0</v>
      </c>
      <c r="E379" s="4">
        <v>7.0</v>
      </c>
      <c r="F379" s="4">
        <v>0.661</v>
      </c>
      <c r="G379" s="4">
        <v>0.602</v>
      </c>
      <c r="H379" s="4">
        <v>9.0</v>
      </c>
      <c r="I379" s="4">
        <v>-9.066</v>
      </c>
      <c r="J379" s="4">
        <v>0.0</v>
      </c>
      <c r="K379" s="4">
        <v>0.101</v>
      </c>
      <c r="L379" s="4">
        <v>0.123</v>
      </c>
      <c r="M379" s="6">
        <v>3.83E-6</v>
      </c>
      <c r="N379" s="4">
        <v>0.293</v>
      </c>
      <c r="O379" s="4">
        <v>0.518</v>
      </c>
      <c r="P379" s="4">
        <v>97.994</v>
      </c>
      <c r="Q379" s="4">
        <v>4.0</v>
      </c>
    </row>
    <row r="380">
      <c r="A380" s="4" t="s">
        <v>772</v>
      </c>
      <c r="B380" s="4" t="s">
        <v>773</v>
      </c>
      <c r="C380" s="5">
        <v>36962.0</v>
      </c>
      <c r="D380" s="4">
        <v>237466.0</v>
      </c>
      <c r="E380" s="4">
        <v>46.0</v>
      </c>
      <c r="F380" s="4">
        <v>0.492</v>
      </c>
      <c r="G380" s="4">
        <v>0.409</v>
      </c>
      <c r="H380" s="4">
        <v>1.0</v>
      </c>
      <c r="I380" s="4">
        <v>-13.303</v>
      </c>
      <c r="J380" s="4">
        <v>0.0</v>
      </c>
      <c r="K380" s="4">
        <v>0.0646</v>
      </c>
      <c r="L380" s="4">
        <v>0.711</v>
      </c>
      <c r="M380" s="4">
        <v>0.906</v>
      </c>
      <c r="N380" s="4">
        <v>0.23</v>
      </c>
      <c r="O380" s="4">
        <v>0.218</v>
      </c>
      <c r="P380" s="4">
        <v>138.472</v>
      </c>
      <c r="Q380" s="4">
        <v>4.0</v>
      </c>
    </row>
    <row r="381">
      <c r="A381" s="4" t="s">
        <v>774</v>
      </c>
      <c r="B381" s="4" t="s">
        <v>775</v>
      </c>
      <c r="C381" s="5">
        <v>38353.0</v>
      </c>
      <c r="D381" s="4">
        <v>356200.0</v>
      </c>
      <c r="E381" s="4">
        <v>29.0</v>
      </c>
      <c r="F381" s="4">
        <v>0.58</v>
      </c>
      <c r="G381" s="4">
        <v>0.679</v>
      </c>
      <c r="H381" s="4">
        <v>7.0</v>
      </c>
      <c r="I381" s="4">
        <v>-8.338</v>
      </c>
      <c r="J381" s="4">
        <v>1.0</v>
      </c>
      <c r="K381" s="4">
        <v>0.0268</v>
      </c>
      <c r="L381" s="4">
        <v>0.169</v>
      </c>
      <c r="M381" s="6">
        <v>1.38E-6</v>
      </c>
      <c r="N381" s="4">
        <v>0.113</v>
      </c>
      <c r="O381" s="4">
        <v>0.312</v>
      </c>
      <c r="P381" s="4">
        <v>121.313</v>
      </c>
      <c r="Q381" s="4">
        <v>4.0</v>
      </c>
    </row>
    <row r="382">
      <c r="A382" s="4" t="s">
        <v>776</v>
      </c>
      <c r="B382" s="4" t="s">
        <v>777</v>
      </c>
      <c r="C382" s="5">
        <v>39363.0</v>
      </c>
      <c r="D382" s="4">
        <v>211466.0</v>
      </c>
      <c r="E382" s="4">
        <v>42.0</v>
      </c>
      <c r="F382" s="4">
        <v>0.278</v>
      </c>
      <c r="G382" s="4">
        <v>0.642</v>
      </c>
      <c r="H382" s="4">
        <v>8.0</v>
      </c>
      <c r="I382" s="4">
        <v>-7.62</v>
      </c>
      <c r="J382" s="4">
        <v>0.0</v>
      </c>
      <c r="K382" s="4">
        <v>0.0535</v>
      </c>
      <c r="L382" s="4">
        <v>0.71</v>
      </c>
      <c r="M382" s="4">
        <v>0.0959</v>
      </c>
      <c r="N382" s="4">
        <v>0.109</v>
      </c>
      <c r="O382" s="4">
        <v>0.235</v>
      </c>
      <c r="P382" s="4">
        <v>117.157</v>
      </c>
      <c r="Q382" s="4">
        <v>4.0</v>
      </c>
    </row>
    <row r="383">
      <c r="A383" s="4" t="s">
        <v>778</v>
      </c>
      <c r="B383" s="4" t="s">
        <v>779</v>
      </c>
      <c r="C383" s="5">
        <v>42128.0</v>
      </c>
      <c r="D383" s="4">
        <v>191266.0</v>
      </c>
      <c r="E383" s="4">
        <v>57.0</v>
      </c>
      <c r="F383" s="4">
        <v>0.73</v>
      </c>
      <c r="G383" s="4">
        <v>0.782</v>
      </c>
      <c r="H383" s="4">
        <v>11.0</v>
      </c>
      <c r="I383" s="4">
        <v>-7.109</v>
      </c>
      <c r="J383" s="4">
        <v>0.0</v>
      </c>
      <c r="K383" s="4">
        <v>0.0336</v>
      </c>
      <c r="L383" s="4">
        <v>0.411</v>
      </c>
      <c r="M383" s="4">
        <v>0.11</v>
      </c>
      <c r="N383" s="4">
        <v>0.108</v>
      </c>
      <c r="O383" s="4">
        <v>0.606</v>
      </c>
      <c r="P383" s="4">
        <v>120.018</v>
      </c>
      <c r="Q383" s="4">
        <v>4.0</v>
      </c>
    </row>
    <row r="384">
      <c r="A384" s="4" t="s">
        <v>780</v>
      </c>
      <c r="B384" s="4" t="s">
        <v>781</v>
      </c>
      <c r="C384" s="4">
        <v>2012.0</v>
      </c>
      <c r="D384" s="4">
        <v>308360.0</v>
      </c>
      <c r="E384" s="4">
        <v>56.0</v>
      </c>
      <c r="F384" s="4">
        <v>0.541</v>
      </c>
      <c r="G384" s="4">
        <v>0.982</v>
      </c>
      <c r="H384" s="4">
        <v>2.0</v>
      </c>
      <c r="I384" s="4">
        <v>-4.908</v>
      </c>
      <c r="J384" s="4">
        <v>1.0</v>
      </c>
      <c r="K384" s="4">
        <v>0.106</v>
      </c>
      <c r="L384" s="4">
        <v>0.00767</v>
      </c>
      <c r="M384" s="4">
        <v>8.09E-4</v>
      </c>
      <c r="N384" s="4">
        <v>0.291</v>
      </c>
      <c r="O384" s="4">
        <v>0.723</v>
      </c>
      <c r="P384" s="4">
        <v>104.035</v>
      </c>
      <c r="Q384" s="4">
        <v>4.0</v>
      </c>
    </row>
    <row r="385">
      <c r="A385" s="4" t="s">
        <v>782</v>
      </c>
      <c r="B385" s="4" t="s">
        <v>783</v>
      </c>
      <c r="C385" s="5">
        <v>40610.0</v>
      </c>
      <c r="D385" s="4">
        <v>178106.0</v>
      </c>
      <c r="E385" s="4">
        <v>25.0</v>
      </c>
      <c r="F385" s="4">
        <v>0.242</v>
      </c>
      <c r="G385" s="4">
        <v>0.77</v>
      </c>
      <c r="H385" s="4">
        <v>10.0</v>
      </c>
      <c r="I385" s="4">
        <v>-5.288</v>
      </c>
      <c r="J385" s="4">
        <v>0.0</v>
      </c>
      <c r="K385" s="4">
        <v>0.0603</v>
      </c>
      <c r="L385" s="4">
        <v>1.52E-4</v>
      </c>
      <c r="M385" s="4">
        <v>0.91</v>
      </c>
      <c r="N385" s="4">
        <v>0.223</v>
      </c>
      <c r="O385" s="4">
        <v>0.262</v>
      </c>
      <c r="P385" s="4">
        <v>168.284</v>
      </c>
      <c r="Q385" s="4">
        <v>4.0</v>
      </c>
    </row>
    <row r="386">
      <c r="A386" s="4" t="s">
        <v>784</v>
      </c>
      <c r="B386" s="4" t="s">
        <v>785</v>
      </c>
      <c r="C386" s="5">
        <v>38553.0</v>
      </c>
      <c r="D386" s="4">
        <v>313360.0</v>
      </c>
      <c r="E386" s="4">
        <v>48.0</v>
      </c>
      <c r="F386" s="4">
        <v>0.483</v>
      </c>
      <c r="G386" s="4">
        <v>0.872</v>
      </c>
      <c r="H386" s="4">
        <v>11.0</v>
      </c>
      <c r="I386" s="4">
        <v>-5.088</v>
      </c>
      <c r="J386" s="4">
        <v>1.0</v>
      </c>
      <c r="K386" s="4">
        <v>0.0383</v>
      </c>
      <c r="L386" s="4">
        <v>0.0171</v>
      </c>
      <c r="M386" s="4">
        <v>0.00131</v>
      </c>
      <c r="N386" s="4">
        <v>0.0851</v>
      </c>
      <c r="O386" s="4">
        <v>0.733</v>
      </c>
      <c r="P386" s="4">
        <v>153.986</v>
      </c>
      <c r="Q386" s="4">
        <v>4.0</v>
      </c>
    </row>
    <row r="387">
      <c r="A387" s="4" t="s">
        <v>786</v>
      </c>
      <c r="B387" s="4" t="s">
        <v>787</v>
      </c>
      <c r="C387" s="5">
        <v>31180.0</v>
      </c>
      <c r="D387" s="4">
        <v>289373.0</v>
      </c>
      <c r="E387" s="4">
        <v>48.0</v>
      </c>
      <c r="F387" s="4">
        <v>0.629</v>
      </c>
      <c r="G387" s="4">
        <v>0.859</v>
      </c>
      <c r="H387" s="4">
        <v>0.0</v>
      </c>
      <c r="I387" s="4">
        <v>-6.065</v>
      </c>
      <c r="J387" s="4">
        <v>1.0</v>
      </c>
      <c r="K387" s="4">
        <v>0.0325</v>
      </c>
      <c r="L387" s="4">
        <v>0.00521</v>
      </c>
      <c r="M387" s="4">
        <v>0.252</v>
      </c>
      <c r="N387" s="4">
        <v>0.131</v>
      </c>
      <c r="O387" s="4">
        <v>0.8</v>
      </c>
      <c r="P387" s="4">
        <v>130.405</v>
      </c>
      <c r="Q387" s="4">
        <v>4.0</v>
      </c>
    </row>
    <row r="388">
      <c r="A388" s="4" t="s">
        <v>788</v>
      </c>
      <c r="B388" s="4" t="s">
        <v>789</v>
      </c>
      <c r="C388" s="5">
        <v>42073.0</v>
      </c>
      <c r="D388" s="4">
        <v>476960.0</v>
      </c>
      <c r="E388" s="4">
        <v>5.0</v>
      </c>
      <c r="F388" s="4">
        <v>0.343</v>
      </c>
      <c r="G388" s="4">
        <v>0.0212</v>
      </c>
      <c r="H388" s="4">
        <v>9.0</v>
      </c>
      <c r="I388" s="4">
        <v>-31.786</v>
      </c>
      <c r="J388" s="4">
        <v>0.0</v>
      </c>
      <c r="K388" s="4">
        <v>0.0411</v>
      </c>
      <c r="L388" s="4">
        <v>0.942</v>
      </c>
      <c r="M388" s="4">
        <v>0.026</v>
      </c>
      <c r="N388" s="4">
        <v>0.748</v>
      </c>
      <c r="O388" s="4">
        <v>0.183</v>
      </c>
      <c r="P388" s="4">
        <v>115.249</v>
      </c>
      <c r="Q388" s="4">
        <v>4.0</v>
      </c>
    </row>
    <row r="389">
      <c r="A389" s="4" t="s">
        <v>790</v>
      </c>
      <c r="B389" s="4" t="s">
        <v>791</v>
      </c>
      <c r="C389" s="5">
        <v>41446.0</v>
      </c>
      <c r="D389" s="4">
        <v>223920.0</v>
      </c>
      <c r="E389" s="4">
        <v>10.0</v>
      </c>
      <c r="F389" s="4">
        <v>0.596</v>
      </c>
      <c r="G389" s="4">
        <v>0.848</v>
      </c>
      <c r="H389" s="4">
        <v>0.0</v>
      </c>
      <c r="I389" s="4">
        <v>-4.378</v>
      </c>
      <c r="J389" s="4">
        <v>1.0</v>
      </c>
      <c r="K389" s="4">
        <v>0.0737</v>
      </c>
      <c r="L389" s="4">
        <v>0.0587</v>
      </c>
      <c r="M389" s="4">
        <v>0.0</v>
      </c>
      <c r="N389" s="4">
        <v>0.113</v>
      </c>
      <c r="O389" s="4">
        <v>0.524</v>
      </c>
      <c r="P389" s="4">
        <v>125.994</v>
      </c>
      <c r="Q389" s="4">
        <v>4.0</v>
      </c>
    </row>
    <row r="390">
      <c r="A390" s="4" t="s">
        <v>792</v>
      </c>
      <c r="B390" s="4" t="s">
        <v>793</v>
      </c>
      <c r="C390" s="5">
        <v>41411.0</v>
      </c>
      <c r="D390" s="4">
        <v>211026.0</v>
      </c>
      <c r="E390" s="4">
        <v>32.0</v>
      </c>
      <c r="F390" s="4">
        <v>0.655</v>
      </c>
      <c r="G390" s="4">
        <v>0.264</v>
      </c>
      <c r="H390" s="4">
        <v>1.0</v>
      </c>
      <c r="I390" s="4">
        <v>-15.71</v>
      </c>
      <c r="J390" s="4">
        <v>1.0</v>
      </c>
      <c r="K390" s="4">
        <v>0.0639</v>
      </c>
      <c r="L390" s="4">
        <v>0.877</v>
      </c>
      <c r="M390" s="4">
        <v>0.0848</v>
      </c>
      <c r="N390" s="4">
        <v>0.11</v>
      </c>
      <c r="O390" s="4">
        <v>0.136</v>
      </c>
      <c r="P390" s="4">
        <v>112.832</v>
      </c>
      <c r="Q390" s="4">
        <v>4.0</v>
      </c>
    </row>
    <row r="391">
      <c r="A391" s="4" t="s">
        <v>794</v>
      </c>
      <c r="B391" s="4" t="s">
        <v>795</v>
      </c>
      <c r="C391" s="5">
        <v>38510.0</v>
      </c>
      <c r="D391" s="4">
        <v>295533.0</v>
      </c>
      <c r="E391" s="4">
        <v>83.0</v>
      </c>
      <c r="F391" s="4">
        <v>0.209</v>
      </c>
      <c r="G391" s="4">
        <v>0.417</v>
      </c>
      <c r="H391" s="4">
        <v>3.0</v>
      </c>
      <c r="I391" s="4">
        <v>-8.74</v>
      </c>
      <c r="J391" s="4">
        <v>1.0</v>
      </c>
      <c r="K391" s="4">
        <v>0.0338</v>
      </c>
      <c r="L391" s="4">
        <v>0.164</v>
      </c>
      <c r="M391" s="4">
        <v>0.00196</v>
      </c>
      <c r="N391" s="4">
        <v>0.113</v>
      </c>
      <c r="O391" s="4">
        <v>0.124</v>
      </c>
      <c r="P391" s="4">
        <v>138.178</v>
      </c>
      <c r="Q391" s="4">
        <v>4.0</v>
      </c>
    </row>
    <row r="392">
      <c r="A392" s="4" t="s">
        <v>796</v>
      </c>
      <c r="B392" s="4" t="s">
        <v>797</v>
      </c>
      <c r="C392" s="5">
        <v>29535.0</v>
      </c>
      <c r="D392" s="4">
        <v>243133.0</v>
      </c>
      <c r="E392" s="4">
        <v>52.0</v>
      </c>
      <c r="F392" s="4">
        <v>0.262</v>
      </c>
      <c r="G392" s="4">
        <v>0.212</v>
      </c>
      <c r="H392" s="4">
        <v>0.0</v>
      </c>
      <c r="I392" s="4">
        <v>-17.044</v>
      </c>
      <c r="J392" s="4">
        <v>1.0</v>
      </c>
      <c r="K392" s="4">
        <v>0.0332</v>
      </c>
      <c r="L392" s="4">
        <v>0.415</v>
      </c>
      <c r="M392" s="4">
        <v>0.0</v>
      </c>
      <c r="N392" s="4">
        <v>0.124</v>
      </c>
      <c r="O392" s="4">
        <v>0.0994</v>
      </c>
      <c r="P392" s="4">
        <v>122.49</v>
      </c>
      <c r="Q392" s="4">
        <v>4.0</v>
      </c>
    </row>
    <row r="393">
      <c r="A393" s="4" t="s">
        <v>798</v>
      </c>
      <c r="B393" s="4" t="s">
        <v>799</v>
      </c>
      <c r="C393" s="5">
        <v>42493.0</v>
      </c>
      <c r="D393" s="4">
        <v>220634.0</v>
      </c>
      <c r="E393" s="4">
        <v>41.0</v>
      </c>
      <c r="F393" s="4">
        <v>0.268</v>
      </c>
      <c r="G393" s="4">
        <v>0.766</v>
      </c>
      <c r="H393" s="4">
        <v>9.0</v>
      </c>
      <c r="I393" s="4">
        <v>-8.301</v>
      </c>
      <c r="J393" s="4">
        <v>0.0</v>
      </c>
      <c r="K393" s="4">
        <v>0.0598</v>
      </c>
      <c r="L393" s="4">
        <v>1.17E-4</v>
      </c>
      <c r="M393" s="4">
        <v>3.99E-4</v>
      </c>
      <c r="N393" s="4">
        <v>0.349</v>
      </c>
      <c r="O393" s="4">
        <v>0.458</v>
      </c>
      <c r="P393" s="4">
        <v>139.774</v>
      </c>
      <c r="Q393" s="4">
        <v>4.0</v>
      </c>
    </row>
    <row r="394">
      <c r="A394" s="4" t="s">
        <v>800</v>
      </c>
      <c r="B394" s="4" t="s">
        <v>801</v>
      </c>
      <c r="C394" s="5">
        <v>42655.0</v>
      </c>
      <c r="D394" s="4">
        <v>224022.0</v>
      </c>
      <c r="E394" s="4">
        <v>39.0</v>
      </c>
      <c r="F394" s="4">
        <v>0.653</v>
      </c>
      <c r="G394" s="4">
        <v>0.216</v>
      </c>
      <c r="H394" s="4">
        <v>3.0</v>
      </c>
      <c r="I394" s="4">
        <v>-13.426</v>
      </c>
      <c r="J394" s="4">
        <v>0.0</v>
      </c>
      <c r="K394" s="4">
        <v>0.0323</v>
      </c>
      <c r="L394" s="4">
        <v>0.83</v>
      </c>
      <c r="M394" s="4">
        <v>0.0525</v>
      </c>
      <c r="N394" s="4">
        <v>0.12</v>
      </c>
      <c r="O394" s="4">
        <v>0.287</v>
      </c>
      <c r="P394" s="4">
        <v>117.028</v>
      </c>
      <c r="Q394" s="4">
        <v>3.0</v>
      </c>
    </row>
    <row r="395">
      <c r="A395" s="4" t="s">
        <v>802</v>
      </c>
      <c r="B395" s="4" t="s">
        <v>803</v>
      </c>
      <c r="C395" s="5">
        <v>38070.0</v>
      </c>
      <c r="D395" s="4">
        <v>90133.0</v>
      </c>
      <c r="E395" s="4">
        <v>51.0</v>
      </c>
      <c r="F395" s="4">
        <v>0.273</v>
      </c>
      <c r="G395" s="4">
        <v>0.67</v>
      </c>
      <c r="H395" s="4">
        <v>7.0</v>
      </c>
      <c r="I395" s="4">
        <v>-10.202</v>
      </c>
      <c r="J395" s="4">
        <v>1.0</v>
      </c>
      <c r="K395" s="4">
        <v>0.421</v>
      </c>
      <c r="L395" s="4">
        <v>0.132</v>
      </c>
      <c r="M395" s="4">
        <v>0.00191</v>
      </c>
      <c r="N395" s="4">
        <v>0.666</v>
      </c>
      <c r="O395" s="4">
        <v>0.721</v>
      </c>
      <c r="P395" s="4">
        <v>183.17</v>
      </c>
      <c r="Q395" s="4">
        <v>4.0</v>
      </c>
    </row>
    <row r="396">
      <c r="A396" s="4" t="s">
        <v>804</v>
      </c>
      <c r="B396" s="4" t="s">
        <v>805</v>
      </c>
      <c r="C396" s="5">
        <v>26724.0</v>
      </c>
      <c r="D396" s="4">
        <v>283872.0</v>
      </c>
      <c r="E396" s="4">
        <v>66.0</v>
      </c>
      <c r="F396" s="4">
        <v>0.274</v>
      </c>
      <c r="G396" s="4">
        <v>0.217</v>
      </c>
      <c r="H396" s="4">
        <v>5.0</v>
      </c>
      <c r="I396" s="4">
        <v>-13.814</v>
      </c>
      <c r="J396" s="4">
        <v>1.0</v>
      </c>
      <c r="K396" s="4">
        <v>0.0345</v>
      </c>
      <c r="L396" s="4">
        <v>0.767</v>
      </c>
      <c r="M396" s="4">
        <v>0.896</v>
      </c>
      <c r="N396" s="4">
        <v>0.0832</v>
      </c>
      <c r="O396" s="4">
        <v>0.181</v>
      </c>
      <c r="P396" s="4">
        <v>116.334</v>
      </c>
      <c r="Q396" s="4">
        <v>4.0</v>
      </c>
    </row>
    <row r="397">
      <c r="A397" s="4" t="s">
        <v>806</v>
      </c>
      <c r="B397" s="4" t="s">
        <v>807</v>
      </c>
      <c r="C397" s="5">
        <v>44481.0</v>
      </c>
      <c r="D397" s="4">
        <v>133760.0</v>
      </c>
      <c r="E397" s="4">
        <v>5.0</v>
      </c>
      <c r="F397" s="4">
        <v>0.551</v>
      </c>
      <c r="G397" s="4">
        <v>0.332</v>
      </c>
      <c r="H397" s="4">
        <v>2.0</v>
      </c>
      <c r="I397" s="4">
        <v>-20.49</v>
      </c>
      <c r="J397" s="4">
        <v>0.0</v>
      </c>
      <c r="K397" s="4">
        <v>0.0436</v>
      </c>
      <c r="L397" s="4">
        <v>0.962</v>
      </c>
      <c r="M397" s="4">
        <v>0.905</v>
      </c>
      <c r="N397" s="4">
        <v>0.229</v>
      </c>
      <c r="O397" s="4">
        <v>0.735</v>
      </c>
      <c r="P397" s="4">
        <v>121.727</v>
      </c>
      <c r="Q397" s="4">
        <v>4.0</v>
      </c>
    </row>
    <row r="398">
      <c r="A398" s="4" t="s">
        <v>808</v>
      </c>
      <c r="B398" s="4" t="s">
        <v>809</v>
      </c>
      <c r="C398" s="5">
        <v>39833.0</v>
      </c>
      <c r="D398" s="4">
        <v>322026.0</v>
      </c>
      <c r="E398" s="4">
        <v>40.0</v>
      </c>
      <c r="F398" s="4">
        <v>0.224</v>
      </c>
      <c r="G398" s="4">
        <v>0.753</v>
      </c>
      <c r="H398" s="4">
        <v>0.0</v>
      </c>
      <c r="I398" s="4">
        <v>-8.164</v>
      </c>
      <c r="J398" s="4">
        <v>1.0</v>
      </c>
      <c r="K398" s="4">
        <v>0.0943</v>
      </c>
      <c r="L398" s="4">
        <v>0.0713</v>
      </c>
      <c r="M398" s="4">
        <v>0.116</v>
      </c>
      <c r="N398" s="4">
        <v>0.404</v>
      </c>
      <c r="O398" s="4">
        <v>0.482</v>
      </c>
      <c r="P398" s="4">
        <v>110.805</v>
      </c>
      <c r="Q398" s="4">
        <v>3.0</v>
      </c>
    </row>
    <row r="399">
      <c r="A399" s="4" t="s">
        <v>810</v>
      </c>
      <c r="B399" s="4" t="s">
        <v>811</v>
      </c>
      <c r="C399" s="4">
        <v>1990.0</v>
      </c>
      <c r="D399" s="4">
        <v>167760.0</v>
      </c>
      <c r="E399" s="4">
        <v>70.0</v>
      </c>
      <c r="F399" s="4">
        <v>0.207</v>
      </c>
      <c r="G399" s="4">
        <v>0.127</v>
      </c>
      <c r="H399" s="4">
        <v>1.0</v>
      </c>
      <c r="I399" s="4">
        <v>-21.067</v>
      </c>
      <c r="J399" s="4">
        <v>1.0</v>
      </c>
      <c r="K399" s="4">
        <v>0.0385</v>
      </c>
      <c r="L399" s="4">
        <v>0.754</v>
      </c>
      <c r="M399" s="4">
        <v>0.943</v>
      </c>
      <c r="N399" s="4">
        <v>0.128</v>
      </c>
      <c r="O399" s="4">
        <v>0.0386</v>
      </c>
      <c r="P399" s="4">
        <v>80.583</v>
      </c>
      <c r="Q399" s="4">
        <v>4.0</v>
      </c>
    </row>
    <row r="400">
      <c r="A400" s="4" t="s">
        <v>812</v>
      </c>
      <c r="B400" s="4" t="s">
        <v>813</v>
      </c>
      <c r="C400" s="5">
        <v>42051.0</v>
      </c>
      <c r="D400" s="4">
        <v>198400.0</v>
      </c>
      <c r="E400" s="4">
        <v>44.0</v>
      </c>
      <c r="F400" s="4">
        <v>0.575</v>
      </c>
      <c r="G400" s="4">
        <v>0.796</v>
      </c>
      <c r="H400" s="4">
        <v>11.0</v>
      </c>
      <c r="I400" s="4">
        <v>-5.792</v>
      </c>
      <c r="J400" s="4">
        <v>1.0</v>
      </c>
      <c r="K400" s="4">
        <v>0.0303</v>
      </c>
      <c r="L400" s="4">
        <v>0.00181</v>
      </c>
      <c r="M400" s="4">
        <v>0.207</v>
      </c>
      <c r="N400" s="4">
        <v>0.14</v>
      </c>
      <c r="O400" s="4">
        <v>0.638</v>
      </c>
      <c r="P400" s="4">
        <v>99.982</v>
      </c>
      <c r="Q400" s="4">
        <v>4.0</v>
      </c>
    </row>
    <row r="401">
      <c r="A401" s="4" t="s">
        <v>814</v>
      </c>
      <c r="B401" s="4" t="s">
        <v>815</v>
      </c>
      <c r="C401" s="5">
        <v>43287.0</v>
      </c>
      <c r="D401" s="4">
        <v>226000.0</v>
      </c>
      <c r="E401" s="4">
        <v>44.0</v>
      </c>
      <c r="F401" s="4">
        <v>0.162</v>
      </c>
      <c r="G401" s="4">
        <v>0.205</v>
      </c>
      <c r="H401" s="4">
        <v>0.0</v>
      </c>
      <c r="I401" s="4">
        <v>-18.127</v>
      </c>
      <c r="J401" s="4">
        <v>0.0</v>
      </c>
      <c r="K401" s="4">
        <v>0.0314</v>
      </c>
      <c r="L401" s="4">
        <v>0.816</v>
      </c>
      <c r="M401" s="4">
        <v>0.913</v>
      </c>
      <c r="N401" s="4">
        <v>0.179</v>
      </c>
      <c r="O401" s="4">
        <v>0.424</v>
      </c>
      <c r="P401" s="4">
        <v>185.53</v>
      </c>
      <c r="Q401" s="4">
        <v>3.0</v>
      </c>
    </row>
    <row r="402">
      <c r="A402" s="4" t="s">
        <v>816</v>
      </c>
      <c r="B402" s="4" t="s">
        <v>817</v>
      </c>
      <c r="C402" s="5">
        <v>41960.0</v>
      </c>
      <c r="D402" s="4">
        <v>118800.0</v>
      </c>
      <c r="E402" s="4">
        <v>46.0</v>
      </c>
      <c r="F402" s="4">
        <v>0.195</v>
      </c>
      <c r="G402" s="4">
        <v>0.0805</v>
      </c>
      <c r="H402" s="4">
        <v>9.0</v>
      </c>
      <c r="I402" s="4">
        <v>-23.777</v>
      </c>
      <c r="J402" s="4">
        <v>0.0</v>
      </c>
      <c r="K402" s="4">
        <v>0.0436</v>
      </c>
      <c r="L402" s="4">
        <v>0.977</v>
      </c>
      <c r="M402" s="4">
        <v>0.0315</v>
      </c>
      <c r="N402" s="4">
        <v>0.126</v>
      </c>
      <c r="O402" s="4">
        <v>0.0615</v>
      </c>
      <c r="P402" s="4">
        <v>133.261</v>
      </c>
      <c r="Q402" s="4">
        <v>4.0</v>
      </c>
    </row>
    <row r="403">
      <c r="A403" s="4" t="s">
        <v>818</v>
      </c>
      <c r="B403" s="4" t="s">
        <v>819</v>
      </c>
      <c r="C403" s="5">
        <v>37257.0</v>
      </c>
      <c r="D403" s="4">
        <v>216533.0</v>
      </c>
      <c r="E403" s="4">
        <v>76.0</v>
      </c>
      <c r="F403" s="4">
        <v>0.534</v>
      </c>
      <c r="G403" s="4">
        <v>0.392</v>
      </c>
      <c r="H403" s="4">
        <v>9.0</v>
      </c>
      <c r="I403" s="4">
        <v>-7.636</v>
      </c>
      <c r="J403" s="4">
        <v>0.0</v>
      </c>
      <c r="K403" s="4">
        <v>0.0267</v>
      </c>
      <c r="L403" s="4">
        <v>0.649</v>
      </c>
      <c r="M403" s="4">
        <v>2.27E-4</v>
      </c>
      <c r="N403" s="4">
        <v>0.0948</v>
      </c>
      <c r="O403" s="4">
        <v>0.163</v>
      </c>
      <c r="P403" s="4">
        <v>90.379</v>
      </c>
      <c r="Q403" s="4">
        <v>4.0</v>
      </c>
    </row>
    <row r="404">
      <c r="A404" s="4" t="s">
        <v>820</v>
      </c>
      <c r="B404" s="4" t="s">
        <v>821</v>
      </c>
      <c r="C404" s="5">
        <v>40221.0</v>
      </c>
      <c r="D404" s="4">
        <v>372666.0</v>
      </c>
      <c r="E404" s="4">
        <v>39.0</v>
      </c>
      <c r="F404" s="4">
        <v>0.341</v>
      </c>
      <c r="G404" s="4">
        <v>0.114</v>
      </c>
      <c r="H404" s="4">
        <v>3.0</v>
      </c>
      <c r="I404" s="4">
        <v>-12.903</v>
      </c>
      <c r="J404" s="4">
        <v>1.0</v>
      </c>
      <c r="K404" s="4">
        <v>0.0342</v>
      </c>
      <c r="L404" s="4">
        <v>0.851</v>
      </c>
      <c r="M404" s="4">
        <v>0.0911</v>
      </c>
      <c r="N404" s="4">
        <v>0.104</v>
      </c>
      <c r="O404" s="4">
        <v>0.0797</v>
      </c>
      <c r="P404" s="4">
        <v>79.806</v>
      </c>
      <c r="Q404" s="4">
        <v>4.0</v>
      </c>
    </row>
    <row r="405">
      <c r="A405" s="4" t="s">
        <v>822</v>
      </c>
      <c r="B405" s="4" t="s">
        <v>68</v>
      </c>
      <c r="C405" s="4">
        <v>1993.0</v>
      </c>
      <c r="D405" s="4">
        <v>230986.0</v>
      </c>
      <c r="E405" s="4">
        <v>63.0</v>
      </c>
      <c r="F405" s="4">
        <v>0.276</v>
      </c>
      <c r="G405" s="4">
        <v>0.449</v>
      </c>
      <c r="H405" s="4">
        <v>4.0</v>
      </c>
      <c r="I405" s="4">
        <v>-11.428</v>
      </c>
      <c r="J405" s="4">
        <v>1.0</v>
      </c>
      <c r="K405" s="4">
        <v>0.0375</v>
      </c>
      <c r="L405" s="4">
        <v>0.00782</v>
      </c>
      <c r="M405" s="4">
        <v>0.783</v>
      </c>
      <c r="N405" s="4">
        <v>0.108</v>
      </c>
      <c r="O405" s="4">
        <v>0.278</v>
      </c>
      <c r="P405" s="4">
        <v>101.687</v>
      </c>
      <c r="Q405" s="4">
        <v>4.0</v>
      </c>
    </row>
    <row r="406">
      <c r="A406" s="4" t="s">
        <v>823</v>
      </c>
      <c r="B406" s="4" t="s">
        <v>824</v>
      </c>
      <c r="C406" s="5">
        <v>42606.0</v>
      </c>
      <c r="D406" s="4">
        <v>285880.0</v>
      </c>
      <c r="E406" s="4">
        <v>65.0</v>
      </c>
      <c r="F406" s="4">
        <v>0.321</v>
      </c>
      <c r="G406" s="4">
        <v>0.906</v>
      </c>
      <c r="H406" s="4">
        <v>11.0</v>
      </c>
      <c r="I406" s="4">
        <v>-3.967</v>
      </c>
      <c r="J406" s="4">
        <v>1.0</v>
      </c>
      <c r="K406" s="4">
        <v>0.141</v>
      </c>
      <c r="L406" s="4">
        <v>4.39E-4</v>
      </c>
      <c r="M406" s="4">
        <v>0.0</v>
      </c>
      <c r="N406" s="4">
        <v>0.0862</v>
      </c>
      <c r="O406" s="4">
        <v>0.641</v>
      </c>
      <c r="P406" s="4">
        <v>189.776</v>
      </c>
      <c r="Q406" s="4">
        <v>4.0</v>
      </c>
    </row>
    <row r="407">
      <c r="A407" s="4" t="s">
        <v>825</v>
      </c>
      <c r="B407" s="4" t="s">
        <v>826</v>
      </c>
      <c r="C407" s="5">
        <v>42683.0</v>
      </c>
      <c r="D407" s="4">
        <v>260693.0</v>
      </c>
      <c r="E407" s="4">
        <v>47.0</v>
      </c>
      <c r="F407" s="4">
        <v>0.537</v>
      </c>
      <c r="G407" s="4">
        <v>0.919</v>
      </c>
      <c r="H407" s="4">
        <v>8.0</v>
      </c>
      <c r="I407" s="4">
        <v>-3.398</v>
      </c>
      <c r="J407" s="4">
        <v>1.0</v>
      </c>
      <c r="K407" s="4">
        <v>0.0388</v>
      </c>
      <c r="L407" s="4">
        <v>0.00265</v>
      </c>
      <c r="M407" s="4">
        <v>1.43E-4</v>
      </c>
      <c r="N407" s="4">
        <v>0.18</v>
      </c>
      <c r="O407" s="4">
        <v>0.657</v>
      </c>
      <c r="P407" s="4">
        <v>134.018</v>
      </c>
      <c r="Q407" s="4">
        <v>4.0</v>
      </c>
    </row>
    <row r="408">
      <c r="A408" s="4" t="s">
        <v>827</v>
      </c>
      <c r="B408" s="4" t="s">
        <v>828</v>
      </c>
      <c r="C408" s="5">
        <v>42005.0</v>
      </c>
      <c r="D408" s="4">
        <v>217773.0</v>
      </c>
      <c r="E408" s="4">
        <v>24.0</v>
      </c>
      <c r="F408" s="4">
        <v>0.162</v>
      </c>
      <c r="G408" s="4">
        <v>0.046</v>
      </c>
      <c r="H408" s="4">
        <v>0.0</v>
      </c>
      <c r="I408" s="4">
        <v>-24.104</v>
      </c>
      <c r="J408" s="4">
        <v>1.0</v>
      </c>
      <c r="K408" s="4">
        <v>0.0466</v>
      </c>
      <c r="L408" s="4">
        <v>0.99</v>
      </c>
      <c r="M408" s="4">
        <v>0.442</v>
      </c>
      <c r="N408" s="4">
        <v>0.0904</v>
      </c>
      <c r="O408" s="4">
        <v>0.0357</v>
      </c>
      <c r="P408" s="4">
        <v>91.893</v>
      </c>
      <c r="Q408" s="4">
        <v>3.0</v>
      </c>
    </row>
    <row r="409">
      <c r="A409" s="4" t="s">
        <v>829</v>
      </c>
      <c r="B409" s="4" t="s">
        <v>830</v>
      </c>
      <c r="C409" s="5">
        <v>41166.0</v>
      </c>
      <c r="D409" s="4">
        <v>212862.0</v>
      </c>
      <c r="E409" s="4">
        <v>78.0</v>
      </c>
      <c r="F409" s="4">
        <v>0.612</v>
      </c>
      <c r="G409" s="4">
        <v>0.84</v>
      </c>
      <c r="H409" s="4">
        <v>11.0</v>
      </c>
      <c r="I409" s="4">
        <v>-3.145</v>
      </c>
      <c r="J409" s="4">
        <v>0.0</v>
      </c>
      <c r="K409" s="4">
        <v>0.0509</v>
      </c>
      <c r="L409" s="4">
        <v>0.112</v>
      </c>
      <c r="M409" s="4">
        <v>0.0</v>
      </c>
      <c r="N409" s="4">
        <v>0.116</v>
      </c>
      <c r="O409" s="4">
        <v>0.438</v>
      </c>
      <c r="P409" s="4">
        <v>129.042</v>
      </c>
      <c r="Q409" s="4">
        <v>4.0</v>
      </c>
    </row>
    <row r="410">
      <c r="A410" s="4" t="s">
        <v>831</v>
      </c>
      <c r="B410" s="4" t="s">
        <v>832</v>
      </c>
      <c r="C410" s="5">
        <v>28126.0</v>
      </c>
      <c r="D410" s="4">
        <v>291160.0</v>
      </c>
      <c r="E410" s="4">
        <v>30.0</v>
      </c>
      <c r="F410" s="4">
        <v>0.349</v>
      </c>
      <c r="G410" s="4">
        <v>0.279</v>
      </c>
      <c r="H410" s="4">
        <v>7.0</v>
      </c>
      <c r="I410" s="4">
        <v>-16.095</v>
      </c>
      <c r="J410" s="4">
        <v>1.0</v>
      </c>
      <c r="K410" s="4">
        <v>0.0371</v>
      </c>
      <c r="L410" s="4">
        <v>0.94</v>
      </c>
      <c r="M410" s="4">
        <v>0.861</v>
      </c>
      <c r="N410" s="4">
        <v>0.133</v>
      </c>
      <c r="O410" s="4">
        <v>0.351</v>
      </c>
      <c r="P410" s="4">
        <v>118.499</v>
      </c>
      <c r="Q410" s="4">
        <v>4.0</v>
      </c>
    </row>
    <row r="411">
      <c r="A411" s="4" t="s">
        <v>833</v>
      </c>
      <c r="B411" s="4" t="s">
        <v>834</v>
      </c>
      <c r="C411" s="5">
        <v>39814.0</v>
      </c>
      <c r="D411" s="4">
        <v>214293.0</v>
      </c>
      <c r="E411" s="4">
        <v>7.0</v>
      </c>
      <c r="F411" s="4">
        <v>0.303</v>
      </c>
      <c r="G411" s="4">
        <v>0.196</v>
      </c>
      <c r="H411" s="4">
        <v>5.0</v>
      </c>
      <c r="I411" s="4">
        <v>-18.492</v>
      </c>
      <c r="J411" s="4">
        <v>1.0</v>
      </c>
      <c r="K411" s="4">
        <v>0.0353</v>
      </c>
      <c r="L411" s="4">
        <v>0.764</v>
      </c>
      <c r="M411" s="4">
        <v>0.0</v>
      </c>
      <c r="N411" s="4">
        <v>0.916</v>
      </c>
      <c r="O411" s="4">
        <v>0.481</v>
      </c>
      <c r="P411" s="4">
        <v>142.879</v>
      </c>
      <c r="Q411" s="4">
        <v>3.0</v>
      </c>
    </row>
    <row r="412">
      <c r="A412" s="4" t="s">
        <v>835</v>
      </c>
      <c r="B412" s="4" t="s">
        <v>836</v>
      </c>
      <c r="C412" s="5">
        <v>38146.0</v>
      </c>
      <c r="D412" s="4">
        <v>211324.0</v>
      </c>
      <c r="E412" s="4">
        <v>47.0</v>
      </c>
      <c r="F412" s="4">
        <v>0.377</v>
      </c>
      <c r="G412" s="4">
        <v>0.131</v>
      </c>
      <c r="H412" s="4">
        <v>3.0</v>
      </c>
      <c r="I412" s="4">
        <v>-14.245</v>
      </c>
      <c r="J412" s="4">
        <v>1.0</v>
      </c>
      <c r="K412" s="4">
        <v>0.0373</v>
      </c>
      <c r="L412" s="4">
        <v>0.882</v>
      </c>
      <c r="M412" s="4">
        <v>0.0</v>
      </c>
      <c r="N412" s="4">
        <v>0.101</v>
      </c>
      <c r="O412" s="4">
        <v>0.335</v>
      </c>
      <c r="P412" s="4">
        <v>144.338</v>
      </c>
      <c r="Q412" s="4">
        <v>4.0</v>
      </c>
    </row>
    <row r="413">
      <c r="A413" s="4" t="s">
        <v>837</v>
      </c>
      <c r="B413" s="4" t="s">
        <v>838</v>
      </c>
      <c r="C413" s="5">
        <v>33539.0</v>
      </c>
      <c r="D413" s="4">
        <v>295346.0</v>
      </c>
      <c r="E413" s="4">
        <v>49.0</v>
      </c>
      <c r="F413" s="4">
        <v>0.135</v>
      </c>
      <c r="G413" s="4">
        <v>0.399</v>
      </c>
      <c r="H413" s="4">
        <v>4.0</v>
      </c>
      <c r="I413" s="4">
        <v>-8.67</v>
      </c>
      <c r="J413" s="4">
        <v>0.0</v>
      </c>
      <c r="K413" s="4">
        <v>0.0361</v>
      </c>
      <c r="L413" s="4">
        <v>0.577</v>
      </c>
      <c r="M413" s="4">
        <v>0.00104</v>
      </c>
      <c r="N413" s="4">
        <v>0.115</v>
      </c>
      <c r="O413" s="4">
        <v>0.0383</v>
      </c>
      <c r="P413" s="4">
        <v>87.476</v>
      </c>
      <c r="Q413" s="4">
        <v>5.0</v>
      </c>
    </row>
    <row r="414">
      <c r="A414" s="4" t="s">
        <v>839</v>
      </c>
      <c r="B414" s="4" t="s">
        <v>840</v>
      </c>
      <c r="C414" s="4">
        <v>1987.0</v>
      </c>
      <c r="D414" s="4">
        <v>150133.0</v>
      </c>
      <c r="E414" s="4">
        <v>23.0</v>
      </c>
      <c r="F414" s="4">
        <v>0.241</v>
      </c>
      <c r="G414" s="4">
        <v>0.00609</v>
      </c>
      <c r="H414" s="4">
        <v>2.0</v>
      </c>
      <c r="I414" s="4">
        <v>-22.589</v>
      </c>
      <c r="J414" s="4">
        <v>1.0</v>
      </c>
      <c r="K414" s="4">
        <v>0.045</v>
      </c>
      <c r="L414" s="4">
        <v>0.993</v>
      </c>
      <c r="M414" s="4">
        <v>0.476</v>
      </c>
      <c r="N414" s="4">
        <v>0.0792</v>
      </c>
      <c r="O414" s="4">
        <v>0.124</v>
      </c>
      <c r="P414" s="4">
        <v>77.353</v>
      </c>
      <c r="Q414" s="4">
        <v>3.0</v>
      </c>
    </row>
    <row r="415">
      <c r="A415" s="4" t="s">
        <v>841</v>
      </c>
      <c r="B415" s="4" t="s">
        <v>842</v>
      </c>
      <c r="C415" s="5">
        <v>33911.0</v>
      </c>
      <c r="D415" s="4">
        <v>592026.0</v>
      </c>
      <c r="E415" s="4">
        <v>50.0</v>
      </c>
      <c r="F415" s="4">
        <v>0.28</v>
      </c>
      <c r="G415" s="4">
        <v>0.726</v>
      </c>
      <c r="H415" s="4">
        <v>2.0</v>
      </c>
      <c r="I415" s="4">
        <v>-5.733</v>
      </c>
      <c r="J415" s="4">
        <v>0.0</v>
      </c>
      <c r="K415" s="4">
        <v>0.0383</v>
      </c>
      <c r="L415" s="4">
        <v>0.0182</v>
      </c>
      <c r="M415" s="6">
        <v>1.48E-6</v>
      </c>
      <c r="N415" s="4">
        <v>0.249</v>
      </c>
      <c r="O415" s="4">
        <v>0.164</v>
      </c>
      <c r="P415" s="4">
        <v>160.004</v>
      </c>
      <c r="Q415" s="4">
        <v>4.0</v>
      </c>
    </row>
    <row r="416">
      <c r="A416" s="4" t="s">
        <v>843</v>
      </c>
      <c r="B416" s="4" t="s">
        <v>844</v>
      </c>
      <c r="C416" s="5">
        <v>37467.0</v>
      </c>
      <c r="D416" s="4">
        <v>212466.0</v>
      </c>
      <c r="E416" s="4">
        <v>36.0</v>
      </c>
      <c r="F416" s="4">
        <v>0.691</v>
      </c>
      <c r="G416" s="4">
        <v>0.709</v>
      </c>
      <c r="H416" s="4">
        <v>7.0</v>
      </c>
      <c r="I416" s="4">
        <v>-6.792</v>
      </c>
      <c r="J416" s="4">
        <v>0.0</v>
      </c>
      <c r="K416" s="4">
        <v>0.0276</v>
      </c>
      <c r="L416" s="4">
        <v>0.0589</v>
      </c>
      <c r="M416" s="6">
        <v>5.05E-5</v>
      </c>
      <c r="N416" s="4">
        <v>0.286</v>
      </c>
      <c r="O416" s="4">
        <v>0.954</v>
      </c>
      <c r="P416" s="4">
        <v>98.109</v>
      </c>
      <c r="Q416" s="4">
        <v>4.0</v>
      </c>
    </row>
    <row r="417">
      <c r="A417" s="4" t="s">
        <v>845</v>
      </c>
      <c r="B417" s="4" t="s">
        <v>846</v>
      </c>
      <c r="C417" s="5">
        <v>41485.0</v>
      </c>
      <c r="D417" s="4">
        <v>246209.0</v>
      </c>
      <c r="E417" s="4">
        <v>57.0</v>
      </c>
      <c r="F417" s="4">
        <v>0.521</v>
      </c>
      <c r="G417" s="4">
        <v>0.985</v>
      </c>
      <c r="H417" s="4">
        <v>4.0</v>
      </c>
      <c r="I417" s="4">
        <v>-4.165</v>
      </c>
      <c r="J417" s="4">
        <v>1.0</v>
      </c>
      <c r="K417" s="4">
        <v>0.141</v>
      </c>
      <c r="L417" s="6">
        <v>9.68E-5</v>
      </c>
      <c r="M417" s="4">
        <v>0.0</v>
      </c>
      <c r="N417" s="4">
        <v>0.209</v>
      </c>
      <c r="O417" s="4">
        <v>0.151</v>
      </c>
      <c r="P417" s="4">
        <v>75.013</v>
      </c>
      <c r="Q417" s="4">
        <v>4.0</v>
      </c>
    </row>
    <row r="418">
      <c r="A418" s="4" t="s">
        <v>847</v>
      </c>
      <c r="B418" s="4" t="s">
        <v>848</v>
      </c>
      <c r="C418" s="5">
        <v>31474.0</v>
      </c>
      <c r="D418" s="4">
        <v>515386.0</v>
      </c>
      <c r="E418" s="4">
        <v>68.0</v>
      </c>
      <c r="F418" s="4">
        <v>0.539</v>
      </c>
      <c r="G418" s="4">
        <v>0.828</v>
      </c>
      <c r="H418" s="4">
        <v>4.0</v>
      </c>
      <c r="I418" s="4">
        <v>-9.108</v>
      </c>
      <c r="J418" s="4">
        <v>0.0</v>
      </c>
      <c r="K418" s="4">
        <v>0.035</v>
      </c>
      <c r="L418" s="4">
        <v>6.7E-4</v>
      </c>
      <c r="M418" s="4">
        <v>0.421</v>
      </c>
      <c r="N418" s="4">
        <v>0.154</v>
      </c>
      <c r="O418" s="4">
        <v>0.562</v>
      </c>
      <c r="P418" s="4">
        <v>105.25</v>
      </c>
      <c r="Q418" s="4">
        <v>4.0</v>
      </c>
    </row>
    <row r="419">
      <c r="A419" s="4" t="s">
        <v>849</v>
      </c>
      <c r="B419" s="4" t="s">
        <v>850</v>
      </c>
      <c r="C419" s="5">
        <v>38718.0</v>
      </c>
      <c r="D419" s="4">
        <v>241232.0</v>
      </c>
      <c r="E419" s="4">
        <v>62.0</v>
      </c>
      <c r="F419" s="4">
        <v>0.521</v>
      </c>
      <c r="G419" s="4">
        <v>0.502</v>
      </c>
      <c r="H419" s="4">
        <v>5.0</v>
      </c>
      <c r="I419" s="4">
        <v>-8.521</v>
      </c>
      <c r="J419" s="4">
        <v>0.0</v>
      </c>
      <c r="K419" s="4">
        <v>0.0287</v>
      </c>
      <c r="L419" s="4">
        <v>0.886</v>
      </c>
      <c r="M419" s="4">
        <v>0.02</v>
      </c>
      <c r="N419" s="4">
        <v>0.188</v>
      </c>
      <c r="O419" s="4">
        <v>0.378</v>
      </c>
      <c r="P419" s="4">
        <v>95.028</v>
      </c>
      <c r="Q419" s="4">
        <v>4.0</v>
      </c>
    </row>
    <row r="420">
      <c r="A420" s="4" t="s">
        <v>851</v>
      </c>
      <c r="B420" s="4" t="s">
        <v>852</v>
      </c>
      <c r="C420" s="5">
        <v>28804.0</v>
      </c>
      <c r="D420" s="4">
        <v>209413.0</v>
      </c>
      <c r="E420" s="4">
        <v>73.0</v>
      </c>
      <c r="F420" s="4">
        <v>0.563</v>
      </c>
      <c r="G420" s="4">
        <v>0.865</v>
      </c>
      <c r="H420" s="4">
        <v>5.0</v>
      </c>
      <c r="I420" s="4">
        <v>-5.277</v>
      </c>
      <c r="J420" s="4">
        <v>1.0</v>
      </c>
      <c r="K420" s="4">
        <v>0.16</v>
      </c>
      <c r="L420" s="4">
        <v>0.0472</v>
      </c>
      <c r="M420" s="4">
        <v>1.91E-4</v>
      </c>
      <c r="N420" s="4">
        <v>0.77</v>
      </c>
      <c r="O420" s="4">
        <v>0.601</v>
      </c>
      <c r="P420" s="4">
        <v>156.271</v>
      </c>
      <c r="Q420" s="4">
        <v>4.0</v>
      </c>
    </row>
    <row r="421">
      <c r="A421" s="4" t="s">
        <v>853</v>
      </c>
      <c r="B421" s="4" t="s">
        <v>854</v>
      </c>
      <c r="C421" s="5">
        <v>36892.0</v>
      </c>
      <c r="D421" s="4">
        <v>205533.0</v>
      </c>
      <c r="E421" s="4">
        <v>37.0</v>
      </c>
      <c r="F421" s="4">
        <v>0.214</v>
      </c>
      <c r="G421" s="4">
        <v>0.084</v>
      </c>
      <c r="H421" s="4">
        <v>5.0</v>
      </c>
      <c r="I421" s="4">
        <v>-15.333</v>
      </c>
      <c r="J421" s="4">
        <v>0.0</v>
      </c>
      <c r="K421" s="4">
        <v>0.0395</v>
      </c>
      <c r="L421" s="4">
        <v>0.307</v>
      </c>
      <c r="M421" s="4">
        <v>2.81E-4</v>
      </c>
      <c r="N421" s="4">
        <v>0.12</v>
      </c>
      <c r="O421" s="4">
        <v>0.0692</v>
      </c>
      <c r="P421" s="4">
        <v>57.307</v>
      </c>
      <c r="Q421" s="4">
        <v>4.0</v>
      </c>
    </row>
    <row r="422">
      <c r="A422" s="4" t="s">
        <v>855</v>
      </c>
      <c r="B422" s="4" t="s">
        <v>856</v>
      </c>
      <c r="C422" s="4">
        <v>2007.0</v>
      </c>
      <c r="D422" s="4">
        <v>238426.0</v>
      </c>
      <c r="E422" s="4">
        <v>46.0</v>
      </c>
      <c r="F422" s="4">
        <v>0.624</v>
      </c>
      <c r="G422" s="4">
        <v>0.852</v>
      </c>
      <c r="H422" s="4">
        <v>1.0</v>
      </c>
      <c r="I422" s="4">
        <v>-10.184</v>
      </c>
      <c r="J422" s="4">
        <v>1.0</v>
      </c>
      <c r="K422" s="4">
        <v>0.153</v>
      </c>
      <c r="L422" s="4">
        <v>0.428</v>
      </c>
      <c r="M422" s="4">
        <v>0.656</v>
      </c>
      <c r="N422" s="4">
        <v>0.114</v>
      </c>
      <c r="O422" s="4">
        <v>0.512</v>
      </c>
      <c r="P422" s="4">
        <v>135.223</v>
      </c>
      <c r="Q422" s="4">
        <v>4.0</v>
      </c>
    </row>
    <row r="423">
      <c r="A423" s="4" t="s">
        <v>857</v>
      </c>
      <c r="B423" s="4" t="s">
        <v>858</v>
      </c>
      <c r="C423" s="5">
        <v>39714.0</v>
      </c>
      <c r="D423" s="4">
        <v>334706.0</v>
      </c>
      <c r="E423" s="4">
        <v>52.0</v>
      </c>
      <c r="F423" s="4">
        <v>0.339</v>
      </c>
      <c r="G423" s="4">
        <v>0.448</v>
      </c>
      <c r="H423" s="4">
        <v>2.0</v>
      </c>
      <c r="I423" s="4">
        <v>-8.081</v>
      </c>
      <c r="J423" s="4">
        <v>1.0</v>
      </c>
      <c r="K423" s="4">
        <v>0.0295</v>
      </c>
      <c r="L423" s="4">
        <v>0.376</v>
      </c>
      <c r="M423" s="4">
        <v>0.00766</v>
      </c>
      <c r="N423" s="4">
        <v>0.11</v>
      </c>
      <c r="O423" s="4">
        <v>0.164</v>
      </c>
      <c r="P423" s="4">
        <v>57.902</v>
      </c>
      <c r="Q423" s="4">
        <v>4.0</v>
      </c>
    </row>
    <row r="424">
      <c r="A424" s="4" t="s">
        <v>859</v>
      </c>
      <c r="B424" s="4" t="s">
        <v>860</v>
      </c>
      <c r="C424" s="5">
        <v>41162.0</v>
      </c>
      <c r="D424" s="4">
        <v>171653.0</v>
      </c>
      <c r="E424" s="4">
        <v>65.0</v>
      </c>
      <c r="F424" s="4">
        <v>0.424</v>
      </c>
      <c r="G424" s="4">
        <v>0.157</v>
      </c>
      <c r="H424" s="4">
        <v>9.0</v>
      </c>
      <c r="I424" s="4">
        <v>-18.141</v>
      </c>
      <c r="J424" s="4">
        <v>1.0</v>
      </c>
      <c r="K424" s="4">
        <v>0.0428</v>
      </c>
      <c r="L424" s="4">
        <v>0.95</v>
      </c>
      <c r="M424" s="4">
        <v>0.0593</v>
      </c>
      <c r="N424" s="4">
        <v>0.101</v>
      </c>
      <c r="O424" s="4">
        <v>0.342</v>
      </c>
      <c r="P424" s="4">
        <v>91.537</v>
      </c>
      <c r="Q424" s="4">
        <v>4.0</v>
      </c>
    </row>
    <row r="425">
      <c r="A425" s="4" t="s">
        <v>861</v>
      </c>
      <c r="B425" s="4" t="s">
        <v>862</v>
      </c>
      <c r="C425" s="5">
        <v>36892.0</v>
      </c>
      <c r="D425" s="4">
        <v>402106.0</v>
      </c>
      <c r="E425" s="4">
        <v>33.0</v>
      </c>
      <c r="F425" s="4">
        <v>0.208</v>
      </c>
      <c r="G425" s="4">
        <v>0.28</v>
      </c>
      <c r="H425" s="4">
        <v>7.0</v>
      </c>
      <c r="I425" s="4">
        <v>-11.411</v>
      </c>
      <c r="J425" s="4">
        <v>1.0</v>
      </c>
      <c r="K425" s="4">
        <v>0.03</v>
      </c>
      <c r="L425" s="4">
        <v>0.915</v>
      </c>
      <c r="M425" s="4">
        <v>0.0109</v>
      </c>
      <c r="N425" s="4">
        <v>0.0991</v>
      </c>
      <c r="O425" s="4">
        <v>0.192</v>
      </c>
      <c r="P425" s="4">
        <v>80.211</v>
      </c>
      <c r="Q425" s="4">
        <v>4.0</v>
      </c>
    </row>
    <row r="426">
      <c r="A426" s="4" t="s">
        <v>863</v>
      </c>
      <c r="B426" s="4" t="s">
        <v>864</v>
      </c>
      <c r="C426" s="5">
        <v>39238.0</v>
      </c>
      <c r="D426" s="4">
        <v>370666.0</v>
      </c>
      <c r="E426" s="4">
        <v>70.0</v>
      </c>
      <c r="F426" s="4">
        <v>0.264</v>
      </c>
      <c r="G426" s="4">
        <v>0.128</v>
      </c>
      <c r="H426" s="4">
        <v>9.0</v>
      </c>
      <c r="I426" s="4">
        <v>-15.443</v>
      </c>
      <c r="J426" s="4">
        <v>1.0</v>
      </c>
      <c r="K426" s="4">
        <v>0.034</v>
      </c>
      <c r="L426" s="4">
        <v>0.885</v>
      </c>
      <c r="M426" s="4">
        <v>0.352</v>
      </c>
      <c r="N426" s="4">
        <v>0.105</v>
      </c>
      <c r="O426" s="4">
        <v>0.0774</v>
      </c>
      <c r="P426" s="4">
        <v>148.499</v>
      </c>
      <c r="Q426" s="4">
        <v>4.0</v>
      </c>
    </row>
    <row r="427">
      <c r="A427" s="4" t="s">
        <v>865</v>
      </c>
      <c r="B427" s="4" t="s">
        <v>866</v>
      </c>
      <c r="C427" s="5">
        <v>41275.0</v>
      </c>
      <c r="D427" s="4">
        <v>154435.0</v>
      </c>
      <c r="E427" s="4">
        <v>62.0</v>
      </c>
      <c r="F427" s="4">
        <v>0.512</v>
      </c>
      <c r="G427" s="4">
        <v>0.304</v>
      </c>
      <c r="H427" s="4">
        <v>0.0</v>
      </c>
      <c r="I427" s="4">
        <v>-9.19</v>
      </c>
      <c r="J427" s="4">
        <v>1.0</v>
      </c>
      <c r="K427" s="4">
        <v>0.0318</v>
      </c>
      <c r="L427" s="4">
        <v>0.295</v>
      </c>
      <c r="M427" s="4">
        <v>6.22E-4</v>
      </c>
      <c r="N427" s="4">
        <v>0.118</v>
      </c>
      <c r="O427" s="4">
        <v>0.172</v>
      </c>
      <c r="P427" s="4">
        <v>126.078</v>
      </c>
      <c r="Q427" s="4">
        <v>5.0</v>
      </c>
    </row>
    <row r="428">
      <c r="A428" s="4" t="s">
        <v>867</v>
      </c>
      <c r="B428" s="4" t="s">
        <v>868</v>
      </c>
      <c r="C428" s="5">
        <v>27631.0</v>
      </c>
      <c r="D428" s="4">
        <v>288720.0</v>
      </c>
      <c r="E428" s="4">
        <v>64.0</v>
      </c>
      <c r="F428" s="4">
        <v>0.369</v>
      </c>
      <c r="G428" s="4">
        <v>0.758</v>
      </c>
      <c r="H428" s="4">
        <v>5.0</v>
      </c>
      <c r="I428" s="4">
        <v>-5.871</v>
      </c>
      <c r="J428" s="4">
        <v>1.0</v>
      </c>
      <c r="K428" s="4">
        <v>0.0364</v>
      </c>
      <c r="L428" s="4">
        <v>0.623</v>
      </c>
      <c r="M428" s="6">
        <v>1.78E-5</v>
      </c>
      <c r="N428" s="4">
        <v>0.531</v>
      </c>
      <c r="O428" s="4">
        <v>0.663</v>
      </c>
      <c r="P428" s="4">
        <v>140.71</v>
      </c>
      <c r="Q428" s="4">
        <v>4.0</v>
      </c>
    </row>
    <row r="429">
      <c r="A429" s="4" t="s">
        <v>869</v>
      </c>
      <c r="B429" s="4" t="s">
        <v>870</v>
      </c>
      <c r="C429" s="5">
        <v>39231.0</v>
      </c>
      <c r="D429" s="4">
        <v>219546.0</v>
      </c>
      <c r="E429" s="4">
        <v>58.0</v>
      </c>
      <c r="F429" s="4">
        <v>0.432</v>
      </c>
      <c r="G429" s="4">
        <v>0.637</v>
      </c>
      <c r="H429" s="4">
        <v>11.0</v>
      </c>
      <c r="I429" s="4">
        <v>-3.905</v>
      </c>
      <c r="J429" s="4">
        <v>1.0</v>
      </c>
      <c r="K429" s="4">
        <v>0.0475</v>
      </c>
      <c r="L429" s="4">
        <v>0.416</v>
      </c>
      <c r="M429" s="4">
        <v>0.0</v>
      </c>
      <c r="N429" s="4">
        <v>0.113</v>
      </c>
      <c r="O429" s="4">
        <v>0.187</v>
      </c>
      <c r="P429" s="4">
        <v>122.394</v>
      </c>
      <c r="Q429" s="4">
        <v>4.0</v>
      </c>
    </row>
    <row r="430">
      <c r="A430" s="4" t="s">
        <v>871</v>
      </c>
      <c r="B430" s="4" t="s">
        <v>872</v>
      </c>
      <c r="C430" s="5">
        <v>42314.0</v>
      </c>
      <c r="D430" s="4">
        <v>219535.0</v>
      </c>
      <c r="E430" s="4">
        <v>76.0</v>
      </c>
      <c r="F430" s="4">
        <v>0.468</v>
      </c>
      <c r="G430" s="4">
        <v>0.19</v>
      </c>
      <c r="H430" s="4">
        <v>4.0</v>
      </c>
      <c r="I430" s="4">
        <v>-11.138</v>
      </c>
      <c r="J430" s="4">
        <v>1.0</v>
      </c>
      <c r="K430" s="4">
        <v>0.0373</v>
      </c>
      <c r="L430" s="4">
        <v>0.919</v>
      </c>
      <c r="M430" s="4">
        <v>0.0</v>
      </c>
      <c r="N430" s="4">
        <v>0.107</v>
      </c>
      <c r="O430" s="4">
        <v>0.326</v>
      </c>
      <c r="P430" s="4">
        <v>125.319</v>
      </c>
      <c r="Q430" s="4">
        <v>4.0</v>
      </c>
    </row>
    <row r="431">
      <c r="A431" s="4" t="s">
        <v>873</v>
      </c>
      <c r="B431" s="4" t="s">
        <v>874</v>
      </c>
      <c r="C431" s="5">
        <v>41471.0</v>
      </c>
      <c r="D431" s="4">
        <v>245322.0</v>
      </c>
      <c r="E431" s="4">
        <v>31.0</v>
      </c>
      <c r="F431" s="4">
        <v>0.535</v>
      </c>
      <c r="G431" s="4">
        <v>0.23</v>
      </c>
      <c r="H431" s="4">
        <v>7.0</v>
      </c>
      <c r="I431" s="4">
        <v>-12.934</v>
      </c>
      <c r="J431" s="4">
        <v>0.0</v>
      </c>
      <c r="K431" s="4">
        <v>0.0343</v>
      </c>
      <c r="L431" s="4">
        <v>0.85</v>
      </c>
      <c r="M431" s="4">
        <v>0.796</v>
      </c>
      <c r="N431" s="4">
        <v>0.0614</v>
      </c>
      <c r="O431" s="4">
        <v>0.438</v>
      </c>
      <c r="P431" s="4">
        <v>123.964</v>
      </c>
      <c r="Q431" s="4">
        <v>4.0</v>
      </c>
    </row>
    <row r="432">
      <c r="A432" s="4" t="s">
        <v>875</v>
      </c>
      <c r="B432" s="4" t="s">
        <v>876</v>
      </c>
      <c r="C432" s="5">
        <v>29511.0</v>
      </c>
      <c r="D432" s="4">
        <v>506733.0</v>
      </c>
      <c r="E432" s="4">
        <v>45.0</v>
      </c>
      <c r="F432" s="4">
        <v>0.388</v>
      </c>
      <c r="G432" s="4">
        <v>0.236</v>
      </c>
      <c r="H432" s="4">
        <v>5.0</v>
      </c>
      <c r="I432" s="4">
        <v>-13.767</v>
      </c>
      <c r="J432" s="4">
        <v>1.0</v>
      </c>
      <c r="K432" s="4">
        <v>0.0295</v>
      </c>
      <c r="L432" s="4">
        <v>0.217</v>
      </c>
      <c r="M432" s="6">
        <v>9.07E-6</v>
      </c>
      <c r="N432" s="4">
        <v>0.101</v>
      </c>
      <c r="O432" s="4">
        <v>0.456</v>
      </c>
      <c r="P432" s="4">
        <v>126.455</v>
      </c>
      <c r="Q432" s="4">
        <v>4.0</v>
      </c>
    </row>
    <row r="433">
      <c r="A433" s="4" t="s">
        <v>877</v>
      </c>
      <c r="B433" s="4" t="s">
        <v>878</v>
      </c>
      <c r="C433" s="5">
        <v>33477.0</v>
      </c>
      <c r="D433" s="4">
        <v>318226.0</v>
      </c>
      <c r="E433" s="4">
        <v>72.0</v>
      </c>
      <c r="F433" s="4">
        <v>0.285</v>
      </c>
      <c r="G433" s="4">
        <v>0.846</v>
      </c>
      <c r="H433" s="4">
        <v>2.0</v>
      </c>
      <c r="I433" s="4">
        <v>-6.472</v>
      </c>
      <c r="J433" s="4">
        <v>1.0</v>
      </c>
      <c r="K433" s="4">
        <v>0.0438</v>
      </c>
      <c r="L433" s="4">
        <v>0.0404</v>
      </c>
      <c r="M433" s="4">
        <v>0.0</v>
      </c>
      <c r="N433" s="4">
        <v>0.182</v>
      </c>
      <c r="O433" s="4">
        <v>0.287</v>
      </c>
      <c r="P433" s="4">
        <v>108.808</v>
      </c>
      <c r="Q433" s="4">
        <v>4.0</v>
      </c>
    </row>
    <row r="434">
      <c r="A434" s="4" t="s">
        <v>879</v>
      </c>
      <c r="B434" s="4" t="s">
        <v>880</v>
      </c>
      <c r="C434" s="5">
        <v>42517.0</v>
      </c>
      <c r="D434" s="4">
        <v>266750.0</v>
      </c>
      <c r="E434" s="4">
        <v>22.0</v>
      </c>
      <c r="F434" s="4">
        <v>0.513</v>
      </c>
      <c r="G434" s="4">
        <v>0.679</v>
      </c>
      <c r="H434" s="4">
        <v>4.0</v>
      </c>
      <c r="I434" s="4">
        <v>-8.443</v>
      </c>
      <c r="J434" s="4">
        <v>1.0</v>
      </c>
      <c r="K434" s="4">
        <v>0.0337</v>
      </c>
      <c r="L434" s="4">
        <v>0.00338</v>
      </c>
      <c r="M434" s="4">
        <v>0.0</v>
      </c>
      <c r="N434" s="4">
        <v>0.105</v>
      </c>
      <c r="O434" s="4">
        <v>0.233</v>
      </c>
      <c r="P434" s="4">
        <v>126.009</v>
      </c>
      <c r="Q434" s="4">
        <v>4.0</v>
      </c>
    </row>
    <row r="435">
      <c r="A435" s="4" t="s">
        <v>881</v>
      </c>
      <c r="B435" s="4" t="s">
        <v>882</v>
      </c>
      <c r="C435" s="5">
        <v>35226.0</v>
      </c>
      <c r="D435" s="4">
        <v>239626.0</v>
      </c>
      <c r="E435" s="4">
        <v>55.0</v>
      </c>
      <c r="F435" s="4">
        <v>0.65</v>
      </c>
      <c r="G435" s="4">
        <v>0.702</v>
      </c>
      <c r="H435" s="4">
        <v>2.0</v>
      </c>
      <c r="I435" s="4">
        <v>-9.085</v>
      </c>
      <c r="J435" s="4">
        <v>0.0</v>
      </c>
      <c r="K435" s="4">
        <v>0.0295</v>
      </c>
      <c r="L435" s="4">
        <v>0.0534</v>
      </c>
      <c r="M435" s="4">
        <v>0.00121</v>
      </c>
      <c r="N435" s="4">
        <v>0.0496</v>
      </c>
      <c r="O435" s="4">
        <v>0.775</v>
      </c>
      <c r="P435" s="4">
        <v>120.057</v>
      </c>
      <c r="Q435" s="4">
        <v>4.0</v>
      </c>
    </row>
    <row r="436">
      <c r="A436" s="4" t="s">
        <v>883</v>
      </c>
      <c r="B436" s="4" t="s">
        <v>884</v>
      </c>
      <c r="C436" s="4">
        <v>1985.0</v>
      </c>
      <c r="D436" s="4">
        <v>136346.0</v>
      </c>
      <c r="E436" s="4">
        <v>35.0</v>
      </c>
      <c r="F436" s="4">
        <v>0.544</v>
      </c>
      <c r="G436" s="4">
        <v>0.465</v>
      </c>
      <c r="H436" s="4">
        <v>0.0</v>
      </c>
      <c r="I436" s="4">
        <v>-7.931</v>
      </c>
      <c r="J436" s="4">
        <v>1.0</v>
      </c>
      <c r="K436" s="4">
        <v>0.0418</v>
      </c>
      <c r="L436" s="4">
        <v>0.914</v>
      </c>
      <c r="M436" s="4">
        <v>0.0</v>
      </c>
      <c r="N436" s="4">
        <v>0.109</v>
      </c>
      <c r="O436" s="4">
        <v>0.596</v>
      </c>
      <c r="P436" s="4">
        <v>83.361</v>
      </c>
      <c r="Q436" s="4">
        <v>4.0</v>
      </c>
    </row>
    <row r="437">
      <c r="A437" s="4" t="s">
        <v>885</v>
      </c>
      <c r="B437" s="4" t="s">
        <v>886</v>
      </c>
      <c r="C437" s="4">
        <v>2000.0</v>
      </c>
      <c r="D437" s="4">
        <v>259493.0</v>
      </c>
      <c r="E437" s="4">
        <v>67.0</v>
      </c>
      <c r="F437" s="4">
        <v>0.225</v>
      </c>
      <c r="G437" s="4">
        <v>0.0047</v>
      </c>
      <c r="H437" s="4">
        <v>1.0</v>
      </c>
      <c r="I437" s="4">
        <v>-30.928</v>
      </c>
      <c r="J437" s="4">
        <v>0.0</v>
      </c>
      <c r="K437" s="4">
        <v>0.0509</v>
      </c>
      <c r="L437" s="4">
        <v>0.992</v>
      </c>
      <c r="M437" s="4">
        <v>0.881</v>
      </c>
      <c r="N437" s="4">
        <v>0.0722</v>
      </c>
      <c r="O437" s="4">
        <v>0.186</v>
      </c>
      <c r="P437" s="4">
        <v>163.665</v>
      </c>
      <c r="Q437" s="4">
        <v>4.0</v>
      </c>
    </row>
    <row r="438">
      <c r="A438" s="4" t="s">
        <v>887</v>
      </c>
      <c r="B438" s="4" t="s">
        <v>888</v>
      </c>
      <c r="C438" s="5">
        <v>20821.0</v>
      </c>
      <c r="D438" s="4">
        <v>192866.0</v>
      </c>
      <c r="E438" s="4">
        <v>60.0</v>
      </c>
      <c r="F438" s="4">
        <v>0.313</v>
      </c>
      <c r="G438" s="4">
        <v>0.0437</v>
      </c>
      <c r="H438" s="4">
        <v>6.0</v>
      </c>
      <c r="I438" s="4">
        <v>-22.627</v>
      </c>
      <c r="J438" s="4">
        <v>1.0</v>
      </c>
      <c r="K438" s="4">
        <v>0.0315</v>
      </c>
      <c r="L438" s="4">
        <v>0.989</v>
      </c>
      <c r="M438" s="4">
        <v>0.148</v>
      </c>
      <c r="N438" s="4">
        <v>0.209</v>
      </c>
      <c r="O438" s="4">
        <v>0.0625</v>
      </c>
      <c r="P438" s="4">
        <v>100.827</v>
      </c>
      <c r="Q438" s="4">
        <v>1.0</v>
      </c>
    </row>
    <row r="439">
      <c r="A439" s="4" t="s">
        <v>889</v>
      </c>
      <c r="B439" s="4" t="s">
        <v>890</v>
      </c>
      <c r="C439" s="5">
        <v>28463.0</v>
      </c>
      <c r="D439" s="4">
        <v>391053.0</v>
      </c>
      <c r="E439" s="4">
        <v>49.0</v>
      </c>
      <c r="F439" s="4">
        <v>0.279</v>
      </c>
      <c r="G439" s="4">
        <v>0.763</v>
      </c>
      <c r="H439" s="4">
        <v>9.0</v>
      </c>
      <c r="I439" s="4">
        <v>-5.507</v>
      </c>
      <c r="J439" s="4">
        <v>0.0</v>
      </c>
      <c r="K439" s="4">
        <v>0.0736</v>
      </c>
      <c r="L439" s="4">
        <v>0.0402</v>
      </c>
      <c r="M439" s="4">
        <v>4.11E-4</v>
      </c>
      <c r="N439" s="4">
        <v>0.318</v>
      </c>
      <c r="O439" s="4">
        <v>0.23</v>
      </c>
      <c r="P439" s="4">
        <v>140.383</v>
      </c>
      <c r="Q439" s="4">
        <v>4.0</v>
      </c>
    </row>
    <row r="440">
      <c r="A440" s="4" t="s">
        <v>891</v>
      </c>
      <c r="B440" s="4" t="s">
        <v>892</v>
      </c>
      <c r="C440" s="4">
        <v>2009.0</v>
      </c>
      <c r="D440" s="4">
        <v>187426.0</v>
      </c>
      <c r="E440" s="4">
        <v>62.0</v>
      </c>
      <c r="F440" s="4">
        <v>0.58</v>
      </c>
      <c r="G440" s="4">
        <v>0.101</v>
      </c>
      <c r="H440" s="4">
        <v>10.0</v>
      </c>
      <c r="I440" s="4">
        <v>-15.661</v>
      </c>
      <c r="J440" s="4">
        <v>1.0</v>
      </c>
      <c r="K440" s="4">
        <v>0.0289</v>
      </c>
      <c r="L440" s="4">
        <v>0.934</v>
      </c>
      <c r="M440" s="4">
        <v>3.02E-4</v>
      </c>
      <c r="N440" s="4">
        <v>0.0768</v>
      </c>
      <c r="O440" s="4">
        <v>0.302</v>
      </c>
      <c r="P440" s="4">
        <v>91.003</v>
      </c>
      <c r="Q440" s="4">
        <v>3.0</v>
      </c>
    </row>
    <row r="441">
      <c r="A441" s="4" t="s">
        <v>893</v>
      </c>
      <c r="B441" s="4" t="s">
        <v>894</v>
      </c>
      <c r="C441" s="5">
        <v>42706.0</v>
      </c>
      <c r="D441" s="4">
        <v>277880.0</v>
      </c>
      <c r="E441" s="4">
        <v>47.0</v>
      </c>
      <c r="F441" s="4">
        <v>0.732</v>
      </c>
      <c r="G441" s="4">
        <v>0.456</v>
      </c>
      <c r="H441" s="4">
        <v>10.0</v>
      </c>
      <c r="I441" s="4">
        <v>-8.849</v>
      </c>
      <c r="J441" s="4">
        <v>1.0</v>
      </c>
      <c r="K441" s="4">
        <v>0.0404</v>
      </c>
      <c r="L441" s="4">
        <v>0.497</v>
      </c>
      <c r="M441" s="4">
        <v>0.0</v>
      </c>
      <c r="N441" s="4">
        <v>0.176</v>
      </c>
      <c r="O441" s="4">
        <v>0.337</v>
      </c>
      <c r="P441" s="4">
        <v>127.96</v>
      </c>
      <c r="Q441" s="4">
        <v>4.0</v>
      </c>
    </row>
    <row r="442">
      <c r="A442" s="4" t="s">
        <v>895</v>
      </c>
      <c r="B442" s="4" t="s">
        <v>896</v>
      </c>
      <c r="C442" s="5">
        <v>41695.0</v>
      </c>
      <c r="D442" s="4">
        <v>217893.0</v>
      </c>
      <c r="E442" s="4">
        <v>20.0</v>
      </c>
      <c r="F442" s="4">
        <v>0.328</v>
      </c>
      <c r="G442" s="4">
        <v>0.575</v>
      </c>
      <c r="H442" s="4">
        <v>4.0</v>
      </c>
      <c r="I442" s="4">
        <v>-4.594</v>
      </c>
      <c r="J442" s="4">
        <v>0.0</v>
      </c>
      <c r="K442" s="4">
        <v>0.0333</v>
      </c>
      <c r="L442" s="4">
        <v>0.145</v>
      </c>
      <c r="M442" s="4">
        <v>0.0</v>
      </c>
      <c r="N442" s="4">
        <v>0.0747</v>
      </c>
      <c r="O442" s="4">
        <v>0.0757</v>
      </c>
      <c r="P442" s="4">
        <v>124.75</v>
      </c>
      <c r="Q442" s="4">
        <v>4.0</v>
      </c>
    </row>
    <row r="443">
      <c r="A443" s="4" t="s">
        <v>897</v>
      </c>
      <c r="B443" s="4" t="s">
        <v>898</v>
      </c>
      <c r="C443" s="5">
        <v>37873.0</v>
      </c>
      <c r="D443" s="4">
        <v>367920.0</v>
      </c>
      <c r="E443" s="4">
        <v>19.0</v>
      </c>
      <c r="F443" s="4">
        <v>0.0682</v>
      </c>
      <c r="G443" s="4">
        <v>0.0125</v>
      </c>
      <c r="H443" s="4">
        <v>6.0</v>
      </c>
      <c r="I443" s="4">
        <v>-36.462</v>
      </c>
      <c r="J443" s="4">
        <v>0.0</v>
      </c>
      <c r="K443" s="4">
        <v>0.0436</v>
      </c>
      <c r="L443" s="4">
        <v>0.935</v>
      </c>
      <c r="M443" s="4">
        <v>0.0505</v>
      </c>
      <c r="N443" s="4">
        <v>0.096</v>
      </c>
      <c r="O443" s="4">
        <v>0.0661</v>
      </c>
      <c r="P443" s="4">
        <v>70.299</v>
      </c>
      <c r="Q443" s="4">
        <v>3.0</v>
      </c>
    </row>
    <row r="444">
      <c r="A444" s="4" t="s">
        <v>899</v>
      </c>
      <c r="B444" s="4" t="s">
        <v>900</v>
      </c>
      <c r="C444" s="5">
        <v>40478.0</v>
      </c>
      <c r="D444" s="4">
        <v>633280.0</v>
      </c>
      <c r="E444" s="4">
        <v>14.0</v>
      </c>
      <c r="F444" s="4">
        <v>0.154</v>
      </c>
      <c r="G444" s="4">
        <v>0.356</v>
      </c>
      <c r="H444" s="4">
        <v>4.0</v>
      </c>
      <c r="I444" s="4">
        <v>-16.458</v>
      </c>
      <c r="J444" s="4">
        <v>1.0</v>
      </c>
      <c r="K444" s="4">
        <v>0.0505</v>
      </c>
      <c r="L444" s="4">
        <v>0.846</v>
      </c>
      <c r="M444" s="4">
        <v>0.87</v>
      </c>
      <c r="N444" s="4">
        <v>0.1</v>
      </c>
      <c r="O444" s="4">
        <v>0.0431</v>
      </c>
      <c r="P444" s="4">
        <v>72.048</v>
      </c>
      <c r="Q444" s="4">
        <v>4.0</v>
      </c>
    </row>
    <row r="445">
      <c r="A445" s="4" t="s">
        <v>901</v>
      </c>
      <c r="B445" s="4" t="s">
        <v>902</v>
      </c>
      <c r="C445" s="5">
        <v>42142.0</v>
      </c>
      <c r="D445" s="4">
        <v>296280.0</v>
      </c>
      <c r="E445" s="4">
        <v>49.0</v>
      </c>
      <c r="F445" s="4">
        <v>0.579</v>
      </c>
      <c r="G445" s="4">
        <v>0.759</v>
      </c>
      <c r="H445" s="4">
        <v>2.0</v>
      </c>
      <c r="I445" s="4">
        <v>-5.584</v>
      </c>
      <c r="J445" s="4">
        <v>0.0</v>
      </c>
      <c r="K445" s="4">
        <v>0.0386</v>
      </c>
      <c r="L445" s="4">
        <v>0.06</v>
      </c>
      <c r="M445" s="4">
        <v>1.38E-4</v>
      </c>
      <c r="N445" s="4">
        <v>0.117</v>
      </c>
      <c r="O445" s="4">
        <v>0.127</v>
      </c>
      <c r="P445" s="4">
        <v>127.875</v>
      </c>
      <c r="Q445" s="4">
        <v>4.0</v>
      </c>
    </row>
    <row r="446">
      <c r="A446" s="4" t="s">
        <v>903</v>
      </c>
      <c r="B446" s="4" t="s">
        <v>904</v>
      </c>
      <c r="C446" s="5">
        <v>44180.0</v>
      </c>
      <c r="D446" s="4">
        <v>218535.0</v>
      </c>
      <c r="E446" s="4">
        <v>38.0</v>
      </c>
      <c r="F446" s="4">
        <v>0.526</v>
      </c>
      <c r="G446" s="4">
        <v>0.222</v>
      </c>
      <c r="H446" s="4">
        <v>2.0</v>
      </c>
      <c r="I446" s="4">
        <v>-11.855</v>
      </c>
      <c r="J446" s="4">
        <v>0.0</v>
      </c>
      <c r="K446" s="4">
        <v>0.0271</v>
      </c>
      <c r="L446" s="4">
        <v>0.813</v>
      </c>
      <c r="M446" s="4">
        <v>0.0</v>
      </c>
      <c r="N446" s="4">
        <v>0.2</v>
      </c>
      <c r="O446" s="4">
        <v>0.291</v>
      </c>
      <c r="P446" s="4">
        <v>105.404</v>
      </c>
      <c r="Q446" s="4">
        <v>3.0</v>
      </c>
    </row>
    <row r="447">
      <c r="A447" s="4" t="s">
        <v>905</v>
      </c>
      <c r="B447" s="4" t="s">
        <v>906</v>
      </c>
      <c r="C447" s="5">
        <v>40567.0</v>
      </c>
      <c r="D447" s="4">
        <v>285240.0</v>
      </c>
      <c r="E447" s="4">
        <v>81.0</v>
      </c>
      <c r="F447" s="4">
        <v>0.556</v>
      </c>
      <c r="G447" s="4">
        <v>0.319</v>
      </c>
      <c r="H447" s="4">
        <v>9.0</v>
      </c>
      <c r="I447" s="4">
        <v>-8.251</v>
      </c>
      <c r="J447" s="4">
        <v>1.0</v>
      </c>
      <c r="K447" s="4">
        <v>0.0281</v>
      </c>
      <c r="L447" s="4">
        <v>0.893</v>
      </c>
      <c r="M447" s="4">
        <v>0.0</v>
      </c>
      <c r="N447" s="4">
        <v>0.0996</v>
      </c>
      <c r="O447" s="4">
        <v>0.294</v>
      </c>
      <c r="P447" s="4">
        <v>135.187</v>
      </c>
      <c r="Q447" s="4">
        <v>4.0</v>
      </c>
    </row>
    <row r="448">
      <c r="A448" s="4" t="s">
        <v>907</v>
      </c>
      <c r="B448" s="4" t="s">
        <v>908</v>
      </c>
      <c r="C448" s="5">
        <v>38718.0</v>
      </c>
      <c r="D448" s="4">
        <v>268120.0</v>
      </c>
      <c r="E448" s="4">
        <v>75.0</v>
      </c>
      <c r="F448" s="4">
        <v>0.708</v>
      </c>
      <c r="G448" s="4">
        <v>0.641</v>
      </c>
      <c r="H448" s="4">
        <v>7.0</v>
      </c>
      <c r="I448" s="4">
        <v>-4.296</v>
      </c>
      <c r="J448" s="4">
        <v>1.0</v>
      </c>
      <c r="K448" s="4">
        <v>0.0335</v>
      </c>
      <c r="L448" s="4">
        <v>0.205</v>
      </c>
      <c r="M448" s="4">
        <v>0.0</v>
      </c>
      <c r="N448" s="4">
        <v>0.0945</v>
      </c>
      <c r="O448" s="4">
        <v>0.253</v>
      </c>
      <c r="P448" s="4">
        <v>113.082</v>
      </c>
      <c r="Q448" s="4">
        <v>4.0</v>
      </c>
    </row>
    <row r="449">
      <c r="A449" s="4" t="s">
        <v>909</v>
      </c>
      <c r="B449" s="4" t="s">
        <v>910</v>
      </c>
      <c r="C449" s="5">
        <v>24959.0</v>
      </c>
      <c r="D449" s="4">
        <v>162653.0</v>
      </c>
      <c r="E449" s="4">
        <v>69.0</v>
      </c>
      <c r="F449" s="4">
        <v>0.621</v>
      </c>
      <c r="G449" s="4">
        <v>0.524</v>
      </c>
      <c r="H449" s="4">
        <v>0.0</v>
      </c>
      <c r="I449" s="4">
        <v>-15.269</v>
      </c>
      <c r="J449" s="4">
        <v>1.0</v>
      </c>
      <c r="K449" s="4">
        <v>0.0803</v>
      </c>
      <c r="L449" s="4">
        <v>0.0652</v>
      </c>
      <c r="M449" s="4">
        <v>0.00199</v>
      </c>
      <c r="N449" s="4">
        <v>0.893</v>
      </c>
      <c r="O449" s="4">
        <v>0.889</v>
      </c>
      <c r="P449" s="4">
        <v>110.586</v>
      </c>
      <c r="Q449" s="4">
        <v>4.0</v>
      </c>
    </row>
    <row r="450">
      <c r="A450" s="4" t="s">
        <v>911</v>
      </c>
      <c r="B450" s="4" t="s">
        <v>912</v>
      </c>
      <c r="C450" s="5">
        <v>15342.0</v>
      </c>
      <c r="D450" s="4">
        <v>177480.0</v>
      </c>
      <c r="E450" s="4">
        <v>89.0</v>
      </c>
      <c r="F450" s="4">
        <v>0.317</v>
      </c>
      <c r="G450" s="4">
        <v>0.158</v>
      </c>
      <c r="H450" s="4">
        <v>9.0</v>
      </c>
      <c r="I450" s="4">
        <v>-16.485</v>
      </c>
      <c r="J450" s="4">
        <v>1.0</v>
      </c>
      <c r="K450" s="4">
        <v>0.0381</v>
      </c>
      <c r="L450" s="4">
        <v>0.673</v>
      </c>
      <c r="M450" s="4">
        <v>0.353</v>
      </c>
      <c r="N450" s="4">
        <v>0.338</v>
      </c>
      <c r="O450" s="4">
        <v>0.247</v>
      </c>
      <c r="P450" s="4">
        <v>130.503</v>
      </c>
      <c r="Q450" s="4">
        <v>3.0</v>
      </c>
    </row>
    <row r="451">
      <c r="A451" s="4" t="s">
        <v>913</v>
      </c>
      <c r="B451" s="4" t="s">
        <v>914</v>
      </c>
      <c r="C451" s="4">
        <v>2003.0</v>
      </c>
      <c r="D451" s="4">
        <v>237653.0</v>
      </c>
      <c r="E451" s="4">
        <v>53.0</v>
      </c>
      <c r="F451" s="4">
        <v>0.533</v>
      </c>
      <c r="G451" s="4">
        <v>0.889</v>
      </c>
      <c r="H451" s="4">
        <v>7.0</v>
      </c>
      <c r="I451" s="4">
        <v>-4.566</v>
      </c>
      <c r="J451" s="4">
        <v>1.0</v>
      </c>
      <c r="K451" s="4">
        <v>0.0362</v>
      </c>
      <c r="L451" s="4">
        <v>0.00366</v>
      </c>
      <c r="M451" s="4">
        <v>0.0593</v>
      </c>
      <c r="N451" s="4">
        <v>0.338</v>
      </c>
      <c r="O451" s="4">
        <v>0.579</v>
      </c>
      <c r="P451" s="4">
        <v>124.768</v>
      </c>
      <c r="Q451" s="4">
        <v>4.0</v>
      </c>
    </row>
    <row r="452">
      <c r="A452" s="4" t="s">
        <v>915</v>
      </c>
      <c r="B452" s="4" t="s">
        <v>916</v>
      </c>
      <c r="C452" s="4">
        <v>1980.0</v>
      </c>
      <c r="D452" s="4">
        <v>266160.0</v>
      </c>
      <c r="E452" s="4">
        <v>65.0</v>
      </c>
      <c r="F452" s="4">
        <v>0.71</v>
      </c>
      <c r="G452" s="4">
        <v>0.743</v>
      </c>
      <c r="H452" s="4">
        <v>1.0</v>
      </c>
      <c r="I452" s="4">
        <v>-10.553</v>
      </c>
      <c r="J452" s="4">
        <v>1.0</v>
      </c>
      <c r="K452" s="4">
        <v>0.0507</v>
      </c>
      <c r="L452" s="4">
        <v>0.273</v>
      </c>
      <c r="M452" s="4">
        <v>4.06E-4</v>
      </c>
      <c r="N452" s="4">
        <v>0.258</v>
      </c>
      <c r="O452" s="4">
        <v>0.866</v>
      </c>
      <c r="P452" s="4">
        <v>120.277</v>
      </c>
      <c r="Q452" s="4">
        <v>4.0</v>
      </c>
    </row>
    <row r="453">
      <c r="A453" s="4" t="s">
        <v>917</v>
      </c>
      <c r="B453" s="4" t="s">
        <v>918</v>
      </c>
      <c r="C453" s="5">
        <v>43007.0</v>
      </c>
      <c r="D453" s="4">
        <v>571000.0</v>
      </c>
      <c r="E453" s="4">
        <v>45.0</v>
      </c>
      <c r="F453" s="4">
        <v>0.426</v>
      </c>
      <c r="G453" s="4">
        <v>0.395</v>
      </c>
      <c r="H453" s="4">
        <v>0.0</v>
      </c>
      <c r="I453" s="4">
        <v>-12.288</v>
      </c>
      <c r="J453" s="4">
        <v>0.0</v>
      </c>
      <c r="K453" s="4">
        <v>0.0298</v>
      </c>
      <c r="L453" s="4">
        <v>0.533</v>
      </c>
      <c r="M453" s="4">
        <v>4.01E-4</v>
      </c>
      <c r="N453" s="4">
        <v>0.969</v>
      </c>
      <c r="O453" s="4">
        <v>0.135</v>
      </c>
      <c r="P453" s="4">
        <v>73.958</v>
      </c>
      <c r="Q453" s="4">
        <v>4.0</v>
      </c>
    </row>
    <row r="454">
      <c r="A454" s="4" t="s">
        <v>919</v>
      </c>
      <c r="B454" s="4" t="s">
        <v>920</v>
      </c>
      <c r="C454" s="5">
        <v>41640.0</v>
      </c>
      <c r="D454" s="4">
        <v>256760.0</v>
      </c>
      <c r="E454" s="4">
        <v>72.0</v>
      </c>
      <c r="F454" s="4">
        <v>0.527</v>
      </c>
      <c r="G454" s="4">
        <v>0.591</v>
      </c>
      <c r="H454" s="4">
        <v>6.0</v>
      </c>
      <c r="I454" s="4">
        <v>-7.664</v>
      </c>
      <c r="J454" s="4">
        <v>0.0</v>
      </c>
      <c r="K454" s="4">
        <v>0.0396</v>
      </c>
      <c r="L454" s="4">
        <v>0.194</v>
      </c>
      <c r="M454" s="4">
        <v>0.0194</v>
      </c>
      <c r="N454" s="4">
        <v>0.0907</v>
      </c>
      <c r="O454" s="4">
        <v>0.461</v>
      </c>
      <c r="P454" s="4">
        <v>123.167</v>
      </c>
      <c r="Q454" s="4">
        <v>4.0</v>
      </c>
    </row>
    <row r="455">
      <c r="A455" s="4" t="s">
        <v>921</v>
      </c>
      <c r="B455" s="4" t="s">
        <v>922</v>
      </c>
      <c r="C455" s="5">
        <v>41953.0</v>
      </c>
      <c r="D455" s="4">
        <v>209120.0</v>
      </c>
      <c r="E455" s="4">
        <v>44.0</v>
      </c>
      <c r="F455" s="4">
        <v>0.173</v>
      </c>
      <c r="G455" s="4">
        <v>0.389</v>
      </c>
      <c r="H455" s="4">
        <v>9.0</v>
      </c>
      <c r="I455" s="4">
        <v>-14.244</v>
      </c>
      <c r="J455" s="4">
        <v>1.0</v>
      </c>
      <c r="K455" s="4">
        <v>0.0331</v>
      </c>
      <c r="L455" s="4">
        <v>0.293</v>
      </c>
      <c r="M455" s="4">
        <v>0.698</v>
      </c>
      <c r="N455" s="4">
        <v>0.112</v>
      </c>
      <c r="O455" s="4">
        <v>0.0656</v>
      </c>
      <c r="P455" s="4">
        <v>83.45</v>
      </c>
      <c r="Q455" s="4">
        <v>3.0</v>
      </c>
    </row>
    <row r="456">
      <c r="A456" s="4" t="s">
        <v>923</v>
      </c>
      <c r="B456" s="4" t="s">
        <v>924</v>
      </c>
      <c r="C456" s="5">
        <v>28160.0</v>
      </c>
      <c r="D456" s="4">
        <v>270213.0</v>
      </c>
      <c r="E456" s="4">
        <v>81.0</v>
      </c>
      <c r="F456" s="4">
        <v>0.545</v>
      </c>
      <c r="G456" s="4">
        <v>0.67</v>
      </c>
      <c r="H456" s="4">
        <v>9.0</v>
      </c>
      <c r="I456" s="4">
        <v>-8.81</v>
      </c>
      <c r="J456" s="4">
        <v>1.0</v>
      </c>
      <c r="K456" s="4">
        <v>0.0496</v>
      </c>
      <c r="L456" s="4">
        <v>0.009</v>
      </c>
      <c r="M456" s="4">
        <v>8.22E-4</v>
      </c>
      <c r="N456" s="4">
        <v>0.0451</v>
      </c>
      <c r="O456" s="4">
        <v>0.481</v>
      </c>
      <c r="P456" s="4">
        <v>151.553</v>
      </c>
      <c r="Q456" s="4">
        <v>4.0</v>
      </c>
    </row>
    <row r="457">
      <c r="A457" s="4" t="s">
        <v>925</v>
      </c>
      <c r="B457" s="4" t="s">
        <v>926</v>
      </c>
      <c r="C457" s="4">
        <v>1977.0</v>
      </c>
      <c r="D457" s="4">
        <v>303373.0</v>
      </c>
      <c r="E457" s="4">
        <v>81.0</v>
      </c>
      <c r="F457" s="4">
        <v>0.388</v>
      </c>
      <c r="G457" s="4">
        <v>0.338</v>
      </c>
      <c r="H457" s="4">
        <v>10.0</v>
      </c>
      <c r="I457" s="4">
        <v>-10.054</v>
      </c>
      <c r="J457" s="4">
        <v>1.0</v>
      </c>
      <c r="K457" s="4">
        <v>0.0329</v>
      </c>
      <c r="L457" s="4">
        <v>0.652</v>
      </c>
      <c r="M457" s="6">
        <v>3.73E-6</v>
      </c>
      <c r="N457" s="4">
        <v>0.248</v>
      </c>
      <c r="O457" s="4">
        <v>0.478</v>
      </c>
      <c r="P457" s="4">
        <v>177.765</v>
      </c>
      <c r="Q457" s="4">
        <v>4.0</v>
      </c>
    </row>
    <row r="458">
      <c r="A458" s="4" t="s">
        <v>927</v>
      </c>
      <c r="B458" s="4" t="s">
        <v>928</v>
      </c>
      <c r="C458" s="5">
        <v>26456.0</v>
      </c>
      <c r="D458" s="4">
        <v>254293.0</v>
      </c>
      <c r="E458" s="4">
        <v>75.0</v>
      </c>
      <c r="F458" s="4">
        <v>0.486</v>
      </c>
      <c r="G458" s="4">
        <v>0.449</v>
      </c>
      <c r="H458" s="4">
        <v>5.0</v>
      </c>
      <c r="I458" s="4">
        <v>-10.298</v>
      </c>
      <c r="J458" s="4">
        <v>1.0</v>
      </c>
      <c r="K458" s="4">
        <v>0.0267</v>
      </c>
      <c r="L458" s="4">
        <v>0.166</v>
      </c>
      <c r="M458" s="6">
        <v>2.23E-6</v>
      </c>
      <c r="N458" s="4">
        <v>0.54</v>
      </c>
      <c r="O458" s="4">
        <v>0.549</v>
      </c>
      <c r="P458" s="4">
        <v>100.456</v>
      </c>
      <c r="Q458" s="4">
        <v>4.0</v>
      </c>
    </row>
    <row r="459">
      <c r="A459" s="4" t="s">
        <v>929</v>
      </c>
      <c r="B459" s="4" t="s">
        <v>930</v>
      </c>
      <c r="C459" s="5">
        <v>33970.0</v>
      </c>
      <c r="D459" s="4">
        <v>318866.0</v>
      </c>
      <c r="E459" s="4">
        <v>30.0</v>
      </c>
      <c r="F459" s="4">
        <v>0.342</v>
      </c>
      <c r="G459" s="4">
        <v>0.175</v>
      </c>
      <c r="H459" s="4">
        <v>7.0</v>
      </c>
      <c r="I459" s="4">
        <v>-15.424</v>
      </c>
      <c r="J459" s="4">
        <v>0.0</v>
      </c>
      <c r="K459" s="4">
        <v>0.0336</v>
      </c>
      <c r="L459" s="4">
        <v>0.837</v>
      </c>
      <c r="M459" s="4">
        <v>1.8E-4</v>
      </c>
      <c r="N459" s="4">
        <v>0.925</v>
      </c>
      <c r="O459" s="4">
        <v>0.148</v>
      </c>
      <c r="P459" s="4">
        <v>127.73</v>
      </c>
      <c r="Q459" s="4">
        <v>3.0</v>
      </c>
    </row>
    <row r="460">
      <c r="A460" s="4" t="s">
        <v>931</v>
      </c>
      <c r="B460" s="4" t="s">
        <v>932</v>
      </c>
      <c r="C460" s="5">
        <v>36161.0</v>
      </c>
      <c r="D460" s="4">
        <v>638533.0</v>
      </c>
      <c r="E460" s="4">
        <v>20.0</v>
      </c>
      <c r="F460" s="4">
        <v>0.149</v>
      </c>
      <c r="G460" s="4">
        <v>0.0796</v>
      </c>
      <c r="H460" s="4">
        <v>5.0</v>
      </c>
      <c r="I460" s="4">
        <v>-23.58</v>
      </c>
      <c r="J460" s="4">
        <v>1.0</v>
      </c>
      <c r="K460" s="4">
        <v>0.0378</v>
      </c>
      <c r="L460" s="4">
        <v>0.938</v>
      </c>
      <c r="M460" s="4">
        <v>0.912</v>
      </c>
      <c r="N460" s="4">
        <v>0.113</v>
      </c>
      <c r="O460" s="4">
        <v>0.0616</v>
      </c>
      <c r="P460" s="4">
        <v>78.822</v>
      </c>
      <c r="Q460" s="4">
        <v>4.0</v>
      </c>
    </row>
    <row r="461">
      <c r="A461" s="4" t="s">
        <v>933</v>
      </c>
      <c r="B461" s="4" t="s">
        <v>934</v>
      </c>
      <c r="C461" s="5">
        <v>42552.0</v>
      </c>
      <c r="D461" s="4">
        <v>412613.0</v>
      </c>
      <c r="E461" s="4">
        <v>50.0</v>
      </c>
      <c r="F461" s="4">
        <v>0.39</v>
      </c>
      <c r="G461" s="4">
        <v>0.39</v>
      </c>
      <c r="H461" s="4">
        <v>2.0</v>
      </c>
      <c r="I461" s="4">
        <v>-15.14</v>
      </c>
      <c r="J461" s="4">
        <v>1.0</v>
      </c>
      <c r="K461" s="4">
        <v>0.0529</v>
      </c>
      <c r="L461" s="4">
        <v>0.744</v>
      </c>
      <c r="M461" s="4">
        <v>0.0858</v>
      </c>
      <c r="N461" s="4">
        <v>0.0771</v>
      </c>
      <c r="O461" s="4">
        <v>0.0382</v>
      </c>
      <c r="P461" s="4">
        <v>147.055</v>
      </c>
      <c r="Q461" s="4">
        <v>3.0</v>
      </c>
    </row>
    <row r="462">
      <c r="A462" s="4" t="s">
        <v>935</v>
      </c>
      <c r="B462" s="4" t="s">
        <v>936</v>
      </c>
      <c r="C462" s="5">
        <v>41640.0</v>
      </c>
      <c r="D462" s="4">
        <v>371746.0</v>
      </c>
      <c r="E462" s="4">
        <v>35.0</v>
      </c>
      <c r="F462" s="4">
        <v>0.144</v>
      </c>
      <c r="G462" s="4">
        <v>0.347</v>
      </c>
      <c r="H462" s="4">
        <v>10.0</v>
      </c>
      <c r="I462" s="4">
        <v>-12.662</v>
      </c>
      <c r="J462" s="4">
        <v>0.0</v>
      </c>
      <c r="K462" s="4">
        <v>0.041</v>
      </c>
      <c r="L462" s="4">
        <v>0.129</v>
      </c>
      <c r="M462" s="4">
        <v>0.879</v>
      </c>
      <c r="N462" s="4">
        <v>0.11</v>
      </c>
      <c r="O462" s="4">
        <v>0.0332</v>
      </c>
      <c r="P462" s="4">
        <v>86.242</v>
      </c>
      <c r="Q462" s="4">
        <v>3.0</v>
      </c>
    </row>
    <row r="463">
      <c r="A463" s="4" t="s">
        <v>937</v>
      </c>
      <c r="B463" s="4" t="s">
        <v>938</v>
      </c>
      <c r="C463" s="5">
        <v>38251.0</v>
      </c>
      <c r="D463" s="4">
        <v>214146.0</v>
      </c>
      <c r="E463" s="4">
        <v>43.0</v>
      </c>
      <c r="F463" s="4">
        <v>0.661</v>
      </c>
      <c r="G463" s="4">
        <v>0.79</v>
      </c>
      <c r="H463" s="4">
        <v>0.0</v>
      </c>
      <c r="I463" s="4">
        <v>-5.669</v>
      </c>
      <c r="J463" s="4">
        <v>1.0</v>
      </c>
      <c r="K463" s="4">
        <v>0.0515</v>
      </c>
      <c r="L463" s="4">
        <v>0.372</v>
      </c>
      <c r="M463" s="4">
        <v>0.0</v>
      </c>
      <c r="N463" s="4">
        <v>0.285</v>
      </c>
      <c r="O463" s="4">
        <v>0.822</v>
      </c>
      <c r="P463" s="4">
        <v>91.812</v>
      </c>
      <c r="Q463" s="4">
        <v>4.0</v>
      </c>
    </row>
    <row r="464">
      <c r="A464" s="4" t="s">
        <v>939</v>
      </c>
      <c r="B464" s="4" t="s">
        <v>940</v>
      </c>
      <c r="C464" s="5">
        <v>44485.0</v>
      </c>
      <c r="D464" s="4">
        <v>148160.0</v>
      </c>
      <c r="E464" s="4">
        <v>4.0</v>
      </c>
      <c r="F464" s="4">
        <v>0.234</v>
      </c>
      <c r="G464" s="4">
        <v>0.00555</v>
      </c>
      <c r="H464" s="4">
        <v>8.0</v>
      </c>
      <c r="I464" s="4">
        <v>-36.112</v>
      </c>
      <c r="J464" s="4">
        <v>0.0</v>
      </c>
      <c r="K464" s="4">
        <v>0.0448</v>
      </c>
      <c r="L464" s="4">
        <v>0.987</v>
      </c>
      <c r="M464" s="4">
        <v>0.457</v>
      </c>
      <c r="N464" s="4">
        <v>0.122</v>
      </c>
      <c r="O464" s="4">
        <v>0.272</v>
      </c>
      <c r="P464" s="4">
        <v>87.225</v>
      </c>
      <c r="Q464" s="4">
        <v>3.0</v>
      </c>
    </row>
    <row r="465">
      <c r="A465" s="4" t="s">
        <v>941</v>
      </c>
      <c r="B465" s="4" t="s">
        <v>942</v>
      </c>
      <c r="C465" s="5">
        <v>40513.0</v>
      </c>
      <c r="D465" s="4">
        <v>216773.0</v>
      </c>
      <c r="E465" s="4">
        <v>83.0</v>
      </c>
      <c r="F465" s="4">
        <v>0.673</v>
      </c>
      <c r="G465" s="4">
        <v>0.886</v>
      </c>
      <c r="H465" s="4">
        <v>1.0</v>
      </c>
      <c r="I465" s="4">
        <v>-4.44</v>
      </c>
      <c r="J465" s="4">
        <v>0.0</v>
      </c>
      <c r="K465" s="4">
        <v>0.0431</v>
      </c>
      <c r="L465" s="4">
        <v>0.185</v>
      </c>
      <c r="M465" s="4">
        <v>0.0</v>
      </c>
      <c r="N465" s="4">
        <v>0.0826</v>
      </c>
      <c r="O465" s="4">
        <v>0.795</v>
      </c>
      <c r="P465" s="4">
        <v>97.012</v>
      </c>
      <c r="Q465" s="4">
        <v>4.0</v>
      </c>
    </row>
    <row r="466">
      <c r="A466" s="4" t="s">
        <v>943</v>
      </c>
      <c r="B466" s="4" t="s">
        <v>944</v>
      </c>
      <c r="C466" s="5">
        <v>25164.0</v>
      </c>
      <c r="D466" s="4">
        <v>138386.0</v>
      </c>
      <c r="E466" s="4">
        <v>75.0</v>
      </c>
      <c r="F466" s="4">
        <v>0.686</v>
      </c>
      <c r="G466" s="4">
        <v>0.127</v>
      </c>
      <c r="H466" s="4">
        <v>7.0</v>
      </c>
      <c r="I466" s="4">
        <v>-14.361</v>
      </c>
      <c r="J466" s="4">
        <v>1.0</v>
      </c>
      <c r="K466" s="4">
        <v>0.0342</v>
      </c>
      <c r="L466" s="4">
        <v>0.754</v>
      </c>
      <c r="M466" s="6">
        <v>1.41E-5</v>
      </c>
      <c r="N466" s="4">
        <v>0.0573</v>
      </c>
      <c r="O466" s="4">
        <v>0.372</v>
      </c>
      <c r="P466" s="4">
        <v>93.699</v>
      </c>
      <c r="Q466" s="4">
        <v>4.0</v>
      </c>
    </row>
    <row r="467">
      <c r="A467" s="4" t="s">
        <v>945</v>
      </c>
      <c r="B467" s="4" t="s">
        <v>946</v>
      </c>
      <c r="C467" s="5">
        <v>39237.0</v>
      </c>
      <c r="D467" s="4">
        <v>281600.0</v>
      </c>
      <c r="E467" s="4">
        <v>14.0</v>
      </c>
      <c r="F467" s="4">
        <v>0.353</v>
      </c>
      <c r="G467" s="4">
        <v>0.385</v>
      </c>
      <c r="H467" s="4">
        <v>0.0</v>
      </c>
      <c r="I467" s="4">
        <v>-10.695</v>
      </c>
      <c r="J467" s="4">
        <v>1.0</v>
      </c>
      <c r="K467" s="4">
        <v>0.0276</v>
      </c>
      <c r="L467" s="4">
        <v>0.764</v>
      </c>
      <c r="M467" s="4">
        <v>2.05E-4</v>
      </c>
      <c r="N467" s="4">
        <v>0.111</v>
      </c>
      <c r="O467" s="4">
        <v>0.149</v>
      </c>
      <c r="P467" s="4">
        <v>161.937</v>
      </c>
      <c r="Q467" s="4">
        <v>4.0</v>
      </c>
    </row>
    <row r="468">
      <c r="A468" s="4" t="s">
        <v>947</v>
      </c>
      <c r="B468" s="4" t="s">
        <v>256</v>
      </c>
      <c r="C468" s="5">
        <v>31027.0</v>
      </c>
      <c r="D468" s="4">
        <v>277160.0</v>
      </c>
      <c r="E468" s="4">
        <v>67.0</v>
      </c>
      <c r="F468" s="4">
        <v>0.28</v>
      </c>
      <c r="G468" s="4">
        <v>0.344</v>
      </c>
      <c r="H468" s="4">
        <v>0.0</v>
      </c>
      <c r="I468" s="4">
        <v>-12.577</v>
      </c>
      <c r="J468" s="4">
        <v>1.0</v>
      </c>
      <c r="K468" s="4">
        <v>0.0293</v>
      </c>
      <c r="L468" s="4">
        <v>0.715</v>
      </c>
      <c r="M468" s="4">
        <v>0.00642</v>
      </c>
      <c r="N468" s="4">
        <v>0.133</v>
      </c>
      <c r="O468" s="4">
        <v>0.232</v>
      </c>
      <c r="P468" s="4">
        <v>171.143</v>
      </c>
      <c r="Q468" s="4">
        <v>3.0</v>
      </c>
    </row>
    <row r="469">
      <c r="A469" s="4" t="s">
        <v>948</v>
      </c>
      <c r="B469" s="4" t="s">
        <v>949</v>
      </c>
      <c r="C469" s="4">
        <v>1999.0</v>
      </c>
      <c r="D469" s="4">
        <v>214093.0</v>
      </c>
      <c r="E469" s="4">
        <v>26.0</v>
      </c>
      <c r="F469" s="4">
        <v>0.108</v>
      </c>
      <c r="G469" s="4">
        <v>0.187</v>
      </c>
      <c r="H469" s="4">
        <v>4.0</v>
      </c>
      <c r="I469" s="4">
        <v>-18.676</v>
      </c>
      <c r="J469" s="4">
        <v>0.0</v>
      </c>
      <c r="K469" s="4">
        <v>0.0468</v>
      </c>
      <c r="L469" s="4">
        <v>0.954</v>
      </c>
      <c r="M469" s="4">
        <v>4.48E-4</v>
      </c>
      <c r="N469" s="4">
        <v>0.0968</v>
      </c>
      <c r="O469" s="4">
        <v>0.101</v>
      </c>
      <c r="P469" s="4">
        <v>169.613</v>
      </c>
      <c r="Q469" s="4">
        <v>3.0</v>
      </c>
    </row>
    <row r="470">
      <c r="A470" s="4" t="s">
        <v>950</v>
      </c>
      <c r="B470" s="4" t="s">
        <v>951</v>
      </c>
      <c r="C470" s="5">
        <v>43059.0</v>
      </c>
      <c r="D470" s="4">
        <v>284080.0</v>
      </c>
      <c r="E470" s="4">
        <v>10.0</v>
      </c>
      <c r="F470" s="4">
        <v>0.521</v>
      </c>
      <c r="G470" s="4">
        <v>0.274</v>
      </c>
      <c r="H470" s="4">
        <v>2.0</v>
      </c>
      <c r="I470" s="4">
        <v>-9.683</v>
      </c>
      <c r="J470" s="4">
        <v>1.0</v>
      </c>
      <c r="K470" s="4">
        <v>0.0431</v>
      </c>
      <c r="L470" s="4">
        <v>0.944</v>
      </c>
      <c r="M470" s="6">
        <v>2.65E-6</v>
      </c>
      <c r="N470" s="4">
        <v>0.114</v>
      </c>
      <c r="O470" s="4">
        <v>0.232</v>
      </c>
      <c r="P470" s="4">
        <v>168.111</v>
      </c>
      <c r="Q470" s="4">
        <v>4.0</v>
      </c>
    </row>
    <row r="471">
      <c r="A471" s="4" t="s">
        <v>952</v>
      </c>
      <c r="B471" s="4" t="s">
        <v>953</v>
      </c>
      <c r="C471" s="5">
        <v>41863.0</v>
      </c>
      <c r="D471" s="4">
        <v>328506.0</v>
      </c>
      <c r="E471" s="4">
        <v>66.0</v>
      </c>
      <c r="F471" s="4">
        <v>0.444</v>
      </c>
      <c r="G471" s="4">
        <v>0.35</v>
      </c>
      <c r="H471" s="4">
        <v>9.0</v>
      </c>
      <c r="I471" s="4">
        <v>-7.194</v>
      </c>
      <c r="J471" s="4">
        <v>1.0</v>
      </c>
      <c r="K471" s="4">
        <v>0.0483</v>
      </c>
      <c r="L471" s="4">
        <v>0.453</v>
      </c>
      <c r="M471" s="4">
        <v>0.109</v>
      </c>
      <c r="N471" s="4">
        <v>0.0824</v>
      </c>
      <c r="O471" s="4">
        <v>0.0973</v>
      </c>
      <c r="P471" s="4">
        <v>95.979</v>
      </c>
      <c r="Q471" s="4">
        <v>3.0</v>
      </c>
    </row>
    <row r="472">
      <c r="A472" s="4" t="s">
        <v>954</v>
      </c>
      <c r="B472" s="4" t="s">
        <v>955</v>
      </c>
      <c r="C472" s="5">
        <v>43434.0</v>
      </c>
      <c r="D472" s="4">
        <v>219506.0</v>
      </c>
      <c r="E472" s="4">
        <v>53.0</v>
      </c>
      <c r="F472" s="4">
        <v>0.636</v>
      </c>
      <c r="G472" s="4">
        <v>0.575</v>
      </c>
      <c r="H472" s="4">
        <v>10.0</v>
      </c>
      <c r="I472" s="4">
        <v>-4.624</v>
      </c>
      <c r="J472" s="4">
        <v>1.0</v>
      </c>
      <c r="K472" s="4">
        <v>0.0315</v>
      </c>
      <c r="L472" s="4">
        <v>0.0117</v>
      </c>
      <c r="M472" s="4">
        <v>0.861</v>
      </c>
      <c r="N472" s="4">
        <v>0.12</v>
      </c>
      <c r="O472" s="4">
        <v>0.193</v>
      </c>
      <c r="P472" s="4">
        <v>119.996</v>
      </c>
      <c r="Q472" s="4">
        <v>4.0</v>
      </c>
    </row>
    <row r="473">
      <c r="A473" s="4" t="s">
        <v>956</v>
      </c>
      <c r="B473" s="4" t="s">
        <v>957</v>
      </c>
      <c r="C473" s="5">
        <v>29135.0</v>
      </c>
      <c r="D473" s="4">
        <v>218440.0</v>
      </c>
      <c r="E473" s="4">
        <v>56.0</v>
      </c>
      <c r="F473" s="4">
        <v>0.496</v>
      </c>
      <c r="G473" s="4">
        <v>0.849</v>
      </c>
      <c r="H473" s="4">
        <v>7.0</v>
      </c>
      <c r="I473" s="4">
        <v>-6.512</v>
      </c>
      <c r="J473" s="4">
        <v>1.0</v>
      </c>
      <c r="K473" s="4">
        <v>0.0401</v>
      </c>
      <c r="L473" s="4">
        <v>0.0202</v>
      </c>
      <c r="M473" s="4">
        <v>0.573</v>
      </c>
      <c r="N473" s="4">
        <v>0.102</v>
      </c>
      <c r="O473" s="4">
        <v>0.65</v>
      </c>
      <c r="P473" s="4">
        <v>153.724</v>
      </c>
      <c r="Q473" s="4">
        <v>4.0</v>
      </c>
    </row>
    <row r="474">
      <c r="A474" s="4" t="s">
        <v>958</v>
      </c>
      <c r="B474" s="4" t="s">
        <v>959</v>
      </c>
      <c r="C474" s="5">
        <v>36526.0</v>
      </c>
      <c r="D474" s="4">
        <v>214666.0</v>
      </c>
      <c r="E474" s="4">
        <v>12.0</v>
      </c>
      <c r="F474" s="4">
        <v>0.197</v>
      </c>
      <c r="G474" s="4">
        <v>0.598</v>
      </c>
      <c r="H474" s="4">
        <v>11.0</v>
      </c>
      <c r="I474" s="4">
        <v>-12.658</v>
      </c>
      <c r="J474" s="4">
        <v>0.0</v>
      </c>
      <c r="K474" s="4">
        <v>0.0431</v>
      </c>
      <c r="L474" s="4">
        <v>0.189</v>
      </c>
      <c r="M474" s="6">
        <v>1.48E-5</v>
      </c>
      <c r="N474" s="4">
        <v>0.153</v>
      </c>
      <c r="O474" s="4">
        <v>0.765</v>
      </c>
      <c r="P474" s="4">
        <v>82.188</v>
      </c>
      <c r="Q474" s="4">
        <v>4.0</v>
      </c>
    </row>
    <row r="475">
      <c r="A475" s="4" t="s">
        <v>960</v>
      </c>
      <c r="B475" s="4" t="s">
        <v>961</v>
      </c>
      <c r="C475" s="5">
        <v>42405.0</v>
      </c>
      <c r="D475" s="4">
        <v>262373.0</v>
      </c>
      <c r="E475" s="4">
        <v>62.0</v>
      </c>
      <c r="F475" s="4">
        <v>0.555</v>
      </c>
      <c r="G475" s="4">
        <v>0.363</v>
      </c>
      <c r="H475" s="4">
        <v>4.0</v>
      </c>
      <c r="I475" s="4">
        <v>-7.606</v>
      </c>
      <c r="J475" s="4">
        <v>1.0</v>
      </c>
      <c r="K475" s="4">
        <v>0.0336</v>
      </c>
      <c r="L475" s="4">
        <v>0.914</v>
      </c>
      <c r="M475" s="4">
        <v>0.0</v>
      </c>
      <c r="N475" s="4">
        <v>0.085</v>
      </c>
      <c r="O475" s="4">
        <v>0.412</v>
      </c>
      <c r="P475" s="4">
        <v>124.031</v>
      </c>
      <c r="Q475" s="4">
        <v>4.0</v>
      </c>
    </row>
    <row r="476">
      <c r="A476" s="4" t="s">
        <v>962</v>
      </c>
      <c r="B476" s="4" t="s">
        <v>963</v>
      </c>
      <c r="C476" s="4">
        <v>2001.0</v>
      </c>
      <c r="D476" s="4">
        <v>363266.0</v>
      </c>
      <c r="E476" s="4">
        <v>47.0</v>
      </c>
      <c r="F476" s="4">
        <v>0.238</v>
      </c>
      <c r="G476" s="4">
        <v>0.932</v>
      </c>
      <c r="H476" s="4">
        <v>4.0</v>
      </c>
      <c r="I476" s="4">
        <v>-5.809</v>
      </c>
      <c r="J476" s="4">
        <v>1.0</v>
      </c>
      <c r="K476" s="4">
        <v>0.0912</v>
      </c>
      <c r="L476" s="4">
        <v>0.00326</v>
      </c>
      <c r="M476" s="4">
        <v>0.298</v>
      </c>
      <c r="N476" s="4">
        <v>0.114</v>
      </c>
      <c r="O476" s="4">
        <v>0.186</v>
      </c>
      <c r="P476" s="4">
        <v>150.899</v>
      </c>
      <c r="Q476" s="4">
        <v>4.0</v>
      </c>
    </row>
    <row r="477">
      <c r="A477" s="4" t="s">
        <v>964</v>
      </c>
      <c r="B477" s="4" t="s">
        <v>965</v>
      </c>
      <c r="C477" s="5">
        <v>42142.0</v>
      </c>
      <c r="D477" s="4">
        <v>236653.0</v>
      </c>
      <c r="E477" s="4">
        <v>35.0</v>
      </c>
      <c r="F477" s="4">
        <v>0.683</v>
      </c>
      <c r="G477" s="4">
        <v>0.414</v>
      </c>
      <c r="H477" s="4">
        <v>5.0</v>
      </c>
      <c r="I477" s="4">
        <v>-8.363</v>
      </c>
      <c r="J477" s="4">
        <v>1.0</v>
      </c>
      <c r="K477" s="4">
        <v>0.0285</v>
      </c>
      <c r="L477" s="4">
        <v>0.0482</v>
      </c>
      <c r="M477" s="4">
        <v>0.00424</v>
      </c>
      <c r="N477" s="4">
        <v>0.143</v>
      </c>
      <c r="O477" s="4">
        <v>0.234</v>
      </c>
      <c r="P477" s="4">
        <v>136.015</v>
      </c>
      <c r="Q477" s="4">
        <v>4.0</v>
      </c>
    </row>
    <row r="478">
      <c r="A478" s="4" t="s">
        <v>966</v>
      </c>
      <c r="B478" s="4" t="s">
        <v>967</v>
      </c>
      <c r="C478" s="5">
        <v>38665.0</v>
      </c>
      <c r="D478" s="4">
        <v>210240.0</v>
      </c>
      <c r="E478" s="4">
        <v>11.0</v>
      </c>
      <c r="F478" s="4">
        <v>0.428</v>
      </c>
      <c r="G478" s="4">
        <v>0.767</v>
      </c>
      <c r="H478" s="4">
        <v>4.0</v>
      </c>
      <c r="I478" s="4">
        <v>-7.762</v>
      </c>
      <c r="J478" s="4">
        <v>1.0</v>
      </c>
      <c r="K478" s="4">
        <v>0.0302</v>
      </c>
      <c r="L478" s="6">
        <v>5.44E-5</v>
      </c>
      <c r="M478" s="4">
        <v>0.00665</v>
      </c>
      <c r="N478" s="4">
        <v>0.113</v>
      </c>
      <c r="O478" s="4">
        <v>0.84</v>
      </c>
      <c r="P478" s="4">
        <v>141.619</v>
      </c>
      <c r="Q478" s="4">
        <v>4.0</v>
      </c>
    </row>
    <row r="479">
      <c r="A479" s="4" t="s">
        <v>968</v>
      </c>
      <c r="B479" s="4" t="s">
        <v>969</v>
      </c>
      <c r="C479" s="5">
        <v>42832.0</v>
      </c>
      <c r="D479" s="4">
        <v>869000.0</v>
      </c>
      <c r="E479" s="4">
        <v>14.0</v>
      </c>
      <c r="F479" s="4">
        <v>0.204</v>
      </c>
      <c r="G479" s="4">
        <v>0.448</v>
      </c>
      <c r="H479" s="4">
        <v>6.0</v>
      </c>
      <c r="I479" s="4">
        <v>-17.302</v>
      </c>
      <c r="J479" s="4">
        <v>1.0</v>
      </c>
      <c r="K479" s="4">
        <v>0.0737</v>
      </c>
      <c r="L479" s="4">
        <v>0.304</v>
      </c>
      <c r="M479" s="4">
        <v>0.829</v>
      </c>
      <c r="N479" s="4">
        <v>0.111</v>
      </c>
      <c r="O479" s="4">
        <v>0.052</v>
      </c>
      <c r="P479" s="4">
        <v>106.177</v>
      </c>
      <c r="Q479" s="4">
        <v>4.0</v>
      </c>
    </row>
    <row r="480">
      <c r="A480" s="4" t="s">
        <v>970</v>
      </c>
      <c r="B480" s="4" t="s">
        <v>971</v>
      </c>
      <c r="C480" s="5">
        <v>42482.0</v>
      </c>
      <c r="D480" s="4">
        <v>339460.0</v>
      </c>
      <c r="E480" s="4">
        <v>48.0</v>
      </c>
      <c r="F480" s="4">
        <v>0.706</v>
      </c>
      <c r="G480" s="4">
        <v>0.625</v>
      </c>
      <c r="H480" s="4">
        <v>1.0</v>
      </c>
      <c r="I480" s="4">
        <v>-9.941</v>
      </c>
      <c r="J480" s="4">
        <v>1.0</v>
      </c>
      <c r="K480" s="4">
        <v>0.0355</v>
      </c>
      <c r="L480" s="4">
        <v>0.0512</v>
      </c>
      <c r="M480" s="4">
        <v>0.687</v>
      </c>
      <c r="N480" s="4">
        <v>0.0816</v>
      </c>
      <c r="O480" s="4">
        <v>0.0635</v>
      </c>
      <c r="P480" s="4">
        <v>99.979</v>
      </c>
      <c r="Q480" s="4">
        <v>4.0</v>
      </c>
    </row>
    <row r="481">
      <c r="A481" s="4" t="s">
        <v>972</v>
      </c>
      <c r="B481" s="4" t="s">
        <v>973</v>
      </c>
      <c r="C481" s="4">
        <v>1992.0</v>
      </c>
      <c r="D481" s="4">
        <v>246066.0</v>
      </c>
      <c r="E481" s="4">
        <v>32.0</v>
      </c>
      <c r="F481" s="4">
        <v>0.211</v>
      </c>
      <c r="G481" s="4">
        <v>0.108</v>
      </c>
      <c r="H481" s="4">
        <v>10.0</v>
      </c>
      <c r="I481" s="4">
        <v>-17.314</v>
      </c>
      <c r="J481" s="4">
        <v>0.0</v>
      </c>
      <c r="K481" s="4">
        <v>0.042</v>
      </c>
      <c r="L481" s="4">
        <v>0.468</v>
      </c>
      <c r="M481" s="4">
        <v>0.852</v>
      </c>
      <c r="N481" s="4">
        <v>0.321</v>
      </c>
      <c r="O481" s="4">
        <v>0.0444</v>
      </c>
      <c r="P481" s="4">
        <v>79.025</v>
      </c>
      <c r="Q481" s="4">
        <v>4.0</v>
      </c>
    </row>
    <row r="482">
      <c r="A482" s="4" t="s">
        <v>974</v>
      </c>
      <c r="B482" s="4" t="s">
        <v>975</v>
      </c>
      <c r="C482" s="5">
        <v>41876.0</v>
      </c>
      <c r="D482" s="4">
        <v>461360.0</v>
      </c>
      <c r="E482" s="4">
        <v>36.0</v>
      </c>
      <c r="F482" s="4">
        <v>0.243</v>
      </c>
      <c r="G482" s="4">
        <v>0.261</v>
      </c>
      <c r="H482" s="4">
        <v>2.0</v>
      </c>
      <c r="I482" s="4">
        <v>-15.782</v>
      </c>
      <c r="J482" s="4">
        <v>0.0</v>
      </c>
      <c r="K482" s="4">
        <v>0.033</v>
      </c>
      <c r="L482" s="4">
        <v>0.412</v>
      </c>
      <c r="M482" s="4">
        <v>0.491</v>
      </c>
      <c r="N482" s="4">
        <v>0.186</v>
      </c>
      <c r="O482" s="4">
        <v>0.0606</v>
      </c>
      <c r="P482" s="4">
        <v>180.557</v>
      </c>
      <c r="Q482" s="4">
        <v>3.0</v>
      </c>
    </row>
    <row r="483">
      <c r="A483" s="4" t="s">
        <v>976</v>
      </c>
      <c r="B483" s="4" t="s">
        <v>977</v>
      </c>
      <c r="C483" s="5">
        <v>41156.0</v>
      </c>
      <c r="D483" s="4">
        <v>175200.0</v>
      </c>
      <c r="E483" s="4">
        <v>74.0</v>
      </c>
      <c r="F483" s="4">
        <v>0.505</v>
      </c>
      <c r="G483" s="4">
        <v>0.71</v>
      </c>
      <c r="H483" s="4">
        <v>3.0</v>
      </c>
      <c r="I483" s="4">
        <v>-3.015</v>
      </c>
      <c r="J483" s="4">
        <v>1.0</v>
      </c>
      <c r="K483" s="4">
        <v>0.0321</v>
      </c>
      <c r="L483" s="4">
        <v>0.19</v>
      </c>
      <c r="M483" s="4">
        <v>2.5E-4</v>
      </c>
      <c r="N483" s="4">
        <v>0.329</v>
      </c>
      <c r="O483" s="4">
        <v>0.428</v>
      </c>
      <c r="P483" s="4">
        <v>89.938</v>
      </c>
      <c r="Q483" s="4">
        <v>4.0</v>
      </c>
    </row>
    <row r="484">
      <c r="A484" s="4" t="s">
        <v>978</v>
      </c>
      <c r="B484" s="4" t="s">
        <v>979</v>
      </c>
      <c r="C484" s="5">
        <v>41399.0</v>
      </c>
      <c r="D484" s="4">
        <v>185815.0</v>
      </c>
      <c r="E484" s="4">
        <v>42.0</v>
      </c>
      <c r="F484" s="4">
        <v>0.525</v>
      </c>
      <c r="G484" s="4">
        <v>0.482</v>
      </c>
      <c r="H484" s="4">
        <v>2.0</v>
      </c>
      <c r="I484" s="4">
        <v>-16.438</v>
      </c>
      <c r="J484" s="4">
        <v>1.0</v>
      </c>
      <c r="K484" s="4">
        <v>0.0294</v>
      </c>
      <c r="L484" s="4">
        <v>0.155</v>
      </c>
      <c r="M484" s="4">
        <v>0.895</v>
      </c>
      <c r="N484" s="4">
        <v>0.0927</v>
      </c>
      <c r="O484" s="4">
        <v>0.208</v>
      </c>
      <c r="P484" s="4">
        <v>84.985</v>
      </c>
      <c r="Q484" s="4">
        <v>4.0</v>
      </c>
    </row>
    <row r="485">
      <c r="A485" s="4" t="s">
        <v>980</v>
      </c>
      <c r="B485" s="4" t="s">
        <v>981</v>
      </c>
      <c r="C485" s="5">
        <v>39373.0</v>
      </c>
      <c r="D485" s="4">
        <v>398253.0</v>
      </c>
      <c r="E485" s="4">
        <v>41.0</v>
      </c>
      <c r="F485" s="4">
        <v>0.528</v>
      </c>
      <c r="G485" s="4">
        <v>0.77</v>
      </c>
      <c r="H485" s="4">
        <v>5.0</v>
      </c>
      <c r="I485" s="4">
        <v>-5.483</v>
      </c>
      <c r="J485" s="4">
        <v>1.0</v>
      </c>
      <c r="K485" s="4">
        <v>0.0385</v>
      </c>
      <c r="L485" s="4">
        <v>0.0214</v>
      </c>
      <c r="M485" s="6">
        <v>2.07E-6</v>
      </c>
      <c r="N485" s="4">
        <v>0.18</v>
      </c>
      <c r="O485" s="4">
        <v>0.409</v>
      </c>
      <c r="P485" s="4">
        <v>129.945</v>
      </c>
      <c r="Q485" s="4">
        <v>3.0</v>
      </c>
    </row>
    <row r="486">
      <c r="A486" s="4" t="s">
        <v>982</v>
      </c>
      <c r="B486" s="4" t="s">
        <v>983</v>
      </c>
      <c r="C486" s="5">
        <v>33970.0</v>
      </c>
      <c r="D486" s="4">
        <v>184866.0</v>
      </c>
      <c r="E486" s="4">
        <v>17.0</v>
      </c>
      <c r="F486" s="4">
        <v>0.166</v>
      </c>
      <c r="G486" s="4">
        <v>0.00892</v>
      </c>
      <c r="H486" s="4">
        <v>10.0</v>
      </c>
      <c r="I486" s="4">
        <v>-24.274</v>
      </c>
      <c r="J486" s="4">
        <v>0.0</v>
      </c>
      <c r="K486" s="4">
        <v>0.0414</v>
      </c>
      <c r="L486" s="4">
        <v>0.896</v>
      </c>
      <c r="M486" s="4">
        <v>0.925</v>
      </c>
      <c r="N486" s="4">
        <v>0.644</v>
      </c>
      <c r="O486" s="4">
        <v>0.129</v>
      </c>
      <c r="P486" s="4">
        <v>87.503</v>
      </c>
      <c r="Q486" s="4">
        <v>4.0</v>
      </c>
    </row>
    <row r="487">
      <c r="A487" s="4" t="s">
        <v>984</v>
      </c>
      <c r="B487" s="4" t="s">
        <v>985</v>
      </c>
      <c r="C487" s="5">
        <v>39252.0</v>
      </c>
      <c r="D487" s="4">
        <v>496573.0</v>
      </c>
      <c r="E487" s="4">
        <v>52.0</v>
      </c>
      <c r="F487" s="4">
        <v>0.278</v>
      </c>
      <c r="G487" s="4">
        <v>0.472</v>
      </c>
      <c r="H487" s="4">
        <v>4.0</v>
      </c>
      <c r="I487" s="4">
        <v>-16.421</v>
      </c>
      <c r="J487" s="4">
        <v>1.0</v>
      </c>
      <c r="K487" s="4">
        <v>0.0295</v>
      </c>
      <c r="L487" s="4">
        <v>0.105</v>
      </c>
      <c r="M487" s="4">
        <v>0.874</v>
      </c>
      <c r="N487" s="4">
        <v>0.0631</v>
      </c>
      <c r="O487" s="4">
        <v>0.134</v>
      </c>
      <c r="P487" s="4">
        <v>115.069</v>
      </c>
      <c r="Q487" s="4">
        <v>3.0</v>
      </c>
    </row>
    <row r="488">
      <c r="A488" s="4" t="s">
        <v>986</v>
      </c>
      <c r="B488" s="4" t="s">
        <v>987</v>
      </c>
      <c r="C488" s="5">
        <v>39090.0</v>
      </c>
      <c r="D488" s="4">
        <v>676986.0</v>
      </c>
      <c r="E488" s="4">
        <v>52.0</v>
      </c>
      <c r="F488" s="4">
        <v>0.263</v>
      </c>
      <c r="G488" s="4">
        <v>0.171</v>
      </c>
      <c r="H488" s="4">
        <v>1.0</v>
      </c>
      <c r="I488" s="4">
        <v>-11.748</v>
      </c>
      <c r="J488" s="4">
        <v>1.0</v>
      </c>
      <c r="K488" s="4">
        <v>0.0338</v>
      </c>
      <c r="L488" s="4">
        <v>0.241</v>
      </c>
      <c r="M488" s="4">
        <v>0.87</v>
      </c>
      <c r="N488" s="4">
        <v>0.0766</v>
      </c>
      <c r="O488" s="4">
        <v>0.038</v>
      </c>
      <c r="P488" s="4">
        <v>111.995</v>
      </c>
      <c r="Q488" s="4">
        <v>4.0</v>
      </c>
    </row>
    <row r="489">
      <c r="A489" s="4" t="s">
        <v>988</v>
      </c>
      <c r="B489" s="4" t="s">
        <v>989</v>
      </c>
      <c r="C489" s="5">
        <v>40022.0</v>
      </c>
      <c r="D489" s="4">
        <v>165346.0</v>
      </c>
      <c r="E489" s="4">
        <v>23.0</v>
      </c>
      <c r="F489" s="4">
        <v>0.124</v>
      </c>
      <c r="G489" s="4">
        <v>0.115</v>
      </c>
      <c r="H489" s="4">
        <v>2.0</v>
      </c>
      <c r="I489" s="4">
        <v>-21.32</v>
      </c>
      <c r="J489" s="4">
        <v>1.0</v>
      </c>
      <c r="K489" s="4">
        <v>0.0391</v>
      </c>
      <c r="L489" s="4">
        <v>0.964</v>
      </c>
      <c r="M489" s="4">
        <v>0.86</v>
      </c>
      <c r="N489" s="4">
        <v>0.129</v>
      </c>
      <c r="O489" s="4">
        <v>0.145</v>
      </c>
      <c r="P489" s="4">
        <v>96.24</v>
      </c>
      <c r="Q489" s="4">
        <v>3.0</v>
      </c>
    </row>
    <row r="490">
      <c r="A490" s="4" t="s">
        <v>990</v>
      </c>
      <c r="B490" s="4" t="s">
        <v>991</v>
      </c>
      <c r="C490" s="5">
        <v>34464.0</v>
      </c>
      <c r="D490" s="4">
        <v>479066.0</v>
      </c>
      <c r="E490" s="4">
        <v>56.0</v>
      </c>
      <c r="F490" s="4">
        <v>0.507</v>
      </c>
      <c r="G490" s="4">
        <v>0.535</v>
      </c>
      <c r="H490" s="4">
        <v>1.0</v>
      </c>
      <c r="I490" s="4">
        <v>-9.051</v>
      </c>
      <c r="J490" s="4">
        <v>1.0</v>
      </c>
      <c r="K490" s="4">
        <v>0.0261</v>
      </c>
      <c r="L490" s="4">
        <v>0.00215</v>
      </c>
      <c r="M490" s="4">
        <v>0.495</v>
      </c>
      <c r="N490" s="4">
        <v>0.111</v>
      </c>
      <c r="O490" s="4">
        <v>0.403</v>
      </c>
      <c r="P490" s="4">
        <v>78.049</v>
      </c>
      <c r="Q490" s="4">
        <v>4.0</v>
      </c>
    </row>
    <row r="491">
      <c r="A491" s="4" t="s">
        <v>992</v>
      </c>
      <c r="B491" s="4" t="s">
        <v>993</v>
      </c>
      <c r="C491" s="5">
        <v>27649.0</v>
      </c>
      <c r="D491" s="4">
        <v>334743.0</v>
      </c>
      <c r="E491" s="4">
        <v>77.0</v>
      </c>
      <c r="F491" s="4">
        <v>0.481</v>
      </c>
      <c r="G491" s="4">
        <v>0.262</v>
      </c>
      <c r="H491" s="4">
        <v>7.0</v>
      </c>
      <c r="I491" s="4">
        <v>-15.73</v>
      </c>
      <c r="J491" s="4">
        <v>1.0</v>
      </c>
      <c r="K491" s="4">
        <v>0.0414</v>
      </c>
      <c r="L491" s="4">
        <v>0.735</v>
      </c>
      <c r="M491" s="4">
        <v>0.0114</v>
      </c>
      <c r="N491" s="4">
        <v>0.832</v>
      </c>
      <c r="O491" s="4">
        <v>0.375</v>
      </c>
      <c r="P491" s="4">
        <v>122.861</v>
      </c>
      <c r="Q491" s="4">
        <v>4.0</v>
      </c>
    </row>
    <row r="492">
      <c r="A492" s="4" t="s">
        <v>994</v>
      </c>
      <c r="B492" s="4" t="s">
        <v>995</v>
      </c>
      <c r="C492" s="5">
        <v>39896.0</v>
      </c>
      <c r="D492" s="4">
        <v>230800.0</v>
      </c>
      <c r="E492" s="4">
        <v>64.0</v>
      </c>
      <c r="F492" s="4">
        <v>0.531</v>
      </c>
      <c r="G492" s="4">
        <v>0.821</v>
      </c>
      <c r="H492" s="4">
        <v>2.0</v>
      </c>
      <c r="I492" s="4">
        <v>-6.812</v>
      </c>
      <c r="J492" s="4">
        <v>1.0</v>
      </c>
      <c r="K492" s="4">
        <v>0.0439</v>
      </c>
      <c r="L492" s="4">
        <v>0.0701</v>
      </c>
      <c r="M492" s="4">
        <v>0.171</v>
      </c>
      <c r="N492" s="4">
        <v>0.124</v>
      </c>
      <c r="O492" s="4">
        <v>0.34</v>
      </c>
      <c r="P492" s="4">
        <v>129.139</v>
      </c>
      <c r="Q492" s="4">
        <v>4.0</v>
      </c>
    </row>
    <row r="493">
      <c r="A493" s="4" t="s">
        <v>996</v>
      </c>
      <c r="B493" s="4" t="s">
        <v>997</v>
      </c>
      <c r="C493" s="5">
        <v>36962.0</v>
      </c>
      <c r="D493" s="4">
        <v>288733.0</v>
      </c>
      <c r="E493" s="4">
        <v>62.0</v>
      </c>
      <c r="F493" s="4">
        <v>0.12</v>
      </c>
      <c r="G493" s="4">
        <v>0.336</v>
      </c>
      <c r="H493" s="4">
        <v>11.0</v>
      </c>
      <c r="I493" s="4">
        <v>-8.298</v>
      </c>
      <c r="J493" s="4">
        <v>0.0</v>
      </c>
      <c r="K493" s="4">
        <v>0.0352</v>
      </c>
      <c r="L493" s="4">
        <v>0.786</v>
      </c>
      <c r="M493" s="4">
        <v>0.404</v>
      </c>
      <c r="N493" s="4">
        <v>0.111</v>
      </c>
      <c r="O493" s="4">
        <v>0.0679</v>
      </c>
      <c r="P493" s="4">
        <v>72.64</v>
      </c>
      <c r="Q493" s="4">
        <v>4.0</v>
      </c>
    </row>
    <row r="494">
      <c r="A494" s="4" t="s">
        <v>998</v>
      </c>
      <c r="B494" s="4" t="s">
        <v>999</v>
      </c>
      <c r="C494" s="5">
        <v>39622.0</v>
      </c>
      <c r="D494" s="4">
        <v>246413.0</v>
      </c>
      <c r="E494" s="4">
        <v>32.0</v>
      </c>
      <c r="F494" s="4">
        <v>0.39</v>
      </c>
      <c r="G494" s="4">
        <v>0.857</v>
      </c>
      <c r="H494" s="4">
        <v>7.0</v>
      </c>
      <c r="I494" s="4">
        <v>-5.293</v>
      </c>
      <c r="J494" s="4">
        <v>1.0</v>
      </c>
      <c r="K494" s="4">
        <v>0.0296</v>
      </c>
      <c r="L494" s="4">
        <v>0.343</v>
      </c>
      <c r="M494" s="4">
        <v>0.0185</v>
      </c>
      <c r="N494" s="4">
        <v>0.367</v>
      </c>
      <c r="O494" s="4">
        <v>0.616</v>
      </c>
      <c r="P494" s="4">
        <v>106.282</v>
      </c>
      <c r="Q494" s="4">
        <v>4.0</v>
      </c>
    </row>
    <row r="495">
      <c r="A495" s="4" t="s">
        <v>1000</v>
      </c>
      <c r="B495" s="4" t="s">
        <v>1001</v>
      </c>
      <c r="C495" s="5">
        <v>40701.0</v>
      </c>
      <c r="D495" s="4">
        <v>205506.0</v>
      </c>
      <c r="E495" s="4">
        <v>27.0</v>
      </c>
      <c r="F495" s="4">
        <v>0.552</v>
      </c>
      <c r="G495" s="4">
        <v>0.898</v>
      </c>
      <c r="H495" s="4">
        <v>5.0</v>
      </c>
      <c r="I495" s="4">
        <v>-5.158</v>
      </c>
      <c r="J495" s="4">
        <v>0.0</v>
      </c>
      <c r="K495" s="4">
        <v>0.0927</v>
      </c>
      <c r="L495" s="4">
        <v>0.00626</v>
      </c>
      <c r="M495" s="4">
        <v>0.0</v>
      </c>
      <c r="N495" s="4">
        <v>0.0831</v>
      </c>
      <c r="O495" s="4">
        <v>0.49</v>
      </c>
      <c r="P495" s="4">
        <v>123.871</v>
      </c>
      <c r="Q495" s="4">
        <v>4.0</v>
      </c>
    </row>
    <row r="496">
      <c r="A496" s="4" t="s">
        <v>1002</v>
      </c>
      <c r="B496" s="4" t="s">
        <v>1003</v>
      </c>
      <c r="C496" s="5">
        <v>36983.0</v>
      </c>
      <c r="D496" s="4">
        <v>279893.0</v>
      </c>
      <c r="E496" s="4">
        <v>57.0</v>
      </c>
      <c r="F496" s="4">
        <v>0.501</v>
      </c>
      <c r="G496" s="4">
        <v>0.76</v>
      </c>
      <c r="H496" s="4">
        <v>2.0</v>
      </c>
      <c r="I496" s="4">
        <v>-5.802</v>
      </c>
      <c r="J496" s="4">
        <v>0.0</v>
      </c>
      <c r="K496" s="4">
        <v>0.0343</v>
      </c>
      <c r="L496" s="4">
        <v>0.00268</v>
      </c>
      <c r="M496" s="4">
        <v>0.0616</v>
      </c>
      <c r="N496" s="4">
        <v>0.152</v>
      </c>
      <c r="O496" s="4">
        <v>0.138</v>
      </c>
      <c r="P496" s="4">
        <v>83.046</v>
      </c>
      <c r="Q496" s="4">
        <v>4.0</v>
      </c>
    </row>
    <row r="497">
      <c r="A497" s="4" t="s">
        <v>1004</v>
      </c>
      <c r="B497" s="4" t="s">
        <v>20</v>
      </c>
      <c r="C497" s="5">
        <v>37622.0</v>
      </c>
      <c r="D497" s="4">
        <v>257399.0</v>
      </c>
      <c r="E497" s="4">
        <v>66.0</v>
      </c>
      <c r="F497" s="4">
        <v>0.477</v>
      </c>
      <c r="G497" s="4">
        <v>0.907</v>
      </c>
      <c r="H497" s="4">
        <v>1.0</v>
      </c>
      <c r="I497" s="4">
        <v>-4.814</v>
      </c>
      <c r="J497" s="4">
        <v>0.0</v>
      </c>
      <c r="K497" s="4">
        <v>0.0899</v>
      </c>
      <c r="L497" s="6">
        <v>8.0E-5</v>
      </c>
      <c r="M497" s="6">
        <v>7.82E-5</v>
      </c>
      <c r="N497" s="4">
        <v>0.149</v>
      </c>
      <c r="O497" s="4">
        <v>0.304</v>
      </c>
      <c r="P497" s="4">
        <v>81.291</v>
      </c>
      <c r="Q497" s="4">
        <v>4.0</v>
      </c>
    </row>
    <row r="498">
      <c r="A498" s="4" t="s">
        <v>1005</v>
      </c>
      <c r="B498" s="4" t="s">
        <v>1006</v>
      </c>
      <c r="C498" s="5">
        <v>42461.0</v>
      </c>
      <c r="D498" s="4">
        <v>237300.0</v>
      </c>
      <c r="E498" s="4">
        <v>80.0</v>
      </c>
      <c r="F498" s="4">
        <v>0.765</v>
      </c>
      <c r="G498" s="4">
        <v>0.473</v>
      </c>
      <c r="H498" s="4">
        <v>10.0</v>
      </c>
      <c r="I498" s="4">
        <v>-5.829</v>
      </c>
      <c r="J498" s="4">
        <v>1.0</v>
      </c>
      <c r="K498" s="4">
        <v>0.0514</v>
      </c>
      <c r="L498" s="4">
        <v>0.287</v>
      </c>
      <c r="M498" s="4">
        <v>0.0</v>
      </c>
      <c r="N498" s="4">
        <v>0.391</v>
      </c>
      <c r="O498" s="4">
        <v>0.34</v>
      </c>
      <c r="P498" s="4">
        <v>119.992</v>
      </c>
      <c r="Q498" s="4">
        <v>4.0</v>
      </c>
    </row>
    <row r="499">
      <c r="A499" s="4" t="s">
        <v>1007</v>
      </c>
      <c r="B499" s="4" t="s">
        <v>1008</v>
      </c>
      <c r="C499" s="5">
        <v>42377.0</v>
      </c>
      <c r="D499" s="4">
        <v>382386.0</v>
      </c>
      <c r="E499" s="4">
        <v>59.0</v>
      </c>
      <c r="F499" s="4">
        <v>0.66</v>
      </c>
      <c r="G499" s="4">
        <v>0.695</v>
      </c>
      <c r="H499" s="4">
        <v>9.0</v>
      </c>
      <c r="I499" s="4">
        <v>-6.896</v>
      </c>
      <c r="J499" s="4">
        <v>0.0</v>
      </c>
      <c r="K499" s="4">
        <v>0.029</v>
      </c>
      <c r="L499" s="4">
        <v>0.0466</v>
      </c>
      <c r="M499" s="4">
        <v>0.145</v>
      </c>
      <c r="N499" s="4">
        <v>0.0854</v>
      </c>
      <c r="O499" s="4">
        <v>0.506</v>
      </c>
      <c r="P499" s="4">
        <v>129.972</v>
      </c>
      <c r="Q499" s="4">
        <v>4.0</v>
      </c>
    </row>
    <row r="500">
      <c r="A500" s="4" t="s">
        <v>1009</v>
      </c>
      <c r="B500" s="4" t="s">
        <v>1010</v>
      </c>
      <c r="C500" s="5">
        <v>33498.0</v>
      </c>
      <c r="D500" s="4">
        <v>536066.0</v>
      </c>
      <c r="E500" s="4">
        <v>80.0</v>
      </c>
      <c r="F500" s="4">
        <v>0.294</v>
      </c>
      <c r="G500" s="4">
        <v>0.641</v>
      </c>
      <c r="H500" s="4">
        <v>11.0</v>
      </c>
      <c r="I500" s="4">
        <v>-9.316</v>
      </c>
      <c r="J500" s="4">
        <v>1.0</v>
      </c>
      <c r="K500" s="4">
        <v>0.0291</v>
      </c>
      <c r="L500" s="4">
        <v>0.0163</v>
      </c>
      <c r="M500" s="4">
        <v>0.22</v>
      </c>
      <c r="N500" s="4">
        <v>0.112</v>
      </c>
      <c r="O500" s="4">
        <v>0.226</v>
      </c>
      <c r="P500" s="4">
        <v>79.759</v>
      </c>
      <c r="Q500" s="4">
        <v>4.0</v>
      </c>
    </row>
    <row r="501">
      <c r="A501" s="4" t="s">
        <v>1011</v>
      </c>
      <c r="B501" s="4" t="s">
        <v>1012</v>
      </c>
      <c r="C501" s="5">
        <v>36892.0</v>
      </c>
      <c r="D501" s="4">
        <v>189506.0</v>
      </c>
      <c r="E501" s="4">
        <v>68.0</v>
      </c>
      <c r="F501" s="4">
        <v>0.345</v>
      </c>
      <c r="G501" s="4">
        <v>0.0581</v>
      </c>
      <c r="H501" s="4">
        <v>3.0</v>
      </c>
      <c r="I501" s="4">
        <v>-17.217</v>
      </c>
      <c r="J501" s="4">
        <v>1.0</v>
      </c>
      <c r="K501" s="4">
        <v>0.0374</v>
      </c>
      <c r="L501" s="4">
        <v>0.976</v>
      </c>
      <c r="M501" s="4">
        <v>3.66E-4</v>
      </c>
      <c r="N501" s="4">
        <v>0.103</v>
      </c>
      <c r="O501" s="4">
        <v>0.304</v>
      </c>
      <c r="P501" s="4">
        <v>174.117</v>
      </c>
      <c r="Q501" s="4">
        <v>4.0</v>
      </c>
    </row>
    <row r="502">
      <c r="A502" s="4" t="s">
        <v>1013</v>
      </c>
      <c r="B502" s="4" t="s">
        <v>1014</v>
      </c>
      <c r="C502" s="5">
        <v>32797.0</v>
      </c>
      <c r="D502" s="4">
        <v>214000.0</v>
      </c>
      <c r="E502" s="4">
        <v>39.0</v>
      </c>
      <c r="F502" s="4">
        <v>0.353</v>
      </c>
      <c r="G502" s="4">
        <v>0.113</v>
      </c>
      <c r="H502" s="4">
        <v>8.0</v>
      </c>
      <c r="I502" s="4">
        <v>-18.752</v>
      </c>
      <c r="J502" s="4">
        <v>1.0</v>
      </c>
      <c r="K502" s="4">
        <v>0.0399</v>
      </c>
      <c r="L502" s="4">
        <v>0.888</v>
      </c>
      <c r="M502" s="6">
        <v>4.77E-5</v>
      </c>
      <c r="N502" s="4">
        <v>0.121</v>
      </c>
      <c r="O502" s="4">
        <v>0.169</v>
      </c>
      <c r="P502" s="4">
        <v>128.304</v>
      </c>
      <c r="Q502" s="4">
        <v>4.0</v>
      </c>
    </row>
    <row r="503">
      <c r="A503" s="4" t="s">
        <v>1015</v>
      </c>
      <c r="B503" s="4" t="s">
        <v>1016</v>
      </c>
      <c r="C503" s="5">
        <v>33840.0</v>
      </c>
      <c r="D503" s="4">
        <v>232453.0</v>
      </c>
      <c r="E503" s="4">
        <v>53.0</v>
      </c>
      <c r="F503" s="4">
        <v>0.355</v>
      </c>
      <c r="G503" s="4">
        <v>0.395</v>
      </c>
      <c r="H503" s="4">
        <v>1.0</v>
      </c>
      <c r="I503" s="4">
        <v>-14.726</v>
      </c>
      <c r="J503" s="4">
        <v>1.0</v>
      </c>
      <c r="K503" s="4">
        <v>0.0309</v>
      </c>
      <c r="L503" s="4">
        <v>0.532</v>
      </c>
      <c r="M503" s="4">
        <v>0.0</v>
      </c>
      <c r="N503" s="4">
        <v>0.0341</v>
      </c>
      <c r="O503" s="4">
        <v>0.591</v>
      </c>
      <c r="P503" s="4">
        <v>203.937</v>
      </c>
      <c r="Q503" s="4">
        <v>3.0</v>
      </c>
    </row>
    <row r="504">
      <c r="A504" s="4" t="s">
        <v>1017</v>
      </c>
      <c r="B504" s="4" t="s">
        <v>1018</v>
      </c>
      <c r="C504" s="5">
        <v>44477.0</v>
      </c>
      <c r="D504" s="4">
        <v>539440.0</v>
      </c>
      <c r="E504" s="4">
        <v>4.0</v>
      </c>
      <c r="F504" s="4">
        <v>0.476</v>
      </c>
      <c r="G504" s="4">
        <v>0.0376</v>
      </c>
      <c r="H504" s="4">
        <v>2.0</v>
      </c>
      <c r="I504" s="4">
        <v>-22.772</v>
      </c>
      <c r="J504" s="4">
        <v>0.0</v>
      </c>
      <c r="K504" s="4">
        <v>0.0417</v>
      </c>
      <c r="L504" s="4">
        <v>0.942</v>
      </c>
      <c r="M504" s="4">
        <v>0.0736</v>
      </c>
      <c r="N504" s="4">
        <v>0.074</v>
      </c>
      <c r="O504" s="4">
        <v>0.293</v>
      </c>
      <c r="P504" s="4">
        <v>92.164</v>
      </c>
      <c r="Q504" s="4">
        <v>4.0</v>
      </c>
    </row>
    <row r="505">
      <c r="A505" s="4" t="s">
        <v>1019</v>
      </c>
      <c r="B505" s="4" t="s">
        <v>1020</v>
      </c>
      <c r="C505" s="4">
        <v>1963.0</v>
      </c>
      <c r="D505" s="4">
        <v>181266.0</v>
      </c>
      <c r="E505" s="4">
        <v>92.0</v>
      </c>
      <c r="F505" s="4">
        <v>0.529</v>
      </c>
      <c r="G505" s="4">
        <v>0.772</v>
      </c>
      <c r="H505" s="4">
        <v>2.0</v>
      </c>
      <c r="I505" s="4">
        <v>-7.013</v>
      </c>
      <c r="J505" s="4">
        <v>1.0</v>
      </c>
      <c r="K505" s="4">
        <v>0.0287</v>
      </c>
      <c r="L505" s="4">
        <v>0.403</v>
      </c>
      <c r="M505" s="6">
        <v>2.21E-6</v>
      </c>
      <c r="N505" s="4">
        <v>0.316</v>
      </c>
      <c r="O505" s="4">
        <v>0.853</v>
      </c>
      <c r="P505" s="4">
        <v>91.751</v>
      </c>
      <c r="Q505" s="4">
        <v>4.0</v>
      </c>
    </row>
    <row r="506">
      <c r="A506" s="4" t="s">
        <v>1021</v>
      </c>
      <c r="B506" s="4" t="s">
        <v>1022</v>
      </c>
      <c r="C506" s="5">
        <v>40368.0</v>
      </c>
      <c r="D506" s="4">
        <v>275546.0</v>
      </c>
      <c r="E506" s="4">
        <v>73.0</v>
      </c>
      <c r="F506" s="4">
        <v>0.221</v>
      </c>
      <c r="G506" s="4">
        <v>0.0879</v>
      </c>
      <c r="H506" s="4">
        <v>7.0</v>
      </c>
      <c r="I506" s="4">
        <v>-16.996</v>
      </c>
      <c r="J506" s="4">
        <v>1.0</v>
      </c>
      <c r="K506" s="4">
        <v>0.0381</v>
      </c>
      <c r="L506" s="4">
        <v>0.155</v>
      </c>
      <c r="M506" s="4">
        <v>0.698</v>
      </c>
      <c r="N506" s="4">
        <v>0.0869</v>
      </c>
      <c r="O506" s="4">
        <v>0.0401</v>
      </c>
      <c r="P506" s="4">
        <v>126.622</v>
      </c>
      <c r="Q506" s="4">
        <v>4.0</v>
      </c>
    </row>
    <row r="507">
      <c r="A507" s="4" t="s">
        <v>1023</v>
      </c>
      <c r="B507" s="4" t="s">
        <v>1024</v>
      </c>
      <c r="C507" s="5">
        <v>23092.0</v>
      </c>
      <c r="D507" s="4">
        <v>155226.0</v>
      </c>
      <c r="E507" s="4">
        <v>75.0</v>
      </c>
      <c r="F507" s="4">
        <v>0.482</v>
      </c>
      <c r="G507" s="4">
        <v>0.849</v>
      </c>
      <c r="H507" s="4">
        <v>2.0</v>
      </c>
      <c r="I507" s="4">
        <v>-9.198</v>
      </c>
      <c r="J507" s="4">
        <v>1.0</v>
      </c>
      <c r="K507" s="4">
        <v>0.0452</v>
      </c>
      <c r="L507" s="4">
        <v>0.641</v>
      </c>
      <c r="M507" s="6">
        <v>7.74E-6</v>
      </c>
      <c r="N507" s="4">
        <v>0.0414</v>
      </c>
      <c r="O507" s="4">
        <v>0.937</v>
      </c>
      <c r="P507" s="4">
        <v>124.631</v>
      </c>
      <c r="Q507" s="4">
        <v>4.0</v>
      </c>
    </row>
    <row r="508">
      <c r="A508" s="4" t="s">
        <v>1025</v>
      </c>
      <c r="B508" s="4" t="s">
        <v>1026</v>
      </c>
      <c r="C508" s="5">
        <v>34588.0</v>
      </c>
      <c r="D508" s="4">
        <v>263586.0</v>
      </c>
      <c r="E508" s="4">
        <v>32.0</v>
      </c>
      <c r="F508" s="4">
        <v>0.219</v>
      </c>
      <c r="G508" s="4">
        <v>0.842</v>
      </c>
      <c r="H508" s="4">
        <v>11.0</v>
      </c>
      <c r="I508" s="4">
        <v>-8.824</v>
      </c>
      <c r="J508" s="4">
        <v>1.0</v>
      </c>
      <c r="K508" s="4">
        <v>0.053</v>
      </c>
      <c r="L508" s="6">
        <v>1.55E-6</v>
      </c>
      <c r="M508" s="4">
        <v>0.865</v>
      </c>
      <c r="N508" s="4">
        <v>0.664</v>
      </c>
      <c r="O508" s="4">
        <v>0.388</v>
      </c>
      <c r="P508" s="4">
        <v>121.476</v>
      </c>
      <c r="Q508" s="4">
        <v>4.0</v>
      </c>
    </row>
    <row r="509">
      <c r="A509" s="4" t="s">
        <v>1027</v>
      </c>
      <c r="B509" s="4" t="s">
        <v>1028</v>
      </c>
      <c r="C509" s="5">
        <v>41464.0</v>
      </c>
      <c r="D509" s="4">
        <v>223800.0</v>
      </c>
      <c r="E509" s="4">
        <v>44.0</v>
      </c>
      <c r="F509" s="4">
        <v>0.499</v>
      </c>
      <c r="G509" s="4">
        <v>0.401</v>
      </c>
      <c r="H509" s="4">
        <v>9.0</v>
      </c>
      <c r="I509" s="4">
        <v>-9.043</v>
      </c>
      <c r="J509" s="4">
        <v>1.0</v>
      </c>
      <c r="K509" s="4">
        <v>0.0304</v>
      </c>
      <c r="L509" s="4">
        <v>0.116</v>
      </c>
      <c r="M509" s="4">
        <v>0.0364</v>
      </c>
      <c r="N509" s="4">
        <v>0.109</v>
      </c>
      <c r="O509" s="4">
        <v>0.297</v>
      </c>
      <c r="P509" s="4">
        <v>111.889</v>
      </c>
      <c r="Q509" s="4">
        <v>3.0</v>
      </c>
    </row>
    <row r="510">
      <c r="A510" s="4" t="s">
        <v>1029</v>
      </c>
      <c r="B510" s="4" t="s">
        <v>1030</v>
      </c>
      <c r="C510" s="5">
        <v>41595.0</v>
      </c>
      <c r="D510" s="4">
        <v>351875.0</v>
      </c>
      <c r="E510" s="4">
        <v>48.0</v>
      </c>
      <c r="F510" s="4">
        <v>0.43</v>
      </c>
      <c r="G510" s="4">
        <v>0.639</v>
      </c>
      <c r="H510" s="4">
        <v>3.0</v>
      </c>
      <c r="I510" s="4">
        <v>-8.125</v>
      </c>
      <c r="J510" s="4">
        <v>0.0</v>
      </c>
      <c r="K510" s="4">
        <v>0.0401</v>
      </c>
      <c r="L510" s="4">
        <v>0.132</v>
      </c>
      <c r="M510" s="4">
        <v>0.942</v>
      </c>
      <c r="N510" s="4">
        <v>0.196</v>
      </c>
      <c r="O510" s="4">
        <v>0.171</v>
      </c>
      <c r="P510" s="4">
        <v>151.437</v>
      </c>
      <c r="Q510" s="4">
        <v>4.0</v>
      </c>
    </row>
    <row r="511">
      <c r="A511" s="4" t="s">
        <v>1031</v>
      </c>
      <c r="B511" s="4" t="s">
        <v>1032</v>
      </c>
      <c r="C511" s="5">
        <v>31699.0</v>
      </c>
      <c r="D511" s="4">
        <v>227600.0</v>
      </c>
      <c r="E511" s="4">
        <v>71.0</v>
      </c>
      <c r="F511" s="4">
        <v>0.397</v>
      </c>
      <c r="G511" s="4">
        <v>0.207</v>
      </c>
      <c r="H511" s="4">
        <v>0.0</v>
      </c>
      <c r="I511" s="4">
        <v>-13.155</v>
      </c>
      <c r="J511" s="4">
        <v>1.0</v>
      </c>
      <c r="K511" s="4">
        <v>0.0331</v>
      </c>
      <c r="L511" s="4">
        <v>0.701</v>
      </c>
      <c r="M511" s="6">
        <v>3.07E-5</v>
      </c>
      <c r="N511" s="4">
        <v>0.116</v>
      </c>
      <c r="O511" s="4">
        <v>0.268</v>
      </c>
      <c r="P511" s="4">
        <v>171.282</v>
      </c>
      <c r="Q511" s="4">
        <v>4.0</v>
      </c>
    </row>
    <row r="512">
      <c r="A512" s="4" t="s">
        <v>1033</v>
      </c>
      <c r="B512" s="4" t="s">
        <v>1034</v>
      </c>
      <c r="C512" s="5">
        <v>40909.0</v>
      </c>
      <c r="D512" s="4">
        <v>240706.0</v>
      </c>
      <c r="E512" s="4">
        <v>69.0</v>
      </c>
      <c r="F512" s="4">
        <v>0.621</v>
      </c>
      <c r="G512" s="4">
        <v>0.31</v>
      </c>
      <c r="H512" s="4">
        <v>9.0</v>
      </c>
      <c r="I512" s="4">
        <v>-10.164</v>
      </c>
      <c r="J512" s="4">
        <v>0.0</v>
      </c>
      <c r="K512" s="4">
        <v>0.0283</v>
      </c>
      <c r="L512" s="4">
        <v>0.945</v>
      </c>
      <c r="M512" s="6">
        <v>6.12E-5</v>
      </c>
      <c r="N512" s="4">
        <v>0.117</v>
      </c>
      <c r="O512" s="4">
        <v>0.125</v>
      </c>
      <c r="P512" s="4">
        <v>111.893</v>
      </c>
      <c r="Q512" s="4">
        <v>4.0</v>
      </c>
    </row>
    <row r="513">
      <c r="A513" s="4" t="s">
        <v>1035</v>
      </c>
      <c r="B513" s="4" t="s">
        <v>1036</v>
      </c>
      <c r="C513" s="5">
        <v>40834.0</v>
      </c>
      <c r="D513" s="4">
        <v>285120.0</v>
      </c>
      <c r="E513" s="4">
        <v>81.0</v>
      </c>
      <c r="F513" s="4">
        <v>0.421</v>
      </c>
      <c r="G513" s="4">
        <v>0.407</v>
      </c>
      <c r="H513" s="4">
        <v>10.0</v>
      </c>
      <c r="I513" s="4">
        <v>-7.445</v>
      </c>
      <c r="J513" s="4">
        <v>1.0</v>
      </c>
      <c r="K513" s="4">
        <v>0.0267</v>
      </c>
      <c r="L513" s="4">
        <v>0.309</v>
      </c>
      <c r="M513" s="4">
        <v>9.61E-4</v>
      </c>
      <c r="N513" s="4">
        <v>0.11</v>
      </c>
      <c r="O513" s="4">
        <v>0.161</v>
      </c>
      <c r="P513" s="4">
        <v>139.028</v>
      </c>
      <c r="Q513" s="4">
        <v>3.0</v>
      </c>
    </row>
    <row r="514">
      <c r="A514" s="4" t="s">
        <v>1037</v>
      </c>
      <c r="B514" s="4" t="s">
        <v>1038</v>
      </c>
      <c r="C514" s="5">
        <v>31992.0</v>
      </c>
      <c r="D514" s="4">
        <v>267306.0</v>
      </c>
      <c r="E514" s="4">
        <v>75.0</v>
      </c>
      <c r="F514" s="4">
        <v>0.267</v>
      </c>
      <c r="G514" s="4">
        <v>0.953</v>
      </c>
      <c r="H514" s="4">
        <v>1.0</v>
      </c>
      <c r="I514" s="4">
        <v>-4.899</v>
      </c>
      <c r="J514" s="4">
        <v>0.0</v>
      </c>
      <c r="K514" s="4">
        <v>0.096</v>
      </c>
      <c r="L514" s="4">
        <v>0.00211</v>
      </c>
      <c r="M514" s="4">
        <v>0.0</v>
      </c>
      <c r="N514" s="4">
        <v>0.283</v>
      </c>
      <c r="O514" s="4">
        <v>0.568</v>
      </c>
      <c r="P514" s="4">
        <v>84.989</v>
      </c>
      <c r="Q514" s="4">
        <v>4.0</v>
      </c>
    </row>
    <row r="515">
      <c r="A515" s="4" t="s">
        <v>1039</v>
      </c>
      <c r="B515" s="4" t="s">
        <v>1040</v>
      </c>
      <c r="C515" s="5">
        <v>36284.0</v>
      </c>
      <c r="D515" s="4">
        <v>254346.0</v>
      </c>
      <c r="E515" s="4">
        <v>62.0</v>
      </c>
      <c r="F515" s="4">
        <v>0.471</v>
      </c>
      <c r="G515" s="4">
        <v>0.411</v>
      </c>
      <c r="H515" s="4">
        <v>2.0</v>
      </c>
      <c r="I515" s="4">
        <v>-15.755</v>
      </c>
      <c r="J515" s="4">
        <v>1.0</v>
      </c>
      <c r="K515" s="4">
        <v>0.041</v>
      </c>
      <c r="L515" s="4">
        <v>0.733</v>
      </c>
      <c r="M515" s="4">
        <v>0.853</v>
      </c>
      <c r="N515" s="4">
        <v>0.28</v>
      </c>
      <c r="O515" s="4">
        <v>0.282</v>
      </c>
      <c r="P515" s="4">
        <v>79.986</v>
      </c>
      <c r="Q515" s="4">
        <v>4.0</v>
      </c>
    </row>
    <row r="516">
      <c r="A516" s="4" t="s">
        <v>1041</v>
      </c>
      <c r="B516" s="4" t="s">
        <v>1042</v>
      </c>
      <c r="C516" s="5">
        <v>33560.0</v>
      </c>
      <c r="D516" s="4">
        <v>276186.0</v>
      </c>
      <c r="E516" s="4">
        <v>78.0</v>
      </c>
      <c r="F516" s="4">
        <v>0.392</v>
      </c>
      <c r="G516" s="4">
        <v>0.534</v>
      </c>
      <c r="H516" s="4">
        <v>0.0</v>
      </c>
      <c r="I516" s="4">
        <v>-8.793</v>
      </c>
      <c r="J516" s="4">
        <v>1.0</v>
      </c>
      <c r="K516" s="4">
        <v>0.0369</v>
      </c>
      <c r="L516" s="4">
        <v>0.245</v>
      </c>
      <c r="M516" s="4">
        <v>0.00104</v>
      </c>
      <c r="N516" s="4">
        <v>0.155</v>
      </c>
      <c r="O516" s="4">
        <v>0.325</v>
      </c>
      <c r="P516" s="4">
        <v>181.305</v>
      </c>
      <c r="Q516" s="4">
        <v>4.0</v>
      </c>
    </row>
    <row r="517">
      <c r="A517" s="4" t="s">
        <v>1043</v>
      </c>
      <c r="B517" s="4" t="s">
        <v>1044</v>
      </c>
      <c r="C517" s="5">
        <v>33399.0</v>
      </c>
      <c r="D517" s="4">
        <v>308426.0</v>
      </c>
      <c r="E517" s="4">
        <v>64.0</v>
      </c>
      <c r="F517" s="4">
        <v>0.592</v>
      </c>
      <c r="G517" s="4">
        <v>0.835</v>
      </c>
      <c r="H517" s="4">
        <v>7.0</v>
      </c>
      <c r="I517" s="4">
        <v>-8.475</v>
      </c>
      <c r="J517" s="4">
        <v>1.0</v>
      </c>
      <c r="K517" s="4">
        <v>0.032</v>
      </c>
      <c r="L517" s="4">
        <v>0.0393</v>
      </c>
      <c r="M517" s="4">
        <v>0.209</v>
      </c>
      <c r="N517" s="4">
        <v>0.665</v>
      </c>
      <c r="O517" s="4">
        <v>0.703</v>
      </c>
      <c r="P517" s="4">
        <v>114.436</v>
      </c>
      <c r="Q517" s="4">
        <v>4.0</v>
      </c>
    </row>
    <row r="518">
      <c r="A518" s="4" t="s">
        <v>1045</v>
      </c>
      <c r="B518" s="4" t="s">
        <v>1046</v>
      </c>
      <c r="C518" s="5">
        <v>35578.0</v>
      </c>
      <c r="D518" s="4">
        <v>258813.0</v>
      </c>
      <c r="E518" s="4">
        <v>59.0</v>
      </c>
      <c r="F518" s="4">
        <v>0.213</v>
      </c>
      <c r="G518" s="4">
        <v>0.4</v>
      </c>
      <c r="H518" s="4">
        <v>11.0</v>
      </c>
      <c r="I518" s="4">
        <v>-9.813</v>
      </c>
      <c r="J518" s="4">
        <v>0.0</v>
      </c>
      <c r="K518" s="4">
        <v>0.0324</v>
      </c>
      <c r="L518" s="4">
        <v>0.053</v>
      </c>
      <c r="M518" s="4">
        <v>0.612</v>
      </c>
      <c r="N518" s="4">
        <v>0.111</v>
      </c>
      <c r="O518" s="4">
        <v>0.195</v>
      </c>
      <c r="P518" s="4">
        <v>133.369</v>
      </c>
      <c r="Q518" s="4">
        <v>4.0</v>
      </c>
    </row>
    <row r="519">
      <c r="A519" s="4" t="s">
        <v>1047</v>
      </c>
      <c r="B519" s="4" t="s">
        <v>1048</v>
      </c>
      <c r="C519" s="5">
        <v>33239.0</v>
      </c>
      <c r="D519" s="4">
        <v>490680.0</v>
      </c>
      <c r="E519" s="4">
        <v>49.0</v>
      </c>
      <c r="F519" s="4">
        <v>0.523</v>
      </c>
      <c r="G519" s="4">
        <v>0.706</v>
      </c>
      <c r="H519" s="4">
        <v>0.0</v>
      </c>
      <c r="I519" s="4">
        <v>-9.837</v>
      </c>
      <c r="J519" s="4">
        <v>1.0</v>
      </c>
      <c r="K519" s="4">
        <v>0.0465</v>
      </c>
      <c r="L519" s="4">
        <v>7.96E-4</v>
      </c>
      <c r="M519" s="4">
        <v>0.313</v>
      </c>
      <c r="N519" s="4">
        <v>0.112</v>
      </c>
      <c r="O519" s="4">
        <v>0.345</v>
      </c>
      <c r="P519" s="4">
        <v>119.693</v>
      </c>
      <c r="Q519" s="4">
        <v>4.0</v>
      </c>
    </row>
    <row r="520">
      <c r="A520" s="4" t="s">
        <v>1049</v>
      </c>
      <c r="B520" s="4" t="s">
        <v>1050</v>
      </c>
      <c r="C520" s="5">
        <v>32391.0</v>
      </c>
      <c r="D520" s="4">
        <v>587173.0</v>
      </c>
      <c r="E520" s="4">
        <v>29.0</v>
      </c>
      <c r="F520" s="4">
        <v>0.222</v>
      </c>
      <c r="G520" s="4">
        <v>0.494</v>
      </c>
      <c r="H520" s="4">
        <v>7.0</v>
      </c>
      <c r="I520" s="4">
        <v>-9.567</v>
      </c>
      <c r="J520" s="4">
        <v>1.0</v>
      </c>
      <c r="K520" s="4">
        <v>0.0339</v>
      </c>
      <c r="L520" s="4">
        <v>0.462</v>
      </c>
      <c r="M520" s="4">
        <v>0.446</v>
      </c>
      <c r="N520" s="4">
        <v>0.416</v>
      </c>
      <c r="O520" s="4">
        <v>0.119</v>
      </c>
      <c r="P520" s="4">
        <v>104.381</v>
      </c>
      <c r="Q520" s="4">
        <v>4.0</v>
      </c>
    </row>
    <row r="521">
      <c r="A521" s="4" t="s">
        <v>1051</v>
      </c>
      <c r="B521" s="4" t="s">
        <v>1052</v>
      </c>
      <c r="C521" s="5">
        <v>42321.0</v>
      </c>
      <c r="D521" s="4">
        <v>230226.0</v>
      </c>
      <c r="E521" s="4">
        <v>74.0</v>
      </c>
      <c r="F521" s="4">
        <v>0.573</v>
      </c>
      <c r="G521" s="4">
        <v>0.739</v>
      </c>
      <c r="H521" s="4">
        <v>0.0</v>
      </c>
      <c r="I521" s="4">
        <v>-5.74</v>
      </c>
      <c r="J521" s="4">
        <v>1.0</v>
      </c>
      <c r="K521" s="4">
        <v>0.129</v>
      </c>
      <c r="L521" s="4">
        <v>0.0285</v>
      </c>
      <c r="M521" s="4">
        <v>0.0</v>
      </c>
      <c r="N521" s="4">
        <v>0.111</v>
      </c>
      <c r="O521" s="4">
        <v>0.451</v>
      </c>
      <c r="P521" s="4">
        <v>97.085</v>
      </c>
      <c r="Q521" s="4">
        <v>4.0</v>
      </c>
    </row>
    <row r="522">
      <c r="A522" s="4" t="s">
        <v>1053</v>
      </c>
      <c r="B522" s="4" t="s">
        <v>1054</v>
      </c>
      <c r="C522" s="5">
        <v>34335.0</v>
      </c>
      <c r="D522" s="4">
        <v>303973.0</v>
      </c>
      <c r="E522" s="4">
        <v>64.0</v>
      </c>
      <c r="F522" s="4">
        <v>0.607</v>
      </c>
      <c r="G522" s="4">
        <v>0.294</v>
      </c>
      <c r="H522" s="4">
        <v>5.0</v>
      </c>
      <c r="I522" s="4">
        <v>-11.836</v>
      </c>
      <c r="J522" s="4">
        <v>1.0</v>
      </c>
      <c r="K522" s="4">
        <v>0.0764</v>
      </c>
      <c r="L522" s="4">
        <v>0.778</v>
      </c>
      <c r="M522" s="4">
        <v>0.162</v>
      </c>
      <c r="N522" s="4">
        <v>0.106</v>
      </c>
      <c r="O522" s="4">
        <v>0.192</v>
      </c>
      <c r="P522" s="4">
        <v>76.083</v>
      </c>
      <c r="Q522" s="4">
        <v>4.0</v>
      </c>
    </row>
    <row r="523">
      <c r="A523" s="4" t="s">
        <v>1055</v>
      </c>
      <c r="B523" s="4" t="s">
        <v>1056</v>
      </c>
      <c r="C523" s="4">
        <v>1971.0</v>
      </c>
      <c r="D523" s="4">
        <v>311893.0</v>
      </c>
      <c r="E523" s="4">
        <v>61.0</v>
      </c>
      <c r="F523" s="4">
        <v>0.322</v>
      </c>
      <c r="G523" s="4">
        <v>0.168</v>
      </c>
      <c r="H523" s="4">
        <v>10.0</v>
      </c>
      <c r="I523" s="4">
        <v>-13.893</v>
      </c>
      <c r="J523" s="4">
        <v>1.0</v>
      </c>
      <c r="K523" s="4">
        <v>0.0336</v>
      </c>
      <c r="L523" s="4">
        <v>0.915</v>
      </c>
      <c r="M523" s="4">
        <v>2.23E-4</v>
      </c>
      <c r="N523" s="4">
        <v>0.117</v>
      </c>
      <c r="O523" s="4">
        <v>0.259</v>
      </c>
      <c r="P523" s="4">
        <v>146.68</v>
      </c>
      <c r="Q523" s="4">
        <v>4.0</v>
      </c>
    </row>
    <row r="524">
      <c r="A524" s="4" t="s">
        <v>1057</v>
      </c>
      <c r="B524" s="4" t="s">
        <v>1058</v>
      </c>
      <c r="C524" s="5">
        <v>26935.0</v>
      </c>
      <c r="D524" s="4">
        <v>264880.0</v>
      </c>
      <c r="E524" s="4">
        <v>58.0</v>
      </c>
      <c r="F524" s="4">
        <v>0.398</v>
      </c>
      <c r="G524" s="4">
        <v>0.86</v>
      </c>
      <c r="H524" s="4">
        <v>7.0</v>
      </c>
      <c r="I524" s="4">
        <v>-4.574</v>
      </c>
      <c r="J524" s="4">
        <v>1.0</v>
      </c>
      <c r="K524" s="4">
        <v>0.0663</v>
      </c>
      <c r="L524" s="4">
        <v>0.00155</v>
      </c>
      <c r="M524" s="4">
        <v>0.683</v>
      </c>
      <c r="N524" s="4">
        <v>0.154</v>
      </c>
      <c r="O524" s="4">
        <v>0.564</v>
      </c>
      <c r="P524" s="4">
        <v>138.09</v>
      </c>
      <c r="Q524" s="4">
        <v>4.0</v>
      </c>
    </row>
    <row r="525">
      <c r="A525" s="4" t="s">
        <v>1059</v>
      </c>
      <c r="B525" s="4" t="s">
        <v>1060</v>
      </c>
      <c r="C525" s="5">
        <v>39196.0</v>
      </c>
      <c r="D525" s="4">
        <v>187133.0</v>
      </c>
      <c r="E525" s="4">
        <v>59.0</v>
      </c>
      <c r="F525" s="4">
        <v>0.663</v>
      </c>
      <c r="G525" s="4">
        <v>0.839</v>
      </c>
      <c r="H525" s="4">
        <v>0.0</v>
      </c>
      <c r="I525" s="4">
        <v>-4.453</v>
      </c>
      <c r="J525" s="4">
        <v>1.0</v>
      </c>
      <c r="K525" s="4">
        <v>0.0695</v>
      </c>
      <c r="L525" s="4">
        <v>1.85E-4</v>
      </c>
      <c r="M525" s="6">
        <v>4.65E-6</v>
      </c>
      <c r="N525" s="4">
        <v>0.0808</v>
      </c>
      <c r="O525" s="4">
        <v>0.75</v>
      </c>
      <c r="P525" s="4">
        <v>135.155</v>
      </c>
      <c r="Q525" s="4">
        <v>4.0</v>
      </c>
    </row>
    <row r="526">
      <c r="A526" s="4" t="s">
        <v>1061</v>
      </c>
      <c r="B526" s="4" t="s">
        <v>1062</v>
      </c>
      <c r="C526" s="5">
        <v>41519.0</v>
      </c>
      <c r="D526" s="4">
        <v>529714.0</v>
      </c>
      <c r="E526" s="4">
        <v>21.0</v>
      </c>
      <c r="F526" s="4">
        <v>0.698</v>
      </c>
      <c r="G526" s="4">
        <v>0.893</v>
      </c>
      <c r="H526" s="4">
        <v>11.0</v>
      </c>
      <c r="I526" s="4">
        <v>-8.068</v>
      </c>
      <c r="J526" s="4">
        <v>1.0</v>
      </c>
      <c r="K526" s="4">
        <v>0.0547</v>
      </c>
      <c r="L526" s="4">
        <v>0.0294</v>
      </c>
      <c r="M526" s="4">
        <v>0.899</v>
      </c>
      <c r="N526" s="4">
        <v>0.116</v>
      </c>
      <c r="O526" s="4">
        <v>0.207</v>
      </c>
      <c r="P526" s="4">
        <v>139.992</v>
      </c>
      <c r="Q526" s="4">
        <v>4.0</v>
      </c>
    </row>
    <row r="527">
      <c r="A527" s="4" t="s">
        <v>1063</v>
      </c>
      <c r="B527" s="4" t="s">
        <v>1064</v>
      </c>
      <c r="C527" s="5">
        <v>36780.0</v>
      </c>
      <c r="D527" s="4">
        <v>1205466.0</v>
      </c>
      <c r="E527" s="4">
        <v>8.0</v>
      </c>
      <c r="F527" s="4">
        <v>0.562</v>
      </c>
      <c r="G527" s="4">
        <v>0.814</v>
      </c>
      <c r="H527" s="4">
        <v>6.0</v>
      </c>
      <c r="I527" s="4">
        <v>-7.557</v>
      </c>
      <c r="J527" s="4">
        <v>1.0</v>
      </c>
      <c r="K527" s="4">
        <v>0.0301</v>
      </c>
      <c r="L527" s="4">
        <v>0.0017</v>
      </c>
      <c r="M527" s="4">
        <v>0.863</v>
      </c>
      <c r="N527" s="4">
        <v>0.258</v>
      </c>
      <c r="O527" s="4">
        <v>0.141</v>
      </c>
      <c r="P527" s="4">
        <v>136.529</v>
      </c>
      <c r="Q527" s="4">
        <v>4.0</v>
      </c>
    </row>
    <row r="528">
      <c r="A528" s="4" t="s">
        <v>1065</v>
      </c>
      <c r="B528" s="4" t="s">
        <v>1066</v>
      </c>
      <c r="C528" s="5">
        <v>44295.0</v>
      </c>
      <c r="D528" s="4">
        <v>292853.0</v>
      </c>
      <c r="E528" s="4">
        <v>19.0</v>
      </c>
      <c r="F528" s="4">
        <v>0.28</v>
      </c>
      <c r="G528" s="4">
        <v>0.317</v>
      </c>
      <c r="H528" s="4">
        <v>2.0</v>
      </c>
      <c r="I528" s="4">
        <v>-14.683</v>
      </c>
      <c r="J528" s="4">
        <v>1.0</v>
      </c>
      <c r="K528" s="4">
        <v>0.0295</v>
      </c>
      <c r="L528" s="4">
        <v>0.194</v>
      </c>
      <c r="M528" s="4">
        <v>0.718</v>
      </c>
      <c r="N528" s="4">
        <v>0.207</v>
      </c>
      <c r="O528" s="4">
        <v>0.127</v>
      </c>
      <c r="P528" s="4">
        <v>144.251</v>
      </c>
      <c r="Q528" s="4">
        <v>3.0</v>
      </c>
    </row>
    <row r="529">
      <c r="A529" s="4" t="s">
        <v>1067</v>
      </c>
      <c r="B529" s="4" t="s">
        <v>1068</v>
      </c>
      <c r="C529" s="5">
        <v>42065.0</v>
      </c>
      <c r="D529" s="4">
        <v>474487.0</v>
      </c>
      <c r="E529" s="4">
        <v>34.0</v>
      </c>
      <c r="F529" s="4">
        <v>0.474</v>
      </c>
      <c r="G529" s="4">
        <v>0.293</v>
      </c>
      <c r="H529" s="4">
        <v>4.0</v>
      </c>
      <c r="I529" s="4">
        <v>-15.003</v>
      </c>
      <c r="J529" s="4">
        <v>0.0</v>
      </c>
      <c r="K529" s="4">
        <v>0.0379</v>
      </c>
      <c r="L529" s="4">
        <v>0.677</v>
      </c>
      <c r="M529" s="4">
        <v>0.0467</v>
      </c>
      <c r="N529" s="4">
        <v>0.119</v>
      </c>
      <c r="O529" s="4">
        <v>0.104</v>
      </c>
      <c r="P529" s="4">
        <v>139.039</v>
      </c>
      <c r="Q529" s="4">
        <v>4.0</v>
      </c>
    </row>
    <row r="530">
      <c r="A530" s="4" t="s">
        <v>1069</v>
      </c>
      <c r="B530" s="4" t="s">
        <v>1070</v>
      </c>
      <c r="C530" s="5">
        <v>26390.0</v>
      </c>
      <c r="D530" s="4">
        <v>146175.0</v>
      </c>
      <c r="E530" s="4">
        <v>68.0</v>
      </c>
      <c r="F530" s="4">
        <v>0.544</v>
      </c>
      <c r="G530" s="4">
        <v>0.265</v>
      </c>
      <c r="H530" s="4">
        <v>2.0</v>
      </c>
      <c r="I530" s="4">
        <v>-11.952</v>
      </c>
      <c r="J530" s="4">
        <v>1.0</v>
      </c>
      <c r="K530" s="4">
        <v>0.035</v>
      </c>
      <c r="L530" s="4">
        <v>0.848</v>
      </c>
      <c r="M530" s="4">
        <v>0.0</v>
      </c>
      <c r="N530" s="4">
        <v>0.196</v>
      </c>
      <c r="O530" s="4">
        <v>0.7</v>
      </c>
      <c r="P530" s="4">
        <v>133.837</v>
      </c>
      <c r="Q530" s="4">
        <v>3.0</v>
      </c>
    </row>
    <row r="531">
      <c r="A531" s="4" t="s">
        <v>1071</v>
      </c>
      <c r="B531" s="4" t="s">
        <v>1072</v>
      </c>
      <c r="C531" s="5">
        <v>38718.0</v>
      </c>
      <c r="D531" s="4">
        <v>180040.0</v>
      </c>
      <c r="E531" s="4">
        <v>79.0</v>
      </c>
      <c r="F531" s="4">
        <v>0.636</v>
      </c>
      <c r="G531" s="4">
        <v>0.165</v>
      </c>
      <c r="H531" s="4">
        <v>10.0</v>
      </c>
      <c r="I531" s="4">
        <v>-14.261</v>
      </c>
      <c r="J531" s="4">
        <v>1.0</v>
      </c>
      <c r="K531" s="4">
        <v>0.0328</v>
      </c>
      <c r="L531" s="4">
        <v>0.885</v>
      </c>
      <c r="M531" s="6">
        <v>4.82E-5</v>
      </c>
      <c r="N531" s="4">
        <v>0.0502</v>
      </c>
      <c r="O531" s="4">
        <v>0.505</v>
      </c>
      <c r="P531" s="4">
        <v>112.777</v>
      </c>
      <c r="Q531" s="4">
        <v>4.0</v>
      </c>
    </row>
    <row r="532">
      <c r="A532" s="4" t="s">
        <v>1073</v>
      </c>
      <c r="B532" s="4" t="s">
        <v>1074</v>
      </c>
      <c r="C532" s="4">
        <v>1964.0</v>
      </c>
      <c r="D532" s="4">
        <v>178333.0</v>
      </c>
      <c r="E532" s="4">
        <v>63.0</v>
      </c>
      <c r="F532" s="4">
        <v>0.7</v>
      </c>
      <c r="G532" s="4">
        <v>0.33</v>
      </c>
      <c r="H532" s="4">
        <v>5.0</v>
      </c>
      <c r="I532" s="4">
        <v>-9.027</v>
      </c>
      <c r="J532" s="4">
        <v>1.0</v>
      </c>
      <c r="K532" s="4">
        <v>0.0303</v>
      </c>
      <c r="L532" s="4">
        <v>0.719</v>
      </c>
      <c r="M532" s="6">
        <v>8.6E-5</v>
      </c>
      <c r="N532" s="4">
        <v>0.136</v>
      </c>
      <c r="O532" s="4">
        <v>0.524</v>
      </c>
      <c r="P532" s="4">
        <v>98.605</v>
      </c>
      <c r="Q532" s="4">
        <v>4.0</v>
      </c>
    </row>
    <row r="533">
      <c r="A533" s="4" t="s">
        <v>1075</v>
      </c>
      <c r="B533" s="4" t="s">
        <v>1076</v>
      </c>
      <c r="C533" s="5">
        <v>38353.0</v>
      </c>
      <c r="D533" s="4">
        <v>257533.0</v>
      </c>
      <c r="E533" s="4">
        <v>29.0</v>
      </c>
      <c r="F533" s="4">
        <v>0.467</v>
      </c>
      <c r="G533" s="4">
        <v>0.707</v>
      </c>
      <c r="H533" s="4">
        <v>7.0</v>
      </c>
      <c r="I533" s="4">
        <v>-6.36</v>
      </c>
      <c r="J533" s="4">
        <v>0.0</v>
      </c>
      <c r="K533" s="4">
        <v>0.0299</v>
      </c>
      <c r="L533" s="4">
        <v>0.053</v>
      </c>
      <c r="M533" s="4">
        <v>0.393</v>
      </c>
      <c r="N533" s="4">
        <v>0.172</v>
      </c>
      <c r="O533" s="4">
        <v>0.526</v>
      </c>
      <c r="P533" s="4">
        <v>171.091</v>
      </c>
      <c r="Q533" s="4">
        <v>4.0</v>
      </c>
    </row>
    <row r="534">
      <c r="A534" s="4" t="s">
        <v>1077</v>
      </c>
      <c r="B534" s="4" t="s">
        <v>1078</v>
      </c>
      <c r="C534" s="5">
        <v>30103.0</v>
      </c>
      <c r="D534" s="4">
        <v>712373.0</v>
      </c>
      <c r="E534" s="4">
        <v>27.0</v>
      </c>
      <c r="F534" s="4">
        <v>0.319</v>
      </c>
      <c r="G534" s="4">
        <v>0.903</v>
      </c>
      <c r="H534" s="4">
        <v>1.0</v>
      </c>
      <c r="I534" s="4">
        <v>-10.962</v>
      </c>
      <c r="J534" s="4">
        <v>0.0</v>
      </c>
      <c r="K534" s="4">
        <v>0.0674</v>
      </c>
      <c r="L534" s="4">
        <v>0.00628</v>
      </c>
      <c r="M534" s="4">
        <v>0.401</v>
      </c>
      <c r="N534" s="4">
        <v>0.622</v>
      </c>
      <c r="O534" s="4">
        <v>0.446</v>
      </c>
      <c r="P534" s="4">
        <v>138.246</v>
      </c>
      <c r="Q534" s="4">
        <v>4.0</v>
      </c>
    </row>
    <row r="535">
      <c r="A535" s="4" t="s">
        <v>1079</v>
      </c>
      <c r="B535" s="4" t="s">
        <v>1080</v>
      </c>
      <c r="C535" s="5">
        <v>42065.0</v>
      </c>
      <c r="D535" s="4">
        <v>689607.0</v>
      </c>
      <c r="E535" s="4">
        <v>36.0</v>
      </c>
      <c r="F535" s="4">
        <v>0.469</v>
      </c>
      <c r="G535" s="4">
        <v>0.588</v>
      </c>
      <c r="H535" s="4">
        <v>9.0</v>
      </c>
      <c r="I535" s="4">
        <v>-11.262</v>
      </c>
      <c r="J535" s="4">
        <v>1.0</v>
      </c>
      <c r="K535" s="4">
        <v>0.0338</v>
      </c>
      <c r="L535" s="4">
        <v>0.0104</v>
      </c>
      <c r="M535" s="4">
        <v>0.518</v>
      </c>
      <c r="N535" s="4">
        <v>0.268</v>
      </c>
      <c r="O535" s="4">
        <v>0.18</v>
      </c>
      <c r="P535" s="4">
        <v>76.98</v>
      </c>
      <c r="Q535" s="4">
        <v>4.0</v>
      </c>
    </row>
    <row r="536">
      <c r="A536" s="4" t="s">
        <v>1081</v>
      </c>
      <c r="B536" s="4" t="s">
        <v>1082</v>
      </c>
      <c r="C536" s="4">
        <v>2007.0</v>
      </c>
      <c r="D536" s="4">
        <v>329706.0</v>
      </c>
      <c r="E536" s="4">
        <v>29.0</v>
      </c>
      <c r="F536" s="4">
        <v>0.223</v>
      </c>
      <c r="G536" s="4">
        <v>0.683</v>
      </c>
      <c r="H536" s="4">
        <v>0.0</v>
      </c>
      <c r="I536" s="4">
        <v>-5.945</v>
      </c>
      <c r="J536" s="4">
        <v>0.0</v>
      </c>
      <c r="K536" s="4">
        <v>0.0328</v>
      </c>
      <c r="L536" s="4">
        <v>5.58E-4</v>
      </c>
      <c r="M536" s="4">
        <v>0.00588</v>
      </c>
      <c r="N536" s="4">
        <v>0.0758</v>
      </c>
      <c r="O536" s="4">
        <v>0.13</v>
      </c>
      <c r="P536" s="4">
        <v>84.979</v>
      </c>
      <c r="Q536" s="4">
        <v>4.0</v>
      </c>
    </row>
    <row r="537">
      <c r="A537" s="4" t="s">
        <v>1083</v>
      </c>
      <c r="B537" s="4" t="s">
        <v>1084</v>
      </c>
      <c r="C537" s="5">
        <v>38110.0</v>
      </c>
      <c r="D537" s="4">
        <v>730093.0</v>
      </c>
      <c r="E537" s="4">
        <v>36.0</v>
      </c>
      <c r="F537" s="4">
        <v>0.381</v>
      </c>
      <c r="G537" s="4">
        <v>0.546</v>
      </c>
      <c r="H537" s="4">
        <v>7.0</v>
      </c>
      <c r="I537" s="4">
        <v>-7.896</v>
      </c>
      <c r="J537" s="4">
        <v>0.0</v>
      </c>
      <c r="K537" s="4">
        <v>0.0349</v>
      </c>
      <c r="L537" s="4">
        <v>0.12</v>
      </c>
      <c r="M537" s="4">
        <v>1.23E-4</v>
      </c>
      <c r="N537" s="4">
        <v>0.161</v>
      </c>
      <c r="O537" s="4">
        <v>0.118</v>
      </c>
      <c r="P537" s="4">
        <v>131.947</v>
      </c>
      <c r="Q537" s="4">
        <v>4.0</v>
      </c>
    </row>
    <row r="538">
      <c r="A538" s="4" t="s">
        <v>1085</v>
      </c>
      <c r="B538" s="4" t="s">
        <v>1086</v>
      </c>
      <c r="C538" s="5">
        <v>26949.0</v>
      </c>
      <c r="D538" s="4">
        <v>570986.0</v>
      </c>
      <c r="E538" s="4">
        <v>41.0</v>
      </c>
      <c r="F538" s="4">
        <v>0.272</v>
      </c>
      <c r="G538" s="4">
        <v>0.605</v>
      </c>
      <c r="H538" s="4">
        <v>11.0</v>
      </c>
      <c r="I538" s="4">
        <v>-9.802</v>
      </c>
      <c r="J538" s="4">
        <v>1.0</v>
      </c>
      <c r="K538" s="4">
        <v>0.0373</v>
      </c>
      <c r="L538" s="4">
        <v>0.023</v>
      </c>
      <c r="M538" s="4">
        <v>0.0946</v>
      </c>
      <c r="N538" s="4">
        <v>0.186</v>
      </c>
      <c r="O538" s="4">
        <v>0.299</v>
      </c>
      <c r="P538" s="4">
        <v>86.414</v>
      </c>
      <c r="Q538" s="4">
        <v>4.0</v>
      </c>
    </row>
    <row r="539">
      <c r="A539" s="4" t="s">
        <v>1087</v>
      </c>
      <c r="B539" s="4" t="s">
        <v>1088</v>
      </c>
      <c r="C539" s="5">
        <v>42065.0</v>
      </c>
      <c r="D539" s="4">
        <v>538047.0</v>
      </c>
      <c r="E539" s="4">
        <v>39.0</v>
      </c>
      <c r="F539" s="4">
        <v>0.374</v>
      </c>
      <c r="G539" s="4">
        <v>0.254</v>
      </c>
      <c r="H539" s="4">
        <v>2.0</v>
      </c>
      <c r="I539" s="4">
        <v>-14.25</v>
      </c>
      <c r="J539" s="4">
        <v>1.0</v>
      </c>
      <c r="K539" s="4">
        <v>0.0381</v>
      </c>
      <c r="L539" s="4">
        <v>0.25</v>
      </c>
      <c r="M539" s="4">
        <v>0.12</v>
      </c>
      <c r="N539" s="4">
        <v>0.125</v>
      </c>
      <c r="O539" s="4">
        <v>0.0628</v>
      </c>
      <c r="P539" s="4">
        <v>123.859</v>
      </c>
      <c r="Q539" s="4">
        <v>5.0</v>
      </c>
    </row>
    <row r="540">
      <c r="A540" s="4" t="s">
        <v>1089</v>
      </c>
      <c r="B540" s="4" t="s">
        <v>1090</v>
      </c>
      <c r="C540" s="5">
        <v>27449.0</v>
      </c>
      <c r="D540" s="4">
        <v>517125.0</v>
      </c>
      <c r="E540" s="4">
        <v>72.0</v>
      </c>
      <c r="F540" s="4">
        <v>0.483</v>
      </c>
      <c r="G540" s="4">
        <v>0.615</v>
      </c>
      <c r="H540" s="4">
        <v>2.0</v>
      </c>
      <c r="I540" s="4">
        <v>-8.538</v>
      </c>
      <c r="J540" s="4">
        <v>1.0</v>
      </c>
      <c r="K540" s="4">
        <v>0.0497</v>
      </c>
      <c r="L540" s="4">
        <v>0.452</v>
      </c>
      <c r="M540" s="4">
        <v>4.14E-4</v>
      </c>
      <c r="N540" s="4">
        <v>0.0512</v>
      </c>
      <c r="O540" s="4">
        <v>0.594</v>
      </c>
      <c r="P540" s="4">
        <v>80.576</v>
      </c>
      <c r="Q540" s="4">
        <v>3.0</v>
      </c>
    </row>
    <row r="541">
      <c r="A541" s="4" t="s">
        <v>1091</v>
      </c>
      <c r="B541" s="4" t="s">
        <v>1092</v>
      </c>
      <c r="C541" s="4">
        <v>2007.0</v>
      </c>
      <c r="D541" s="4">
        <v>285053.0</v>
      </c>
      <c r="E541" s="4">
        <v>57.0</v>
      </c>
      <c r="F541" s="4">
        <v>0.641</v>
      </c>
      <c r="G541" s="4">
        <v>0.409</v>
      </c>
      <c r="H541" s="4">
        <v>8.0</v>
      </c>
      <c r="I541" s="4">
        <v>-12.452</v>
      </c>
      <c r="J541" s="4">
        <v>1.0</v>
      </c>
      <c r="K541" s="4">
        <v>0.0348</v>
      </c>
      <c r="L541" s="4">
        <v>0.743</v>
      </c>
      <c r="M541" s="6">
        <v>2.58E-6</v>
      </c>
      <c r="N541" s="4">
        <v>0.118</v>
      </c>
      <c r="O541" s="4">
        <v>0.315</v>
      </c>
      <c r="P541" s="4">
        <v>121.165</v>
      </c>
      <c r="Q541" s="4">
        <v>4.0</v>
      </c>
    </row>
    <row r="542">
      <c r="A542" s="4" t="s">
        <v>1093</v>
      </c>
      <c r="B542" s="4" t="s">
        <v>1094</v>
      </c>
      <c r="C542" s="5">
        <v>27894.0</v>
      </c>
      <c r="D542" s="4">
        <v>348600.0</v>
      </c>
      <c r="E542" s="4">
        <v>59.0</v>
      </c>
      <c r="F542" s="4">
        <v>0.586</v>
      </c>
      <c r="G542" s="4">
        <v>0.84</v>
      </c>
      <c r="H542" s="4">
        <v>7.0</v>
      </c>
      <c r="I542" s="4">
        <v>-5.341</v>
      </c>
      <c r="J542" s="4">
        <v>1.0</v>
      </c>
      <c r="K542" s="4">
        <v>0.0487</v>
      </c>
      <c r="L542" s="4">
        <v>0.0122</v>
      </c>
      <c r="M542" s="4">
        <v>0.0116</v>
      </c>
      <c r="N542" s="4">
        <v>0.0842</v>
      </c>
      <c r="O542" s="4">
        <v>0.0784</v>
      </c>
      <c r="P542" s="4">
        <v>132.36</v>
      </c>
      <c r="Q542" s="4">
        <v>4.0</v>
      </c>
    </row>
    <row r="543">
      <c r="A543" s="4" t="s">
        <v>1095</v>
      </c>
      <c r="B543" s="4" t="s">
        <v>1096</v>
      </c>
      <c r="C543" s="5">
        <v>42524.0</v>
      </c>
      <c r="D543" s="4">
        <v>439800.0</v>
      </c>
      <c r="E543" s="4">
        <v>7.0</v>
      </c>
      <c r="F543" s="4">
        <v>0.237</v>
      </c>
      <c r="G543" s="4">
        <v>0.461</v>
      </c>
      <c r="H543" s="4">
        <v>10.0</v>
      </c>
      <c r="I543" s="4">
        <v>-9.888</v>
      </c>
      <c r="J543" s="4">
        <v>1.0</v>
      </c>
      <c r="K543" s="4">
        <v>0.0316</v>
      </c>
      <c r="L543" s="4">
        <v>0.378</v>
      </c>
      <c r="M543" s="4">
        <v>0.0623</v>
      </c>
      <c r="N543" s="4">
        <v>0.102</v>
      </c>
      <c r="O543" s="4">
        <v>0.126</v>
      </c>
      <c r="P543" s="4">
        <v>101.113</v>
      </c>
      <c r="Q543" s="4">
        <v>4.0</v>
      </c>
    </row>
    <row r="544">
      <c r="A544" s="4" t="s">
        <v>1097</v>
      </c>
      <c r="B544" s="4" t="s">
        <v>1098</v>
      </c>
      <c r="C544" s="5">
        <v>28328.0</v>
      </c>
      <c r="D544" s="4">
        <v>938093.0</v>
      </c>
      <c r="E544" s="4">
        <v>26.0</v>
      </c>
      <c r="F544" s="4">
        <v>0.227</v>
      </c>
      <c r="G544" s="4">
        <v>0.521</v>
      </c>
      <c r="H544" s="4">
        <v>4.0</v>
      </c>
      <c r="I544" s="4">
        <v>-9.415</v>
      </c>
      <c r="J544" s="4">
        <v>0.0</v>
      </c>
      <c r="K544" s="4">
        <v>0.0365</v>
      </c>
      <c r="L544" s="4">
        <v>0.162</v>
      </c>
      <c r="M544" s="4">
        <v>0.00401</v>
      </c>
      <c r="N544" s="4">
        <v>0.362</v>
      </c>
      <c r="O544" s="4">
        <v>0.0707</v>
      </c>
      <c r="P544" s="4">
        <v>137.218</v>
      </c>
      <c r="Q544" s="4">
        <v>3.0</v>
      </c>
    </row>
    <row r="545">
      <c r="A545" s="4" t="s">
        <v>1099</v>
      </c>
      <c r="B545" s="4" t="s">
        <v>1100</v>
      </c>
      <c r="C545" s="5">
        <v>41330.0</v>
      </c>
      <c r="D545" s="4">
        <v>457250.0</v>
      </c>
      <c r="E545" s="4">
        <v>51.0</v>
      </c>
      <c r="F545" s="4">
        <v>0.447</v>
      </c>
      <c r="G545" s="4">
        <v>0.343</v>
      </c>
      <c r="H545" s="4">
        <v>2.0</v>
      </c>
      <c r="I545" s="4">
        <v>-11.625</v>
      </c>
      <c r="J545" s="4">
        <v>1.0</v>
      </c>
      <c r="K545" s="4">
        <v>0.0311</v>
      </c>
      <c r="L545" s="4">
        <v>0.0419</v>
      </c>
      <c r="M545" s="4">
        <v>0.329</v>
      </c>
      <c r="N545" s="4">
        <v>0.102</v>
      </c>
      <c r="O545" s="4">
        <v>0.0777</v>
      </c>
      <c r="P545" s="4">
        <v>123.904</v>
      </c>
      <c r="Q545" s="4">
        <v>4.0</v>
      </c>
    </row>
    <row r="546">
      <c r="A546" s="4" t="s">
        <v>1101</v>
      </c>
      <c r="B546" s="4" t="s">
        <v>1102</v>
      </c>
      <c r="C546" s="5">
        <v>42636.0</v>
      </c>
      <c r="D546" s="4">
        <v>385367.0</v>
      </c>
      <c r="E546" s="4">
        <v>11.0</v>
      </c>
      <c r="F546" s="4">
        <v>0.329</v>
      </c>
      <c r="G546" s="4">
        <v>0.522</v>
      </c>
      <c r="H546" s="4">
        <v>4.0</v>
      </c>
      <c r="I546" s="4">
        <v>-8.99</v>
      </c>
      <c r="J546" s="4">
        <v>0.0</v>
      </c>
      <c r="K546" s="4">
        <v>0.028</v>
      </c>
      <c r="L546" s="4">
        <v>0.033</v>
      </c>
      <c r="M546" s="6">
        <v>2.98E-6</v>
      </c>
      <c r="N546" s="4">
        <v>0.111</v>
      </c>
      <c r="O546" s="4">
        <v>0.255</v>
      </c>
      <c r="P546" s="4">
        <v>161.865</v>
      </c>
      <c r="Q546" s="4">
        <v>4.0</v>
      </c>
    </row>
    <row r="547">
      <c r="A547" s="4" t="s">
        <v>1103</v>
      </c>
      <c r="B547" s="4" t="s">
        <v>1104</v>
      </c>
      <c r="C547" s="5">
        <v>31048.0</v>
      </c>
      <c r="D547" s="4">
        <v>315373.0</v>
      </c>
      <c r="E547" s="4">
        <v>35.0</v>
      </c>
      <c r="F547" s="4">
        <v>0.55</v>
      </c>
      <c r="G547" s="4">
        <v>0.89</v>
      </c>
      <c r="H547" s="4">
        <v>9.0</v>
      </c>
      <c r="I547" s="4">
        <v>-6.977</v>
      </c>
      <c r="J547" s="4">
        <v>0.0</v>
      </c>
      <c r="K547" s="4">
        <v>0.0587</v>
      </c>
      <c r="L547" s="4">
        <v>0.0142</v>
      </c>
      <c r="M547" s="6">
        <v>8.49E-5</v>
      </c>
      <c r="N547" s="4">
        <v>0.311</v>
      </c>
      <c r="O547" s="4">
        <v>0.532</v>
      </c>
      <c r="P547" s="4">
        <v>139.448</v>
      </c>
      <c r="Q547" s="4">
        <v>4.0</v>
      </c>
    </row>
    <row r="548">
      <c r="A548" s="4" t="s">
        <v>1105</v>
      </c>
      <c r="B548" s="4" t="s">
        <v>1106</v>
      </c>
      <c r="C548" s="4">
        <v>1983.0</v>
      </c>
      <c r="D548" s="4">
        <v>522706.0</v>
      </c>
      <c r="E548" s="4">
        <v>40.0</v>
      </c>
      <c r="F548" s="4">
        <v>0.283</v>
      </c>
      <c r="G548" s="4">
        <v>0.502</v>
      </c>
      <c r="H548" s="4">
        <v>4.0</v>
      </c>
      <c r="I548" s="4">
        <v>-10.827</v>
      </c>
      <c r="J548" s="4">
        <v>1.0</v>
      </c>
      <c r="K548" s="4">
        <v>0.0369</v>
      </c>
      <c r="L548" s="4">
        <v>0.00248</v>
      </c>
      <c r="M548" s="4">
        <v>0.0034</v>
      </c>
      <c r="N548" s="4">
        <v>0.208</v>
      </c>
      <c r="O548" s="4">
        <v>0.168</v>
      </c>
      <c r="P548" s="4">
        <v>143.197</v>
      </c>
      <c r="Q548" s="4">
        <v>4.0</v>
      </c>
    </row>
    <row r="549">
      <c r="A549" s="4" t="s">
        <v>1107</v>
      </c>
      <c r="B549" s="4" t="s">
        <v>1108</v>
      </c>
      <c r="C549" s="5">
        <v>28121.0</v>
      </c>
      <c r="D549" s="4">
        <v>252493.0</v>
      </c>
      <c r="E549" s="4">
        <v>35.0</v>
      </c>
      <c r="F549" s="4">
        <v>0.295</v>
      </c>
      <c r="G549" s="4">
        <v>0.421</v>
      </c>
      <c r="H549" s="4">
        <v>7.0</v>
      </c>
      <c r="I549" s="4">
        <v>-10.759</v>
      </c>
      <c r="J549" s="4">
        <v>1.0</v>
      </c>
      <c r="K549" s="4">
        <v>0.0329</v>
      </c>
      <c r="L549" s="4">
        <v>0.00151</v>
      </c>
      <c r="M549" s="4">
        <v>0.00585</v>
      </c>
      <c r="N549" s="4">
        <v>0.554</v>
      </c>
      <c r="O549" s="4">
        <v>0.0865</v>
      </c>
      <c r="P549" s="4">
        <v>128.993</v>
      </c>
      <c r="Q549" s="4">
        <v>4.0</v>
      </c>
    </row>
    <row r="550">
      <c r="A550" s="4" t="s">
        <v>1109</v>
      </c>
      <c r="B550" s="4" t="s">
        <v>1110</v>
      </c>
      <c r="C550" s="5">
        <v>33539.0</v>
      </c>
      <c r="D550" s="4">
        <v>359693.0</v>
      </c>
      <c r="E550" s="4">
        <v>22.0</v>
      </c>
      <c r="F550" s="4">
        <v>0.315</v>
      </c>
      <c r="G550" s="4">
        <v>0.683</v>
      </c>
      <c r="H550" s="4">
        <v>7.0</v>
      </c>
      <c r="I550" s="4">
        <v>-4.292</v>
      </c>
      <c r="J550" s="4">
        <v>1.0</v>
      </c>
      <c r="K550" s="4">
        <v>0.0307</v>
      </c>
      <c r="L550" s="4">
        <v>0.411</v>
      </c>
      <c r="M550" s="4">
        <v>1.17E-4</v>
      </c>
      <c r="N550" s="4">
        <v>0.127</v>
      </c>
      <c r="O550" s="4">
        <v>0.325</v>
      </c>
      <c r="P550" s="4">
        <v>135.287</v>
      </c>
      <c r="Q550" s="4">
        <v>4.0</v>
      </c>
    </row>
    <row r="551">
      <c r="A551" s="4" t="s">
        <v>1111</v>
      </c>
      <c r="B551" s="4" t="s">
        <v>1112</v>
      </c>
      <c r="C551" s="5">
        <v>42664.0</v>
      </c>
      <c r="D551" s="4">
        <v>290680.0</v>
      </c>
      <c r="E551" s="4">
        <v>25.0</v>
      </c>
      <c r="F551" s="4">
        <v>0.5</v>
      </c>
      <c r="G551" s="4">
        <v>0.579</v>
      </c>
      <c r="H551" s="4">
        <v>2.0</v>
      </c>
      <c r="I551" s="4">
        <v>-12.018</v>
      </c>
      <c r="J551" s="4">
        <v>1.0</v>
      </c>
      <c r="K551" s="4">
        <v>0.0444</v>
      </c>
      <c r="L551" s="4">
        <v>0.166</v>
      </c>
      <c r="M551" s="4">
        <v>0.853</v>
      </c>
      <c r="N551" s="4">
        <v>0.086</v>
      </c>
      <c r="O551" s="4">
        <v>0.396</v>
      </c>
      <c r="P551" s="4">
        <v>149.965</v>
      </c>
      <c r="Q551" s="4">
        <v>4.0</v>
      </c>
    </row>
    <row r="552">
      <c r="A552" s="4" t="s">
        <v>1113</v>
      </c>
      <c r="B552" s="4" t="s">
        <v>1114</v>
      </c>
      <c r="C552" s="4">
        <v>1999.0</v>
      </c>
      <c r="D552" s="4">
        <v>188720.0</v>
      </c>
      <c r="E552" s="4">
        <v>61.0</v>
      </c>
      <c r="F552" s="4">
        <v>0.421</v>
      </c>
      <c r="G552" s="4">
        <v>0.712</v>
      </c>
      <c r="H552" s="4">
        <v>10.0</v>
      </c>
      <c r="I552" s="4">
        <v>-10.417</v>
      </c>
      <c r="J552" s="4">
        <v>1.0</v>
      </c>
      <c r="K552" s="4">
        <v>0.0463</v>
      </c>
      <c r="L552" s="4">
        <v>0.413</v>
      </c>
      <c r="M552" s="4">
        <v>0.479</v>
      </c>
      <c r="N552" s="4">
        <v>0.115</v>
      </c>
      <c r="O552" s="4">
        <v>0.501</v>
      </c>
      <c r="P552" s="4">
        <v>184.202</v>
      </c>
      <c r="Q552" s="4">
        <v>4.0</v>
      </c>
    </row>
    <row r="553">
      <c r="A553" s="4" t="s">
        <v>1115</v>
      </c>
      <c r="B553" s="4" t="s">
        <v>1116</v>
      </c>
      <c r="C553" s="5">
        <v>43651.0</v>
      </c>
      <c r="D553" s="4">
        <v>210613.0</v>
      </c>
      <c r="E553" s="4">
        <v>51.0</v>
      </c>
      <c r="F553" s="4">
        <v>0.291</v>
      </c>
      <c r="G553" s="4">
        <v>0.119</v>
      </c>
      <c r="H553" s="4">
        <v>11.0</v>
      </c>
      <c r="I553" s="4">
        <v>-20.493</v>
      </c>
      <c r="J553" s="4">
        <v>1.0</v>
      </c>
      <c r="K553" s="4">
        <v>0.0439</v>
      </c>
      <c r="L553" s="4">
        <v>0.972</v>
      </c>
      <c r="M553" s="4">
        <v>0.51</v>
      </c>
      <c r="N553" s="4">
        <v>0.296</v>
      </c>
      <c r="O553" s="4">
        <v>0.0571</v>
      </c>
      <c r="P553" s="4">
        <v>125.103</v>
      </c>
      <c r="Q553" s="4">
        <v>3.0</v>
      </c>
    </row>
    <row r="554">
      <c r="A554" s="4" t="s">
        <v>1117</v>
      </c>
      <c r="B554" s="4" t="s">
        <v>1118</v>
      </c>
      <c r="C554" s="5">
        <v>31306.0</v>
      </c>
      <c r="D554" s="4">
        <v>225933.0</v>
      </c>
      <c r="E554" s="4">
        <v>13.0</v>
      </c>
      <c r="F554" s="4">
        <v>0.298</v>
      </c>
      <c r="G554" s="4">
        <v>0.151</v>
      </c>
      <c r="H554" s="4">
        <v>0.0</v>
      </c>
      <c r="I554" s="4">
        <v>-14.687</v>
      </c>
      <c r="J554" s="4">
        <v>1.0</v>
      </c>
      <c r="K554" s="4">
        <v>0.035</v>
      </c>
      <c r="L554" s="4">
        <v>0.889</v>
      </c>
      <c r="M554" s="4">
        <v>2.47E-4</v>
      </c>
      <c r="N554" s="4">
        <v>0.12</v>
      </c>
      <c r="O554" s="4">
        <v>0.253</v>
      </c>
      <c r="P554" s="4">
        <v>57.431</v>
      </c>
      <c r="Q554" s="4">
        <v>4.0</v>
      </c>
    </row>
    <row r="555">
      <c r="A555" s="4" t="s">
        <v>1119</v>
      </c>
      <c r="B555" s="4" t="s">
        <v>1120</v>
      </c>
      <c r="C555" s="5">
        <v>39118.0</v>
      </c>
      <c r="D555" s="4">
        <v>180946.0</v>
      </c>
      <c r="E555" s="4">
        <v>25.0</v>
      </c>
      <c r="F555" s="4">
        <v>0.21</v>
      </c>
      <c r="G555" s="4">
        <v>0.121</v>
      </c>
      <c r="H555" s="4">
        <v>7.0</v>
      </c>
      <c r="I555" s="4">
        <v>-23.073</v>
      </c>
      <c r="J555" s="4">
        <v>1.0</v>
      </c>
      <c r="K555" s="4">
        <v>0.0383</v>
      </c>
      <c r="L555" s="4">
        <v>0.991</v>
      </c>
      <c r="M555" s="4">
        <v>0.00648</v>
      </c>
      <c r="N555" s="4">
        <v>0.0956</v>
      </c>
      <c r="O555" s="4">
        <v>0.0585</v>
      </c>
      <c r="P555" s="4">
        <v>91.438</v>
      </c>
      <c r="Q555" s="4">
        <v>3.0</v>
      </c>
    </row>
    <row r="556">
      <c r="A556" s="4" t="s">
        <v>1121</v>
      </c>
      <c r="B556" s="4" t="s">
        <v>1122</v>
      </c>
      <c r="C556" s="5">
        <v>41023.0</v>
      </c>
      <c r="D556" s="4">
        <v>93840.0</v>
      </c>
      <c r="E556" s="4">
        <v>56.0</v>
      </c>
      <c r="F556" s="4">
        <v>0.146</v>
      </c>
      <c r="G556" s="4">
        <v>0.019</v>
      </c>
      <c r="H556" s="4">
        <v>0.0</v>
      </c>
      <c r="I556" s="4">
        <v>-31.365</v>
      </c>
      <c r="J556" s="4">
        <v>1.0</v>
      </c>
      <c r="K556" s="4">
        <v>0.0476</v>
      </c>
      <c r="L556" s="4">
        <v>0.92</v>
      </c>
      <c r="M556" s="4">
        <v>0.878</v>
      </c>
      <c r="N556" s="4">
        <v>0.0864</v>
      </c>
      <c r="O556" s="4">
        <v>0.0492</v>
      </c>
      <c r="P556" s="4">
        <v>81.526</v>
      </c>
      <c r="Q556" s="4">
        <v>3.0</v>
      </c>
    </row>
    <row r="557">
      <c r="A557" s="4" t="s">
        <v>1123</v>
      </c>
      <c r="B557" s="4" t="s">
        <v>1124</v>
      </c>
      <c r="C557" s="5">
        <v>26949.0</v>
      </c>
      <c r="D557" s="4">
        <v>648680.0</v>
      </c>
      <c r="E557" s="4">
        <v>34.0</v>
      </c>
      <c r="F557" s="4">
        <v>0.205</v>
      </c>
      <c r="G557" s="4">
        <v>0.669</v>
      </c>
      <c r="H557" s="4">
        <v>2.0</v>
      </c>
      <c r="I557" s="4">
        <v>-8.877</v>
      </c>
      <c r="J557" s="4">
        <v>1.0</v>
      </c>
      <c r="K557" s="4">
        <v>0.0661</v>
      </c>
      <c r="L557" s="4">
        <v>0.183</v>
      </c>
      <c r="M557" s="4">
        <v>0.00788</v>
      </c>
      <c r="N557" s="4">
        <v>0.15</v>
      </c>
      <c r="O557" s="4">
        <v>0.226</v>
      </c>
      <c r="P557" s="4">
        <v>66.114</v>
      </c>
      <c r="Q557" s="4">
        <v>3.0</v>
      </c>
    </row>
    <row r="558">
      <c r="A558" s="4" t="s">
        <v>1125</v>
      </c>
      <c r="B558" s="4" t="s">
        <v>1126</v>
      </c>
      <c r="C558" s="8">
        <v>26696.0</v>
      </c>
      <c r="D558" s="4">
        <v>441800.0</v>
      </c>
      <c r="E558" s="4">
        <v>23.0</v>
      </c>
      <c r="F558" s="4">
        <v>0.467</v>
      </c>
      <c r="G558" s="4">
        <v>0.36</v>
      </c>
      <c r="H558" s="4">
        <v>7.0</v>
      </c>
      <c r="I558" s="4">
        <v>-14.873</v>
      </c>
      <c r="J558" s="4">
        <v>0.0</v>
      </c>
      <c r="K558" s="4">
        <v>0.0305</v>
      </c>
      <c r="L558" s="4">
        <v>0.104</v>
      </c>
      <c r="M558" s="4">
        <v>2.45E-4</v>
      </c>
      <c r="N558" s="4">
        <v>0.106</v>
      </c>
      <c r="O558" s="4">
        <v>0.269</v>
      </c>
      <c r="P558" s="4">
        <v>123.941</v>
      </c>
      <c r="Q558" s="4">
        <v>4.0</v>
      </c>
    </row>
    <row r="559">
      <c r="A559" s="4" t="s">
        <v>1127</v>
      </c>
      <c r="B559" s="4" t="s">
        <v>1128</v>
      </c>
      <c r="C559" s="5">
        <v>34451.0</v>
      </c>
      <c r="D559" s="4">
        <v>202426.0</v>
      </c>
      <c r="E559" s="4">
        <v>50.0</v>
      </c>
      <c r="F559" s="4">
        <v>0.473</v>
      </c>
      <c r="G559" s="4">
        <v>0.856</v>
      </c>
      <c r="H559" s="4">
        <v>0.0</v>
      </c>
      <c r="I559" s="4">
        <v>-6.881</v>
      </c>
      <c r="J559" s="4">
        <v>1.0</v>
      </c>
      <c r="K559" s="4">
        <v>0.0326</v>
      </c>
      <c r="L559" s="4">
        <v>0.146</v>
      </c>
      <c r="M559" s="4">
        <v>6.58E-4</v>
      </c>
      <c r="N559" s="4">
        <v>0.175</v>
      </c>
      <c r="O559" s="4">
        <v>0.774</v>
      </c>
      <c r="P559" s="4">
        <v>151.969</v>
      </c>
      <c r="Q559" s="4">
        <v>4.0</v>
      </c>
    </row>
    <row r="560">
      <c r="A560" s="4" t="s">
        <v>1129</v>
      </c>
      <c r="B560" s="4" t="s">
        <v>1130</v>
      </c>
      <c r="C560" s="5">
        <v>35796.0</v>
      </c>
      <c r="D560" s="4">
        <v>330773.0</v>
      </c>
      <c r="E560" s="4">
        <v>70.0</v>
      </c>
      <c r="F560" s="4">
        <v>0.615</v>
      </c>
      <c r="G560" s="4">
        <v>0.419</v>
      </c>
      <c r="H560" s="4">
        <v>11.0</v>
      </c>
      <c r="I560" s="4">
        <v>-8.8</v>
      </c>
      <c r="J560" s="4">
        <v>0.0</v>
      </c>
      <c r="K560" s="4">
        <v>0.0395</v>
      </c>
      <c r="L560" s="4">
        <v>0.0173</v>
      </c>
      <c r="M560" s="4">
        <v>0.497</v>
      </c>
      <c r="N560" s="4">
        <v>0.135</v>
      </c>
      <c r="O560" s="4">
        <v>0.216</v>
      </c>
      <c r="P560" s="4">
        <v>76.997</v>
      </c>
      <c r="Q560" s="4">
        <v>4.0</v>
      </c>
    </row>
    <row r="561">
      <c r="A561" s="4" t="s">
        <v>1131</v>
      </c>
      <c r="B561" s="4" t="s">
        <v>1132</v>
      </c>
      <c r="C561" s="5">
        <v>35234.0</v>
      </c>
      <c r="D561" s="4">
        <v>188293.0</v>
      </c>
      <c r="E561" s="4">
        <v>22.0</v>
      </c>
      <c r="F561" s="4">
        <v>0.402</v>
      </c>
      <c r="G561" s="4">
        <v>0.0299</v>
      </c>
      <c r="H561" s="4">
        <v>9.0</v>
      </c>
      <c r="I561" s="4">
        <v>-22.873</v>
      </c>
      <c r="J561" s="4">
        <v>0.0</v>
      </c>
      <c r="K561" s="4">
        <v>0.0635</v>
      </c>
      <c r="L561" s="4">
        <v>0.736</v>
      </c>
      <c r="M561" s="6">
        <v>8.39E-6</v>
      </c>
      <c r="N561" s="4">
        <v>0.0957</v>
      </c>
      <c r="O561" s="4">
        <v>0.189</v>
      </c>
      <c r="P561" s="4">
        <v>94.337</v>
      </c>
      <c r="Q561" s="4">
        <v>3.0</v>
      </c>
    </row>
    <row r="562">
      <c r="A562" s="4" t="s">
        <v>1133</v>
      </c>
      <c r="B562" s="4" t="s">
        <v>1134</v>
      </c>
      <c r="C562" s="5">
        <v>32387.0</v>
      </c>
      <c r="D562" s="4">
        <v>204720.0</v>
      </c>
      <c r="E562" s="4">
        <v>13.0</v>
      </c>
      <c r="F562" s="4">
        <v>0.11</v>
      </c>
      <c r="G562" s="4">
        <v>0.0362</v>
      </c>
      <c r="H562" s="4">
        <v>8.0</v>
      </c>
      <c r="I562" s="4">
        <v>-28.981</v>
      </c>
      <c r="J562" s="4">
        <v>1.0</v>
      </c>
      <c r="K562" s="4">
        <v>0.0452</v>
      </c>
      <c r="L562" s="4">
        <v>0.982</v>
      </c>
      <c r="M562" s="4">
        <v>0.00217</v>
      </c>
      <c r="N562" s="4">
        <v>0.0773</v>
      </c>
      <c r="O562" s="4">
        <v>0.0357</v>
      </c>
      <c r="P562" s="4">
        <v>82.26</v>
      </c>
      <c r="Q562" s="4">
        <v>4.0</v>
      </c>
    </row>
    <row r="563">
      <c r="A563" s="4" t="s">
        <v>1135</v>
      </c>
      <c r="B563" s="4" t="s">
        <v>1136</v>
      </c>
      <c r="C563" s="5">
        <v>41583.0</v>
      </c>
      <c r="D563" s="4">
        <v>227786.0</v>
      </c>
      <c r="E563" s="4">
        <v>41.0</v>
      </c>
      <c r="F563" s="4">
        <v>0.128</v>
      </c>
      <c r="G563" s="4">
        <v>0.0741</v>
      </c>
      <c r="H563" s="4">
        <v>3.0</v>
      </c>
      <c r="I563" s="4">
        <v>-24.114</v>
      </c>
      <c r="J563" s="4">
        <v>1.0</v>
      </c>
      <c r="K563" s="4">
        <v>0.0465</v>
      </c>
      <c r="L563" s="4">
        <v>0.99</v>
      </c>
      <c r="M563" s="4">
        <v>0.776</v>
      </c>
      <c r="N563" s="4">
        <v>0.17</v>
      </c>
      <c r="O563" s="4">
        <v>0.0722</v>
      </c>
      <c r="P563" s="4">
        <v>81.164</v>
      </c>
      <c r="Q563" s="4">
        <v>4.0</v>
      </c>
    </row>
    <row r="564">
      <c r="A564" s="4" t="s">
        <v>1137</v>
      </c>
      <c r="B564" s="4" t="s">
        <v>1138</v>
      </c>
      <c r="C564" s="5">
        <v>43487.0</v>
      </c>
      <c r="D564" s="4">
        <v>193933.0</v>
      </c>
      <c r="E564" s="4">
        <v>33.0</v>
      </c>
      <c r="F564" s="4">
        <v>0.499</v>
      </c>
      <c r="G564" s="4">
        <v>0.0258</v>
      </c>
      <c r="H564" s="4">
        <v>2.0</v>
      </c>
      <c r="I564" s="4">
        <v>-23.715</v>
      </c>
      <c r="J564" s="4">
        <v>1.0</v>
      </c>
      <c r="K564" s="4">
        <v>0.049</v>
      </c>
      <c r="L564" s="4">
        <v>0.991</v>
      </c>
      <c r="M564" s="4">
        <v>0.907</v>
      </c>
      <c r="N564" s="4">
        <v>0.102</v>
      </c>
      <c r="O564" s="4">
        <v>0.333</v>
      </c>
      <c r="P564" s="4">
        <v>90.004</v>
      </c>
      <c r="Q564" s="4">
        <v>4.0</v>
      </c>
    </row>
    <row r="565">
      <c r="A565" s="4" t="s">
        <v>1139</v>
      </c>
      <c r="B565" s="4" t="s">
        <v>1140</v>
      </c>
      <c r="C565" s="5">
        <v>36809.0</v>
      </c>
      <c r="D565" s="4">
        <v>287733.0</v>
      </c>
      <c r="E565" s="4">
        <v>51.0</v>
      </c>
      <c r="F565" s="4">
        <v>0.584</v>
      </c>
      <c r="G565" s="4">
        <v>0.509</v>
      </c>
      <c r="H565" s="4">
        <v>8.0</v>
      </c>
      <c r="I565" s="4">
        <v>-10.338</v>
      </c>
      <c r="J565" s="4">
        <v>1.0</v>
      </c>
      <c r="K565" s="4">
        <v>0.0279</v>
      </c>
      <c r="L565" s="4">
        <v>0.0234</v>
      </c>
      <c r="M565" s="4">
        <v>1.7E-4</v>
      </c>
      <c r="N565" s="4">
        <v>0.0808</v>
      </c>
      <c r="O565" s="4">
        <v>0.387</v>
      </c>
      <c r="P565" s="4">
        <v>138.022</v>
      </c>
      <c r="Q565" s="4">
        <v>4.0</v>
      </c>
    </row>
    <row r="566">
      <c r="A566" s="4" t="s">
        <v>1141</v>
      </c>
      <c r="B566" s="4" t="s">
        <v>1142</v>
      </c>
      <c r="C566" s="5">
        <v>35570.0</v>
      </c>
      <c r="D566" s="4">
        <v>340200.0</v>
      </c>
      <c r="E566" s="4">
        <v>45.0</v>
      </c>
      <c r="F566" s="4">
        <v>0.324</v>
      </c>
      <c r="G566" s="4">
        <v>0.835</v>
      </c>
      <c r="H566" s="4">
        <v>2.0</v>
      </c>
      <c r="I566" s="4">
        <v>-6.537</v>
      </c>
      <c r="J566" s="4">
        <v>1.0</v>
      </c>
      <c r="K566" s="4">
        <v>0.0501</v>
      </c>
      <c r="L566" s="4">
        <v>9.65E-4</v>
      </c>
      <c r="M566" s="4">
        <v>0.118</v>
      </c>
      <c r="N566" s="4">
        <v>0.071</v>
      </c>
      <c r="O566" s="4">
        <v>0.472</v>
      </c>
      <c r="P566" s="4">
        <v>139.256</v>
      </c>
      <c r="Q566" s="4">
        <v>3.0</v>
      </c>
    </row>
    <row r="567">
      <c r="A567" s="4" t="s">
        <v>1143</v>
      </c>
      <c r="B567" s="4" t="s">
        <v>1144</v>
      </c>
      <c r="C567" s="5">
        <v>32630.0</v>
      </c>
      <c r="D567" s="4">
        <v>209573.0</v>
      </c>
      <c r="E567" s="4">
        <v>62.0</v>
      </c>
      <c r="F567" s="4">
        <v>0.611</v>
      </c>
      <c r="G567" s="4">
        <v>0.813</v>
      </c>
      <c r="H567" s="4">
        <v>9.0</v>
      </c>
      <c r="I567" s="4">
        <v>-7.689</v>
      </c>
      <c r="J567" s="4">
        <v>0.0</v>
      </c>
      <c r="K567" s="4">
        <v>0.0279</v>
      </c>
      <c r="L567" s="4">
        <v>0.339</v>
      </c>
      <c r="M567" s="4">
        <v>0.898</v>
      </c>
      <c r="N567" s="4">
        <v>0.224</v>
      </c>
      <c r="O567" s="4">
        <v>0.821</v>
      </c>
      <c r="P567" s="4">
        <v>140.112</v>
      </c>
      <c r="Q567" s="4">
        <v>4.0</v>
      </c>
    </row>
    <row r="568">
      <c r="A568" s="4" t="s">
        <v>1145</v>
      </c>
      <c r="B568" s="4" t="s">
        <v>1146</v>
      </c>
      <c r="C568" s="5">
        <v>30214.0</v>
      </c>
      <c r="D568" s="4">
        <v>858533.0</v>
      </c>
      <c r="E568" s="4">
        <v>41.0</v>
      </c>
      <c r="F568" s="4">
        <v>0.381</v>
      </c>
      <c r="G568" s="4">
        <v>0.592</v>
      </c>
      <c r="H568" s="4">
        <v>2.0</v>
      </c>
      <c r="I568" s="4">
        <v>-10.124</v>
      </c>
      <c r="J568" s="4">
        <v>0.0</v>
      </c>
      <c r="K568" s="4">
        <v>0.0322</v>
      </c>
      <c r="L568" s="4">
        <v>0.016</v>
      </c>
      <c r="M568" s="4">
        <v>0.363</v>
      </c>
      <c r="N568" s="4">
        <v>0.273</v>
      </c>
      <c r="O568" s="4">
        <v>0.285</v>
      </c>
      <c r="P568" s="4">
        <v>124.984</v>
      </c>
      <c r="Q568" s="4">
        <v>4.0</v>
      </c>
    </row>
    <row r="569">
      <c r="A569" s="4" t="s">
        <v>1147</v>
      </c>
      <c r="B569" s="4" t="s">
        <v>1148</v>
      </c>
      <c r="C569" s="5">
        <v>36161.0</v>
      </c>
      <c r="D569" s="4">
        <v>209106.0</v>
      </c>
      <c r="E569" s="4">
        <v>30.0</v>
      </c>
      <c r="F569" s="4">
        <v>0.119</v>
      </c>
      <c r="G569" s="4">
        <v>0.206</v>
      </c>
      <c r="H569" s="4">
        <v>5.0</v>
      </c>
      <c r="I569" s="4">
        <v>-17.576</v>
      </c>
      <c r="J569" s="4">
        <v>1.0</v>
      </c>
      <c r="K569" s="4">
        <v>0.0391</v>
      </c>
      <c r="L569" s="4">
        <v>0.372</v>
      </c>
      <c r="M569" s="4">
        <v>0.88</v>
      </c>
      <c r="N569" s="4">
        <v>0.37</v>
      </c>
      <c r="O569" s="4">
        <v>0.0339</v>
      </c>
      <c r="P569" s="4">
        <v>79.649</v>
      </c>
      <c r="Q569" s="4">
        <v>5.0</v>
      </c>
    </row>
    <row r="570">
      <c r="A570" s="4" t="s">
        <v>1149</v>
      </c>
      <c r="B570" s="4" t="s">
        <v>1150</v>
      </c>
      <c r="C570" s="5">
        <v>44475.0</v>
      </c>
      <c r="D570" s="4">
        <v>140506.0</v>
      </c>
      <c r="E570" s="4">
        <v>7.0</v>
      </c>
      <c r="F570" s="4">
        <v>0.29</v>
      </c>
      <c r="G570" s="4">
        <v>0.178</v>
      </c>
      <c r="H570" s="4">
        <v>5.0</v>
      </c>
      <c r="I570" s="4">
        <v>-13.97</v>
      </c>
      <c r="J570" s="4">
        <v>1.0</v>
      </c>
      <c r="K570" s="4">
        <v>0.0294</v>
      </c>
      <c r="L570" s="4">
        <v>0.884</v>
      </c>
      <c r="M570" s="4">
        <v>0.0</v>
      </c>
      <c r="N570" s="4">
        <v>0.15</v>
      </c>
      <c r="O570" s="4">
        <v>0.214</v>
      </c>
      <c r="P570" s="4">
        <v>130.643</v>
      </c>
      <c r="Q570" s="4">
        <v>5.0</v>
      </c>
    </row>
    <row r="571">
      <c r="A571" s="4" t="s">
        <v>1151</v>
      </c>
      <c r="B571" s="4" t="s">
        <v>1152</v>
      </c>
      <c r="C571" s="5">
        <v>41012.0</v>
      </c>
      <c r="D571" s="4">
        <v>239156.0</v>
      </c>
      <c r="E571" s="4">
        <v>35.0</v>
      </c>
      <c r="F571" s="4">
        <v>0.574</v>
      </c>
      <c r="G571" s="4">
        <v>0.749</v>
      </c>
      <c r="H571" s="4">
        <v>10.0</v>
      </c>
      <c r="I571" s="4">
        <v>-7.011</v>
      </c>
      <c r="J571" s="4">
        <v>1.0</v>
      </c>
      <c r="K571" s="4">
        <v>0.0315</v>
      </c>
      <c r="L571" s="4">
        <v>0.163</v>
      </c>
      <c r="M571" s="4">
        <v>0.0</v>
      </c>
      <c r="N571" s="4">
        <v>0.144</v>
      </c>
      <c r="O571" s="4">
        <v>0.466</v>
      </c>
      <c r="P571" s="4">
        <v>119.015</v>
      </c>
      <c r="Q571" s="4">
        <v>4.0</v>
      </c>
    </row>
    <row r="572">
      <c r="A572" s="4" t="s">
        <v>1153</v>
      </c>
      <c r="B572" s="4" t="s">
        <v>1154</v>
      </c>
      <c r="C572" s="5">
        <v>41275.0</v>
      </c>
      <c r="D572" s="4">
        <v>340320.0</v>
      </c>
      <c r="E572" s="4">
        <v>64.0</v>
      </c>
      <c r="F572" s="4">
        <v>0.523</v>
      </c>
      <c r="G572" s="4">
        <v>0.847</v>
      </c>
      <c r="H572" s="4">
        <v>3.0</v>
      </c>
      <c r="I572" s="4">
        <v>-5.888</v>
      </c>
      <c r="J572" s="4">
        <v>1.0</v>
      </c>
      <c r="K572" s="4">
        <v>0.028</v>
      </c>
      <c r="L572" s="4">
        <v>0.00309</v>
      </c>
      <c r="M572" s="6">
        <v>1.21E-5</v>
      </c>
      <c r="N572" s="4">
        <v>0.146</v>
      </c>
      <c r="O572" s="4">
        <v>0.475</v>
      </c>
      <c r="P572" s="4">
        <v>155.032</v>
      </c>
      <c r="Q572" s="4">
        <v>4.0</v>
      </c>
    </row>
    <row r="573">
      <c r="A573" s="4" t="s">
        <v>1155</v>
      </c>
      <c r="B573" s="4" t="s">
        <v>1156</v>
      </c>
      <c r="C573" s="5">
        <v>39083.0</v>
      </c>
      <c r="D573" s="4">
        <v>326554.0</v>
      </c>
      <c r="E573" s="4">
        <v>37.0</v>
      </c>
      <c r="F573" s="4">
        <v>0.26</v>
      </c>
      <c r="G573" s="4">
        <v>0.0622</v>
      </c>
      <c r="H573" s="4">
        <v>9.0</v>
      </c>
      <c r="I573" s="4">
        <v>-15.211</v>
      </c>
      <c r="J573" s="4">
        <v>0.0</v>
      </c>
      <c r="K573" s="4">
        <v>0.0426</v>
      </c>
      <c r="L573" s="4">
        <v>0.973</v>
      </c>
      <c r="M573" s="4">
        <v>0.0236</v>
      </c>
      <c r="N573" s="4">
        <v>0.0801</v>
      </c>
      <c r="O573" s="4">
        <v>0.0815</v>
      </c>
      <c r="P573" s="4">
        <v>110.342</v>
      </c>
      <c r="Q573" s="4">
        <v>3.0</v>
      </c>
    </row>
    <row r="574">
      <c r="A574" s="4" t="s">
        <v>1157</v>
      </c>
      <c r="B574" s="4" t="s">
        <v>1158</v>
      </c>
      <c r="C574" s="4">
        <v>2006.0</v>
      </c>
      <c r="D574" s="4">
        <v>269066.0</v>
      </c>
      <c r="E574" s="4">
        <v>5.0</v>
      </c>
      <c r="F574" s="4">
        <v>0.141</v>
      </c>
      <c r="G574" s="4">
        <v>0.196</v>
      </c>
      <c r="H574" s="4">
        <v>2.0</v>
      </c>
      <c r="I574" s="4">
        <v>-19.96</v>
      </c>
      <c r="J574" s="4">
        <v>1.0</v>
      </c>
      <c r="K574" s="4">
        <v>0.0371</v>
      </c>
      <c r="L574" s="4">
        <v>0.801</v>
      </c>
      <c r="M574" s="4">
        <v>0.976</v>
      </c>
      <c r="N574" s="4">
        <v>0.105</v>
      </c>
      <c r="O574" s="4">
        <v>0.0354</v>
      </c>
      <c r="P574" s="4">
        <v>96.356</v>
      </c>
      <c r="Q574" s="4">
        <v>3.0</v>
      </c>
    </row>
    <row r="575">
      <c r="A575" s="4" t="s">
        <v>1159</v>
      </c>
      <c r="B575" s="4" t="s">
        <v>1160</v>
      </c>
      <c r="C575" s="5">
        <v>36008.0</v>
      </c>
      <c r="D575" s="4">
        <v>951120.0</v>
      </c>
      <c r="E575" s="4">
        <v>24.0</v>
      </c>
      <c r="F575" s="4">
        <v>0.107</v>
      </c>
      <c r="G575" s="4">
        <v>0.0404</v>
      </c>
      <c r="H575" s="4">
        <v>9.0</v>
      </c>
      <c r="I575" s="4">
        <v>-25.179</v>
      </c>
      <c r="J575" s="4">
        <v>1.0</v>
      </c>
      <c r="K575" s="4">
        <v>0.0433</v>
      </c>
      <c r="L575" s="4">
        <v>0.922</v>
      </c>
      <c r="M575" s="4">
        <v>0.927</v>
      </c>
      <c r="N575" s="4">
        <v>0.105</v>
      </c>
      <c r="O575" s="4">
        <v>0.0322</v>
      </c>
      <c r="P575" s="4">
        <v>83.107</v>
      </c>
      <c r="Q575" s="4">
        <v>3.0</v>
      </c>
    </row>
    <row r="576">
      <c r="A576" s="4" t="s">
        <v>1161</v>
      </c>
      <c r="B576" s="4" t="s">
        <v>1162</v>
      </c>
      <c r="C576" s="5">
        <v>44478.0</v>
      </c>
      <c r="D576" s="4">
        <v>573440.0</v>
      </c>
      <c r="E576" s="4">
        <v>5.0</v>
      </c>
      <c r="F576" s="4">
        <v>0.154</v>
      </c>
      <c r="G576" s="4">
        <v>0.194</v>
      </c>
      <c r="H576" s="4">
        <v>8.0</v>
      </c>
      <c r="I576" s="4">
        <v>-17.744</v>
      </c>
      <c r="J576" s="4">
        <v>0.0</v>
      </c>
      <c r="K576" s="4">
        <v>0.0336</v>
      </c>
      <c r="L576" s="4">
        <v>0.579</v>
      </c>
      <c r="M576" s="4">
        <v>0.876</v>
      </c>
      <c r="N576" s="4">
        <v>0.317</v>
      </c>
      <c r="O576" s="4">
        <v>0.177</v>
      </c>
      <c r="P576" s="4">
        <v>73.114</v>
      </c>
      <c r="Q576" s="4">
        <v>3.0</v>
      </c>
    </row>
    <row r="577">
      <c r="A577" s="4" t="s">
        <v>1163</v>
      </c>
      <c r="B577" s="4" t="s">
        <v>1164</v>
      </c>
      <c r="C577" s="5">
        <v>43021.0</v>
      </c>
      <c r="D577" s="4">
        <v>121933.0</v>
      </c>
      <c r="E577" s="4">
        <v>60.0</v>
      </c>
      <c r="F577" s="4">
        <v>0.248</v>
      </c>
      <c r="G577" s="4">
        <v>0.00674</v>
      </c>
      <c r="H577" s="4">
        <v>2.0</v>
      </c>
      <c r="I577" s="4">
        <v>-36.547</v>
      </c>
      <c r="J577" s="4">
        <v>1.0</v>
      </c>
      <c r="K577" s="4">
        <v>0.0417</v>
      </c>
      <c r="L577" s="4">
        <v>0.952</v>
      </c>
      <c r="M577" s="4">
        <v>0.271</v>
      </c>
      <c r="N577" s="4">
        <v>0.155</v>
      </c>
      <c r="O577" s="4">
        <v>0.185</v>
      </c>
      <c r="P577" s="4">
        <v>176.236</v>
      </c>
      <c r="Q577" s="4">
        <v>3.0</v>
      </c>
    </row>
    <row r="578">
      <c r="A578" s="4" t="s">
        <v>1165</v>
      </c>
      <c r="B578" s="4" t="s">
        <v>1166</v>
      </c>
      <c r="C578" s="5">
        <v>44482.0</v>
      </c>
      <c r="D578" s="4">
        <v>205640.0</v>
      </c>
      <c r="E578" s="4">
        <v>4.0</v>
      </c>
      <c r="F578" s="4">
        <v>0.397</v>
      </c>
      <c r="G578" s="4">
        <v>0.0266</v>
      </c>
      <c r="H578" s="4">
        <v>9.0</v>
      </c>
      <c r="I578" s="4">
        <v>-23.752</v>
      </c>
      <c r="J578" s="4">
        <v>1.0</v>
      </c>
      <c r="K578" s="4">
        <v>0.0405</v>
      </c>
      <c r="L578" s="4">
        <v>0.978</v>
      </c>
      <c r="M578" s="4">
        <v>0.0652</v>
      </c>
      <c r="N578" s="4">
        <v>0.12</v>
      </c>
      <c r="O578" s="4">
        <v>0.35</v>
      </c>
      <c r="P578" s="4">
        <v>129.692</v>
      </c>
      <c r="Q578" s="4">
        <v>3.0</v>
      </c>
    </row>
    <row r="579">
      <c r="A579" s="4" t="s">
        <v>1167</v>
      </c>
      <c r="B579" s="4" t="s">
        <v>1168</v>
      </c>
      <c r="C579" s="5">
        <v>33178.0</v>
      </c>
      <c r="D579" s="4">
        <v>973800.0</v>
      </c>
      <c r="E579" s="4">
        <v>24.0</v>
      </c>
      <c r="F579" s="4">
        <v>0.0994</v>
      </c>
      <c r="G579" s="4">
        <v>0.121</v>
      </c>
      <c r="H579" s="4">
        <v>7.0</v>
      </c>
      <c r="I579" s="4">
        <v>-17.763</v>
      </c>
      <c r="J579" s="4">
        <v>1.0</v>
      </c>
      <c r="K579" s="4">
        <v>0.0433</v>
      </c>
      <c r="L579" s="4">
        <v>0.793</v>
      </c>
      <c r="M579" s="4">
        <v>0.827</v>
      </c>
      <c r="N579" s="4">
        <v>0.335</v>
      </c>
      <c r="O579" s="4">
        <v>0.0378</v>
      </c>
      <c r="P579" s="4">
        <v>89.428</v>
      </c>
      <c r="Q579" s="4">
        <v>4.0</v>
      </c>
    </row>
    <row r="580">
      <c r="A580" s="4" t="s">
        <v>1169</v>
      </c>
      <c r="B580" s="4" t="s">
        <v>1170</v>
      </c>
      <c r="C580" s="5">
        <v>35034.0</v>
      </c>
      <c r="D580" s="4">
        <v>454000.0</v>
      </c>
      <c r="E580" s="4">
        <v>48.0</v>
      </c>
      <c r="F580" s="4">
        <v>0.0761</v>
      </c>
      <c r="G580" s="4">
        <v>0.018</v>
      </c>
      <c r="H580" s="4">
        <v>7.0</v>
      </c>
      <c r="I580" s="4">
        <v>-33.501</v>
      </c>
      <c r="J580" s="4">
        <v>1.0</v>
      </c>
      <c r="K580" s="4">
        <v>0.0444</v>
      </c>
      <c r="L580" s="4">
        <v>0.969</v>
      </c>
      <c r="M580" s="4">
        <v>0.532</v>
      </c>
      <c r="N580" s="4">
        <v>0.151</v>
      </c>
      <c r="O580" s="4">
        <v>0.0392</v>
      </c>
      <c r="P580" s="4">
        <v>79.268</v>
      </c>
      <c r="Q580" s="4">
        <v>4.0</v>
      </c>
    </row>
    <row r="581">
      <c r="A581" s="4" t="s">
        <v>1171</v>
      </c>
      <c r="B581" s="4" t="s">
        <v>1172</v>
      </c>
      <c r="C581" s="5">
        <v>39945.0</v>
      </c>
      <c r="D581" s="4">
        <v>271760.0</v>
      </c>
      <c r="E581" s="4">
        <v>35.0</v>
      </c>
      <c r="F581" s="4">
        <v>0.183</v>
      </c>
      <c r="G581" s="4">
        <v>0.0886</v>
      </c>
      <c r="H581" s="4">
        <v>1.0</v>
      </c>
      <c r="I581" s="4">
        <v>-21.505</v>
      </c>
      <c r="J581" s="4">
        <v>1.0</v>
      </c>
      <c r="K581" s="4">
        <v>0.0376</v>
      </c>
      <c r="L581" s="4">
        <v>0.989</v>
      </c>
      <c r="M581" s="4">
        <v>0.22</v>
      </c>
      <c r="N581" s="4">
        <v>0.101</v>
      </c>
      <c r="O581" s="4">
        <v>0.059</v>
      </c>
      <c r="P581" s="4">
        <v>103.08</v>
      </c>
      <c r="Q581" s="4">
        <v>4.0</v>
      </c>
    </row>
    <row r="582">
      <c r="A582" s="4" t="s">
        <v>1173</v>
      </c>
      <c r="B582" s="4" t="s">
        <v>1174</v>
      </c>
      <c r="C582" s="5">
        <v>34335.0</v>
      </c>
      <c r="D582" s="4">
        <v>333266.0</v>
      </c>
      <c r="E582" s="4">
        <v>43.0</v>
      </c>
      <c r="F582" s="4">
        <v>0.434</v>
      </c>
      <c r="G582" s="4">
        <v>0.226</v>
      </c>
      <c r="H582" s="4">
        <v>5.0</v>
      </c>
      <c r="I582" s="4">
        <v>-14.483</v>
      </c>
      <c r="J582" s="4">
        <v>1.0</v>
      </c>
      <c r="K582" s="4">
        <v>0.0361</v>
      </c>
      <c r="L582" s="4">
        <v>0.861</v>
      </c>
      <c r="M582" s="6">
        <v>6.67E-5</v>
      </c>
      <c r="N582" s="4">
        <v>0.102</v>
      </c>
      <c r="O582" s="4">
        <v>0.588</v>
      </c>
      <c r="P582" s="4">
        <v>138.477</v>
      </c>
      <c r="Q582" s="4">
        <v>4.0</v>
      </c>
    </row>
    <row r="583">
      <c r="A583" s="4" t="s">
        <v>1175</v>
      </c>
      <c r="B583" s="4" t="s">
        <v>1176</v>
      </c>
      <c r="C583" s="4">
        <v>1969.0</v>
      </c>
      <c r="D583" s="4">
        <v>139466.0</v>
      </c>
      <c r="E583" s="4">
        <v>45.0</v>
      </c>
      <c r="F583" s="4">
        <v>0.345</v>
      </c>
      <c r="G583" s="4">
        <v>0.476</v>
      </c>
      <c r="H583" s="4">
        <v>2.0</v>
      </c>
      <c r="I583" s="4">
        <v>-6.077</v>
      </c>
      <c r="J583" s="4">
        <v>0.0</v>
      </c>
      <c r="K583" s="4">
        <v>0.0375</v>
      </c>
      <c r="L583" s="4">
        <v>0.761</v>
      </c>
      <c r="M583" s="4">
        <v>0.0</v>
      </c>
      <c r="N583" s="4">
        <v>0.101</v>
      </c>
      <c r="O583" s="4">
        <v>0.587</v>
      </c>
      <c r="P583" s="4">
        <v>105.971</v>
      </c>
      <c r="Q583" s="4">
        <v>3.0</v>
      </c>
    </row>
    <row r="584">
      <c r="A584" s="4" t="s">
        <v>1177</v>
      </c>
      <c r="B584" s="4" t="s">
        <v>1178</v>
      </c>
      <c r="C584" s="5">
        <v>29952.0</v>
      </c>
      <c r="D584" s="4">
        <v>282543.0</v>
      </c>
      <c r="E584" s="4">
        <v>36.0</v>
      </c>
      <c r="F584" s="4">
        <v>0.581</v>
      </c>
      <c r="G584" s="4">
        <v>0.0387</v>
      </c>
      <c r="H584" s="4">
        <v>1.0</v>
      </c>
      <c r="I584" s="4">
        <v>-20.126</v>
      </c>
      <c r="J584" s="4">
        <v>0.0</v>
      </c>
      <c r="K584" s="4">
        <v>0.0566</v>
      </c>
      <c r="L584" s="4">
        <v>0.938</v>
      </c>
      <c r="M584" s="4">
        <v>4.17E-4</v>
      </c>
      <c r="N584" s="4">
        <v>0.114</v>
      </c>
      <c r="O584" s="4">
        <v>0.181</v>
      </c>
      <c r="P584" s="4">
        <v>81.201</v>
      </c>
      <c r="Q584" s="4">
        <v>4.0</v>
      </c>
    </row>
    <row r="585">
      <c r="A585" s="4" t="s">
        <v>1179</v>
      </c>
      <c r="B585" s="4" t="s">
        <v>1180</v>
      </c>
      <c r="C585" s="5">
        <v>29336.0</v>
      </c>
      <c r="D585" s="4">
        <v>419933.0</v>
      </c>
      <c r="E585" s="4">
        <v>56.0</v>
      </c>
      <c r="F585" s="4">
        <v>0.329</v>
      </c>
      <c r="G585" s="4">
        <v>0.673</v>
      </c>
      <c r="H585" s="4">
        <v>3.0</v>
      </c>
      <c r="I585" s="4">
        <v>-8.465</v>
      </c>
      <c r="J585" s="4">
        <v>0.0</v>
      </c>
      <c r="K585" s="4">
        <v>0.0296</v>
      </c>
      <c r="L585" s="4">
        <v>0.0239</v>
      </c>
      <c r="M585" s="4">
        <v>0.109</v>
      </c>
      <c r="N585" s="4">
        <v>0.138</v>
      </c>
      <c r="O585" s="4">
        <v>0.323</v>
      </c>
      <c r="P585" s="4">
        <v>91.122</v>
      </c>
      <c r="Q585" s="4">
        <v>4.0</v>
      </c>
    </row>
    <row r="586">
      <c r="A586" s="4" t="s">
        <v>1181</v>
      </c>
      <c r="B586" s="4" t="s">
        <v>1182</v>
      </c>
      <c r="C586" s="5">
        <v>30837.0</v>
      </c>
      <c r="D586" s="4">
        <v>278680.0</v>
      </c>
      <c r="E586" s="4">
        <v>76.0</v>
      </c>
      <c r="F586" s="4">
        <v>0.398</v>
      </c>
      <c r="G586" s="4">
        <v>0.952</v>
      </c>
      <c r="H586" s="4">
        <v>4.0</v>
      </c>
      <c r="I586" s="4">
        <v>-6.042</v>
      </c>
      <c r="J586" s="4">
        <v>1.0</v>
      </c>
      <c r="K586" s="4">
        <v>0.061</v>
      </c>
      <c r="L586" s="4">
        <v>3.73E-4</v>
      </c>
      <c r="M586" s="6">
        <v>7.75E-5</v>
      </c>
      <c r="N586" s="4">
        <v>0.1</v>
      </c>
      <c r="O586" s="4">
        <v>0.584</v>
      </c>
      <c r="P586" s="4">
        <v>122.093</v>
      </c>
      <c r="Q586" s="4">
        <v>4.0</v>
      </c>
    </row>
    <row r="587">
      <c r="A587" s="4" t="s">
        <v>1183</v>
      </c>
      <c r="B587" s="4" t="s">
        <v>1184</v>
      </c>
      <c r="C587" s="5">
        <v>35696.0</v>
      </c>
      <c r="D587" s="4">
        <v>305666.0</v>
      </c>
      <c r="E587" s="4">
        <v>44.0</v>
      </c>
      <c r="F587" s="4">
        <v>0.321</v>
      </c>
      <c r="G587" s="4">
        <v>0.697</v>
      </c>
      <c r="H587" s="4">
        <v>1.0</v>
      </c>
      <c r="I587" s="4">
        <v>-6.266</v>
      </c>
      <c r="J587" s="4">
        <v>0.0</v>
      </c>
      <c r="K587" s="4">
        <v>0.057</v>
      </c>
      <c r="L587" s="4">
        <v>0.405</v>
      </c>
      <c r="M587" s="4">
        <v>1.55E-4</v>
      </c>
      <c r="N587" s="4">
        <v>0.0721</v>
      </c>
      <c r="O587" s="4">
        <v>0.234</v>
      </c>
      <c r="P587" s="4">
        <v>146.161</v>
      </c>
      <c r="Q587" s="4">
        <v>4.0</v>
      </c>
    </row>
    <row r="588">
      <c r="A588" s="4" t="s">
        <v>1185</v>
      </c>
      <c r="B588" s="4" t="s">
        <v>1186</v>
      </c>
      <c r="C588" s="5">
        <v>42251.0</v>
      </c>
      <c r="D588" s="4">
        <v>1081316.0</v>
      </c>
      <c r="E588" s="4">
        <v>30.0</v>
      </c>
      <c r="F588" s="4">
        <v>0.249</v>
      </c>
      <c r="G588" s="4">
        <v>0.789</v>
      </c>
      <c r="H588" s="4">
        <v>4.0</v>
      </c>
      <c r="I588" s="4">
        <v>-6.15</v>
      </c>
      <c r="J588" s="4">
        <v>0.0</v>
      </c>
      <c r="K588" s="4">
        <v>0.0496</v>
      </c>
      <c r="L588" s="4">
        <v>0.0165</v>
      </c>
      <c r="M588" s="4">
        <v>0.00239</v>
      </c>
      <c r="N588" s="4">
        <v>0.104</v>
      </c>
      <c r="O588" s="4">
        <v>0.19</v>
      </c>
      <c r="P588" s="4">
        <v>76.293</v>
      </c>
      <c r="Q588" s="4">
        <v>4.0</v>
      </c>
    </row>
    <row r="589">
      <c r="A589" s="4" t="s">
        <v>1187</v>
      </c>
      <c r="B589" s="4" t="s">
        <v>1188</v>
      </c>
      <c r="C589" s="5">
        <v>27719.0</v>
      </c>
      <c r="D589" s="4">
        <v>354320.0</v>
      </c>
      <c r="E589" s="4">
        <v>74.0</v>
      </c>
      <c r="F589" s="4">
        <v>0.392</v>
      </c>
      <c r="G589" s="4">
        <v>0.402</v>
      </c>
      <c r="H589" s="4">
        <v>0.0</v>
      </c>
      <c r="I589" s="4">
        <v>-9.961</v>
      </c>
      <c r="J589" s="4">
        <v>0.0</v>
      </c>
      <c r="K589" s="4">
        <v>0.0536</v>
      </c>
      <c r="L589" s="4">
        <v>0.288</v>
      </c>
      <c r="M589" s="4">
        <v>0.0</v>
      </c>
      <c r="N589" s="4">
        <v>0.243</v>
      </c>
      <c r="O589" s="4">
        <v>0.228</v>
      </c>
      <c r="P589" s="4">
        <v>143.883</v>
      </c>
      <c r="Q589" s="4">
        <v>4.0</v>
      </c>
    </row>
    <row r="590">
      <c r="A590" s="4" t="s">
        <v>1189</v>
      </c>
      <c r="B590" s="4" t="s">
        <v>1190</v>
      </c>
      <c r="C590" s="5">
        <v>42692.0</v>
      </c>
      <c r="D590" s="4">
        <v>429198.0</v>
      </c>
      <c r="E590" s="4">
        <v>50.0</v>
      </c>
      <c r="F590" s="4">
        <v>0.157</v>
      </c>
      <c r="G590" s="4">
        <v>0.987</v>
      </c>
      <c r="H590" s="4">
        <v>9.0</v>
      </c>
      <c r="I590" s="4">
        <v>-3.739</v>
      </c>
      <c r="J590" s="4">
        <v>1.0</v>
      </c>
      <c r="K590" s="4">
        <v>0.091</v>
      </c>
      <c r="L590" s="6">
        <v>9.25E-6</v>
      </c>
      <c r="M590" s="4">
        <v>0.0628</v>
      </c>
      <c r="N590" s="4">
        <v>0.151</v>
      </c>
      <c r="O590" s="4">
        <v>0.462</v>
      </c>
      <c r="P590" s="4">
        <v>167.949</v>
      </c>
      <c r="Q590" s="4">
        <v>4.0</v>
      </c>
    </row>
    <row r="591">
      <c r="A591" s="4" t="s">
        <v>1191</v>
      </c>
      <c r="B591" s="4" t="s">
        <v>1192</v>
      </c>
      <c r="C591" s="5">
        <v>44478.0</v>
      </c>
      <c r="D591" s="4">
        <v>128240.0</v>
      </c>
      <c r="E591" s="4">
        <v>5.0</v>
      </c>
      <c r="F591" s="4">
        <v>0.173</v>
      </c>
      <c r="G591" s="4">
        <v>0.395</v>
      </c>
      <c r="H591" s="4">
        <v>0.0</v>
      </c>
      <c r="I591" s="4">
        <v>-12.559</v>
      </c>
      <c r="J591" s="4">
        <v>0.0</v>
      </c>
      <c r="K591" s="4">
        <v>0.0403</v>
      </c>
      <c r="L591" s="4">
        <v>0.94</v>
      </c>
      <c r="M591" s="4">
        <v>0.948</v>
      </c>
      <c r="N591" s="4">
        <v>0.12</v>
      </c>
      <c r="O591" s="4">
        <v>0.107</v>
      </c>
      <c r="P591" s="4">
        <v>88.009</v>
      </c>
      <c r="Q591" s="4">
        <v>4.0</v>
      </c>
    </row>
    <row r="592">
      <c r="A592" s="4" t="s">
        <v>1193</v>
      </c>
      <c r="B592" s="4" t="s">
        <v>1194</v>
      </c>
      <c r="C592" s="5">
        <v>32509.0</v>
      </c>
      <c r="D592" s="4">
        <v>200960.0</v>
      </c>
      <c r="E592" s="4">
        <v>25.0</v>
      </c>
      <c r="F592" s="4">
        <v>0.135</v>
      </c>
      <c r="G592" s="4">
        <v>0.131</v>
      </c>
      <c r="H592" s="4">
        <v>4.0</v>
      </c>
      <c r="I592" s="4">
        <v>-22.481</v>
      </c>
      <c r="J592" s="4">
        <v>1.0</v>
      </c>
      <c r="K592" s="4">
        <v>0.0457</v>
      </c>
      <c r="L592" s="4">
        <v>0.994</v>
      </c>
      <c r="M592" s="4">
        <v>0.243</v>
      </c>
      <c r="N592" s="4">
        <v>0.149</v>
      </c>
      <c r="O592" s="4">
        <v>0.05</v>
      </c>
      <c r="P592" s="4">
        <v>169.544</v>
      </c>
      <c r="Q592" s="4">
        <v>1.0</v>
      </c>
    </row>
    <row r="593">
      <c r="A593" s="4" t="s">
        <v>1195</v>
      </c>
      <c r="B593" s="4" t="s">
        <v>1196</v>
      </c>
      <c r="C593" s="5">
        <v>44050.0</v>
      </c>
      <c r="D593" s="4">
        <v>559080.0</v>
      </c>
      <c r="E593" s="4">
        <v>35.0</v>
      </c>
      <c r="F593" s="4">
        <v>0.174</v>
      </c>
      <c r="G593" s="4">
        <v>0.228</v>
      </c>
      <c r="H593" s="4">
        <v>0.0</v>
      </c>
      <c r="I593" s="4">
        <v>-18.104</v>
      </c>
      <c r="J593" s="4">
        <v>1.0</v>
      </c>
      <c r="K593" s="4">
        <v>0.039</v>
      </c>
      <c r="L593" s="4">
        <v>0.99</v>
      </c>
      <c r="M593" s="4">
        <v>0.635</v>
      </c>
      <c r="N593" s="4">
        <v>0.0863</v>
      </c>
      <c r="O593" s="4">
        <v>0.0604</v>
      </c>
      <c r="P593" s="4">
        <v>124.955</v>
      </c>
      <c r="Q593" s="4">
        <v>4.0</v>
      </c>
    </row>
    <row r="594">
      <c r="A594" s="4" t="s">
        <v>1197</v>
      </c>
      <c r="B594" s="4" t="s">
        <v>1198</v>
      </c>
      <c r="C594" s="5">
        <v>44484.0</v>
      </c>
      <c r="D594" s="4">
        <v>256733.0</v>
      </c>
      <c r="E594" s="4">
        <v>32.0</v>
      </c>
      <c r="F594" s="4">
        <v>0.19</v>
      </c>
      <c r="G594" s="4">
        <v>0.0509</v>
      </c>
      <c r="H594" s="4">
        <v>7.0</v>
      </c>
      <c r="I594" s="4">
        <v>-33.474</v>
      </c>
      <c r="J594" s="4">
        <v>1.0</v>
      </c>
      <c r="K594" s="4">
        <v>0.0508</v>
      </c>
      <c r="L594" s="4">
        <v>0.985</v>
      </c>
      <c r="M594" s="4">
        <v>0.24</v>
      </c>
      <c r="N594" s="4">
        <v>0.0907</v>
      </c>
      <c r="O594" s="4">
        <v>0.0506</v>
      </c>
      <c r="P594" s="4">
        <v>83.289</v>
      </c>
      <c r="Q594" s="4">
        <v>4.0</v>
      </c>
    </row>
    <row r="595">
      <c r="A595" s="4" t="s">
        <v>1199</v>
      </c>
      <c r="B595" s="4" t="s">
        <v>1200</v>
      </c>
      <c r="C595" s="5">
        <v>23568.0</v>
      </c>
      <c r="D595" s="4">
        <v>155333.0</v>
      </c>
      <c r="E595" s="4">
        <v>59.0</v>
      </c>
      <c r="F595" s="4">
        <v>0.551</v>
      </c>
      <c r="G595" s="4">
        <v>0.575</v>
      </c>
      <c r="H595" s="4">
        <v>2.0</v>
      </c>
      <c r="I595" s="4">
        <v>-8.208</v>
      </c>
      <c r="J595" s="4">
        <v>0.0</v>
      </c>
      <c r="K595" s="4">
        <v>0.0332</v>
      </c>
      <c r="L595" s="4">
        <v>0.239</v>
      </c>
      <c r="M595" s="4">
        <v>0.0</v>
      </c>
      <c r="N595" s="4">
        <v>0.112</v>
      </c>
      <c r="O595" s="4">
        <v>0.516</v>
      </c>
      <c r="P595" s="4">
        <v>137.054</v>
      </c>
      <c r="Q595" s="4">
        <v>4.0</v>
      </c>
    </row>
    <row r="596">
      <c r="A596" s="4" t="s">
        <v>1201</v>
      </c>
      <c r="B596" s="4" t="s">
        <v>1202</v>
      </c>
      <c r="C596" s="5">
        <v>44474.0</v>
      </c>
      <c r="D596" s="4">
        <v>244000.0</v>
      </c>
      <c r="E596" s="4">
        <v>5.0</v>
      </c>
      <c r="F596" s="4">
        <v>0.171</v>
      </c>
      <c r="G596" s="4">
        <v>0.0118</v>
      </c>
      <c r="H596" s="4">
        <v>9.0</v>
      </c>
      <c r="I596" s="4">
        <v>-29.102</v>
      </c>
      <c r="J596" s="4">
        <v>1.0</v>
      </c>
      <c r="K596" s="4">
        <v>0.0469</v>
      </c>
      <c r="L596" s="4">
        <v>0.991</v>
      </c>
      <c r="M596" s="4">
        <v>0.935</v>
      </c>
      <c r="N596" s="4">
        <v>0.0861</v>
      </c>
      <c r="O596" s="4">
        <v>0.054</v>
      </c>
      <c r="P596" s="4">
        <v>137.554</v>
      </c>
      <c r="Q596" s="4">
        <v>4.0</v>
      </c>
    </row>
    <row r="597">
      <c r="A597" s="4" t="s">
        <v>1203</v>
      </c>
      <c r="B597" s="4" t="s">
        <v>1204</v>
      </c>
      <c r="C597" s="5">
        <v>44485.0</v>
      </c>
      <c r="D597" s="4">
        <v>690693.0</v>
      </c>
      <c r="E597" s="4">
        <v>6.0</v>
      </c>
      <c r="F597" s="4">
        <v>0.428</v>
      </c>
      <c r="G597" s="4">
        <v>0.141</v>
      </c>
      <c r="H597" s="4">
        <v>7.0</v>
      </c>
      <c r="I597" s="4">
        <v>-16.705</v>
      </c>
      <c r="J597" s="4">
        <v>1.0</v>
      </c>
      <c r="K597" s="4">
        <v>0.0383</v>
      </c>
      <c r="L597" s="4">
        <v>0.902</v>
      </c>
      <c r="M597" s="4">
        <v>0.798</v>
      </c>
      <c r="N597" s="4">
        <v>0.0665</v>
      </c>
      <c r="O597" s="4">
        <v>0.334</v>
      </c>
      <c r="P597" s="4">
        <v>78.322</v>
      </c>
      <c r="Q597" s="4">
        <v>4.0</v>
      </c>
    </row>
    <row r="598">
      <c r="A598" s="4" t="s">
        <v>1205</v>
      </c>
      <c r="B598" s="4" t="s">
        <v>1206</v>
      </c>
      <c r="C598" s="5">
        <v>44478.0</v>
      </c>
      <c r="D598" s="4">
        <v>195753.0</v>
      </c>
      <c r="E598" s="4">
        <v>5.0</v>
      </c>
      <c r="F598" s="4">
        <v>0.202</v>
      </c>
      <c r="G598" s="4">
        <v>0.352</v>
      </c>
      <c r="H598" s="4">
        <v>2.0</v>
      </c>
      <c r="I598" s="4">
        <v>-16.972</v>
      </c>
      <c r="J598" s="4">
        <v>0.0</v>
      </c>
      <c r="K598" s="4">
        <v>0.0452</v>
      </c>
      <c r="L598" s="4">
        <v>0.912</v>
      </c>
      <c r="M598" s="4">
        <v>0.889</v>
      </c>
      <c r="N598" s="4">
        <v>0.0951</v>
      </c>
      <c r="O598" s="4">
        <v>0.13</v>
      </c>
      <c r="P598" s="4">
        <v>113.144</v>
      </c>
      <c r="Q598" s="4">
        <v>3.0</v>
      </c>
    </row>
    <row r="599">
      <c r="A599" s="4" t="s">
        <v>1207</v>
      </c>
      <c r="B599" s="4" t="s">
        <v>1208</v>
      </c>
      <c r="C599" s="5">
        <v>44477.0</v>
      </c>
      <c r="D599" s="4">
        <v>266586.0</v>
      </c>
      <c r="E599" s="4">
        <v>2.0</v>
      </c>
      <c r="F599" s="4">
        <v>0.417</v>
      </c>
      <c r="G599" s="4">
        <v>0.402</v>
      </c>
      <c r="H599" s="4">
        <v>2.0</v>
      </c>
      <c r="I599" s="4">
        <v>-7.773</v>
      </c>
      <c r="J599" s="4">
        <v>1.0</v>
      </c>
      <c r="K599" s="4">
        <v>0.0292</v>
      </c>
      <c r="L599" s="4">
        <v>0.478</v>
      </c>
      <c r="M599" s="6">
        <v>9.04E-6</v>
      </c>
      <c r="N599" s="4">
        <v>0.133</v>
      </c>
      <c r="O599" s="4">
        <v>0.406</v>
      </c>
      <c r="P599" s="4">
        <v>119.664</v>
      </c>
      <c r="Q599" s="4">
        <v>4.0</v>
      </c>
    </row>
    <row r="600">
      <c r="A600" s="4" t="s">
        <v>1209</v>
      </c>
      <c r="B600" s="4" t="s">
        <v>1210</v>
      </c>
      <c r="C600" s="5">
        <v>38081.0</v>
      </c>
      <c r="D600" s="4">
        <v>289933.0</v>
      </c>
      <c r="E600" s="4">
        <v>23.0</v>
      </c>
      <c r="F600" s="4">
        <v>0.665</v>
      </c>
      <c r="G600" s="4">
        <v>0.622</v>
      </c>
      <c r="H600" s="4">
        <v>8.0</v>
      </c>
      <c r="I600" s="4">
        <v>-5.303</v>
      </c>
      <c r="J600" s="4">
        <v>0.0</v>
      </c>
      <c r="K600" s="4">
        <v>0.029</v>
      </c>
      <c r="L600" s="4">
        <v>0.109</v>
      </c>
      <c r="M600" s="4">
        <v>6.09E-4</v>
      </c>
      <c r="N600" s="4">
        <v>0.225</v>
      </c>
      <c r="O600" s="4">
        <v>0.287</v>
      </c>
      <c r="P600" s="4">
        <v>114.959</v>
      </c>
      <c r="Q600" s="4">
        <v>4.0</v>
      </c>
    </row>
    <row r="601">
      <c r="A601" s="4" t="s">
        <v>1211</v>
      </c>
      <c r="B601" s="4" t="s">
        <v>1212</v>
      </c>
      <c r="C601" s="5">
        <v>36116.0</v>
      </c>
      <c r="D601" s="4">
        <v>354760.0</v>
      </c>
      <c r="E601" s="4">
        <v>22.0</v>
      </c>
      <c r="F601" s="4">
        <v>0.389</v>
      </c>
      <c r="G601" s="4">
        <v>0.397</v>
      </c>
      <c r="H601" s="4">
        <v>5.0</v>
      </c>
      <c r="I601" s="4">
        <v>-11.155</v>
      </c>
      <c r="J601" s="4">
        <v>0.0</v>
      </c>
      <c r="K601" s="4">
        <v>0.0336</v>
      </c>
      <c r="L601" s="4">
        <v>0.719</v>
      </c>
      <c r="M601" s="4">
        <v>0.005</v>
      </c>
      <c r="N601" s="4">
        <v>0.113</v>
      </c>
      <c r="O601" s="4">
        <v>0.209</v>
      </c>
      <c r="P601" s="4">
        <v>154.001</v>
      </c>
      <c r="Q601" s="4">
        <v>4.0</v>
      </c>
    </row>
    <row r="602">
      <c r="A602" s="4" t="s">
        <v>1213</v>
      </c>
      <c r="B602" s="4" t="s">
        <v>1214</v>
      </c>
      <c r="C602" s="5">
        <v>42608.0</v>
      </c>
      <c r="D602" s="4">
        <v>259572.0</v>
      </c>
      <c r="E602" s="4">
        <v>11.0</v>
      </c>
      <c r="F602" s="4">
        <v>0.323</v>
      </c>
      <c r="G602" s="4">
        <v>0.739</v>
      </c>
      <c r="H602" s="4">
        <v>11.0</v>
      </c>
      <c r="I602" s="4">
        <v>-8.553</v>
      </c>
      <c r="J602" s="4">
        <v>0.0</v>
      </c>
      <c r="K602" s="4">
        <v>0.0404</v>
      </c>
      <c r="L602" s="4">
        <v>0.00845</v>
      </c>
      <c r="M602" s="6">
        <v>4.4E-5</v>
      </c>
      <c r="N602" s="4">
        <v>0.327</v>
      </c>
      <c r="O602" s="4">
        <v>0.21</v>
      </c>
      <c r="P602" s="4">
        <v>150.849</v>
      </c>
      <c r="Q602" s="4">
        <v>4.0</v>
      </c>
    </row>
    <row r="603">
      <c r="A603" s="4" t="s">
        <v>1215</v>
      </c>
      <c r="B603" s="4" t="s">
        <v>1216</v>
      </c>
      <c r="C603" s="5">
        <v>35796.0</v>
      </c>
      <c r="D603" s="4">
        <v>492266.0</v>
      </c>
      <c r="E603" s="4">
        <v>45.0</v>
      </c>
      <c r="F603" s="4">
        <v>0.546</v>
      </c>
      <c r="G603" s="4">
        <v>0.749</v>
      </c>
      <c r="H603" s="4">
        <v>1.0</v>
      </c>
      <c r="I603" s="4">
        <v>-8.345</v>
      </c>
      <c r="J603" s="4">
        <v>0.0</v>
      </c>
      <c r="K603" s="4">
        <v>0.0371</v>
      </c>
      <c r="L603" s="4">
        <v>0.0109</v>
      </c>
      <c r="M603" s="4">
        <v>0.378</v>
      </c>
      <c r="N603" s="4">
        <v>0.0854</v>
      </c>
      <c r="O603" s="4">
        <v>0.136</v>
      </c>
      <c r="P603" s="4">
        <v>95.304</v>
      </c>
      <c r="Q603" s="4">
        <v>4.0</v>
      </c>
    </row>
    <row r="604">
      <c r="A604" s="4" t="s">
        <v>1217</v>
      </c>
      <c r="B604" s="4" t="s">
        <v>1218</v>
      </c>
      <c r="C604" s="5">
        <v>41043.0</v>
      </c>
      <c r="D604" s="4">
        <v>284093.0</v>
      </c>
      <c r="E604" s="4">
        <v>16.0</v>
      </c>
      <c r="F604" s="4">
        <v>0.531</v>
      </c>
      <c r="G604" s="4">
        <v>0.674</v>
      </c>
      <c r="H604" s="4">
        <v>9.0</v>
      </c>
      <c r="I604" s="4">
        <v>-6.994</v>
      </c>
      <c r="J604" s="4">
        <v>0.0</v>
      </c>
      <c r="K604" s="4">
        <v>0.03</v>
      </c>
      <c r="L604" s="4">
        <v>0.79</v>
      </c>
      <c r="M604" s="4">
        <v>5.45E-4</v>
      </c>
      <c r="N604" s="4">
        <v>0.369</v>
      </c>
      <c r="O604" s="4">
        <v>0.763</v>
      </c>
      <c r="P604" s="4">
        <v>160.049</v>
      </c>
      <c r="Q604" s="4">
        <v>5.0</v>
      </c>
    </row>
    <row r="605">
      <c r="A605" s="4" t="s">
        <v>1219</v>
      </c>
      <c r="B605" s="4" t="s">
        <v>1220</v>
      </c>
      <c r="C605" s="5">
        <v>42874.0</v>
      </c>
      <c r="D605" s="4">
        <v>384546.0</v>
      </c>
      <c r="E605" s="4">
        <v>41.0</v>
      </c>
      <c r="F605" s="4">
        <v>0.336</v>
      </c>
      <c r="G605" s="4">
        <v>0.358</v>
      </c>
      <c r="H605" s="4">
        <v>3.0</v>
      </c>
      <c r="I605" s="4">
        <v>-9.908</v>
      </c>
      <c r="J605" s="4">
        <v>1.0</v>
      </c>
      <c r="K605" s="4">
        <v>0.0672</v>
      </c>
      <c r="L605" s="4">
        <v>0.649</v>
      </c>
      <c r="M605" s="4">
        <v>0.00199</v>
      </c>
      <c r="N605" s="4">
        <v>0.501</v>
      </c>
      <c r="O605" s="4">
        <v>0.199</v>
      </c>
      <c r="P605" s="4">
        <v>79.414</v>
      </c>
      <c r="Q605" s="4">
        <v>3.0</v>
      </c>
    </row>
    <row r="606">
      <c r="A606" s="4" t="s">
        <v>1221</v>
      </c>
      <c r="B606" s="4" t="s">
        <v>1222</v>
      </c>
      <c r="C606" s="5">
        <v>27631.0</v>
      </c>
      <c r="D606" s="4">
        <v>269920.0</v>
      </c>
      <c r="E606" s="4">
        <v>72.0</v>
      </c>
      <c r="F606" s="4">
        <v>0.27</v>
      </c>
      <c r="G606" s="4">
        <v>0.944</v>
      </c>
      <c r="H606" s="4">
        <v>4.0</v>
      </c>
      <c r="I606" s="4">
        <v>-4.199</v>
      </c>
      <c r="J606" s="4">
        <v>1.0</v>
      </c>
      <c r="K606" s="4">
        <v>0.0975</v>
      </c>
      <c r="L606" s="4">
        <v>0.00501</v>
      </c>
      <c r="M606" s="6">
        <v>2.05E-5</v>
      </c>
      <c r="N606" s="4">
        <v>0.116</v>
      </c>
      <c r="O606" s="4">
        <v>0.606</v>
      </c>
      <c r="P606" s="4">
        <v>146.347</v>
      </c>
      <c r="Q606" s="4">
        <v>4.0</v>
      </c>
    </row>
    <row r="607">
      <c r="A607" s="4" t="s">
        <v>1223</v>
      </c>
      <c r="B607" s="4" t="s">
        <v>1224</v>
      </c>
      <c r="C607" s="5">
        <v>31640.0</v>
      </c>
      <c r="D607" s="4">
        <v>249293.0</v>
      </c>
      <c r="E607" s="4">
        <v>84.0</v>
      </c>
      <c r="F607" s="4">
        <v>0.532</v>
      </c>
      <c r="G607" s="4">
        <v>0.887</v>
      </c>
      <c r="H607" s="4">
        <v>0.0</v>
      </c>
      <c r="I607" s="4">
        <v>-3.757</v>
      </c>
      <c r="J607" s="4">
        <v>1.0</v>
      </c>
      <c r="K607" s="4">
        <v>0.0335</v>
      </c>
      <c r="L607" s="4">
        <v>0.0778</v>
      </c>
      <c r="M607" s="4">
        <v>2.14E-4</v>
      </c>
      <c r="N607" s="4">
        <v>0.294</v>
      </c>
      <c r="O607" s="4">
        <v>0.795</v>
      </c>
      <c r="P607" s="4">
        <v>122.511</v>
      </c>
      <c r="Q607" s="4">
        <v>4.0</v>
      </c>
    </row>
    <row r="608">
      <c r="A608" s="4" t="s">
        <v>1225</v>
      </c>
      <c r="B608" s="4" t="s">
        <v>1226</v>
      </c>
      <c r="C608" s="5">
        <v>25696.0</v>
      </c>
      <c r="D608" s="4">
        <v>228133.0</v>
      </c>
      <c r="E608" s="4">
        <v>70.0</v>
      </c>
      <c r="F608" s="4">
        <v>0.257</v>
      </c>
      <c r="G608" s="4">
        <v>0.412</v>
      </c>
      <c r="H608" s="4">
        <v>1.0</v>
      </c>
      <c r="I608" s="4">
        <v>-11.788</v>
      </c>
      <c r="J608" s="4">
        <v>1.0</v>
      </c>
      <c r="K608" s="4">
        <v>0.0287</v>
      </c>
      <c r="L608" s="4">
        <v>0.361</v>
      </c>
      <c r="M608" s="6">
        <v>8.68E-5</v>
      </c>
      <c r="N608" s="4">
        <v>0.0702</v>
      </c>
      <c r="O608" s="4">
        <v>0.858</v>
      </c>
      <c r="P608" s="4">
        <v>152.126</v>
      </c>
      <c r="Q608" s="4">
        <v>4.0</v>
      </c>
    </row>
    <row r="609">
      <c r="A609" s="4" t="s">
        <v>1227</v>
      </c>
      <c r="B609" s="4" t="s">
        <v>1228</v>
      </c>
      <c r="C609" s="5">
        <v>35702.0</v>
      </c>
      <c r="D609" s="4">
        <v>304880.0</v>
      </c>
      <c r="E609" s="4">
        <v>64.0</v>
      </c>
      <c r="F609" s="4">
        <v>0.442</v>
      </c>
      <c r="G609" s="4">
        <v>0.52</v>
      </c>
      <c r="H609" s="4">
        <v>0.0</v>
      </c>
      <c r="I609" s="4">
        <v>-8.648</v>
      </c>
      <c r="J609" s="4">
        <v>1.0</v>
      </c>
      <c r="K609" s="4">
        <v>0.0261</v>
      </c>
      <c r="L609" s="4">
        <v>0.184</v>
      </c>
      <c r="M609" s="4">
        <v>0.0</v>
      </c>
      <c r="N609" s="4">
        <v>0.154</v>
      </c>
      <c r="O609" s="4">
        <v>0.177</v>
      </c>
      <c r="P609" s="4">
        <v>77.437</v>
      </c>
      <c r="Q609" s="4">
        <v>4.0</v>
      </c>
    </row>
    <row r="610">
      <c r="A610" s="4" t="s">
        <v>1229</v>
      </c>
      <c r="B610" s="4" t="s">
        <v>1230</v>
      </c>
      <c r="C610" s="5">
        <v>42289.0</v>
      </c>
      <c r="D610" s="4">
        <v>196013.0</v>
      </c>
      <c r="E610" s="4">
        <v>46.0</v>
      </c>
      <c r="F610" s="4">
        <v>0.576</v>
      </c>
      <c r="G610" s="4">
        <v>0.449</v>
      </c>
      <c r="H610" s="4">
        <v>9.0</v>
      </c>
      <c r="I610" s="4">
        <v>-7.23</v>
      </c>
      <c r="J610" s="4">
        <v>1.0</v>
      </c>
      <c r="K610" s="4">
        <v>0.0419</v>
      </c>
      <c r="L610" s="4">
        <v>0.608</v>
      </c>
      <c r="M610" s="4">
        <v>0.0</v>
      </c>
      <c r="N610" s="4">
        <v>0.117</v>
      </c>
      <c r="O610" s="4">
        <v>0.147</v>
      </c>
      <c r="P610" s="4">
        <v>145.025</v>
      </c>
      <c r="Q610" s="4">
        <v>4.0</v>
      </c>
    </row>
    <row r="611">
      <c r="A611" s="4" t="s">
        <v>1231</v>
      </c>
      <c r="B611" s="4" t="s">
        <v>1232</v>
      </c>
      <c r="C611" s="5">
        <v>44485.0</v>
      </c>
      <c r="D611" s="4">
        <v>334837.0</v>
      </c>
      <c r="E611" s="4">
        <v>4.0</v>
      </c>
      <c r="F611" s="4">
        <v>0.318</v>
      </c>
      <c r="G611" s="4">
        <v>0.105</v>
      </c>
      <c r="H611" s="4">
        <v>2.0</v>
      </c>
      <c r="I611" s="4">
        <v>-20.871</v>
      </c>
      <c r="J611" s="4">
        <v>1.0</v>
      </c>
      <c r="K611" s="4">
        <v>0.0324</v>
      </c>
      <c r="L611" s="4">
        <v>0.954</v>
      </c>
      <c r="M611" s="4">
        <v>0.892</v>
      </c>
      <c r="N611" s="4">
        <v>0.171</v>
      </c>
      <c r="O611" s="4">
        <v>0.237</v>
      </c>
      <c r="P611" s="4">
        <v>70.727</v>
      </c>
      <c r="Q611" s="4">
        <v>4.0</v>
      </c>
    </row>
    <row r="612">
      <c r="A612" s="4" t="s">
        <v>1233</v>
      </c>
      <c r="B612" s="4" t="s">
        <v>1234</v>
      </c>
      <c r="C612" s="5">
        <v>42188.0</v>
      </c>
      <c r="D612" s="4">
        <v>1282186.0</v>
      </c>
      <c r="E612" s="4">
        <v>21.0</v>
      </c>
      <c r="F612" s="4">
        <v>0.0863</v>
      </c>
      <c r="G612" s="4">
        <v>0.0945</v>
      </c>
      <c r="H612" s="4">
        <v>0.0</v>
      </c>
      <c r="I612" s="4">
        <v>-21.798</v>
      </c>
      <c r="J612" s="4">
        <v>1.0</v>
      </c>
      <c r="K612" s="4">
        <v>0.0379</v>
      </c>
      <c r="L612" s="4">
        <v>0.895</v>
      </c>
      <c r="M612" s="4">
        <v>0.823</v>
      </c>
      <c r="N612" s="4">
        <v>0.1</v>
      </c>
      <c r="O612" s="4">
        <v>0.0323</v>
      </c>
      <c r="P612" s="4">
        <v>73.559</v>
      </c>
      <c r="Q612" s="4">
        <v>4.0</v>
      </c>
    </row>
    <row r="613">
      <c r="A613" s="4" t="s">
        <v>1235</v>
      </c>
      <c r="B613" s="4" t="s">
        <v>1236</v>
      </c>
      <c r="C613" s="5">
        <v>30682.0</v>
      </c>
      <c r="D613" s="4">
        <v>519506.0</v>
      </c>
      <c r="E613" s="4">
        <v>16.0</v>
      </c>
      <c r="F613" s="4">
        <v>0.358</v>
      </c>
      <c r="G613" s="4">
        <v>0.0782</v>
      </c>
      <c r="H613" s="4">
        <v>11.0</v>
      </c>
      <c r="I613" s="4">
        <v>-24.057</v>
      </c>
      <c r="J613" s="4">
        <v>0.0</v>
      </c>
      <c r="K613" s="4">
        <v>0.0489</v>
      </c>
      <c r="L613" s="4">
        <v>0.978</v>
      </c>
      <c r="M613" s="4">
        <v>0.889</v>
      </c>
      <c r="N613" s="4">
        <v>0.109</v>
      </c>
      <c r="O613" s="4">
        <v>0.0722</v>
      </c>
      <c r="P613" s="4">
        <v>146.901</v>
      </c>
      <c r="Q613" s="4">
        <v>4.0</v>
      </c>
    </row>
    <row r="614">
      <c r="A614" s="4" t="s">
        <v>1237</v>
      </c>
      <c r="B614" s="4" t="s">
        <v>1238</v>
      </c>
      <c r="C614" s="4">
        <v>1972.0</v>
      </c>
      <c r="D614" s="4">
        <v>344534.0</v>
      </c>
      <c r="E614" s="4">
        <v>34.0</v>
      </c>
      <c r="F614" s="4">
        <v>0.359</v>
      </c>
      <c r="G614" s="4">
        <v>0.393</v>
      </c>
      <c r="H614" s="4">
        <v>7.0</v>
      </c>
      <c r="I614" s="4">
        <v>-14.179</v>
      </c>
      <c r="J614" s="4">
        <v>1.0</v>
      </c>
      <c r="K614" s="4">
        <v>0.11</v>
      </c>
      <c r="L614" s="4">
        <v>0.794</v>
      </c>
      <c r="M614" s="6">
        <v>2.69E-5</v>
      </c>
      <c r="N614" s="4">
        <v>0.737</v>
      </c>
      <c r="O614" s="4">
        <v>0.367</v>
      </c>
      <c r="P614" s="4">
        <v>141.304</v>
      </c>
      <c r="Q614" s="4">
        <v>4.0</v>
      </c>
    </row>
    <row r="615">
      <c r="A615" s="4" t="s">
        <v>1239</v>
      </c>
      <c r="B615" s="4" t="s">
        <v>1240</v>
      </c>
      <c r="C615" s="5">
        <v>44484.0</v>
      </c>
      <c r="D615" s="4">
        <v>235682.0</v>
      </c>
      <c r="E615" s="4">
        <v>10.0</v>
      </c>
      <c r="F615" s="4">
        <v>0.488</v>
      </c>
      <c r="G615" s="4">
        <v>0.424</v>
      </c>
      <c r="H615" s="4">
        <v>5.0</v>
      </c>
      <c r="I615" s="4">
        <v>-9.143</v>
      </c>
      <c r="J615" s="4">
        <v>1.0</v>
      </c>
      <c r="K615" s="4">
        <v>0.0298</v>
      </c>
      <c r="L615" s="4">
        <v>0.769</v>
      </c>
      <c r="M615" s="6">
        <v>2.96E-5</v>
      </c>
      <c r="N615" s="4">
        <v>0.237</v>
      </c>
      <c r="O615" s="4">
        <v>0.275</v>
      </c>
      <c r="P615" s="4">
        <v>137.008</v>
      </c>
      <c r="Q615" s="4">
        <v>4.0</v>
      </c>
    </row>
    <row r="616">
      <c r="A616" s="4" t="s">
        <v>1241</v>
      </c>
      <c r="B616" s="4" t="s">
        <v>1242</v>
      </c>
      <c r="C616" s="5">
        <v>40092.0</v>
      </c>
      <c r="D616" s="4">
        <v>259173.0</v>
      </c>
      <c r="E616" s="4">
        <v>38.0</v>
      </c>
      <c r="F616" s="4">
        <v>0.147</v>
      </c>
      <c r="G616" s="4">
        <v>0.176</v>
      </c>
      <c r="H616" s="4">
        <v>7.0</v>
      </c>
      <c r="I616" s="4">
        <v>-14.358</v>
      </c>
      <c r="J616" s="4">
        <v>1.0</v>
      </c>
      <c r="K616" s="4">
        <v>0.0349</v>
      </c>
      <c r="L616" s="4">
        <v>0.948</v>
      </c>
      <c r="M616" s="4">
        <v>0.886</v>
      </c>
      <c r="N616" s="4">
        <v>0.166</v>
      </c>
      <c r="O616" s="4">
        <v>0.0627</v>
      </c>
      <c r="P616" s="4">
        <v>94.765</v>
      </c>
      <c r="Q616" s="4">
        <v>4.0</v>
      </c>
    </row>
    <row r="617">
      <c r="A617" s="4" t="s">
        <v>1243</v>
      </c>
      <c r="B617" s="4" t="s">
        <v>1244</v>
      </c>
      <c r="C617" s="5">
        <v>41640.0</v>
      </c>
      <c r="D617" s="4">
        <v>186000.0</v>
      </c>
      <c r="E617" s="4">
        <v>52.0</v>
      </c>
      <c r="F617" s="4">
        <v>0.242</v>
      </c>
      <c r="G617" s="4">
        <v>0.0308</v>
      </c>
      <c r="H617" s="4">
        <v>1.0</v>
      </c>
      <c r="I617" s="4">
        <v>-32.624</v>
      </c>
      <c r="J617" s="4">
        <v>0.0</v>
      </c>
      <c r="K617" s="4">
        <v>0.0747</v>
      </c>
      <c r="L617" s="4">
        <v>0.993</v>
      </c>
      <c r="M617" s="4">
        <v>0.942</v>
      </c>
      <c r="N617" s="4">
        <v>0.0951</v>
      </c>
      <c r="O617" s="4">
        <v>0.104</v>
      </c>
      <c r="P617" s="4">
        <v>63.07</v>
      </c>
      <c r="Q617" s="4">
        <v>4.0</v>
      </c>
    </row>
    <row r="618">
      <c r="A618" s="4" t="s">
        <v>1245</v>
      </c>
      <c r="B618" s="4" t="s">
        <v>1246</v>
      </c>
      <c r="C618" s="5">
        <v>43890.0</v>
      </c>
      <c r="D618" s="4">
        <v>150440.0</v>
      </c>
      <c r="E618" s="4">
        <v>50.0</v>
      </c>
      <c r="F618" s="4">
        <v>0.285</v>
      </c>
      <c r="G618" s="4">
        <v>0.00464</v>
      </c>
      <c r="H618" s="4">
        <v>3.0</v>
      </c>
      <c r="I618" s="4">
        <v>-38.222</v>
      </c>
      <c r="J618" s="4">
        <v>0.0</v>
      </c>
      <c r="K618" s="4">
        <v>0.0435</v>
      </c>
      <c r="L618" s="4">
        <v>0.995</v>
      </c>
      <c r="M618" s="4">
        <v>0.844</v>
      </c>
      <c r="N618" s="4">
        <v>0.0582</v>
      </c>
      <c r="O618" s="4">
        <v>0.216</v>
      </c>
      <c r="P618" s="4">
        <v>72.32</v>
      </c>
      <c r="Q618" s="4">
        <v>3.0</v>
      </c>
    </row>
    <row r="619">
      <c r="A619" s="4" t="s">
        <v>1247</v>
      </c>
      <c r="B619" s="4" t="s">
        <v>1248</v>
      </c>
      <c r="C619" s="5">
        <v>44482.0</v>
      </c>
      <c r="D619" s="4">
        <v>330182.0</v>
      </c>
      <c r="E619" s="4">
        <v>5.0</v>
      </c>
      <c r="F619" s="4">
        <v>0.349</v>
      </c>
      <c r="G619" s="4">
        <v>0.151</v>
      </c>
      <c r="H619" s="4">
        <v>6.0</v>
      </c>
      <c r="I619" s="4">
        <v>-24.156</v>
      </c>
      <c r="J619" s="4">
        <v>0.0</v>
      </c>
      <c r="K619" s="4">
        <v>0.0621</v>
      </c>
      <c r="L619" s="4">
        <v>0.94</v>
      </c>
      <c r="M619" s="4">
        <v>0.882</v>
      </c>
      <c r="N619" s="4">
        <v>0.0923</v>
      </c>
      <c r="O619" s="4">
        <v>0.058</v>
      </c>
      <c r="P619" s="4">
        <v>127.023</v>
      </c>
      <c r="Q619" s="4">
        <v>4.0</v>
      </c>
    </row>
    <row r="620">
      <c r="A620" s="4" t="s">
        <v>1249</v>
      </c>
      <c r="B620" s="4" t="s">
        <v>1250</v>
      </c>
      <c r="C620" s="5">
        <v>40969.0</v>
      </c>
      <c r="D620" s="4">
        <v>179066.0</v>
      </c>
      <c r="E620" s="4">
        <v>15.0</v>
      </c>
      <c r="F620" s="4">
        <v>0.228</v>
      </c>
      <c r="G620" s="4">
        <v>0.0391</v>
      </c>
      <c r="H620" s="4">
        <v>8.0</v>
      </c>
      <c r="I620" s="4">
        <v>-29.691</v>
      </c>
      <c r="J620" s="4">
        <v>1.0</v>
      </c>
      <c r="K620" s="4">
        <v>0.0391</v>
      </c>
      <c r="L620" s="4">
        <v>0.933</v>
      </c>
      <c r="M620" s="4">
        <v>0.931</v>
      </c>
      <c r="N620" s="4">
        <v>0.201</v>
      </c>
      <c r="O620" s="4">
        <v>0.18</v>
      </c>
      <c r="P620" s="4">
        <v>92.608</v>
      </c>
      <c r="Q620" s="4">
        <v>4.0</v>
      </c>
    </row>
    <row r="621">
      <c r="A621" s="4" t="s">
        <v>1251</v>
      </c>
      <c r="B621" s="4" t="s">
        <v>1252</v>
      </c>
      <c r="C621" s="5">
        <v>40358.0</v>
      </c>
      <c r="D621" s="4">
        <v>268480.0</v>
      </c>
      <c r="E621" s="4">
        <v>23.0</v>
      </c>
      <c r="F621" s="4">
        <v>0.184</v>
      </c>
      <c r="G621" s="4">
        <v>0.208</v>
      </c>
      <c r="H621" s="4">
        <v>3.0</v>
      </c>
      <c r="I621" s="4">
        <v>-16.724</v>
      </c>
      <c r="J621" s="4">
        <v>1.0</v>
      </c>
      <c r="K621" s="4">
        <v>0.0347</v>
      </c>
      <c r="L621" s="4">
        <v>0.917</v>
      </c>
      <c r="M621" s="4">
        <v>0.876</v>
      </c>
      <c r="N621" s="4">
        <v>0.314</v>
      </c>
      <c r="O621" s="4">
        <v>0.0584</v>
      </c>
      <c r="P621" s="4">
        <v>88.467</v>
      </c>
      <c r="Q621" s="4">
        <v>1.0</v>
      </c>
    </row>
    <row r="622">
      <c r="A622" s="4" t="s">
        <v>1253</v>
      </c>
      <c r="B622" s="4" t="s">
        <v>1254</v>
      </c>
      <c r="C622" s="5">
        <v>43651.0</v>
      </c>
      <c r="D622" s="4">
        <v>385266.0</v>
      </c>
      <c r="E622" s="4">
        <v>43.0</v>
      </c>
      <c r="F622" s="4">
        <v>0.162</v>
      </c>
      <c r="G622" s="4">
        <v>0.0774</v>
      </c>
      <c r="H622" s="4">
        <v>11.0</v>
      </c>
      <c r="I622" s="4">
        <v>-25.384</v>
      </c>
      <c r="J622" s="4">
        <v>0.0</v>
      </c>
      <c r="K622" s="4">
        <v>0.0454</v>
      </c>
      <c r="L622" s="4">
        <v>0.848</v>
      </c>
      <c r="M622" s="4">
        <v>0.463</v>
      </c>
      <c r="N622" s="4">
        <v>0.0953</v>
      </c>
      <c r="O622" s="4">
        <v>0.0388</v>
      </c>
      <c r="P622" s="4">
        <v>131.85</v>
      </c>
      <c r="Q622" s="4">
        <v>3.0</v>
      </c>
    </row>
    <row r="623">
      <c r="A623" s="4" t="s">
        <v>1255</v>
      </c>
      <c r="B623" s="4" t="s">
        <v>1256</v>
      </c>
      <c r="C623" s="5">
        <v>34700.0</v>
      </c>
      <c r="D623" s="4">
        <v>1621440.0</v>
      </c>
      <c r="E623" s="4">
        <v>24.0</v>
      </c>
      <c r="F623" s="4">
        <v>0.0793</v>
      </c>
      <c r="G623" s="4">
        <v>0.197</v>
      </c>
      <c r="H623" s="4">
        <v>0.0</v>
      </c>
      <c r="I623" s="4">
        <v>-15.459</v>
      </c>
      <c r="J623" s="4">
        <v>1.0</v>
      </c>
      <c r="K623" s="4">
        <v>0.0405</v>
      </c>
      <c r="L623" s="4">
        <v>0.929</v>
      </c>
      <c r="M623" s="4">
        <v>0.927</v>
      </c>
      <c r="N623" s="4">
        <v>0.356</v>
      </c>
      <c r="O623" s="4">
        <v>0.0339</v>
      </c>
      <c r="P623" s="4">
        <v>82.241</v>
      </c>
      <c r="Q623" s="4">
        <v>4.0</v>
      </c>
    </row>
    <row r="624">
      <c r="A624" s="4" t="s">
        <v>1257</v>
      </c>
      <c r="B624" s="4" t="s">
        <v>1258</v>
      </c>
      <c r="C624" s="5">
        <v>37926.0</v>
      </c>
      <c r="D624" s="4">
        <v>386186.0</v>
      </c>
      <c r="E624" s="4">
        <v>4.0</v>
      </c>
      <c r="F624" s="4">
        <v>0.175</v>
      </c>
      <c r="G624" s="4">
        <v>0.0834</v>
      </c>
      <c r="H624" s="4">
        <v>4.0</v>
      </c>
      <c r="I624" s="4">
        <v>-25.586</v>
      </c>
      <c r="J624" s="4">
        <v>1.0</v>
      </c>
      <c r="K624" s="4">
        <v>0.0395</v>
      </c>
      <c r="L624" s="4">
        <v>0.948</v>
      </c>
      <c r="M624" s="4">
        <v>0.845</v>
      </c>
      <c r="N624" s="4">
        <v>0.086</v>
      </c>
      <c r="O624" s="4">
        <v>0.0384</v>
      </c>
      <c r="P624" s="4">
        <v>140.149</v>
      </c>
      <c r="Q624" s="4">
        <v>4.0</v>
      </c>
    </row>
    <row r="625">
      <c r="A625" s="4" t="s">
        <v>1259</v>
      </c>
      <c r="B625" s="4" t="s">
        <v>1260</v>
      </c>
      <c r="C625" s="5">
        <v>35107.0</v>
      </c>
      <c r="D625" s="4">
        <v>177333.0</v>
      </c>
      <c r="E625" s="4">
        <v>35.0</v>
      </c>
      <c r="F625" s="4">
        <v>0.144</v>
      </c>
      <c r="G625" s="4">
        <v>0.39</v>
      </c>
      <c r="H625" s="4">
        <v>2.0</v>
      </c>
      <c r="I625" s="4">
        <v>-10.418</v>
      </c>
      <c r="J625" s="4">
        <v>1.0</v>
      </c>
      <c r="K625" s="4">
        <v>0.0415</v>
      </c>
      <c r="L625" s="4">
        <v>0.774</v>
      </c>
      <c r="M625" s="4">
        <v>0.00921</v>
      </c>
      <c r="N625" s="4">
        <v>0.979</v>
      </c>
      <c r="O625" s="4">
        <v>0.176</v>
      </c>
      <c r="P625" s="4">
        <v>85.093</v>
      </c>
      <c r="Q625" s="4">
        <v>5.0</v>
      </c>
    </row>
    <row r="626">
      <c r="A626" s="4" t="s">
        <v>1261</v>
      </c>
      <c r="B626" s="4" t="s">
        <v>1262</v>
      </c>
      <c r="C626" s="5">
        <v>23953.0</v>
      </c>
      <c r="D626" s="4">
        <v>222813.0</v>
      </c>
      <c r="E626" s="4">
        <v>78.0</v>
      </c>
      <c r="F626" s="4">
        <v>0.723</v>
      </c>
      <c r="G626" s="4">
        <v>0.863</v>
      </c>
      <c r="H626" s="4">
        <v>2.0</v>
      </c>
      <c r="I626" s="4">
        <v>-7.89</v>
      </c>
      <c r="J626" s="4">
        <v>1.0</v>
      </c>
      <c r="K626" s="4">
        <v>0.0338</v>
      </c>
      <c r="L626" s="4">
        <v>0.0383</v>
      </c>
      <c r="M626" s="4">
        <v>0.0317</v>
      </c>
      <c r="N626" s="4">
        <v>0.128</v>
      </c>
      <c r="O626" s="4">
        <v>0.931</v>
      </c>
      <c r="P626" s="4">
        <v>136.302</v>
      </c>
      <c r="Q626" s="4">
        <v>4.0</v>
      </c>
    </row>
    <row r="627">
      <c r="A627" s="4" t="s">
        <v>1263</v>
      </c>
      <c r="B627" s="4" t="s">
        <v>1264</v>
      </c>
      <c r="C627" s="5">
        <v>40965.0</v>
      </c>
      <c r="D627" s="4">
        <v>249813.0</v>
      </c>
      <c r="E627" s="4">
        <v>31.0</v>
      </c>
      <c r="F627" s="4">
        <v>0.66</v>
      </c>
      <c r="G627" s="4">
        <v>0.843</v>
      </c>
      <c r="H627" s="4">
        <v>9.0</v>
      </c>
      <c r="I627" s="4">
        <v>-1.383</v>
      </c>
      <c r="J627" s="4">
        <v>1.0</v>
      </c>
      <c r="K627" s="4">
        <v>0.0728</v>
      </c>
      <c r="L627" s="4">
        <v>2.71E-4</v>
      </c>
      <c r="M627" s="4">
        <v>0.394</v>
      </c>
      <c r="N627" s="4">
        <v>0.0418</v>
      </c>
      <c r="O627" s="4">
        <v>0.371</v>
      </c>
      <c r="P627" s="4">
        <v>126.031</v>
      </c>
      <c r="Q627" s="4">
        <v>4.0</v>
      </c>
    </row>
    <row r="628">
      <c r="A628" s="4" t="s">
        <v>1265</v>
      </c>
      <c r="B628" s="4" t="s">
        <v>1266</v>
      </c>
      <c r="C628" s="5">
        <v>43917.0</v>
      </c>
      <c r="D628" s="4">
        <v>317738.0</v>
      </c>
      <c r="E628" s="4">
        <v>24.0</v>
      </c>
      <c r="F628" s="4">
        <v>0.761</v>
      </c>
      <c r="G628" s="4">
        <v>0.735</v>
      </c>
      <c r="H628" s="4">
        <v>4.0</v>
      </c>
      <c r="I628" s="4">
        <v>-7.586</v>
      </c>
      <c r="J628" s="4">
        <v>0.0</v>
      </c>
      <c r="K628" s="4">
        <v>0.206</v>
      </c>
      <c r="L628" s="4">
        <v>0.0889</v>
      </c>
      <c r="M628" s="4">
        <v>0.0518</v>
      </c>
      <c r="N628" s="4">
        <v>0.876</v>
      </c>
      <c r="O628" s="4">
        <v>0.351</v>
      </c>
      <c r="P628" s="4">
        <v>124.952</v>
      </c>
      <c r="Q628" s="4">
        <v>4.0</v>
      </c>
    </row>
    <row r="629">
      <c r="A629" s="4" t="s">
        <v>1267</v>
      </c>
      <c r="B629" s="4" t="s">
        <v>1268</v>
      </c>
      <c r="C629" s="5">
        <v>41731.0</v>
      </c>
      <c r="D629" s="4">
        <v>407370.0</v>
      </c>
      <c r="E629" s="4">
        <v>8.0</v>
      </c>
      <c r="F629" s="4">
        <v>0.791</v>
      </c>
      <c r="G629" s="4">
        <v>0.547</v>
      </c>
      <c r="H629" s="4">
        <v>1.0</v>
      </c>
      <c r="I629" s="4">
        <v>-9.482</v>
      </c>
      <c r="J629" s="4">
        <v>0.0</v>
      </c>
      <c r="K629" s="4">
        <v>0.0728</v>
      </c>
      <c r="L629" s="4">
        <v>0.0188</v>
      </c>
      <c r="M629" s="4">
        <v>0.859</v>
      </c>
      <c r="N629" s="4">
        <v>0.0297</v>
      </c>
      <c r="O629" s="4">
        <v>0.443</v>
      </c>
      <c r="P629" s="4">
        <v>117.989</v>
      </c>
      <c r="Q629" s="4">
        <v>4.0</v>
      </c>
    </row>
    <row r="630">
      <c r="A630" s="4" t="s">
        <v>1269</v>
      </c>
      <c r="B630" s="4" t="s">
        <v>1270</v>
      </c>
      <c r="C630" s="5">
        <v>40232.0</v>
      </c>
      <c r="D630" s="4">
        <v>212066.0</v>
      </c>
      <c r="E630" s="4">
        <v>53.0</v>
      </c>
      <c r="F630" s="4">
        <v>0.656</v>
      </c>
      <c r="G630" s="4">
        <v>0.662</v>
      </c>
      <c r="H630" s="4">
        <v>8.0</v>
      </c>
      <c r="I630" s="4">
        <v>-9.345</v>
      </c>
      <c r="J630" s="4">
        <v>0.0</v>
      </c>
      <c r="K630" s="4">
        <v>0.0307</v>
      </c>
      <c r="L630" s="6">
        <v>8.12E-5</v>
      </c>
      <c r="M630" s="4">
        <v>0.886</v>
      </c>
      <c r="N630" s="4">
        <v>0.104</v>
      </c>
      <c r="O630" s="4">
        <v>0.0712</v>
      </c>
      <c r="P630" s="4">
        <v>128.022</v>
      </c>
      <c r="Q630" s="4">
        <v>4.0</v>
      </c>
    </row>
    <row r="631">
      <c r="A631" s="4" t="s">
        <v>1271</v>
      </c>
      <c r="B631" s="4" t="s">
        <v>1272</v>
      </c>
      <c r="C631" s="5">
        <v>44477.0</v>
      </c>
      <c r="D631" s="4">
        <v>336000.0</v>
      </c>
      <c r="E631" s="4">
        <v>32.0</v>
      </c>
      <c r="F631" s="4">
        <v>0.435</v>
      </c>
      <c r="G631" s="4">
        <v>0.425</v>
      </c>
      <c r="H631" s="4">
        <v>2.0</v>
      </c>
      <c r="I631" s="4">
        <v>-9.898</v>
      </c>
      <c r="J631" s="4">
        <v>1.0</v>
      </c>
      <c r="K631" s="4">
        <v>0.0475</v>
      </c>
      <c r="L631" s="4">
        <v>0.735</v>
      </c>
      <c r="M631" s="4">
        <v>4.82E-4</v>
      </c>
      <c r="N631" s="4">
        <v>0.729</v>
      </c>
      <c r="O631" s="4">
        <v>0.232</v>
      </c>
      <c r="P631" s="4">
        <v>147.76</v>
      </c>
      <c r="Q631" s="4">
        <v>3.0</v>
      </c>
    </row>
    <row r="632">
      <c r="A632" s="4" t="s">
        <v>1273</v>
      </c>
      <c r="B632" s="4" t="s">
        <v>1274</v>
      </c>
      <c r="C632" s="5">
        <v>40309.0</v>
      </c>
      <c r="D632" s="4">
        <v>333093.0</v>
      </c>
      <c r="E632" s="4">
        <v>36.0</v>
      </c>
      <c r="F632" s="4">
        <v>0.359</v>
      </c>
      <c r="G632" s="4">
        <v>0.698</v>
      </c>
      <c r="H632" s="4">
        <v>4.0</v>
      </c>
      <c r="I632" s="4">
        <v>-7.845</v>
      </c>
      <c r="J632" s="4">
        <v>1.0</v>
      </c>
      <c r="K632" s="4">
        <v>0.0512</v>
      </c>
      <c r="L632" s="4">
        <v>0.645</v>
      </c>
      <c r="M632" s="4">
        <v>0.0598</v>
      </c>
      <c r="N632" s="4">
        <v>0.0968</v>
      </c>
      <c r="O632" s="4">
        <v>0.294</v>
      </c>
      <c r="P632" s="4">
        <v>119.265</v>
      </c>
      <c r="Q632" s="4">
        <v>4.0</v>
      </c>
    </row>
    <row r="633">
      <c r="A633" s="4" t="s">
        <v>1275</v>
      </c>
      <c r="B633" s="4" t="s">
        <v>1276</v>
      </c>
      <c r="C633" s="5">
        <v>37642.0</v>
      </c>
      <c r="D633" s="4">
        <v>368746.0</v>
      </c>
      <c r="E633" s="4">
        <v>38.0</v>
      </c>
      <c r="F633" s="4">
        <v>0.8</v>
      </c>
      <c r="G633" s="4">
        <v>0.395</v>
      </c>
      <c r="H633" s="4">
        <v>0.0</v>
      </c>
      <c r="I633" s="4">
        <v>-9.453</v>
      </c>
      <c r="J633" s="4">
        <v>1.0</v>
      </c>
      <c r="K633" s="4">
        <v>0.0749</v>
      </c>
      <c r="L633" s="4">
        <v>0.0945</v>
      </c>
      <c r="M633" s="6">
        <v>9.84E-5</v>
      </c>
      <c r="N633" s="4">
        <v>0.152</v>
      </c>
      <c r="O633" s="4">
        <v>0.702</v>
      </c>
      <c r="P633" s="4">
        <v>119.31</v>
      </c>
      <c r="Q633" s="4">
        <v>4.0</v>
      </c>
    </row>
    <row r="634">
      <c r="A634" s="4" t="s">
        <v>1277</v>
      </c>
      <c r="B634" s="4" t="s">
        <v>1278</v>
      </c>
      <c r="C634" s="5">
        <v>40368.0</v>
      </c>
      <c r="D634" s="4">
        <v>143800.0</v>
      </c>
      <c r="E634" s="4">
        <v>58.0</v>
      </c>
      <c r="F634" s="4">
        <v>0.518</v>
      </c>
      <c r="G634" s="4">
        <v>0.434</v>
      </c>
      <c r="H634" s="4">
        <v>8.0</v>
      </c>
      <c r="I634" s="4">
        <v>-12.232</v>
      </c>
      <c r="J634" s="4">
        <v>1.0</v>
      </c>
      <c r="K634" s="4">
        <v>0.0314</v>
      </c>
      <c r="L634" s="4">
        <v>0.0708</v>
      </c>
      <c r="M634" s="4">
        <v>0.748</v>
      </c>
      <c r="N634" s="4">
        <v>0.421</v>
      </c>
      <c r="O634" s="4">
        <v>0.0991</v>
      </c>
      <c r="P634" s="4">
        <v>126.02</v>
      </c>
      <c r="Q634" s="4">
        <v>3.0</v>
      </c>
    </row>
    <row r="635">
      <c r="A635" s="4" t="s">
        <v>1279</v>
      </c>
      <c r="B635" s="4" t="s">
        <v>1280</v>
      </c>
      <c r="C635" s="5">
        <v>39031.0</v>
      </c>
      <c r="D635" s="4">
        <v>216440.0</v>
      </c>
      <c r="E635" s="4">
        <v>38.0</v>
      </c>
      <c r="F635" s="4">
        <v>0.102</v>
      </c>
      <c r="G635" s="4">
        <v>0.148</v>
      </c>
      <c r="H635" s="4">
        <v>7.0</v>
      </c>
      <c r="I635" s="4">
        <v>-21.929</v>
      </c>
      <c r="J635" s="4">
        <v>0.0</v>
      </c>
      <c r="K635" s="4">
        <v>0.0339</v>
      </c>
      <c r="L635" s="4">
        <v>0.929</v>
      </c>
      <c r="M635" s="4">
        <v>0.932</v>
      </c>
      <c r="N635" s="4">
        <v>0.123</v>
      </c>
      <c r="O635" s="4">
        <v>0.113</v>
      </c>
      <c r="P635" s="4">
        <v>84.272</v>
      </c>
      <c r="Q635" s="4">
        <v>4.0</v>
      </c>
    </row>
    <row r="636">
      <c r="A636" s="4" t="s">
        <v>1281</v>
      </c>
      <c r="B636" s="4" t="s">
        <v>1282</v>
      </c>
      <c r="C636" s="5">
        <v>39031.0</v>
      </c>
      <c r="D636" s="4">
        <v>369200.0</v>
      </c>
      <c r="E636" s="4">
        <v>44.0</v>
      </c>
      <c r="F636" s="4">
        <v>0.0784</v>
      </c>
      <c r="G636" s="4">
        <v>0.033</v>
      </c>
      <c r="H636" s="4">
        <v>2.0</v>
      </c>
      <c r="I636" s="4">
        <v>-25.372</v>
      </c>
      <c r="J636" s="4">
        <v>0.0</v>
      </c>
      <c r="K636" s="4">
        <v>0.0464</v>
      </c>
      <c r="L636" s="4">
        <v>0.993</v>
      </c>
      <c r="M636" s="4">
        <v>0.945</v>
      </c>
      <c r="N636" s="4">
        <v>0.0722</v>
      </c>
      <c r="O636" s="4">
        <v>0.0326</v>
      </c>
      <c r="P636" s="4">
        <v>78.748</v>
      </c>
      <c r="Q636" s="4">
        <v>4.0</v>
      </c>
    </row>
    <row r="637">
      <c r="A637" s="4" t="s">
        <v>1283</v>
      </c>
      <c r="B637" s="4" t="s">
        <v>1284</v>
      </c>
      <c r="C637" s="4">
        <v>2005.0</v>
      </c>
      <c r="D637" s="4">
        <v>391186.0</v>
      </c>
      <c r="E637" s="4">
        <v>44.0</v>
      </c>
      <c r="F637" s="4">
        <v>0.929</v>
      </c>
      <c r="G637" s="4">
        <v>0.261</v>
      </c>
      <c r="H637" s="4">
        <v>5.0</v>
      </c>
      <c r="I637" s="4">
        <v>-12.024</v>
      </c>
      <c r="J637" s="4">
        <v>0.0</v>
      </c>
      <c r="K637" s="4">
        <v>0.0629</v>
      </c>
      <c r="L637" s="4">
        <v>0.14</v>
      </c>
      <c r="M637" s="4">
        <v>0.0267</v>
      </c>
      <c r="N637" s="4">
        <v>0.0843</v>
      </c>
      <c r="O637" s="4">
        <v>0.493</v>
      </c>
      <c r="P637" s="4">
        <v>105.602</v>
      </c>
      <c r="Q637" s="4">
        <v>4.0</v>
      </c>
    </row>
    <row r="638">
      <c r="A638" s="4" t="s">
        <v>1285</v>
      </c>
      <c r="B638" s="4" t="s">
        <v>1286</v>
      </c>
      <c r="C638" s="5">
        <v>38509.0</v>
      </c>
      <c r="D638" s="4">
        <v>270053.0</v>
      </c>
      <c r="E638" s="4">
        <v>19.0</v>
      </c>
      <c r="F638" s="4">
        <v>0.445</v>
      </c>
      <c r="G638" s="4">
        <v>0.877</v>
      </c>
      <c r="H638" s="4">
        <v>9.0</v>
      </c>
      <c r="I638" s="4">
        <v>-5.34</v>
      </c>
      <c r="J638" s="4">
        <v>0.0</v>
      </c>
      <c r="K638" s="4">
        <v>0.122</v>
      </c>
      <c r="L638" s="4">
        <v>5.18E-4</v>
      </c>
      <c r="M638" s="4">
        <v>0.00164</v>
      </c>
      <c r="N638" s="4">
        <v>0.333</v>
      </c>
      <c r="O638" s="4">
        <v>0.432</v>
      </c>
      <c r="P638" s="4">
        <v>170.654</v>
      </c>
      <c r="Q638" s="4">
        <v>4.0</v>
      </c>
    </row>
    <row r="639">
      <c r="A639" s="4" t="s">
        <v>1287</v>
      </c>
      <c r="B639" s="4" t="s">
        <v>1288</v>
      </c>
      <c r="C639" s="5">
        <v>32447.0</v>
      </c>
      <c r="D639" s="4">
        <v>300360.0</v>
      </c>
      <c r="E639" s="4">
        <v>59.0</v>
      </c>
      <c r="F639" s="4">
        <v>0.307</v>
      </c>
      <c r="G639" s="4">
        <v>0.865</v>
      </c>
      <c r="H639" s="4">
        <v>2.0</v>
      </c>
      <c r="I639" s="4">
        <v>-5.647</v>
      </c>
      <c r="J639" s="4">
        <v>0.0</v>
      </c>
      <c r="K639" s="4">
        <v>0.074</v>
      </c>
      <c r="L639" s="4">
        <v>0.0379</v>
      </c>
      <c r="M639" s="6">
        <v>3.37E-5</v>
      </c>
      <c r="N639" s="4">
        <v>0.151</v>
      </c>
      <c r="O639" s="4">
        <v>0.126</v>
      </c>
      <c r="P639" s="4">
        <v>134.464</v>
      </c>
      <c r="Q639" s="4">
        <v>4.0</v>
      </c>
    </row>
    <row r="640">
      <c r="A640" s="4" t="s">
        <v>1289</v>
      </c>
      <c r="B640" s="4" t="s">
        <v>1290</v>
      </c>
      <c r="C640" s="5">
        <v>37004.0</v>
      </c>
      <c r="D640" s="4">
        <v>140733.0</v>
      </c>
      <c r="E640" s="4">
        <v>43.0</v>
      </c>
      <c r="F640" s="4">
        <v>0.484</v>
      </c>
      <c r="G640" s="4">
        <v>0.192</v>
      </c>
      <c r="H640" s="4">
        <v>2.0</v>
      </c>
      <c r="I640" s="4">
        <v>-15.378</v>
      </c>
      <c r="J640" s="4">
        <v>1.0</v>
      </c>
      <c r="K640" s="4">
        <v>0.0465</v>
      </c>
      <c r="L640" s="4">
        <v>0.991</v>
      </c>
      <c r="M640" s="4">
        <v>0.908</v>
      </c>
      <c r="N640" s="4">
        <v>0.106</v>
      </c>
      <c r="O640" s="4">
        <v>0.0559</v>
      </c>
      <c r="P640" s="4">
        <v>100.084</v>
      </c>
      <c r="Q640" s="4">
        <v>4.0</v>
      </c>
    </row>
    <row r="641">
      <c r="A641" s="4" t="s">
        <v>1291</v>
      </c>
      <c r="B641" s="4" t="s">
        <v>1292</v>
      </c>
      <c r="C641" s="5">
        <v>38475.0</v>
      </c>
      <c r="D641" s="4">
        <v>304853.0</v>
      </c>
      <c r="E641" s="4">
        <v>45.0</v>
      </c>
      <c r="F641" s="4">
        <v>0.458</v>
      </c>
      <c r="G641" s="4">
        <v>0.362</v>
      </c>
      <c r="H641" s="4">
        <v>5.0</v>
      </c>
      <c r="I641" s="4">
        <v>-10.043</v>
      </c>
      <c r="J641" s="4">
        <v>1.0</v>
      </c>
      <c r="K641" s="4">
        <v>0.0305</v>
      </c>
      <c r="L641" s="4">
        <v>0.979</v>
      </c>
      <c r="M641" s="4">
        <v>0.494</v>
      </c>
      <c r="N641" s="4">
        <v>0.119</v>
      </c>
      <c r="O641" s="4">
        <v>0.223</v>
      </c>
      <c r="P641" s="4">
        <v>139.879</v>
      </c>
      <c r="Q641" s="4">
        <v>4.0</v>
      </c>
    </row>
    <row r="642">
      <c r="A642" s="4" t="s">
        <v>1293</v>
      </c>
      <c r="B642" s="4" t="s">
        <v>1294</v>
      </c>
      <c r="C642" s="5">
        <v>34625.0</v>
      </c>
      <c r="D642" s="4">
        <v>353026.0</v>
      </c>
      <c r="E642" s="4">
        <v>76.0</v>
      </c>
      <c r="F642" s="4">
        <v>0.383</v>
      </c>
      <c r="G642" s="4">
        <v>0.659</v>
      </c>
      <c r="H642" s="4">
        <v>4.0</v>
      </c>
      <c r="I642" s="4">
        <v>-5.558</v>
      </c>
      <c r="J642" s="4">
        <v>1.0</v>
      </c>
      <c r="K642" s="4">
        <v>0.0312</v>
      </c>
      <c r="L642" s="4">
        <v>0.117</v>
      </c>
      <c r="M642" s="4">
        <v>0.0</v>
      </c>
      <c r="N642" s="4">
        <v>0.0778</v>
      </c>
      <c r="O642" s="4">
        <v>0.327</v>
      </c>
      <c r="P642" s="4">
        <v>140.795</v>
      </c>
      <c r="Q642" s="4">
        <v>4.0</v>
      </c>
    </row>
    <row r="643">
      <c r="A643" s="4" t="s">
        <v>1295</v>
      </c>
      <c r="B643" s="4" t="s">
        <v>1296</v>
      </c>
      <c r="C643" s="5">
        <v>37558.0</v>
      </c>
      <c r="D643" s="4">
        <v>219306.0</v>
      </c>
      <c r="E643" s="4">
        <v>55.0</v>
      </c>
      <c r="F643" s="4">
        <v>0.708</v>
      </c>
      <c r="G643" s="4">
        <v>0.538</v>
      </c>
      <c r="H643" s="4">
        <v>11.0</v>
      </c>
      <c r="I643" s="4">
        <v>-10.28</v>
      </c>
      <c r="J643" s="4">
        <v>1.0</v>
      </c>
      <c r="K643" s="4">
        <v>0.0686</v>
      </c>
      <c r="L643" s="4">
        <v>0.256</v>
      </c>
      <c r="M643" s="4">
        <v>0.0</v>
      </c>
      <c r="N643" s="4">
        <v>0.193</v>
      </c>
      <c r="O643" s="4">
        <v>0.651</v>
      </c>
      <c r="P643" s="4">
        <v>98.233</v>
      </c>
      <c r="Q643" s="4">
        <v>4.0</v>
      </c>
    </row>
    <row r="644">
      <c r="A644" s="4" t="s">
        <v>1297</v>
      </c>
      <c r="B644" s="4" t="s">
        <v>1298</v>
      </c>
      <c r="C644" s="5">
        <v>35859.0</v>
      </c>
      <c r="D644" s="4">
        <v>270000.0</v>
      </c>
      <c r="E644" s="4">
        <v>62.0</v>
      </c>
      <c r="F644" s="4">
        <v>0.343</v>
      </c>
      <c r="G644" s="4">
        <v>0.0342</v>
      </c>
      <c r="H644" s="4">
        <v>8.0</v>
      </c>
      <c r="I644" s="4">
        <v>-25.591</v>
      </c>
      <c r="J644" s="4">
        <v>1.0</v>
      </c>
      <c r="K644" s="4">
        <v>0.0406</v>
      </c>
      <c r="L644" s="4">
        <v>0.991</v>
      </c>
      <c r="M644" s="4">
        <v>0.92</v>
      </c>
      <c r="N644" s="4">
        <v>0.1</v>
      </c>
      <c r="O644" s="4">
        <v>0.0378</v>
      </c>
      <c r="P644" s="4">
        <v>60.228</v>
      </c>
      <c r="Q644" s="4">
        <v>3.0</v>
      </c>
    </row>
    <row r="645">
      <c r="A645" s="4" t="s">
        <v>1299</v>
      </c>
      <c r="B645" s="4" t="s">
        <v>1300</v>
      </c>
      <c r="C645" s="5">
        <v>32791.0</v>
      </c>
      <c r="D645" s="4">
        <v>376066.0</v>
      </c>
      <c r="E645" s="4">
        <v>35.0</v>
      </c>
      <c r="F645" s="4">
        <v>0.394</v>
      </c>
      <c r="G645" s="4">
        <v>0.607</v>
      </c>
      <c r="H645" s="4">
        <v>9.0</v>
      </c>
      <c r="I645" s="4">
        <v>-13.018</v>
      </c>
      <c r="J645" s="4">
        <v>1.0</v>
      </c>
      <c r="K645" s="4">
        <v>0.0623</v>
      </c>
      <c r="L645" s="4">
        <v>3.24E-4</v>
      </c>
      <c r="M645" s="4">
        <v>0.0175</v>
      </c>
      <c r="N645" s="4">
        <v>0.209</v>
      </c>
      <c r="O645" s="4">
        <v>0.476</v>
      </c>
      <c r="P645" s="4">
        <v>112.367</v>
      </c>
      <c r="Q645" s="4">
        <v>4.0</v>
      </c>
    </row>
    <row r="646">
      <c r="A646" s="4" t="s">
        <v>1301</v>
      </c>
      <c r="B646" s="4" t="s">
        <v>1302</v>
      </c>
      <c r="C646" s="5">
        <v>42265.0</v>
      </c>
      <c r="D646" s="4">
        <v>283492.0</v>
      </c>
      <c r="E646" s="4">
        <v>22.0</v>
      </c>
      <c r="F646" s="4">
        <v>0.542</v>
      </c>
      <c r="G646" s="4">
        <v>0.504</v>
      </c>
      <c r="H646" s="4">
        <v>0.0</v>
      </c>
      <c r="I646" s="4">
        <v>-14.183</v>
      </c>
      <c r="J646" s="4">
        <v>1.0</v>
      </c>
      <c r="K646" s="4">
        <v>0.0481</v>
      </c>
      <c r="L646" s="4">
        <v>0.625</v>
      </c>
      <c r="M646" s="4">
        <v>0.951</v>
      </c>
      <c r="N646" s="4">
        <v>0.1</v>
      </c>
      <c r="O646" s="4">
        <v>0.62</v>
      </c>
      <c r="P646" s="4">
        <v>109.696</v>
      </c>
      <c r="Q646" s="4">
        <v>4.0</v>
      </c>
    </row>
    <row r="647">
      <c r="A647" s="4" t="s">
        <v>1303</v>
      </c>
      <c r="B647" s="4" t="s">
        <v>1304</v>
      </c>
      <c r="C647" s="5">
        <v>42041.0</v>
      </c>
      <c r="D647" s="4">
        <v>161093.0</v>
      </c>
      <c r="E647" s="4">
        <v>12.0</v>
      </c>
      <c r="F647" s="4">
        <v>0.705</v>
      </c>
      <c r="G647" s="4">
        <v>0.505</v>
      </c>
      <c r="H647" s="4">
        <v>2.0</v>
      </c>
      <c r="I647" s="4">
        <v>-6.249</v>
      </c>
      <c r="J647" s="4">
        <v>0.0</v>
      </c>
      <c r="K647" s="4">
        <v>0.0314</v>
      </c>
      <c r="L647" s="4">
        <v>0.973</v>
      </c>
      <c r="M647" s="4">
        <v>0.0436</v>
      </c>
      <c r="N647" s="4">
        <v>0.151</v>
      </c>
      <c r="O647" s="4">
        <v>0.523</v>
      </c>
      <c r="P647" s="4">
        <v>95.157</v>
      </c>
      <c r="Q647" s="4">
        <v>4.0</v>
      </c>
    </row>
    <row r="648">
      <c r="A648" s="4" t="s">
        <v>1305</v>
      </c>
      <c r="B648" s="4" t="s">
        <v>1306</v>
      </c>
      <c r="C648" s="5">
        <v>40909.0</v>
      </c>
      <c r="D648" s="4">
        <v>272440.0</v>
      </c>
      <c r="E648" s="4">
        <v>30.0</v>
      </c>
      <c r="F648" s="4">
        <v>0.514</v>
      </c>
      <c r="G648" s="4">
        <v>0.367</v>
      </c>
      <c r="H648" s="4">
        <v>0.0</v>
      </c>
      <c r="I648" s="4">
        <v>-12.671</v>
      </c>
      <c r="J648" s="4">
        <v>0.0</v>
      </c>
      <c r="K648" s="4">
        <v>0.0392</v>
      </c>
      <c r="L648" s="4">
        <v>0.816</v>
      </c>
      <c r="M648" s="4">
        <v>0.0</v>
      </c>
      <c r="N648" s="4">
        <v>0.0656</v>
      </c>
      <c r="O648" s="4">
        <v>0.404</v>
      </c>
      <c r="P648" s="4">
        <v>142.494</v>
      </c>
      <c r="Q648" s="4">
        <v>4.0</v>
      </c>
    </row>
    <row r="649">
      <c r="A649" s="4" t="s">
        <v>1307</v>
      </c>
      <c r="B649" s="4" t="s">
        <v>1308</v>
      </c>
      <c r="C649" s="5">
        <v>32509.0</v>
      </c>
      <c r="D649" s="4">
        <v>199306.0</v>
      </c>
      <c r="E649" s="4">
        <v>18.0</v>
      </c>
      <c r="F649" s="4">
        <v>0.71</v>
      </c>
      <c r="G649" s="4">
        <v>0.284</v>
      </c>
      <c r="H649" s="4">
        <v>7.0</v>
      </c>
      <c r="I649" s="4">
        <v>-17.771</v>
      </c>
      <c r="J649" s="4">
        <v>1.0</v>
      </c>
      <c r="K649" s="4">
        <v>0.0539</v>
      </c>
      <c r="L649" s="4">
        <v>0.715</v>
      </c>
      <c r="M649" s="4">
        <v>0.0</v>
      </c>
      <c r="N649" s="4">
        <v>0.283</v>
      </c>
      <c r="O649" s="4">
        <v>0.552</v>
      </c>
      <c r="P649" s="4">
        <v>106.682</v>
      </c>
      <c r="Q649" s="4">
        <v>4.0</v>
      </c>
    </row>
    <row r="650">
      <c r="A650" s="4" t="s">
        <v>1309</v>
      </c>
      <c r="B650" s="4" t="s">
        <v>1310</v>
      </c>
      <c r="C650" s="5">
        <v>43497.0</v>
      </c>
      <c r="D650" s="4">
        <v>325800.0</v>
      </c>
      <c r="E650" s="4">
        <v>8.0</v>
      </c>
      <c r="F650" s="4">
        <v>0.3</v>
      </c>
      <c r="G650" s="4">
        <v>0.0549</v>
      </c>
      <c r="H650" s="4">
        <v>9.0</v>
      </c>
      <c r="I650" s="4">
        <v>-22.346</v>
      </c>
      <c r="J650" s="4">
        <v>1.0</v>
      </c>
      <c r="K650" s="4">
        <v>0.0469</v>
      </c>
      <c r="L650" s="4">
        <v>0.966</v>
      </c>
      <c r="M650" s="4">
        <v>0.00469</v>
      </c>
      <c r="N650" s="4">
        <v>0.1</v>
      </c>
      <c r="O650" s="4">
        <v>0.112</v>
      </c>
      <c r="P650" s="4">
        <v>127.363</v>
      </c>
      <c r="Q650" s="4">
        <v>4.0</v>
      </c>
    </row>
    <row r="651">
      <c r="A651" s="4" t="s">
        <v>1311</v>
      </c>
      <c r="B651" s="4" t="s">
        <v>1312</v>
      </c>
      <c r="C651" s="5">
        <v>33462.0</v>
      </c>
      <c r="D651" s="4">
        <v>388733.0</v>
      </c>
      <c r="E651" s="4">
        <v>70.0</v>
      </c>
      <c r="F651" s="4">
        <v>0.547</v>
      </c>
      <c r="G651" s="4">
        <v>0.394</v>
      </c>
      <c r="H651" s="4">
        <v>4.0</v>
      </c>
      <c r="I651" s="4">
        <v>-9.793</v>
      </c>
      <c r="J651" s="4">
        <v>0.0</v>
      </c>
      <c r="K651" s="4">
        <v>0.0262</v>
      </c>
      <c r="L651" s="4">
        <v>0.0522</v>
      </c>
      <c r="M651" s="6">
        <v>6.4E-6</v>
      </c>
      <c r="N651" s="4">
        <v>0.0795</v>
      </c>
      <c r="O651" s="4">
        <v>0.17</v>
      </c>
      <c r="P651" s="4">
        <v>142.37</v>
      </c>
      <c r="Q651" s="4">
        <v>3.0</v>
      </c>
    </row>
    <row r="652">
      <c r="A652" s="4" t="s">
        <v>1313</v>
      </c>
      <c r="B652" s="4" t="s">
        <v>1314</v>
      </c>
      <c r="C652" s="5">
        <v>38384.0</v>
      </c>
      <c r="D652" s="4">
        <v>233693.0</v>
      </c>
      <c r="E652" s="4">
        <v>43.0</v>
      </c>
      <c r="F652" s="4">
        <v>0.39</v>
      </c>
      <c r="G652" s="4">
        <v>0.332</v>
      </c>
      <c r="H652" s="4">
        <v>7.0</v>
      </c>
      <c r="I652" s="4">
        <v>-11.375</v>
      </c>
      <c r="J652" s="4">
        <v>1.0</v>
      </c>
      <c r="K652" s="4">
        <v>0.0274</v>
      </c>
      <c r="L652" s="4">
        <v>0.203</v>
      </c>
      <c r="M652" s="4">
        <v>1.63E-4</v>
      </c>
      <c r="N652" s="4">
        <v>0.408</v>
      </c>
      <c r="O652" s="4">
        <v>0.176</v>
      </c>
      <c r="P652" s="4">
        <v>102.767</v>
      </c>
      <c r="Q652" s="4">
        <v>4.0</v>
      </c>
    </row>
    <row r="653">
      <c r="A653" s="4" t="s">
        <v>1315</v>
      </c>
      <c r="B653" s="4" t="s">
        <v>1316</v>
      </c>
      <c r="C653" s="4">
        <v>2015.0</v>
      </c>
      <c r="D653" s="4">
        <v>229706.0</v>
      </c>
      <c r="E653" s="4">
        <v>16.0</v>
      </c>
      <c r="F653" s="4">
        <v>0.57</v>
      </c>
      <c r="G653" s="4">
        <v>0.357</v>
      </c>
      <c r="H653" s="4">
        <v>5.0</v>
      </c>
      <c r="I653" s="4">
        <v>-8.357</v>
      </c>
      <c r="J653" s="4">
        <v>0.0</v>
      </c>
      <c r="K653" s="4">
        <v>0.0395</v>
      </c>
      <c r="L653" s="4">
        <v>0.812</v>
      </c>
      <c r="M653" s="4">
        <v>0.344</v>
      </c>
      <c r="N653" s="4">
        <v>0.105</v>
      </c>
      <c r="O653" s="4">
        <v>0.448</v>
      </c>
      <c r="P653" s="4">
        <v>95.516</v>
      </c>
      <c r="Q653" s="4">
        <v>4.0</v>
      </c>
    </row>
    <row r="654">
      <c r="A654" s="4" t="s">
        <v>1317</v>
      </c>
      <c r="B654" s="4" t="s">
        <v>1318</v>
      </c>
      <c r="C654" s="5">
        <v>34578.0</v>
      </c>
      <c r="D654" s="4">
        <v>402493.0</v>
      </c>
      <c r="E654" s="4">
        <v>55.0</v>
      </c>
      <c r="F654" s="4">
        <v>0.193</v>
      </c>
      <c r="G654" s="4">
        <v>0.0656</v>
      </c>
      <c r="H654" s="4">
        <v>10.0</v>
      </c>
      <c r="I654" s="4">
        <v>-19.239</v>
      </c>
      <c r="J654" s="4">
        <v>1.0</v>
      </c>
      <c r="K654" s="4">
        <v>0.0471</v>
      </c>
      <c r="L654" s="4">
        <v>0.995</v>
      </c>
      <c r="M654" s="4">
        <v>0.829</v>
      </c>
      <c r="N654" s="4">
        <v>0.119</v>
      </c>
      <c r="O654" s="4">
        <v>0.0359</v>
      </c>
      <c r="P654" s="4">
        <v>128.975</v>
      </c>
      <c r="Q654" s="4">
        <v>3.0</v>
      </c>
    </row>
    <row r="655">
      <c r="A655" s="4" t="s">
        <v>1319</v>
      </c>
      <c r="B655" s="4" t="s">
        <v>1320</v>
      </c>
      <c r="C655" s="5">
        <v>41110.0</v>
      </c>
      <c r="D655" s="4">
        <v>400243.0</v>
      </c>
      <c r="E655" s="4">
        <v>9.0</v>
      </c>
      <c r="F655" s="4">
        <v>0.796</v>
      </c>
      <c r="G655" s="4">
        <v>0.508</v>
      </c>
      <c r="H655" s="4">
        <v>5.0</v>
      </c>
      <c r="I655" s="4">
        <v>-11.424</v>
      </c>
      <c r="J655" s="4">
        <v>1.0</v>
      </c>
      <c r="K655" s="4">
        <v>0.0418</v>
      </c>
      <c r="L655" s="4">
        <v>0.763</v>
      </c>
      <c r="M655" s="4">
        <v>0.921</v>
      </c>
      <c r="N655" s="4">
        <v>0.106</v>
      </c>
      <c r="O655" s="4">
        <v>0.0702</v>
      </c>
      <c r="P655" s="4">
        <v>123.022</v>
      </c>
      <c r="Q655" s="4">
        <v>4.0</v>
      </c>
    </row>
    <row r="656">
      <c r="A656" s="4" t="s">
        <v>1321</v>
      </c>
      <c r="B656" s="4" t="s">
        <v>1322</v>
      </c>
      <c r="C656" s="5">
        <v>38271.0</v>
      </c>
      <c r="D656" s="4">
        <v>292773.0</v>
      </c>
      <c r="E656" s="4">
        <v>24.0</v>
      </c>
      <c r="F656" s="4">
        <v>0.486</v>
      </c>
      <c r="G656" s="4">
        <v>0.306</v>
      </c>
      <c r="H656" s="4">
        <v>9.0</v>
      </c>
      <c r="I656" s="4">
        <v>-12.291</v>
      </c>
      <c r="J656" s="4">
        <v>0.0</v>
      </c>
      <c r="K656" s="4">
        <v>0.0284</v>
      </c>
      <c r="L656" s="4">
        <v>0.902</v>
      </c>
      <c r="M656" s="4">
        <v>0.786</v>
      </c>
      <c r="N656" s="4">
        <v>0.109</v>
      </c>
      <c r="O656" s="4">
        <v>0.104</v>
      </c>
      <c r="P656" s="4">
        <v>76.942</v>
      </c>
      <c r="Q656" s="4">
        <v>4.0</v>
      </c>
    </row>
    <row r="657">
      <c r="A657" s="4" t="s">
        <v>1323</v>
      </c>
      <c r="B657" s="4" t="s">
        <v>1324</v>
      </c>
      <c r="C657" s="5">
        <v>37347.0</v>
      </c>
      <c r="D657" s="4">
        <v>225826.0</v>
      </c>
      <c r="E657" s="4">
        <v>8.0</v>
      </c>
      <c r="F657" s="4">
        <v>0.647</v>
      </c>
      <c r="G657" s="4">
        <v>0.849</v>
      </c>
      <c r="H657" s="4">
        <v>7.0</v>
      </c>
      <c r="I657" s="4">
        <v>-6.125</v>
      </c>
      <c r="J657" s="4">
        <v>1.0</v>
      </c>
      <c r="K657" s="4">
        <v>0.0328</v>
      </c>
      <c r="L657" s="4">
        <v>0.0126</v>
      </c>
      <c r="M657" s="4">
        <v>0.695</v>
      </c>
      <c r="N657" s="4">
        <v>0.115</v>
      </c>
      <c r="O657" s="4">
        <v>0.663</v>
      </c>
      <c r="P657" s="4">
        <v>121.632</v>
      </c>
      <c r="Q657" s="4">
        <v>4.0</v>
      </c>
    </row>
    <row r="658">
      <c r="A658" s="4" t="s">
        <v>1325</v>
      </c>
      <c r="B658" s="4" t="s">
        <v>1326</v>
      </c>
      <c r="C658" s="5">
        <v>44478.0</v>
      </c>
      <c r="D658" s="4">
        <v>78106.0</v>
      </c>
      <c r="E658" s="4">
        <v>6.0</v>
      </c>
      <c r="F658" s="4">
        <v>0.0773</v>
      </c>
      <c r="G658" s="4">
        <v>0.0513</v>
      </c>
      <c r="H658" s="4">
        <v>0.0</v>
      </c>
      <c r="I658" s="4">
        <v>-21.236</v>
      </c>
      <c r="J658" s="4">
        <v>1.0</v>
      </c>
      <c r="K658" s="4">
        <v>0.0396</v>
      </c>
      <c r="L658" s="4">
        <v>0.972</v>
      </c>
      <c r="M658" s="4">
        <v>0.933</v>
      </c>
      <c r="N658" s="4">
        <v>0.082</v>
      </c>
      <c r="O658" s="4">
        <v>0.0364</v>
      </c>
      <c r="P658" s="4">
        <v>80.675</v>
      </c>
      <c r="Q658" s="4">
        <v>1.0</v>
      </c>
    </row>
    <row r="659">
      <c r="A659" s="4" t="s">
        <v>1327</v>
      </c>
      <c r="B659" s="4" t="s">
        <v>1328</v>
      </c>
      <c r="C659" s="5">
        <v>38353.0</v>
      </c>
      <c r="D659" s="4">
        <v>458173.0</v>
      </c>
      <c r="E659" s="4">
        <v>19.0</v>
      </c>
      <c r="F659" s="4">
        <v>0.29</v>
      </c>
      <c r="G659" s="4">
        <v>0.128</v>
      </c>
      <c r="H659" s="4">
        <v>9.0</v>
      </c>
      <c r="I659" s="4">
        <v>-21.259</v>
      </c>
      <c r="J659" s="4">
        <v>0.0</v>
      </c>
      <c r="K659" s="4">
        <v>0.0374</v>
      </c>
      <c r="L659" s="4">
        <v>0.955</v>
      </c>
      <c r="M659" s="4">
        <v>0.355</v>
      </c>
      <c r="N659" s="4">
        <v>0.192</v>
      </c>
      <c r="O659" s="4">
        <v>0.148</v>
      </c>
      <c r="P659" s="4">
        <v>76.854</v>
      </c>
      <c r="Q659" s="4">
        <v>4.0</v>
      </c>
    </row>
    <row r="660">
      <c r="A660" s="4" t="s">
        <v>1329</v>
      </c>
      <c r="B660" s="4" t="s">
        <v>1330</v>
      </c>
      <c r="C660" s="5">
        <v>41447.0</v>
      </c>
      <c r="D660" s="4">
        <v>343866.0</v>
      </c>
      <c r="E660" s="4">
        <v>20.0</v>
      </c>
      <c r="F660" s="4">
        <v>0.582</v>
      </c>
      <c r="G660" s="4">
        <v>0.0259</v>
      </c>
      <c r="H660" s="4">
        <v>5.0</v>
      </c>
      <c r="I660" s="4">
        <v>-18.408</v>
      </c>
      <c r="J660" s="4">
        <v>1.0</v>
      </c>
      <c r="K660" s="4">
        <v>0.0736</v>
      </c>
      <c r="L660" s="4">
        <v>0.962</v>
      </c>
      <c r="M660" s="4">
        <v>0.89</v>
      </c>
      <c r="N660" s="4">
        <v>0.294</v>
      </c>
      <c r="O660" s="4">
        <v>0.383</v>
      </c>
      <c r="P660" s="4">
        <v>100.069</v>
      </c>
      <c r="Q660" s="4">
        <v>4.0</v>
      </c>
    </row>
    <row r="661">
      <c r="A661" s="4" t="s">
        <v>1331</v>
      </c>
      <c r="B661" s="4" t="s">
        <v>1332</v>
      </c>
      <c r="C661" s="5">
        <v>41852.0</v>
      </c>
      <c r="D661" s="4">
        <v>1943666.0</v>
      </c>
      <c r="E661" s="4">
        <v>4.0</v>
      </c>
      <c r="F661" s="4">
        <v>0.31</v>
      </c>
      <c r="G661" s="4">
        <v>0.518</v>
      </c>
      <c r="H661" s="4">
        <v>6.0</v>
      </c>
      <c r="I661" s="4">
        <v>-5.981</v>
      </c>
      <c r="J661" s="4">
        <v>1.0</v>
      </c>
      <c r="K661" s="4">
        <v>0.0315</v>
      </c>
      <c r="L661" s="4">
        <v>0.969</v>
      </c>
      <c r="M661" s="4">
        <v>0.83</v>
      </c>
      <c r="N661" s="4">
        <v>0.187</v>
      </c>
      <c r="O661" s="4">
        <v>0.274</v>
      </c>
      <c r="P661" s="4">
        <v>111.219</v>
      </c>
      <c r="Q661" s="4">
        <v>4.0</v>
      </c>
    </row>
    <row r="662">
      <c r="A662" s="4" t="s">
        <v>1333</v>
      </c>
      <c r="B662" s="4" t="s">
        <v>1334</v>
      </c>
      <c r="C662" s="5">
        <v>43406.0</v>
      </c>
      <c r="D662" s="4">
        <v>543373.0</v>
      </c>
      <c r="E662" s="4">
        <v>20.0</v>
      </c>
      <c r="F662" s="4">
        <v>0.393</v>
      </c>
      <c r="G662" s="4">
        <v>0.135</v>
      </c>
      <c r="H662" s="4">
        <v>8.0</v>
      </c>
      <c r="I662" s="4">
        <v>-21.093</v>
      </c>
      <c r="J662" s="4">
        <v>0.0</v>
      </c>
      <c r="K662" s="4">
        <v>0.0337</v>
      </c>
      <c r="L662" s="4">
        <v>0.965</v>
      </c>
      <c r="M662" s="4">
        <v>0.111</v>
      </c>
      <c r="N662" s="4">
        <v>0.0585</v>
      </c>
      <c r="O662" s="4">
        <v>0.0848</v>
      </c>
      <c r="P662" s="4">
        <v>115.618</v>
      </c>
      <c r="Q662" s="4">
        <v>3.0</v>
      </c>
    </row>
    <row r="663">
      <c r="A663" s="4" t="s">
        <v>1335</v>
      </c>
      <c r="B663" s="4" t="s">
        <v>1336</v>
      </c>
      <c r="C663" s="5">
        <v>33272.0</v>
      </c>
      <c r="D663" s="4">
        <v>454442.0</v>
      </c>
      <c r="E663" s="4">
        <v>4.0</v>
      </c>
      <c r="F663" s="4">
        <v>0.336</v>
      </c>
      <c r="G663" s="4">
        <v>0.442</v>
      </c>
      <c r="H663" s="4">
        <v>2.0</v>
      </c>
      <c r="I663" s="4">
        <v>-8.223</v>
      </c>
      <c r="J663" s="4">
        <v>1.0</v>
      </c>
      <c r="K663" s="4">
        <v>0.0348</v>
      </c>
      <c r="L663" s="4">
        <v>0.728</v>
      </c>
      <c r="M663" s="4">
        <v>0.819</v>
      </c>
      <c r="N663" s="4">
        <v>0.695</v>
      </c>
      <c r="O663" s="4">
        <v>0.319</v>
      </c>
      <c r="P663" s="4">
        <v>152.887</v>
      </c>
      <c r="Q663" s="4">
        <v>3.0</v>
      </c>
    </row>
    <row r="664">
      <c r="A664" s="4" t="s">
        <v>1337</v>
      </c>
      <c r="B664" s="4" t="s">
        <v>1338</v>
      </c>
      <c r="C664" s="4">
        <v>2012.0</v>
      </c>
      <c r="D664" s="4">
        <v>571592.0</v>
      </c>
      <c r="E664" s="4">
        <v>8.0</v>
      </c>
      <c r="F664" s="4">
        <v>0.419</v>
      </c>
      <c r="G664" s="4">
        <v>0.781</v>
      </c>
      <c r="H664" s="4">
        <v>7.0</v>
      </c>
      <c r="I664" s="4">
        <v>-5.515</v>
      </c>
      <c r="J664" s="4">
        <v>1.0</v>
      </c>
      <c r="K664" s="4">
        <v>0.0424</v>
      </c>
      <c r="L664" s="4">
        <v>0.779</v>
      </c>
      <c r="M664" s="4">
        <v>0.513</v>
      </c>
      <c r="N664" s="4">
        <v>0.169</v>
      </c>
      <c r="O664" s="4">
        <v>0.332</v>
      </c>
      <c r="P664" s="4">
        <v>98.984</v>
      </c>
      <c r="Q664" s="4">
        <v>4.0</v>
      </c>
    </row>
    <row r="665">
      <c r="A665" s="4" t="s">
        <v>1339</v>
      </c>
      <c r="B665" s="4" t="s">
        <v>1340</v>
      </c>
      <c r="C665" s="4">
        <v>2001.0</v>
      </c>
      <c r="D665" s="4">
        <v>187466.0</v>
      </c>
      <c r="E665" s="4">
        <v>55.0</v>
      </c>
      <c r="F665" s="4">
        <v>0.18</v>
      </c>
      <c r="G665" s="4">
        <v>0.0382</v>
      </c>
      <c r="H665" s="4">
        <v>2.0</v>
      </c>
      <c r="I665" s="4">
        <v>-22.028</v>
      </c>
      <c r="J665" s="4">
        <v>0.0</v>
      </c>
      <c r="K665" s="4">
        <v>0.0452</v>
      </c>
      <c r="L665" s="4">
        <v>0.983</v>
      </c>
      <c r="M665" s="4">
        <v>0.0141</v>
      </c>
      <c r="N665" s="4">
        <v>0.15</v>
      </c>
      <c r="O665" s="4">
        <v>0.0593</v>
      </c>
      <c r="P665" s="4">
        <v>69.897</v>
      </c>
      <c r="Q665" s="4">
        <v>3.0</v>
      </c>
    </row>
    <row r="666">
      <c r="A666" s="4" t="s">
        <v>1341</v>
      </c>
      <c r="B666" s="4" t="s">
        <v>1342</v>
      </c>
      <c r="C666" s="5">
        <v>42142.0</v>
      </c>
      <c r="D666" s="4">
        <v>455160.0</v>
      </c>
      <c r="E666" s="4">
        <v>30.0</v>
      </c>
      <c r="F666" s="4">
        <v>0.142</v>
      </c>
      <c r="G666" s="4">
        <v>0.054</v>
      </c>
      <c r="H666" s="4">
        <v>0.0</v>
      </c>
      <c r="I666" s="4">
        <v>-23.594</v>
      </c>
      <c r="J666" s="4">
        <v>0.0</v>
      </c>
      <c r="K666" s="4">
        <v>0.0473</v>
      </c>
      <c r="L666" s="4">
        <v>0.961</v>
      </c>
      <c r="M666" s="4">
        <v>3.23E-4</v>
      </c>
      <c r="N666" s="4">
        <v>0.123</v>
      </c>
      <c r="O666" s="4">
        <v>0.0403</v>
      </c>
      <c r="P666" s="4">
        <v>75.568</v>
      </c>
      <c r="Q666" s="4">
        <v>4.0</v>
      </c>
    </row>
    <row r="667">
      <c r="A667" s="4" t="s">
        <v>1343</v>
      </c>
      <c r="B667" s="4" t="s">
        <v>1344</v>
      </c>
      <c r="C667" s="5">
        <v>39027.0</v>
      </c>
      <c r="D667" s="4">
        <v>199106.0</v>
      </c>
      <c r="E667" s="4">
        <v>4.0</v>
      </c>
      <c r="F667" s="4">
        <v>0.479</v>
      </c>
      <c r="G667" s="4">
        <v>0.292</v>
      </c>
      <c r="H667" s="4">
        <v>9.0</v>
      </c>
      <c r="I667" s="4">
        <v>-12.8</v>
      </c>
      <c r="J667" s="4">
        <v>0.0</v>
      </c>
      <c r="K667" s="4">
        <v>0.0336</v>
      </c>
      <c r="L667" s="4">
        <v>0.913</v>
      </c>
      <c r="M667" s="4">
        <v>0.486</v>
      </c>
      <c r="N667" s="4">
        <v>0.0749</v>
      </c>
      <c r="O667" s="4">
        <v>0.62</v>
      </c>
      <c r="P667" s="4">
        <v>140.927</v>
      </c>
      <c r="Q667" s="4">
        <v>4.0</v>
      </c>
    </row>
    <row r="668">
      <c r="A668" s="4" t="s">
        <v>1345</v>
      </c>
      <c r="B668" s="4" t="s">
        <v>1346</v>
      </c>
      <c r="C668" s="5">
        <v>31926.0</v>
      </c>
      <c r="D668" s="4">
        <v>494000.0</v>
      </c>
      <c r="E668" s="4">
        <v>32.0</v>
      </c>
      <c r="F668" s="4">
        <v>0.335</v>
      </c>
      <c r="G668" s="4">
        <v>0.0721</v>
      </c>
      <c r="H668" s="4">
        <v>10.0</v>
      </c>
      <c r="I668" s="4">
        <v>-22.414</v>
      </c>
      <c r="J668" s="4">
        <v>1.0</v>
      </c>
      <c r="K668" s="4">
        <v>0.0539</v>
      </c>
      <c r="L668" s="4">
        <v>0.968</v>
      </c>
      <c r="M668" s="4">
        <v>0.00584</v>
      </c>
      <c r="N668" s="4">
        <v>0.134</v>
      </c>
      <c r="O668" s="4">
        <v>0.158</v>
      </c>
      <c r="P668" s="4">
        <v>84.62</v>
      </c>
      <c r="Q668" s="4">
        <v>4.0</v>
      </c>
    </row>
    <row r="669">
      <c r="A669" s="4" t="s">
        <v>1347</v>
      </c>
      <c r="B669" s="4" t="s">
        <v>1348</v>
      </c>
      <c r="C669" s="5">
        <v>36038.0</v>
      </c>
      <c r="D669" s="4">
        <v>196386.0</v>
      </c>
      <c r="E669" s="4">
        <v>9.0</v>
      </c>
      <c r="F669" s="4">
        <v>0.405</v>
      </c>
      <c r="G669" s="4">
        <v>0.217</v>
      </c>
      <c r="H669" s="4">
        <v>0.0</v>
      </c>
      <c r="I669" s="4">
        <v>-25.117</v>
      </c>
      <c r="J669" s="4">
        <v>1.0</v>
      </c>
      <c r="K669" s="4">
        <v>0.042</v>
      </c>
      <c r="L669" s="4">
        <v>0.994</v>
      </c>
      <c r="M669" s="4">
        <v>0.893</v>
      </c>
      <c r="N669" s="4">
        <v>0.0927</v>
      </c>
      <c r="O669" s="4">
        <v>0.512</v>
      </c>
      <c r="P669" s="4">
        <v>127.941</v>
      </c>
      <c r="Q669" s="4">
        <v>5.0</v>
      </c>
    </row>
    <row r="670">
      <c r="A670" s="4" t="s">
        <v>1349</v>
      </c>
      <c r="B670" s="4" t="s">
        <v>1350</v>
      </c>
      <c r="C670" s="5">
        <v>34872.0</v>
      </c>
      <c r="D670" s="4">
        <v>197014.0</v>
      </c>
      <c r="E670" s="4">
        <v>15.0</v>
      </c>
      <c r="F670" s="4">
        <v>0.647</v>
      </c>
      <c r="G670" s="4">
        <v>0.895</v>
      </c>
      <c r="H670" s="4">
        <v>2.0</v>
      </c>
      <c r="I670" s="4">
        <v>-10.724</v>
      </c>
      <c r="J670" s="4">
        <v>1.0</v>
      </c>
      <c r="K670" s="4">
        <v>0.0442</v>
      </c>
      <c r="L670" s="4">
        <v>7.13E-4</v>
      </c>
      <c r="M670" s="4">
        <v>0.136</v>
      </c>
      <c r="N670" s="4">
        <v>0.0524</v>
      </c>
      <c r="O670" s="4">
        <v>0.0355</v>
      </c>
      <c r="P670" s="4">
        <v>140.865</v>
      </c>
      <c r="Q670" s="4">
        <v>4.0</v>
      </c>
    </row>
    <row r="671">
      <c r="A671" s="4" t="s">
        <v>1351</v>
      </c>
      <c r="B671" s="4" t="s">
        <v>1352</v>
      </c>
      <c r="C671" s="5">
        <v>38846.0</v>
      </c>
      <c r="D671" s="4">
        <v>286880.0</v>
      </c>
      <c r="E671" s="4">
        <v>42.0</v>
      </c>
      <c r="F671" s="4">
        <v>0.664</v>
      </c>
      <c r="G671" s="4">
        <v>0.552</v>
      </c>
      <c r="H671" s="4">
        <v>9.0</v>
      </c>
      <c r="I671" s="4">
        <v>-7.723</v>
      </c>
      <c r="J671" s="4">
        <v>1.0</v>
      </c>
      <c r="K671" s="4">
        <v>0.0264</v>
      </c>
      <c r="L671" s="4">
        <v>0.746</v>
      </c>
      <c r="M671" s="4">
        <v>0.00963</v>
      </c>
      <c r="N671" s="4">
        <v>0.0838</v>
      </c>
      <c r="O671" s="4">
        <v>0.287</v>
      </c>
      <c r="P671" s="4">
        <v>112.52</v>
      </c>
      <c r="Q671" s="4">
        <v>4.0</v>
      </c>
    </row>
    <row r="672">
      <c r="A672" s="4" t="s">
        <v>1353</v>
      </c>
      <c r="B672" s="4" t="s">
        <v>1354</v>
      </c>
      <c r="C672" s="5">
        <v>33055.0</v>
      </c>
      <c r="D672" s="4">
        <v>280040.0</v>
      </c>
      <c r="E672" s="4">
        <v>73.0</v>
      </c>
      <c r="F672" s="4">
        <v>0.511</v>
      </c>
      <c r="G672" s="4">
        <v>0.574</v>
      </c>
      <c r="H672" s="4">
        <v>5.0</v>
      </c>
      <c r="I672" s="4">
        <v>-7.016</v>
      </c>
      <c r="J672" s="4">
        <v>1.0</v>
      </c>
      <c r="K672" s="4">
        <v>0.0273</v>
      </c>
      <c r="L672" s="4">
        <v>0.0425</v>
      </c>
      <c r="M672" s="6">
        <v>2.33E-5</v>
      </c>
      <c r="N672" s="4">
        <v>0.105</v>
      </c>
      <c r="O672" s="4">
        <v>0.161</v>
      </c>
      <c r="P672" s="4">
        <v>119.917</v>
      </c>
      <c r="Q672" s="4">
        <v>4.0</v>
      </c>
    </row>
    <row r="673">
      <c r="A673" s="4" t="s">
        <v>1355</v>
      </c>
      <c r="B673" s="4" t="s">
        <v>1356</v>
      </c>
      <c r="C673" s="5">
        <v>40064.0</v>
      </c>
      <c r="D673" s="4">
        <v>267520.0</v>
      </c>
      <c r="E673" s="4">
        <v>75.0</v>
      </c>
      <c r="F673" s="4">
        <v>0.632</v>
      </c>
      <c r="G673" s="4">
        <v>0.924</v>
      </c>
      <c r="H673" s="4">
        <v>1.0</v>
      </c>
      <c r="I673" s="4">
        <v>-1.802</v>
      </c>
      <c r="J673" s="4">
        <v>1.0</v>
      </c>
      <c r="K673" s="4">
        <v>0.29</v>
      </c>
      <c r="L673" s="4">
        <v>0.281</v>
      </c>
      <c r="M673" s="4">
        <v>0.0</v>
      </c>
      <c r="N673" s="4">
        <v>0.263</v>
      </c>
      <c r="O673" s="4">
        <v>0.441</v>
      </c>
      <c r="P673" s="4">
        <v>86.844</v>
      </c>
      <c r="Q673" s="4">
        <v>4.0</v>
      </c>
    </row>
    <row r="674">
      <c r="A674" s="4" t="s">
        <v>1357</v>
      </c>
      <c r="B674" s="4" t="s">
        <v>1358</v>
      </c>
      <c r="C674" s="5">
        <v>37167.0</v>
      </c>
      <c r="D674" s="4">
        <v>386600.0</v>
      </c>
      <c r="E674" s="4">
        <v>13.0</v>
      </c>
      <c r="F674" s="4">
        <v>0.172</v>
      </c>
      <c r="G674" s="4">
        <v>0.227</v>
      </c>
      <c r="H674" s="4">
        <v>7.0</v>
      </c>
      <c r="I674" s="4">
        <v>-19.759</v>
      </c>
      <c r="J674" s="4">
        <v>1.0</v>
      </c>
      <c r="K674" s="4">
        <v>0.042</v>
      </c>
      <c r="L674" s="4">
        <v>0.835</v>
      </c>
      <c r="M674" s="4">
        <v>0.671</v>
      </c>
      <c r="N674" s="4">
        <v>0.108</v>
      </c>
      <c r="O674" s="4">
        <v>0.0328</v>
      </c>
      <c r="P674" s="4">
        <v>86.013</v>
      </c>
      <c r="Q674" s="4">
        <v>4.0</v>
      </c>
    </row>
    <row r="675">
      <c r="A675" s="4" t="s">
        <v>1359</v>
      </c>
      <c r="B675" s="4" t="s">
        <v>1360</v>
      </c>
      <c r="C675" s="5">
        <v>28399.0</v>
      </c>
      <c r="D675" s="4">
        <v>250333.0</v>
      </c>
      <c r="E675" s="4">
        <v>47.0</v>
      </c>
      <c r="F675" s="4">
        <v>0.6</v>
      </c>
      <c r="G675" s="4">
        <v>0.363</v>
      </c>
      <c r="H675" s="4">
        <v>7.0</v>
      </c>
      <c r="I675" s="4">
        <v>-15.469</v>
      </c>
      <c r="J675" s="4">
        <v>1.0</v>
      </c>
      <c r="K675" s="4">
        <v>0.037</v>
      </c>
      <c r="L675" s="4">
        <v>0.345</v>
      </c>
      <c r="M675" s="4">
        <v>3.33E-4</v>
      </c>
      <c r="N675" s="4">
        <v>0.25</v>
      </c>
      <c r="O675" s="4">
        <v>0.75</v>
      </c>
      <c r="P675" s="4">
        <v>125.761</v>
      </c>
      <c r="Q675" s="4">
        <v>4.0</v>
      </c>
    </row>
    <row r="676">
      <c r="A676" s="4" t="s">
        <v>1361</v>
      </c>
      <c r="B676" s="4" t="s">
        <v>1362</v>
      </c>
      <c r="C676" s="5">
        <v>41528.0</v>
      </c>
      <c r="D676" s="4">
        <v>252000.0</v>
      </c>
      <c r="E676" s="4">
        <v>72.0</v>
      </c>
      <c r="F676" s="4">
        <v>0.605</v>
      </c>
      <c r="G676" s="4">
        <v>0.842</v>
      </c>
      <c r="H676" s="4">
        <v>8.0</v>
      </c>
      <c r="I676" s="4">
        <v>-4.747</v>
      </c>
      <c r="J676" s="4">
        <v>1.0</v>
      </c>
      <c r="K676" s="4">
        <v>0.0509</v>
      </c>
      <c r="L676" s="4">
        <v>0.0862</v>
      </c>
      <c r="M676" s="6">
        <v>3.08E-6</v>
      </c>
      <c r="N676" s="4">
        <v>0.106</v>
      </c>
      <c r="O676" s="4">
        <v>0.35</v>
      </c>
      <c r="P676" s="4">
        <v>115.008</v>
      </c>
      <c r="Q676" s="4">
        <v>3.0</v>
      </c>
    </row>
    <row r="677">
      <c r="A677" s="4" t="s">
        <v>1363</v>
      </c>
      <c r="B677" s="4" t="s">
        <v>1364</v>
      </c>
      <c r="C677" s="5">
        <v>44481.0</v>
      </c>
      <c r="D677" s="4">
        <v>314652.0</v>
      </c>
      <c r="E677" s="4">
        <v>4.0</v>
      </c>
      <c r="F677" s="4">
        <v>0.427</v>
      </c>
      <c r="G677" s="4">
        <v>0.669</v>
      </c>
      <c r="H677" s="4">
        <v>4.0</v>
      </c>
      <c r="I677" s="4">
        <v>-10.811</v>
      </c>
      <c r="J677" s="4">
        <v>1.0</v>
      </c>
      <c r="K677" s="4">
        <v>0.0327</v>
      </c>
      <c r="L677" s="4">
        <v>0.523</v>
      </c>
      <c r="M677" s="4">
        <v>0.928</v>
      </c>
      <c r="N677" s="4">
        <v>0.205</v>
      </c>
      <c r="O677" s="4">
        <v>0.54</v>
      </c>
      <c r="P677" s="4">
        <v>140.003</v>
      </c>
      <c r="Q677" s="4">
        <v>4.0</v>
      </c>
    </row>
    <row r="678">
      <c r="A678" s="4" t="s">
        <v>1365</v>
      </c>
      <c r="B678" s="4" t="s">
        <v>1366</v>
      </c>
      <c r="C678" s="4">
        <v>2005.0</v>
      </c>
      <c r="D678" s="4">
        <v>270200.0</v>
      </c>
      <c r="E678" s="4">
        <v>50.0</v>
      </c>
      <c r="F678" s="4">
        <v>0.567</v>
      </c>
      <c r="G678" s="4">
        <v>0.809</v>
      </c>
      <c r="H678" s="4">
        <v>2.0</v>
      </c>
      <c r="I678" s="4">
        <v>-4.82</v>
      </c>
      <c r="J678" s="4">
        <v>1.0</v>
      </c>
      <c r="K678" s="4">
        <v>0.0365</v>
      </c>
      <c r="L678" s="4">
        <v>0.0129</v>
      </c>
      <c r="M678" s="4">
        <v>0.00821</v>
      </c>
      <c r="N678" s="4">
        <v>0.0562</v>
      </c>
      <c r="O678" s="4">
        <v>0.898</v>
      </c>
      <c r="P678" s="4">
        <v>163.068</v>
      </c>
      <c r="Q678" s="4">
        <v>4.0</v>
      </c>
    </row>
    <row r="679">
      <c r="A679" s="4" t="s">
        <v>1367</v>
      </c>
      <c r="B679" s="4" t="s">
        <v>1368</v>
      </c>
      <c r="C679" s="5">
        <v>39393.0</v>
      </c>
      <c r="D679" s="4">
        <v>380786.0</v>
      </c>
      <c r="E679" s="4">
        <v>17.0</v>
      </c>
      <c r="F679" s="4">
        <v>0.49</v>
      </c>
      <c r="G679" s="4">
        <v>0.747</v>
      </c>
      <c r="H679" s="4">
        <v>0.0</v>
      </c>
      <c r="I679" s="4">
        <v>-4.315</v>
      </c>
      <c r="J679" s="4">
        <v>1.0</v>
      </c>
      <c r="K679" s="4">
        <v>0.0275</v>
      </c>
      <c r="L679" s="4">
        <v>0.00339</v>
      </c>
      <c r="M679" s="4">
        <v>0.0</v>
      </c>
      <c r="N679" s="4">
        <v>0.104</v>
      </c>
      <c r="O679" s="4">
        <v>0.246</v>
      </c>
      <c r="P679" s="4">
        <v>80.576</v>
      </c>
      <c r="Q679" s="4">
        <v>4.0</v>
      </c>
    </row>
    <row r="680">
      <c r="A680" s="4" t="s">
        <v>1369</v>
      </c>
      <c r="B680" s="4" t="s">
        <v>1370</v>
      </c>
      <c r="C680" s="5">
        <v>41437.0</v>
      </c>
      <c r="D680" s="4">
        <v>238464.0</v>
      </c>
      <c r="E680" s="4">
        <v>26.0</v>
      </c>
      <c r="F680" s="4">
        <v>0.49</v>
      </c>
      <c r="G680" s="4">
        <v>0.998</v>
      </c>
      <c r="H680" s="4">
        <v>9.0</v>
      </c>
      <c r="I680" s="4">
        <v>-3.446</v>
      </c>
      <c r="J680" s="4">
        <v>0.0</v>
      </c>
      <c r="K680" s="4">
        <v>0.123</v>
      </c>
      <c r="L680" s="4">
        <v>8.64E-4</v>
      </c>
      <c r="M680" s="4">
        <v>0.00222</v>
      </c>
      <c r="N680" s="4">
        <v>0.099</v>
      </c>
      <c r="O680" s="4">
        <v>0.229</v>
      </c>
      <c r="P680" s="4">
        <v>147.001</v>
      </c>
      <c r="Q680" s="4">
        <v>4.0</v>
      </c>
    </row>
    <row r="681">
      <c r="A681" s="4" t="s">
        <v>1371</v>
      </c>
      <c r="B681" s="4" t="s">
        <v>1372</v>
      </c>
      <c r="C681" s="5">
        <v>40751.0</v>
      </c>
      <c r="D681" s="4">
        <v>219924.0</v>
      </c>
      <c r="E681" s="4">
        <v>28.0</v>
      </c>
      <c r="F681" s="4">
        <v>0.519</v>
      </c>
      <c r="G681" s="4">
        <v>0.972</v>
      </c>
      <c r="H681" s="4">
        <v>2.0</v>
      </c>
      <c r="I681" s="4">
        <v>-3.724</v>
      </c>
      <c r="J681" s="4">
        <v>0.0</v>
      </c>
      <c r="K681" s="4">
        <v>0.174</v>
      </c>
      <c r="L681" s="4">
        <v>2.3E-4</v>
      </c>
      <c r="M681" s="4">
        <v>0.00429</v>
      </c>
      <c r="N681" s="4">
        <v>0.067</v>
      </c>
      <c r="O681" s="4">
        <v>0.403</v>
      </c>
      <c r="P681" s="4">
        <v>141.051</v>
      </c>
      <c r="Q681" s="4">
        <v>4.0</v>
      </c>
    </row>
    <row r="682">
      <c r="A682" s="4" t="s">
        <v>1373</v>
      </c>
      <c r="B682" s="4" t="s">
        <v>1374</v>
      </c>
      <c r="C682" s="5">
        <v>39428.0</v>
      </c>
      <c r="D682" s="4">
        <v>385133.0</v>
      </c>
      <c r="E682" s="4">
        <v>16.0</v>
      </c>
      <c r="F682" s="4">
        <v>0.605</v>
      </c>
      <c r="G682" s="4">
        <v>0.858</v>
      </c>
      <c r="H682" s="4">
        <v>9.0</v>
      </c>
      <c r="I682" s="4">
        <v>-3.665</v>
      </c>
      <c r="J682" s="4">
        <v>0.0</v>
      </c>
      <c r="K682" s="4">
        <v>0.0381</v>
      </c>
      <c r="L682" s="4">
        <v>0.331</v>
      </c>
      <c r="M682" s="4">
        <v>0.0</v>
      </c>
      <c r="N682" s="4">
        <v>0.159</v>
      </c>
      <c r="O682" s="4">
        <v>0.732</v>
      </c>
      <c r="P682" s="4">
        <v>82.004</v>
      </c>
      <c r="Q682" s="4">
        <v>4.0</v>
      </c>
    </row>
    <row r="683">
      <c r="A683" s="4" t="s">
        <v>1375</v>
      </c>
      <c r="B683" s="4" t="s">
        <v>1376</v>
      </c>
      <c r="C683" s="5">
        <v>43516.0</v>
      </c>
      <c r="D683" s="4">
        <v>339440.0</v>
      </c>
      <c r="E683" s="4">
        <v>45.0</v>
      </c>
      <c r="F683" s="4">
        <v>0.563</v>
      </c>
      <c r="G683" s="4">
        <v>0.545</v>
      </c>
      <c r="H683" s="4">
        <v>11.0</v>
      </c>
      <c r="I683" s="4">
        <v>-5.27</v>
      </c>
      <c r="J683" s="4">
        <v>1.0</v>
      </c>
      <c r="K683" s="4">
        <v>0.0288</v>
      </c>
      <c r="L683" s="4">
        <v>0.478</v>
      </c>
      <c r="M683" s="6">
        <v>3.0E-6</v>
      </c>
      <c r="N683" s="4">
        <v>0.149</v>
      </c>
      <c r="O683" s="4">
        <v>0.39</v>
      </c>
      <c r="P683" s="4">
        <v>78.948</v>
      </c>
      <c r="Q683" s="4">
        <v>4.0</v>
      </c>
    </row>
    <row r="684">
      <c r="A684" s="4" t="s">
        <v>1377</v>
      </c>
      <c r="B684" s="4" t="s">
        <v>1378</v>
      </c>
      <c r="C684" s="5">
        <v>44481.0</v>
      </c>
      <c r="D684" s="4">
        <v>255002.0</v>
      </c>
      <c r="E684" s="4">
        <v>18.0</v>
      </c>
      <c r="F684" s="4">
        <v>0.459</v>
      </c>
      <c r="G684" s="4">
        <v>0.495</v>
      </c>
      <c r="H684" s="4">
        <v>2.0</v>
      </c>
      <c r="I684" s="4">
        <v>-10.303</v>
      </c>
      <c r="J684" s="4">
        <v>1.0</v>
      </c>
      <c r="K684" s="4">
        <v>0.0253</v>
      </c>
      <c r="L684" s="4">
        <v>0.336</v>
      </c>
      <c r="M684" s="4">
        <v>0.884</v>
      </c>
      <c r="N684" s="4">
        <v>0.172</v>
      </c>
      <c r="O684" s="4">
        <v>0.243</v>
      </c>
      <c r="P684" s="4">
        <v>92.987</v>
      </c>
      <c r="Q684" s="4">
        <v>4.0</v>
      </c>
    </row>
    <row r="685">
      <c r="A685" s="4" t="s">
        <v>1379</v>
      </c>
      <c r="B685" s="4" t="s">
        <v>1380</v>
      </c>
      <c r="C685" s="5">
        <v>43292.0</v>
      </c>
      <c r="D685" s="4">
        <v>248493.0</v>
      </c>
      <c r="E685" s="4">
        <v>2.0</v>
      </c>
      <c r="F685" s="4">
        <v>0.6</v>
      </c>
      <c r="G685" s="4">
        <v>0.422</v>
      </c>
      <c r="H685" s="4">
        <v>3.0</v>
      </c>
      <c r="I685" s="4">
        <v>-10.733</v>
      </c>
      <c r="J685" s="4">
        <v>0.0</v>
      </c>
      <c r="K685" s="4">
        <v>0.0505</v>
      </c>
      <c r="L685" s="4">
        <v>0.253</v>
      </c>
      <c r="M685" s="4">
        <v>0.542</v>
      </c>
      <c r="N685" s="4">
        <v>0.101</v>
      </c>
      <c r="O685" s="4">
        <v>0.115</v>
      </c>
      <c r="P685" s="4">
        <v>154.778</v>
      </c>
      <c r="Q685" s="4">
        <v>4.0</v>
      </c>
    </row>
    <row r="686">
      <c r="A686" s="4" t="s">
        <v>1381</v>
      </c>
      <c r="B686" s="4" t="s">
        <v>1382</v>
      </c>
      <c r="C686" s="5">
        <v>41619.0</v>
      </c>
      <c r="D686" s="4">
        <v>178986.0</v>
      </c>
      <c r="E686" s="4">
        <v>2.0</v>
      </c>
      <c r="F686" s="4">
        <v>0.693</v>
      </c>
      <c r="G686" s="4">
        <v>0.462</v>
      </c>
      <c r="H686" s="4">
        <v>9.0</v>
      </c>
      <c r="I686" s="4">
        <v>-9.574</v>
      </c>
      <c r="J686" s="4">
        <v>0.0</v>
      </c>
      <c r="K686" s="4">
        <v>0.0551</v>
      </c>
      <c r="L686" s="4">
        <v>0.521</v>
      </c>
      <c r="M686" s="4">
        <v>0.9</v>
      </c>
      <c r="N686" s="4">
        <v>0.0877</v>
      </c>
      <c r="O686" s="4">
        <v>0.138</v>
      </c>
      <c r="P686" s="4">
        <v>144.034</v>
      </c>
      <c r="Q686" s="4">
        <v>4.0</v>
      </c>
    </row>
    <row r="687">
      <c r="A687" s="4" t="s">
        <v>1383</v>
      </c>
      <c r="B687" s="4" t="s">
        <v>1384</v>
      </c>
      <c r="C687" s="5">
        <v>39710.0</v>
      </c>
      <c r="D687" s="4">
        <v>316933.0</v>
      </c>
      <c r="E687" s="4">
        <v>37.0</v>
      </c>
      <c r="F687" s="4">
        <v>0.527</v>
      </c>
      <c r="G687" s="4">
        <v>0.527</v>
      </c>
      <c r="H687" s="4">
        <v>6.0</v>
      </c>
      <c r="I687" s="4">
        <v>-3.374</v>
      </c>
      <c r="J687" s="4">
        <v>1.0</v>
      </c>
      <c r="K687" s="4">
        <v>0.0262</v>
      </c>
      <c r="L687" s="4">
        <v>0.317</v>
      </c>
      <c r="M687" s="4">
        <v>0.0</v>
      </c>
      <c r="N687" s="4">
        <v>0.268</v>
      </c>
      <c r="O687" s="4">
        <v>0.108</v>
      </c>
      <c r="P687" s="4">
        <v>125.921</v>
      </c>
      <c r="Q687" s="4">
        <v>4.0</v>
      </c>
    </row>
    <row r="688">
      <c r="A688" s="4" t="s">
        <v>1385</v>
      </c>
      <c r="B688" s="4" t="s">
        <v>1386</v>
      </c>
      <c r="C688" s="5">
        <v>39617.0</v>
      </c>
      <c r="D688" s="4">
        <v>248822.0</v>
      </c>
      <c r="E688" s="4">
        <v>28.0</v>
      </c>
      <c r="F688" s="4">
        <v>0.468</v>
      </c>
      <c r="G688" s="4">
        <v>0.856</v>
      </c>
      <c r="H688" s="4">
        <v>4.0</v>
      </c>
      <c r="I688" s="4">
        <v>-3.58</v>
      </c>
      <c r="J688" s="4">
        <v>0.0</v>
      </c>
      <c r="K688" s="4">
        <v>0.0298</v>
      </c>
      <c r="L688" s="4">
        <v>6.64E-4</v>
      </c>
      <c r="M688" s="4">
        <v>0.00161</v>
      </c>
      <c r="N688" s="4">
        <v>0.201</v>
      </c>
      <c r="O688" s="4">
        <v>0.309</v>
      </c>
      <c r="P688" s="4">
        <v>89.036</v>
      </c>
      <c r="Q688" s="4">
        <v>4.0</v>
      </c>
    </row>
    <row r="689">
      <c r="A689" s="4" t="s">
        <v>1387</v>
      </c>
      <c r="B689" s="4" t="s">
        <v>1388</v>
      </c>
      <c r="C689" s="4">
        <v>2004.0</v>
      </c>
      <c r="D689" s="4">
        <v>303173.0</v>
      </c>
      <c r="E689" s="4">
        <v>8.0</v>
      </c>
      <c r="F689" s="4">
        <v>0.582</v>
      </c>
      <c r="G689" s="4">
        <v>0.344</v>
      </c>
      <c r="H689" s="4">
        <v>2.0</v>
      </c>
      <c r="I689" s="4">
        <v>-9.403</v>
      </c>
      <c r="J689" s="4">
        <v>1.0</v>
      </c>
      <c r="K689" s="4">
        <v>0.0521</v>
      </c>
      <c r="L689" s="4">
        <v>0.965</v>
      </c>
      <c r="M689" s="4">
        <v>0.938</v>
      </c>
      <c r="N689" s="4">
        <v>0.111</v>
      </c>
      <c r="O689" s="4">
        <v>0.127</v>
      </c>
      <c r="P689" s="4">
        <v>76.997</v>
      </c>
      <c r="Q689" s="4">
        <v>4.0</v>
      </c>
    </row>
    <row r="690">
      <c r="A690" s="4" t="s">
        <v>1389</v>
      </c>
      <c r="B690" s="4" t="s">
        <v>1390</v>
      </c>
      <c r="C690" s="5">
        <v>39491.0</v>
      </c>
      <c r="D690" s="4">
        <v>235666.0</v>
      </c>
      <c r="E690" s="4">
        <v>12.0</v>
      </c>
      <c r="F690" s="4">
        <v>0.533</v>
      </c>
      <c r="G690" s="4">
        <v>0.83</v>
      </c>
      <c r="H690" s="4">
        <v>6.0</v>
      </c>
      <c r="I690" s="4">
        <v>-3.187</v>
      </c>
      <c r="J690" s="4">
        <v>1.0</v>
      </c>
      <c r="K690" s="4">
        <v>0.0445</v>
      </c>
      <c r="L690" s="4">
        <v>0.0204</v>
      </c>
      <c r="M690" s="4">
        <v>0.0</v>
      </c>
      <c r="N690" s="4">
        <v>0.088</v>
      </c>
      <c r="O690" s="4">
        <v>0.479</v>
      </c>
      <c r="P690" s="4">
        <v>146.001</v>
      </c>
      <c r="Q690" s="4">
        <v>4.0</v>
      </c>
    </row>
    <row r="691">
      <c r="A691" s="4" t="s">
        <v>1391</v>
      </c>
      <c r="B691" s="4" t="s">
        <v>1392</v>
      </c>
      <c r="C691" s="5">
        <v>40814.0</v>
      </c>
      <c r="D691" s="4">
        <v>240546.0</v>
      </c>
      <c r="E691" s="4">
        <v>42.0</v>
      </c>
      <c r="F691" s="4">
        <v>0.649</v>
      </c>
      <c r="G691" s="4">
        <v>0.969</v>
      </c>
      <c r="H691" s="4">
        <v>8.0</v>
      </c>
      <c r="I691" s="4">
        <v>-2.34</v>
      </c>
      <c r="J691" s="4">
        <v>1.0</v>
      </c>
      <c r="K691" s="4">
        <v>0.231</v>
      </c>
      <c r="L691" s="4">
        <v>0.0993</v>
      </c>
      <c r="M691" s="4">
        <v>0.00355</v>
      </c>
      <c r="N691" s="4">
        <v>0.0924</v>
      </c>
      <c r="O691" s="4">
        <v>0.494</v>
      </c>
      <c r="P691" s="4">
        <v>154.089</v>
      </c>
      <c r="Q691" s="4">
        <v>4.0</v>
      </c>
    </row>
    <row r="692">
      <c r="A692" s="4" t="s">
        <v>1393</v>
      </c>
      <c r="B692" s="4" t="s">
        <v>1394</v>
      </c>
      <c r="C692" s="5">
        <v>43048.0</v>
      </c>
      <c r="D692" s="4">
        <v>247160.0</v>
      </c>
      <c r="E692" s="4">
        <v>80.0</v>
      </c>
      <c r="F692" s="4">
        <v>0.731</v>
      </c>
      <c r="G692" s="4">
        <v>0.445</v>
      </c>
      <c r="H692" s="4">
        <v>0.0</v>
      </c>
      <c r="I692" s="4">
        <v>-8.418</v>
      </c>
      <c r="J692" s="4">
        <v>1.0</v>
      </c>
      <c r="K692" s="4">
        <v>0.0533</v>
      </c>
      <c r="L692" s="4">
        <v>0.0586</v>
      </c>
      <c r="M692" s="6">
        <v>1.96E-5</v>
      </c>
      <c r="N692" s="4">
        <v>0.14</v>
      </c>
      <c r="O692" s="4">
        <v>0.106</v>
      </c>
      <c r="P692" s="4">
        <v>117.97</v>
      </c>
      <c r="Q692" s="4">
        <v>4.0</v>
      </c>
    </row>
    <row r="693">
      <c r="A693" s="4" t="s">
        <v>1395</v>
      </c>
      <c r="B693" s="4" t="s">
        <v>1396</v>
      </c>
      <c r="C693" s="5">
        <v>40995.0</v>
      </c>
      <c r="D693" s="4">
        <v>196130.0</v>
      </c>
      <c r="E693" s="4">
        <v>41.0</v>
      </c>
      <c r="F693" s="4">
        <v>0.278</v>
      </c>
      <c r="G693" s="4">
        <v>0.809</v>
      </c>
      <c r="H693" s="4">
        <v>9.0</v>
      </c>
      <c r="I693" s="4">
        <v>-4.981</v>
      </c>
      <c r="J693" s="4">
        <v>0.0</v>
      </c>
      <c r="K693" s="4">
        <v>0.0624</v>
      </c>
      <c r="L693" s="4">
        <v>0.595</v>
      </c>
      <c r="M693" s="4">
        <v>0.794</v>
      </c>
      <c r="N693" s="4">
        <v>0.388</v>
      </c>
      <c r="O693" s="4">
        <v>0.145</v>
      </c>
      <c r="P693" s="4">
        <v>99.882</v>
      </c>
      <c r="Q693" s="4">
        <v>4.0</v>
      </c>
    </row>
    <row r="694">
      <c r="A694" s="4" t="s">
        <v>1397</v>
      </c>
      <c r="B694" s="4" t="s">
        <v>1398</v>
      </c>
      <c r="C694" s="5">
        <v>42655.0</v>
      </c>
      <c r="D694" s="4">
        <v>242107.0</v>
      </c>
      <c r="E694" s="4">
        <v>34.0</v>
      </c>
      <c r="F694" s="4">
        <v>0.746</v>
      </c>
      <c r="G694" s="4">
        <v>0.388</v>
      </c>
      <c r="H694" s="4">
        <v>7.0</v>
      </c>
      <c r="I694" s="4">
        <v>-12.447</v>
      </c>
      <c r="J694" s="4">
        <v>1.0</v>
      </c>
      <c r="K694" s="4">
        <v>0.0382</v>
      </c>
      <c r="L694" s="4">
        <v>0.908</v>
      </c>
      <c r="M694" s="4">
        <v>0.00701</v>
      </c>
      <c r="N694" s="4">
        <v>0.0692</v>
      </c>
      <c r="O694" s="4">
        <v>0.428</v>
      </c>
      <c r="P694" s="4">
        <v>96.017</v>
      </c>
      <c r="Q694" s="4">
        <v>4.0</v>
      </c>
    </row>
    <row r="695">
      <c r="A695" s="4" t="s">
        <v>1399</v>
      </c>
      <c r="B695" s="4" t="s">
        <v>1400</v>
      </c>
      <c r="C695" s="4">
        <v>1988.0</v>
      </c>
      <c r="D695" s="4">
        <v>224133.0</v>
      </c>
      <c r="E695" s="4">
        <v>23.0</v>
      </c>
      <c r="F695" s="4">
        <v>0.355</v>
      </c>
      <c r="G695" s="4">
        <v>0.362</v>
      </c>
      <c r="H695" s="4">
        <v>6.0</v>
      </c>
      <c r="I695" s="4">
        <v>-12.095</v>
      </c>
      <c r="J695" s="4">
        <v>1.0</v>
      </c>
      <c r="K695" s="4">
        <v>0.0389</v>
      </c>
      <c r="L695" s="4">
        <v>0.806</v>
      </c>
      <c r="M695" s="4">
        <v>0.0</v>
      </c>
      <c r="N695" s="4">
        <v>0.34</v>
      </c>
      <c r="O695" s="4">
        <v>0.35</v>
      </c>
      <c r="P695" s="4">
        <v>106.669</v>
      </c>
      <c r="Q695" s="4">
        <v>3.0</v>
      </c>
    </row>
    <row r="696">
      <c r="A696" s="4" t="s">
        <v>1401</v>
      </c>
      <c r="B696" s="4" t="s">
        <v>1402</v>
      </c>
      <c r="C696" s="5">
        <v>28419.0</v>
      </c>
      <c r="D696" s="4">
        <v>590000.0</v>
      </c>
      <c r="E696" s="4">
        <v>60.0</v>
      </c>
      <c r="F696" s="4">
        <v>0.204</v>
      </c>
      <c r="G696" s="4">
        <v>0.837</v>
      </c>
      <c r="H696" s="4">
        <v>5.0</v>
      </c>
      <c r="I696" s="4">
        <v>-7.618</v>
      </c>
      <c r="J696" s="4">
        <v>1.0</v>
      </c>
      <c r="K696" s="4">
        <v>0.0676</v>
      </c>
      <c r="L696" s="4">
        <v>0.281</v>
      </c>
      <c r="M696" s="4">
        <v>0.00405</v>
      </c>
      <c r="N696" s="4">
        <v>0.291</v>
      </c>
      <c r="O696" s="4">
        <v>0.392</v>
      </c>
      <c r="P696" s="4">
        <v>171.514</v>
      </c>
      <c r="Q696" s="4">
        <v>4.0</v>
      </c>
    </row>
    <row r="697">
      <c r="A697" s="4" t="s">
        <v>1403</v>
      </c>
      <c r="B697" s="4" t="s">
        <v>1404</v>
      </c>
      <c r="C697" s="5">
        <v>39791.0</v>
      </c>
      <c r="D697" s="4">
        <v>151133.0</v>
      </c>
      <c r="E697" s="4">
        <v>19.0</v>
      </c>
      <c r="F697" s="4">
        <v>0.203</v>
      </c>
      <c r="G697" s="4">
        <v>0.0399</v>
      </c>
      <c r="H697" s="4">
        <v>2.0</v>
      </c>
      <c r="I697" s="4">
        <v>-27.74</v>
      </c>
      <c r="J697" s="4">
        <v>1.0</v>
      </c>
      <c r="K697" s="4">
        <v>0.04</v>
      </c>
      <c r="L697" s="4">
        <v>0.965</v>
      </c>
      <c r="M697" s="4">
        <v>0.916</v>
      </c>
      <c r="N697" s="4">
        <v>0.118</v>
      </c>
      <c r="O697" s="4">
        <v>0.114</v>
      </c>
      <c r="P697" s="4">
        <v>103.357</v>
      </c>
      <c r="Q697" s="4">
        <v>3.0</v>
      </c>
    </row>
    <row r="698">
      <c r="A698" s="4" t="s">
        <v>1405</v>
      </c>
      <c r="B698" s="4" t="s">
        <v>1406</v>
      </c>
      <c r="C698" s="5">
        <v>29616.0</v>
      </c>
      <c r="D698" s="4">
        <v>336573.0</v>
      </c>
      <c r="E698" s="4">
        <v>3.0</v>
      </c>
      <c r="F698" s="4">
        <v>0.376</v>
      </c>
      <c r="G698" s="4">
        <v>0.126</v>
      </c>
      <c r="H698" s="4">
        <v>10.0</v>
      </c>
      <c r="I698" s="4">
        <v>-17.851</v>
      </c>
      <c r="J698" s="4">
        <v>1.0</v>
      </c>
      <c r="K698" s="4">
        <v>0.0516</v>
      </c>
      <c r="L698" s="4">
        <v>0.917</v>
      </c>
      <c r="M698" s="4">
        <v>0.0</v>
      </c>
      <c r="N698" s="4">
        <v>0.0741</v>
      </c>
      <c r="O698" s="4">
        <v>0.359</v>
      </c>
      <c r="P698" s="4">
        <v>109.652</v>
      </c>
      <c r="Q698" s="4">
        <v>4.0</v>
      </c>
    </row>
    <row r="699">
      <c r="A699" s="4" t="s">
        <v>1407</v>
      </c>
      <c r="B699" s="4" t="s">
        <v>1408</v>
      </c>
      <c r="C699" s="5">
        <v>37446.0</v>
      </c>
      <c r="D699" s="4">
        <v>269000.0</v>
      </c>
      <c r="E699" s="4">
        <v>81.0</v>
      </c>
      <c r="F699" s="4">
        <v>0.618</v>
      </c>
      <c r="G699" s="4">
        <v>0.938</v>
      </c>
      <c r="H699" s="4">
        <v>9.0</v>
      </c>
      <c r="I699" s="4">
        <v>-3.442</v>
      </c>
      <c r="J699" s="4">
        <v>1.0</v>
      </c>
      <c r="K699" s="4">
        <v>0.0456</v>
      </c>
      <c r="L699" s="4">
        <v>0.0179</v>
      </c>
      <c r="M699" s="4">
        <v>0.0</v>
      </c>
      <c r="N699" s="4">
        <v>0.167</v>
      </c>
      <c r="O699" s="4">
        <v>0.875</v>
      </c>
      <c r="P699" s="4">
        <v>91.455</v>
      </c>
      <c r="Q699" s="4">
        <v>4.0</v>
      </c>
    </row>
    <row r="700">
      <c r="A700" s="4" t="s">
        <v>1409</v>
      </c>
      <c r="B700" s="4" t="s">
        <v>1410</v>
      </c>
      <c r="C700" s="4">
        <v>2009.0</v>
      </c>
      <c r="D700" s="4">
        <v>277160.0</v>
      </c>
      <c r="E700" s="4">
        <v>15.0</v>
      </c>
      <c r="F700" s="4">
        <v>0.233</v>
      </c>
      <c r="G700" s="4">
        <v>0.232</v>
      </c>
      <c r="H700" s="4">
        <v>5.0</v>
      </c>
      <c r="I700" s="4">
        <v>-15.177</v>
      </c>
      <c r="J700" s="4">
        <v>1.0</v>
      </c>
      <c r="K700" s="4">
        <v>0.0328</v>
      </c>
      <c r="L700" s="4">
        <v>0.925</v>
      </c>
      <c r="M700" s="4">
        <v>0.864</v>
      </c>
      <c r="N700" s="4">
        <v>0.119</v>
      </c>
      <c r="O700" s="4">
        <v>0.0389</v>
      </c>
      <c r="P700" s="4">
        <v>94.632</v>
      </c>
      <c r="Q700" s="4">
        <v>3.0</v>
      </c>
    </row>
    <row r="701">
      <c r="A701" s="4" t="s">
        <v>1411</v>
      </c>
      <c r="B701" s="4" t="s">
        <v>1412</v>
      </c>
      <c r="C701" s="5">
        <v>41004.0</v>
      </c>
      <c r="D701" s="4">
        <v>118073.0</v>
      </c>
      <c r="E701" s="4">
        <v>24.0</v>
      </c>
      <c r="F701" s="4">
        <v>0.201</v>
      </c>
      <c r="G701" s="4">
        <v>0.0904</v>
      </c>
      <c r="H701" s="4">
        <v>2.0</v>
      </c>
      <c r="I701" s="4">
        <v>-19.713</v>
      </c>
      <c r="J701" s="4">
        <v>1.0</v>
      </c>
      <c r="K701" s="4">
        <v>0.0502</v>
      </c>
      <c r="L701" s="4">
        <v>0.985</v>
      </c>
      <c r="M701" s="4">
        <v>0.102</v>
      </c>
      <c r="N701" s="4">
        <v>0.142</v>
      </c>
      <c r="O701" s="4">
        <v>0.151</v>
      </c>
      <c r="P701" s="4">
        <v>70.695</v>
      </c>
      <c r="Q701" s="4">
        <v>5.0</v>
      </c>
    </row>
    <row r="702">
      <c r="A702" s="4" t="s">
        <v>1413</v>
      </c>
      <c r="B702" s="4" t="s">
        <v>1414</v>
      </c>
      <c r="C702" s="5">
        <v>29148.0</v>
      </c>
      <c r="D702" s="4">
        <v>306373.0</v>
      </c>
      <c r="E702" s="4">
        <v>10.0</v>
      </c>
      <c r="F702" s="4">
        <v>0.27</v>
      </c>
      <c r="G702" s="4">
        <v>0.0861</v>
      </c>
      <c r="H702" s="4">
        <v>6.0</v>
      </c>
      <c r="I702" s="4">
        <v>-19.68</v>
      </c>
      <c r="J702" s="4">
        <v>1.0</v>
      </c>
      <c r="K702" s="4">
        <v>0.0388</v>
      </c>
      <c r="L702" s="4">
        <v>0.733</v>
      </c>
      <c r="M702" s="4">
        <v>0.00105</v>
      </c>
      <c r="N702" s="4">
        <v>0.0978</v>
      </c>
      <c r="O702" s="4">
        <v>0.165</v>
      </c>
      <c r="P702" s="4">
        <v>137.199</v>
      </c>
      <c r="Q702" s="4">
        <v>3.0</v>
      </c>
    </row>
    <row r="703">
      <c r="A703" s="4" t="s">
        <v>1415</v>
      </c>
      <c r="B703" s="4" t="s">
        <v>1416</v>
      </c>
      <c r="C703" s="5">
        <v>41179.0</v>
      </c>
      <c r="D703" s="4">
        <v>598873.0</v>
      </c>
      <c r="E703" s="4">
        <v>4.0</v>
      </c>
      <c r="F703" s="4">
        <v>0.409</v>
      </c>
      <c r="G703" s="4">
        <v>0.0784</v>
      </c>
      <c r="H703" s="4">
        <v>10.0</v>
      </c>
      <c r="I703" s="4">
        <v>-24.554</v>
      </c>
      <c r="J703" s="4">
        <v>1.0</v>
      </c>
      <c r="K703" s="4">
        <v>0.0383</v>
      </c>
      <c r="L703" s="4">
        <v>0.979</v>
      </c>
      <c r="M703" s="4">
        <v>0.923</v>
      </c>
      <c r="N703" s="4">
        <v>0.0922</v>
      </c>
      <c r="O703" s="4">
        <v>0.353</v>
      </c>
      <c r="P703" s="4">
        <v>109.482</v>
      </c>
      <c r="Q703" s="4">
        <v>4.0</v>
      </c>
    </row>
    <row r="704">
      <c r="A704" s="4" t="s">
        <v>1417</v>
      </c>
      <c r="B704" s="4" t="s">
        <v>1418</v>
      </c>
      <c r="C704" s="5">
        <v>25594.0</v>
      </c>
      <c r="D704" s="4">
        <v>293120.0</v>
      </c>
      <c r="E704" s="4">
        <v>72.0</v>
      </c>
      <c r="F704" s="4">
        <v>0.149</v>
      </c>
      <c r="G704" s="4">
        <v>0.206</v>
      </c>
      <c r="H704" s="4">
        <v>3.0</v>
      </c>
      <c r="I704" s="4">
        <v>-13.888</v>
      </c>
      <c r="J704" s="4">
        <v>1.0</v>
      </c>
      <c r="K704" s="4">
        <v>0.0323</v>
      </c>
      <c r="L704" s="4">
        <v>0.822</v>
      </c>
      <c r="M704" s="4">
        <v>6.49E-4</v>
      </c>
      <c r="N704" s="4">
        <v>0.115</v>
      </c>
      <c r="O704" s="4">
        <v>0.264</v>
      </c>
      <c r="P704" s="4">
        <v>79.764</v>
      </c>
      <c r="Q704" s="4">
        <v>4.0</v>
      </c>
    </row>
    <row r="705">
      <c r="A705" s="4" t="s">
        <v>1419</v>
      </c>
      <c r="B705" s="4" t="s">
        <v>1420</v>
      </c>
      <c r="C705" s="5">
        <v>31180.0</v>
      </c>
      <c r="D705" s="4">
        <v>419400.0</v>
      </c>
      <c r="E705" s="4">
        <v>53.0</v>
      </c>
      <c r="F705" s="4">
        <v>0.22</v>
      </c>
      <c r="G705" s="4">
        <v>0.44</v>
      </c>
      <c r="H705" s="4">
        <v>8.0</v>
      </c>
      <c r="I705" s="4">
        <v>-9.456</v>
      </c>
      <c r="J705" s="4">
        <v>0.0</v>
      </c>
      <c r="K705" s="4">
        <v>0.0352</v>
      </c>
      <c r="L705" s="4">
        <v>0.503</v>
      </c>
      <c r="M705" s="4">
        <v>0.862</v>
      </c>
      <c r="N705" s="4">
        <v>0.12</v>
      </c>
      <c r="O705" s="4">
        <v>0.13</v>
      </c>
      <c r="P705" s="4">
        <v>79.095</v>
      </c>
      <c r="Q705" s="4">
        <v>4.0</v>
      </c>
    </row>
    <row r="706">
      <c r="A706" s="4" t="s">
        <v>1421</v>
      </c>
      <c r="B706" s="4" t="s">
        <v>1422</v>
      </c>
      <c r="C706" s="5">
        <v>37526.0</v>
      </c>
      <c r="D706" s="4">
        <v>113000.0</v>
      </c>
      <c r="E706" s="4">
        <v>22.0</v>
      </c>
      <c r="F706" s="4">
        <v>0.301</v>
      </c>
      <c r="G706" s="4">
        <v>0.753</v>
      </c>
      <c r="H706" s="4">
        <v>11.0</v>
      </c>
      <c r="I706" s="4">
        <v>-9.093</v>
      </c>
      <c r="J706" s="4">
        <v>0.0</v>
      </c>
      <c r="K706" s="4">
        <v>0.107</v>
      </c>
      <c r="L706" s="4">
        <v>0.769</v>
      </c>
      <c r="M706" s="6">
        <v>2.67E-5</v>
      </c>
      <c r="N706" s="4">
        <v>0.8</v>
      </c>
      <c r="O706" s="4">
        <v>0.261</v>
      </c>
      <c r="P706" s="4">
        <v>75.232</v>
      </c>
      <c r="Q706" s="4">
        <v>4.0</v>
      </c>
    </row>
    <row r="707">
      <c r="A707" s="4" t="s">
        <v>1423</v>
      </c>
      <c r="B707" s="4" t="s">
        <v>1424</v>
      </c>
      <c r="C707" s="5">
        <v>31636.0</v>
      </c>
      <c r="D707" s="4">
        <v>291200.0</v>
      </c>
      <c r="E707" s="4">
        <v>66.0</v>
      </c>
      <c r="F707" s="4">
        <v>0.732</v>
      </c>
      <c r="G707" s="4">
        <v>0.705</v>
      </c>
      <c r="H707" s="4">
        <v>9.0</v>
      </c>
      <c r="I707" s="4">
        <v>-9.271</v>
      </c>
      <c r="J707" s="4">
        <v>1.0</v>
      </c>
      <c r="K707" s="4">
        <v>0.0349</v>
      </c>
      <c r="L707" s="4">
        <v>0.626</v>
      </c>
      <c r="M707" s="4">
        <v>6.8E-4</v>
      </c>
      <c r="N707" s="4">
        <v>0.0813</v>
      </c>
      <c r="O707" s="4">
        <v>0.848</v>
      </c>
      <c r="P707" s="4">
        <v>117.925</v>
      </c>
      <c r="Q707" s="4">
        <v>4.0</v>
      </c>
    </row>
    <row r="708">
      <c r="A708" s="4" t="s">
        <v>1091</v>
      </c>
      <c r="B708" s="4" t="s">
        <v>1092</v>
      </c>
      <c r="C708" s="4">
        <v>2007.0</v>
      </c>
      <c r="D708" s="4">
        <v>285053.0</v>
      </c>
      <c r="E708" s="4">
        <v>57.0</v>
      </c>
      <c r="F708" s="4">
        <v>0.641</v>
      </c>
      <c r="G708" s="4">
        <v>0.409</v>
      </c>
      <c r="H708" s="4">
        <v>8.0</v>
      </c>
      <c r="I708" s="4">
        <v>-12.452</v>
      </c>
      <c r="J708" s="4">
        <v>1.0</v>
      </c>
      <c r="K708" s="4">
        <v>0.0348</v>
      </c>
      <c r="L708" s="4">
        <v>0.743</v>
      </c>
      <c r="M708" s="6">
        <v>2.58E-6</v>
      </c>
      <c r="N708" s="4">
        <v>0.118</v>
      </c>
      <c r="O708" s="4">
        <v>0.315</v>
      </c>
      <c r="P708" s="4">
        <v>121.165</v>
      </c>
      <c r="Q708" s="4">
        <v>4.0</v>
      </c>
    </row>
    <row r="709">
      <c r="A709" s="4" t="s">
        <v>1425</v>
      </c>
      <c r="B709" s="4" t="s">
        <v>1426</v>
      </c>
      <c r="C709" s="4">
        <v>1949.0</v>
      </c>
      <c r="D709" s="4">
        <v>205866.0</v>
      </c>
      <c r="E709" s="4">
        <v>70.0</v>
      </c>
      <c r="F709" s="4">
        <v>0.469</v>
      </c>
      <c r="G709" s="4">
        <v>0.0128</v>
      </c>
      <c r="H709" s="4">
        <v>7.0</v>
      </c>
      <c r="I709" s="4">
        <v>-36.856</v>
      </c>
      <c r="J709" s="4">
        <v>1.0</v>
      </c>
      <c r="K709" s="4">
        <v>0.119</v>
      </c>
      <c r="L709" s="4">
        <v>0.994</v>
      </c>
      <c r="M709" s="4">
        <v>0.937</v>
      </c>
      <c r="N709" s="4">
        <v>0.0941</v>
      </c>
      <c r="O709" s="4">
        <v>0.354</v>
      </c>
      <c r="P709" s="4">
        <v>72.765</v>
      </c>
      <c r="Q709" s="4">
        <v>3.0</v>
      </c>
    </row>
    <row r="710">
      <c r="A710" s="4" t="s">
        <v>1427</v>
      </c>
      <c r="B710" s="4" t="s">
        <v>1428</v>
      </c>
      <c r="C710" s="5">
        <v>37026.0</v>
      </c>
      <c r="D710" s="4">
        <v>562706.0</v>
      </c>
      <c r="E710" s="4">
        <v>64.0</v>
      </c>
      <c r="F710" s="4">
        <v>0.387</v>
      </c>
      <c r="G710" s="4">
        <v>0.677</v>
      </c>
      <c r="H710" s="4">
        <v>0.0</v>
      </c>
      <c r="I710" s="4">
        <v>-8.399</v>
      </c>
      <c r="J710" s="4">
        <v>1.0</v>
      </c>
      <c r="K710" s="4">
        <v>0.084</v>
      </c>
      <c r="L710" s="4">
        <v>0.00108</v>
      </c>
      <c r="M710" s="4">
        <v>0.871</v>
      </c>
      <c r="N710" s="4">
        <v>0.101</v>
      </c>
      <c r="O710" s="4">
        <v>0.371</v>
      </c>
      <c r="P710" s="4">
        <v>172.812</v>
      </c>
      <c r="Q710" s="4">
        <v>3.0</v>
      </c>
    </row>
    <row r="711">
      <c r="A711" s="4" t="s">
        <v>1429</v>
      </c>
      <c r="B711" s="4" t="s">
        <v>1430</v>
      </c>
      <c r="C711" s="4">
        <v>1979.0</v>
      </c>
      <c r="D711" s="4">
        <v>216733.0</v>
      </c>
      <c r="E711" s="4">
        <v>11.0</v>
      </c>
      <c r="F711" s="4">
        <v>0.286</v>
      </c>
      <c r="G711" s="4">
        <v>0.126</v>
      </c>
      <c r="H711" s="4">
        <v>7.0</v>
      </c>
      <c r="I711" s="4">
        <v>-12.611</v>
      </c>
      <c r="J711" s="4">
        <v>1.0</v>
      </c>
      <c r="K711" s="4">
        <v>0.0291</v>
      </c>
      <c r="L711" s="4">
        <v>0.953</v>
      </c>
      <c r="M711" s="6">
        <v>1.24E-6</v>
      </c>
      <c r="N711" s="4">
        <v>0.119</v>
      </c>
      <c r="O711" s="4">
        <v>0.075</v>
      </c>
      <c r="P711" s="4">
        <v>93.931</v>
      </c>
      <c r="Q711" s="4">
        <v>3.0</v>
      </c>
    </row>
    <row r="712">
      <c r="A712" s="4" t="s">
        <v>1431</v>
      </c>
      <c r="B712" s="4" t="s">
        <v>1432</v>
      </c>
      <c r="C712" s="5">
        <v>22237.0</v>
      </c>
      <c r="D712" s="4">
        <v>187506.0</v>
      </c>
      <c r="E712" s="4">
        <v>21.0</v>
      </c>
      <c r="F712" s="4">
        <v>0.263</v>
      </c>
      <c r="G712" s="4">
        <v>0.182</v>
      </c>
      <c r="H712" s="4">
        <v>9.0</v>
      </c>
      <c r="I712" s="4">
        <v>-14.253</v>
      </c>
      <c r="J712" s="4">
        <v>0.0</v>
      </c>
      <c r="K712" s="4">
        <v>0.0334</v>
      </c>
      <c r="L712" s="4">
        <v>0.886</v>
      </c>
      <c r="M712" s="4">
        <v>0.0406</v>
      </c>
      <c r="N712" s="4">
        <v>0.134</v>
      </c>
      <c r="O712" s="4">
        <v>0.163</v>
      </c>
      <c r="P712" s="4">
        <v>74.891</v>
      </c>
      <c r="Q712" s="4">
        <v>3.0</v>
      </c>
    </row>
    <row r="713">
      <c r="A713" s="4" t="s">
        <v>1433</v>
      </c>
      <c r="B713" s="4" t="s">
        <v>1434</v>
      </c>
      <c r="C713" s="5">
        <v>25600.0</v>
      </c>
      <c r="D713" s="4">
        <v>173733.0</v>
      </c>
      <c r="E713" s="4">
        <v>58.0</v>
      </c>
      <c r="F713" s="4">
        <v>0.539</v>
      </c>
      <c r="G713" s="4">
        <v>0.114</v>
      </c>
      <c r="H713" s="4">
        <v>2.0</v>
      </c>
      <c r="I713" s="4">
        <v>-20.575</v>
      </c>
      <c r="J713" s="4">
        <v>1.0</v>
      </c>
      <c r="K713" s="4">
        <v>0.0346</v>
      </c>
      <c r="L713" s="4">
        <v>0.882</v>
      </c>
      <c r="M713" s="4">
        <v>0.00902</v>
      </c>
      <c r="N713" s="4">
        <v>0.106</v>
      </c>
      <c r="O713" s="4">
        <v>0.608</v>
      </c>
      <c r="P713" s="4">
        <v>141.378</v>
      </c>
      <c r="Q713" s="4">
        <v>3.0</v>
      </c>
    </row>
    <row r="714">
      <c r="A714" s="4" t="s">
        <v>1435</v>
      </c>
      <c r="B714" s="4" t="s">
        <v>1436</v>
      </c>
      <c r="C714" s="5">
        <v>41799.0</v>
      </c>
      <c r="D714" s="4">
        <v>353680.0</v>
      </c>
      <c r="E714" s="4">
        <v>31.0</v>
      </c>
      <c r="F714" s="4">
        <v>0.492</v>
      </c>
      <c r="G714" s="4">
        <v>0.887</v>
      </c>
      <c r="H714" s="4">
        <v>6.0</v>
      </c>
      <c r="I714" s="4">
        <v>-8.165</v>
      </c>
      <c r="J714" s="4">
        <v>1.0</v>
      </c>
      <c r="K714" s="4">
        <v>0.0536</v>
      </c>
      <c r="L714" s="4">
        <v>0.00591</v>
      </c>
      <c r="M714" s="4">
        <v>0.0243</v>
      </c>
      <c r="N714" s="4">
        <v>0.1</v>
      </c>
      <c r="O714" s="4">
        <v>0.0777</v>
      </c>
      <c r="P714" s="4">
        <v>116.003</v>
      </c>
      <c r="Q714" s="4">
        <v>5.0</v>
      </c>
    </row>
    <row r="715">
      <c r="A715" s="4" t="s">
        <v>1437</v>
      </c>
      <c r="B715" s="4" t="s">
        <v>1438</v>
      </c>
      <c r="C715" s="5">
        <v>23620.0</v>
      </c>
      <c r="D715" s="4">
        <v>153333.0</v>
      </c>
      <c r="E715" s="4">
        <v>64.0</v>
      </c>
      <c r="F715" s="4">
        <v>0.566</v>
      </c>
      <c r="G715" s="4">
        <v>0.49</v>
      </c>
      <c r="H715" s="4">
        <v>0.0</v>
      </c>
      <c r="I715" s="4">
        <v>-10.867</v>
      </c>
      <c r="J715" s="4">
        <v>1.0</v>
      </c>
      <c r="K715" s="4">
        <v>0.0414</v>
      </c>
      <c r="L715" s="4">
        <v>0.791</v>
      </c>
      <c r="M715" s="6">
        <v>1.42E-5</v>
      </c>
      <c r="N715" s="4">
        <v>0.0919</v>
      </c>
      <c r="O715" s="4">
        <v>0.847</v>
      </c>
      <c r="P715" s="4">
        <v>134.934</v>
      </c>
      <c r="Q715" s="4">
        <v>4.0</v>
      </c>
    </row>
    <row r="716">
      <c r="A716" s="4" t="s">
        <v>1439</v>
      </c>
      <c r="B716" s="4" t="s">
        <v>1440</v>
      </c>
      <c r="C716" s="5">
        <v>39173.0</v>
      </c>
      <c r="D716" s="4">
        <v>444906.0</v>
      </c>
      <c r="E716" s="4">
        <v>25.0</v>
      </c>
      <c r="F716" s="4">
        <v>0.587</v>
      </c>
      <c r="G716" s="4">
        <v>0.839</v>
      </c>
      <c r="H716" s="4">
        <v>1.0</v>
      </c>
      <c r="I716" s="4">
        <v>-5.948</v>
      </c>
      <c r="J716" s="4">
        <v>1.0</v>
      </c>
      <c r="K716" s="4">
        <v>0.0411</v>
      </c>
      <c r="L716" s="4">
        <v>0.00123</v>
      </c>
      <c r="M716" s="4">
        <v>0.82</v>
      </c>
      <c r="N716" s="4">
        <v>0.0932</v>
      </c>
      <c r="O716" s="4">
        <v>0.315</v>
      </c>
      <c r="P716" s="4">
        <v>144.996</v>
      </c>
      <c r="Q716" s="4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tr">
        <f>IFERROR(__xludf.DUMMYFUNCTION("QUERY({'chill inducing songs'!A2:Q716},""select Col13 label Col13 'Instrumentalness'"",0)"),"Instrumentalness")</f>
        <v>Instrumentalness</v>
      </c>
    </row>
    <row r="2">
      <c r="A2" s="10">
        <f>IFERROR(__xludf.DUMMYFUNCTION("""COMPUTED_VALUE"""),1.16E-6)</f>
        <v>0.00000116</v>
      </c>
    </row>
    <row r="3">
      <c r="A3" s="10">
        <f>IFERROR(__xludf.DUMMYFUNCTION("""COMPUTED_VALUE"""),0.0)</f>
        <v>0</v>
      </c>
    </row>
    <row r="4">
      <c r="A4" s="10">
        <f>IFERROR(__xludf.DUMMYFUNCTION("""COMPUTED_VALUE"""),0.118)</f>
        <v>0.118</v>
      </c>
    </row>
    <row r="5">
      <c r="A5" s="10">
        <f>IFERROR(__xludf.DUMMYFUNCTION("""COMPUTED_VALUE"""),7.73E-4)</f>
        <v>0.000773</v>
      </c>
    </row>
    <row r="6">
      <c r="A6" s="10">
        <f>IFERROR(__xludf.DUMMYFUNCTION("""COMPUTED_VALUE"""),0.536)</f>
        <v>0.536</v>
      </c>
    </row>
    <row r="7">
      <c r="A7" s="10">
        <f>IFERROR(__xludf.DUMMYFUNCTION("""COMPUTED_VALUE"""),0.00228)</f>
        <v>0.00228</v>
      </c>
    </row>
    <row r="8">
      <c r="A8" s="10">
        <f>IFERROR(__xludf.DUMMYFUNCTION("""COMPUTED_VALUE"""),6.07E-5)</f>
        <v>0.0000607</v>
      </c>
    </row>
    <row r="9">
      <c r="A9" s="10">
        <f>IFERROR(__xludf.DUMMYFUNCTION("""COMPUTED_VALUE"""),0.928)</f>
        <v>0.928</v>
      </c>
    </row>
    <row r="10">
      <c r="A10" s="10">
        <f>IFERROR(__xludf.DUMMYFUNCTION("""COMPUTED_VALUE"""),0.0964)</f>
        <v>0.0964</v>
      </c>
    </row>
    <row r="11">
      <c r="A11" s="10">
        <f>IFERROR(__xludf.DUMMYFUNCTION("""COMPUTED_VALUE"""),0.7)</f>
        <v>0.7</v>
      </c>
    </row>
    <row r="12">
      <c r="A12" s="10">
        <f>IFERROR(__xludf.DUMMYFUNCTION("""COMPUTED_VALUE"""),0.00149)</f>
        <v>0.00149</v>
      </c>
    </row>
    <row r="13">
      <c r="A13" s="10">
        <f>IFERROR(__xludf.DUMMYFUNCTION("""COMPUTED_VALUE"""),0.257)</f>
        <v>0.257</v>
      </c>
    </row>
    <row r="14">
      <c r="A14" s="10">
        <f>IFERROR(__xludf.DUMMYFUNCTION("""COMPUTED_VALUE"""),0.0691)</f>
        <v>0.0691</v>
      </c>
    </row>
    <row r="15">
      <c r="A15" s="10">
        <f>IFERROR(__xludf.DUMMYFUNCTION("""COMPUTED_VALUE"""),0.858)</f>
        <v>0.858</v>
      </c>
    </row>
    <row r="16">
      <c r="A16" s="10">
        <f>IFERROR(__xludf.DUMMYFUNCTION("""COMPUTED_VALUE"""),0.121)</f>
        <v>0.121</v>
      </c>
    </row>
    <row r="17">
      <c r="A17" s="10">
        <f>IFERROR(__xludf.DUMMYFUNCTION("""COMPUTED_VALUE"""),0.467)</f>
        <v>0.467</v>
      </c>
    </row>
    <row r="18">
      <c r="A18" s="10">
        <f>IFERROR(__xludf.DUMMYFUNCTION("""COMPUTED_VALUE"""),0.756)</f>
        <v>0.756</v>
      </c>
    </row>
    <row r="19">
      <c r="A19" s="10">
        <f>IFERROR(__xludf.DUMMYFUNCTION("""COMPUTED_VALUE"""),0.0)</f>
        <v>0</v>
      </c>
    </row>
    <row r="20">
      <c r="A20" s="10">
        <f>IFERROR(__xludf.DUMMYFUNCTION("""COMPUTED_VALUE"""),0.304)</f>
        <v>0.304</v>
      </c>
    </row>
    <row r="21">
      <c r="A21" s="10">
        <f>IFERROR(__xludf.DUMMYFUNCTION("""COMPUTED_VALUE"""),3.76E-4)</f>
        <v>0.000376</v>
      </c>
    </row>
    <row r="22">
      <c r="A22" s="10">
        <f>IFERROR(__xludf.DUMMYFUNCTION("""COMPUTED_VALUE"""),9.99E-5)</f>
        <v>0.0000999</v>
      </c>
    </row>
    <row r="23">
      <c r="A23" s="10">
        <f>IFERROR(__xludf.DUMMYFUNCTION("""COMPUTED_VALUE"""),3.01E-4)</f>
        <v>0.000301</v>
      </c>
    </row>
    <row r="24">
      <c r="A24" s="10">
        <f>IFERROR(__xludf.DUMMYFUNCTION("""COMPUTED_VALUE"""),0.0236)</f>
        <v>0.0236</v>
      </c>
    </row>
    <row r="25">
      <c r="A25" s="10">
        <f>IFERROR(__xludf.DUMMYFUNCTION("""COMPUTED_VALUE"""),5.62E-6)</f>
        <v>0.00000562</v>
      </c>
    </row>
    <row r="26">
      <c r="A26" s="10">
        <f>IFERROR(__xludf.DUMMYFUNCTION("""COMPUTED_VALUE"""),1.86E-5)</f>
        <v>0.0000186</v>
      </c>
    </row>
    <row r="27">
      <c r="A27" s="10">
        <f>IFERROR(__xludf.DUMMYFUNCTION("""COMPUTED_VALUE"""),3.99E-5)</f>
        <v>0.0000399</v>
      </c>
    </row>
    <row r="28">
      <c r="A28" s="10">
        <f>IFERROR(__xludf.DUMMYFUNCTION("""COMPUTED_VALUE"""),0.0137)</f>
        <v>0.0137</v>
      </c>
    </row>
    <row r="29">
      <c r="A29" s="10">
        <f>IFERROR(__xludf.DUMMYFUNCTION("""COMPUTED_VALUE"""),0.876)</f>
        <v>0.876</v>
      </c>
    </row>
    <row r="30">
      <c r="A30" s="10">
        <f>IFERROR(__xludf.DUMMYFUNCTION("""COMPUTED_VALUE"""),0.638)</f>
        <v>0.638</v>
      </c>
    </row>
    <row r="31">
      <c r="A31" s="10">
        <f>IFERROR(__xludf.DUMMYFUNCTION("""COMPUTED_VALUE"""),0.859)</f>
        <v>0.859</v>
      </c>
    </row>
    <row r="32">
      <c r="A32" s="10">
        <f>IFERROR(__xludf.DUMMYFUNCTION("""COMPUTED_VALUE"""),0.945)</f>
        <v>0.945</v>
      </c>
    </row>
    <row r="33">
      <c r="A33" s="10">
        <f>IFERROR(__xludf.DUMMYFUNCTION("""COMPUTED_VALUE"""),0.847)</f>
        <v>0.847</v>
      </c>
    </row>
    <row r="34">
      <c r="A34" s="10">
        <f>IFERROR(__xludf.DUMMYFUNCTION("""COMPUTED_VALUE"""),0.792)</f>
        <v>0.792</v>
      </c>
    </row>
    <row r="35">
      <c r="A35" s="10">
        <f>IFERROR(__xludf.DUMMYFUNCTION("""COMPUTED_VALUE"""),0.96)</f>
        <v>0.96</v>
      </c>
    </row>
    <row r="36">
      <c r="A36" s="10">
        <f>IFERROR(__xludf.DUMMYFUNCTION("""COMPUTED_VALUE"""),0.00264)</f>
        <v>0.00264</v>
      </c>
    </row>
    <row r="37">
      <c r="A37" s="10">
        <f>IFERROR(__xludf.DUMMYFUNCTION("""COMPUTED_VALUE"""),0.752)</f>
        <v>0.752</v>
      </c>
    </row>
    <row r="38">
      <c r="A38" s="10">
        <f>IFERROR(__xludf.DUMMYFUNCTION("""COMPUTED_VALUE"""),0.889)</f>
        <v>0.889</v>
      </c>
    </row>
    <row r="39">
      <c r="A39" s="10">
        <f>IFERROR(__xludf.DUMMYFUNCTION("""COMPUTED_VALUE"""),0.919)</f>
        <v>0.919</v>
      </c>
    </row>
    <row r="40">
      <c r="A40" s="10">
        <f>IFERROR(__xludf.DUMMYFUNCTION("""COMPUTED_VALUE"""),0.219)</f>
        <v>0.219</v>
      </c>
    </row>
    <row r="41">
      <c r="A41" s="10">
        <f>IFERROR(__xludf.DUMMYFUNCTION("""COMPUTED_VALUE"""),0.173)</f>
        <v>0.173</v>
      </c>
    </row>
    <row r="42">
      <c r="A42" s="10">
        <f>IFERROR(__xludf.DUMMYFUNCTION("""COMPUTED_VALUE"""),0.755)</f>
        <v>0.755</v>
      </c>
    </row>
    <row r="43">
      <c r="A43" s="10">
        <f>IFERROR(__xludf.DUMMYFUNCTION("""COMPUTED_VALUE"""),0.909)</f>
        <v>0.909</v>
      </c>
    </row>
    <row r="44">
      <c r="A44" s="10">
        <f>IFERROR(__xludf.DUMMYFUNCTION("""COMPUTED_VALUE"""),0.926)</f>
        <v>0.926</v>
      </c>
    </row>
    <row r="45">
      <c r="A45" s="10">
        <f>IFERROR(__xludf.DUMMYFUNCTION("""COMPUTED_VALUE"""),6.82E-4)</f>
        <v>0.000682</v>
      </c>
    </row>
    <row r="46">
      <c r="A46" s="10">
        <f>IFERROR(__xludf.DUMMYFUNCTION("""COMPUTED_VALUE"""),0.325)</f>
        <v>0.325</v>
      </c>
    </row>
    <row r="47">
      <c r="A47" s="10">
        <f>IFERROR(__xludf.DUMMYFUNCTION("""COMPUTED_VALUE"""),4.55E-5)</f>
        <v>0.0000455</v>
      </c>
    </row>
    <row r="48">
      <c r="A48" s="10">
        <f>IFERROR(__xludf.DUMMYFUNCTION("""COMPUTED_VALUE"""),0.594)</f>
        <v>0.594</v>
      </c>
    </row>
    <row r="49">
      <c r="A49" s="10">
        <f>IFERROR(__xludf.DUMMYFUNCTION("""COMPUTED_VALUE"""),0.935)</f>
        <v>0.935</v>
      </c>
    </row>
    <row r="50">
      <c r="A50" s="10">
        <f>IFERROR(__xludf.DUMMYFUNCTION("""COMPUTED_VALUE"""),0.874)</f>
        <v>0.874</v>
      </c>
    </row>
    <row r="51">
      <c r="A51" s="10">
        <f>IFERROR(__xludf.DUMMYFUNCTION("""COMPUTED_VALUE"""),0.896)</f>
        <v>0.896</v>
      </c>
    </row>
    <row r="52">
      <c r="A52" s="10">
        <f>IFERROR(__xludf.DUMMYFUNCTION("""COMPUTED_VALUE"""),0.916)</f>
        <v>0.916</v>
      </c>
    </row>
    <row r="53">
      <c r="A53" s="10">
        <f>IFERROR(__xludf.DUMMYFUNCTION("""COMPUTED_VALUE"""),0.941)</f>
        <v>0.941</v>
      </c>
    </row>
    <row r="54">
      <c r="A54" s="10">
        <f>IFERROR(__xludf.DUMMYFUNCTION("""COMPUTED_VALUE"""),0.919)</f>
        <v>0.919</v>
      </c>
    </row>
    <row r="55">
      <c r="A55" s="10">
        <f>IFERROR(__xludf.DUMMYFUNCTION("""COMPUTED_VALUE"""),0.913)</f>
        <v>0.913</v>
      </c>
    </row>
    <row r="56">
      <c r="A56" s="10">
        <f>IFERROR(__xludf.DUMMYFUNCTION("""COMPUTED_VALUE"""),0.0891)</f>
        <v>0.0891</v>
      </c>
    </row>
    <row r="57">
      <c r="A57" s="10">
        <f>IFERROR(__xludf.DUMMYFUNCTION("""COMPUTED_VALUE"""),0.91)</f>
        <v>0.91</v>
      </c>
    </row>
    <row r="58">
      <c r="A58" s="10">
        <f>IFERROR(__xludf.DUMMYFUNCTION("""COMPUTED_VALUE"""),0.927)</f>
        <v>0.927</v>
      </c>
    </row>
    <row r="59">
      <c r="A59" s="10">
        <f>IFERROR(__xludf.DUMMYFUNCTION("""COMPUTED_VALUE"""),0.874)</f>
        <v>0.874</v>
      </c>
    </row>
    <row r="60">
      <c r="A60" s="10">
        <f>IFERROR(__xludf.DUMMYFUNCTION("""COMPUTED_VALUE"""),0.604)</f>
        <v>0.604</v>
      </c>
    </row>
    <row r="61">
      <c r="A61" s="10">
        <f>IFERROR(__xludf.DUMMYFUNCTION("""COMPUTED_VALUE"""),0.894)</f>
        <v>0.894</v>
      </c>
    </row>
    <row r="62">
      <c r="A62" s="10">
        <f>IFERROR(__xludf.DUMMYFUNCTION("""COMPUTED_VALUE"""),0.908)</f>
        <v>0.908</v>
      </c>
    </row>
    <row r="63">
      <c r="A63" s="10">
        <f>IFERROR(__xludf.DUMMYFUNCTION("""COMPUTED_VALUE"""),0.899)</f>
        <v>0.899</v>
      </c>
    </row>
    <row r="64">
      <c r="A64" s="10">
        <f>IFERROR(__xludf.DUMMYFUNCTION("""COMPUTED_VALUE"""),0.902)</f>
        <v>0.902</v>
      </c>
    </row>
    <row r="65">
      <c r="A65" s="10">
        <f>IFERROR(__xludf.DUMMYFUNCTION("""COMPUTED_VALUE"""),0.909)</f>
        <v>0.909</v>
      </c>
    </row>
    <row r="66">
      <c r="A66" s="10">
        <f>IFERROR(__xludf.DUMMYFUNCTION("""COMPUTED_VALUE"""),0.883)</f>
        <v>0.883</v>
      </c>
    </row>
    <row r="67">
      <c r="A67" s="10">
        <f>IFERROR(__xludf.DUMMYFUNCTION("""COMPUTED_VALUE"""),0.87)</f>
        <v>0.87</v>
      </c>
    </row>
    <row r="68">
      <c r="A68" s="10">
        <f>IFERROR(__xludf.DUMMYFUNCTION("""COMPUTED_VALUE"""),0.0364)</f>
        <v>0.0364</v>
      </c>
    </row>
    <row r="69">
      <c r="A69" s="10">
        <f>IFERROR(__xludf.DUMMYFUNCTION("""COMPUTED_VALUE"""),0.902)</f>
        <v>0.902</v>
      </c>
    </row>
    <row r="70">
      <c r="A70" s="10">
        <f>IFERROR(__xludf.DUMMYFUNCTION("""COMPUTED_VALUE"""),0.891)</f>
        <v>0.891</v>
      </c>
    </row>
    <row r="71">
      <c r="A71" s="10">
        <f>IFERROR(__xludf.DUMMYFUNCTION("""COMPUTED_VALUE"""),0.895)</f>
        <v>0.895</v>
      </c>
    </row>
    <row r="72">
      <c r="A72" s="10">
        <f>IFERROR(__xludf.DUMMYFUNCTION("""COMPUTED_VALUE"""),0.916)</f>
        <v>0.916</v>
      </c>
    </row>
    <row r="73">
      <c r="A73" s="10">
        <f>IFERROR(__xludf.DUMMYFUNCTION("""COMPUTED_VALUE"""),0.857)</f>
        <v>0.857</v>
      </c>
    </row>
    <row r="74">
      <c r="A74" s="10">
        <f>IFERROR(__xludf.DUMMYFUNCTION("""COMPUTED_VALUE"""),0.211)</f>
        <v>0.211</v>
      </c>
    </row>
    <row r="75">
      <c r="A75" s="10">
        <f>IFERROR(__xludf.DUMMYFUNCTION("""COMPUTED_VALUE"""),0.871)</f>
        <v>0.871</v>
      </c>
    </row>
    <row r="76">
      <c r="A76" s="10">
        <f>IFERROR(__xludf.DUMMYFUNCTION("""COMPUTED_VALUE"""),0.776)</f>
        <v>0.776</v>
      </c>
    </row>
    <row r="77">
      <c r="A77" s="10">
        <f>IFERROR(__xludf.DUMMYFUNCTION("""COMPUTED_VALUE"""),0.884)</f>
        <v>0.884</v>
      </c>
    </row>
    <row r="78">
      <c r="A78" s="10">
        <f>IFERROR(__xludf.DUMMYFUNCTION("""COMPUTED_VALUE"""),3.32E-5)</f>
        <v>0.0000332</v>
      </c>
    </row>
    <row r="79">
      <c r="A79" s="10">
        <f>IFERROR(__xludf.DUMMYFUNCTION("""COMPUTED_VALUE"""),0.177)</f>
        <v>0.177</v>
      </c>
    </row>
    <row r="80">
      <c r="A80" s="10">
        <f>IFERROR(__xludf.DUMMYFUNCTION("""COMPUTED_VALUE"""),0.916)</f>
        <v>0.916</v>
      </c>
    </row>
    <row r="81">
      <c r="A81" s="10">
        <f>IFERROR(__xludf.DUMMYFUNCTION("""COMPUTED_VALUE"""),0.825)</f>
        <v>0.825</v>
      </c>
    </row>
    <row r="82">
      <c r="A82" s="10">
        <f>IFERROR(__xludf.DUMMYFUNCTION("""COMPUTED_VALUE"""),0.842)</f>
        <v>0.842</v>
      </c>
    </row>
    <row r="83">
      <c r="A83" s="10">
        <f>IFERROR(__xludf.DUMMYFUNCTION("""COMPUTED_VALUE"""),0.554)</f>
        <v>0.554</v>
      </c>
    </row>
    <row r="84">
      <c r="A84" s="10">
        <f>IFERROR(__xludf.DUMMYFUNCTION("""COMPUTED_VALUE"""),0.921)</f>
        <v>0.921</v>
      </c>
    </row>
    <row r="85">
      <c r="A85" s="10">
        <f>IFERROR(__xludf.DUMMYFUNCTION("""COMPUTED_VALUE"""),0.385)</f>
        <v>0.385</v>
      </c>
    </row>
    <row r="86">
      <c r="A86" s="10">
        <f>IFERROR(__xludf.DUMMYFUNCTION("""COMPUTED_VALUE"""),0.914)</f>
        <v>0.914</v>
      </c>
    </row>
    <row r="87">
      <c r="A87" s="10">
        <f>IFERROR(__xludf.DUMMYFUNCTION("""COMPUTED_VALUE"""),0.928)</f>
        <v>0.928</v>
      </c>
    </row>
    <row r="88">
      <c r="A88" s="10">
        <f>IFERROR(__xludf.DUMMYFUNCTION("""COMPUTED_VALUE"""),0.923)</f>
        <v>0.923</v>
      </c>
    </row>
    <row r="89">
      <c r="A89" s="10">
        <f>IFERROR(__xludf.DUMMYFUNCTION("""COMPUTED_VALUE"""),0.611)</f>
        <v>0.611</v>
      </c>
    </row>
    <row r="90">
      <c r="A90" s="10">
        <f>IFERROR(__xludf.DUMMYFUNCTION("""COMPUTED_VALUE"""),0.838)</f>
        <v>0.838</v>
      </c>
    </row>
    <row r="91">
      <c r="A91" s="10">
        <f>IFERROR(__xludf.DUMMYFUNCTION("""COMPUTED_VALUE"""),0.493)</f>
        <v>0.493</v>
      </c>
    </row>
    <row r="92">
      <c r="A92" s="10">
        <f>IFERROR(__xludf.DUMMYFUNCTION("""COMPUTED_VALUE"""),0.862)</f>
        <v>0.862</v>
      </c>
    </row>
    <row r="93">
      <c r="A93" s="10">
        <f>IFERROR(__xludf.DUMMYFUNCTION("""COMPUTED_VALUE"""),0.389)</f>
        <v>0.389</v>
      </c>
    </row>
    <row r="94">
      <c r="A94" s="10">
        <f>IFERROR(__xludf.DUMMYFUNCTION("""COMPUTED_VALUE"""),0.844)</f>
        <v>0.844</v>
      </c>
    </row>
    <row r="95">
      <c r="A95" s="10">
        <f>IFERROR(__xludf.DUMMYFUNCTION("""COMPUTED_VALUE"""),0.916)</f>
        <v>0.916</v>
      </c>
    </row>
    <row r="96">
      <c r="A96" s="10">
        <f>IFERROR(__xludf.DUMMYFUNCTION("""COMPUTED_VALUE"""),0.893)</f>
        <v>0.893</v>
      </c>
    </row>
    <row r="97">
      <c r="A97" s="10">
        <f>IFERROR(__xludf.DUMMYFUNCTION("""COMPUTED_VALUE"""),0.818)</f>
        <v>0.818</v>
      </c>
    </row>
    <row r="98">
      <c r="A98" s="10">
        <f>IFERROR(__xludf.DUMMYFUNCTION("""COMPUTED_VALUE"""),0.865)</f>
        <v>0.865</v>
      </c>
    </row>
    <row r="99">
      <c r="A99" s="10">
        <f>IFERROR(__xludf.DUMMYFUNCTION("""COMPUTED_VALUE"""),0.919)</f>
        <v>0.919</v>
      </c>
    </row>
    <row r="100">
      <c r="A100" s="10">
        <f>IFERROR(__xludf.DUMMYFUNCTION("""COMPUTED_VALUE"""),0.917)</f>
        <v>0.917</v>
      </c>
    </row>
    <row r="101">
      <c r="A101" s="10">
        <f>IFERROR(__xludf.DUMMYFUNCTION("""COMPUTED_VALUE"""),0.879)</f>
        <v>0.879</v>
      </c>
    </row>
    <row r="102">
      <c r="A102" s="10">
        <f>IFERROR(__xludf.DUMMYFUNCTION("""COMPUTED_VALUE"""),0.892)</f>
        <v>0.892</v>
      </c>
    </row>
    <row r="103">
      <c r="A103" s="10">
        <f>IFERROR(__xludf.DUMMYFUNCTION("""COMPUTED_VALUE"""),0.148)</f>
        <v>0.148</v>
      </c>
    </row>
    <row r="104">
      <c r="A104" s="10">
        <f>IFERROR(__xludf.DUMMYFUNCTION("""COMPUTED_VALUE"""),0.964)</f>
        <v>0.964</v>
      </c>
    </row>
    <row r="105">
      <c r="A105" s="10">
        <f>IFERROR(__xludf.DUMMYFUNCTION("""COMPUTED_VALUE"""),0.889)</f>
        <v>0.889</v>
      </c>
    </row>
    <row r="106">
      <c r="A106" s="10">
        <f>IFERROR(__xludf.DUMMYFUNCTION("""COMPUTED_VALUE"""),0.855)</f>
        <v>0.855</v>
      </c>
    </row>
    <row r="107">
      <c r="A107" s="10">
        <f>IFERROR(__xludf.DUMMYFUNCTION("""COMPUTED_VALUE"""),0.021)</f>
        <v>0.021</v>
      </c>
    </row>
    <row r="108">
      <c r="A108" s="10">
        <f>IFERROR(__xludf.DUMMYFUNCTION("""COMPUTED_VALUE"""),0.87)</f>
        <v>0.87</v>
      </c>
    </row>
    <row r="109">
      <c r="A109" s="10">
        <f>IFERROR(__xludf.DUMMYFUNCTION("""COMPUTED_VALUE"""),0.0158)</f>
        <v>0.0158</v>
      </c>
    </row>
    <row r="110">
      <c r="A110" s="10">
        <f>IFERROR(__xludf.DUMMYFUNCTION("""COMPUTED_VALUE"""),0.91)</f>
        <v>0.91</v>
      </c>
    </row>
    <row r="111">
      <c r="A111" s="10">
        <f>IFERROR(__xludf.DUMMYFUNCTION("""COMPUTED_VALUE"""),0.405)</f>
        <v>0.405</v>
      </c>
    </row>
    <row r="112">
      <c r="A112" s="10">
        <f>IFERROR(__xludf.DUMMYFUNCTION("""COMPUTED_VALUE"""),1.33E-4)</f>
        <v>0.000133</v>
      </c>
    </row>
    <row r="113">
      <c r="A113" s="10">
        <f>IFERROR(__xludf.DUMMYFUNCTION("""COMPUTED_VALUE"""),0.675)</f>
        <v>0.675</v>
      </c>
    </row>
    <row r="114">
      <c r="A114" s="10">
        <f>IFERROR(__xludf.DUMMYFUNCTION("""COMPUTED_VALUE"""),0.66)</f>
        <v>0.66</v>
      </c>
    </row>
    <row r="115">
      <c r="A115" s="10">
        <f>IFERROR(__xludf.DUMMYFUNCTION("""COMPUTED_VALUE"""),0.918)</f>
        <v>0.918</v>
      </c>
    </row>
    <row r="116">
      <c r="A116" s="10">
        <f>IFERROR(__xludf.DUMMYFUNCTION("""COMPUTED_VALUE"""),0.925)</f>
        <v>0.925</v>
      </c>
    </row>
    <row r="117">
      <c r="A117" s="10">
        <f>IFERROR(__xludf.DUMMYFUNCTION("""COMPUTED_VALUE"""),0.921)</f>
        <v>0.921</v>
      </c>
    </row>
    <row r="118">
      <c r="A118" s="10">
        <f>IFERROR(__xludf.DUMMYFUNCTION("""COMPUTED_VALUE"""),0.906)</f>
        <v>0.906</v>
      </c>
    </row>
    <row r="119">
      <c r="A119" s="10">
        <f>IFERROR(__xludf.DUMMYFUNCTION("""COMPUTED_VALUE"""),0.906)</f>
        <v>0.906</v>
      </c>
    </row>
    <row r="120">
      <c r="A120" s="10">
        <f>IFERROR(__xludf.DUMMYFUNCTION("""COMPUTED_VALUE"""),0.571)</f>
        <v>0.571</v>
      </c>
    </row>
    <row r="121">
      <c r="A121" s="10">
        <f>IFERROR(__xludf.DUMMYFUNCTION("""COMPUTED_VALUE"""),0.0)</f>
        <v>0</v>
      </c>
    </row>
    <row r="122">
      <c r="A122" s="10">
        <f>IFERROR(__xludf.DUMMYFUNCTION("""COMPUTED_VALUE"""),0.106)</f>
        <v>0.106</v>
      </c>
    </row>
    <row r="123">
      <c r="A123" s="10">
        <f>IFERROR(__xludf.DUMMYFUNCTION("""COMPUTED_VALUE"""),0.771)</f>
        <v>0.771</v>
      </c>
    </row>
    <row r="124">
      <c r="A124" s="10">
        <f>IFERROR(__xludf.DUMMYFUNCTION("""COMPUTED_VALUE"""),0.909)</f>
        <v>0.909</v>
      </c>
    </row>
    <row r="125">
      <c r="A125" s="10">
        <f>IFERROR(__xludf.DUMMYFUNCTION("""COMPUTED_VALUE"""),0.888)</f>
        <v>0.888</v>
      </c>
    </row>
    <row r="126">
      <c r="A126" s="10">
        <f>IFERROR(__xludf.DUMMYFUNCTION("""COMPUTED_VALUE"""),0.00106)</f>
        <v>0.00106</v>
      </c>
    </row>
    <row r="127">
      <c r="A127" s="10">
        <f>IFERROR(__xludf.DUMMYFUNCTION("""COMPUTED_VALUE"""),2.05E-5)</f>
        <v>0.0000205</v>
      </c>
    </row>
    <row r="128">
      <c r="A128" s="10">
        <f>IFERROR(__xludf.DUMMYFUNCTION("""COMPUTED_VALUE"""),0.817)</f>
        <v>0.817</v>
      </c>
    </row>
    <row r="129">
      <c r="A129" s="10">
        <f>IFERROR(__xludf.DUMMYFUNCTION("""COMPUTED_VALUE"""),0.875)</f>
        <v>0.875</v>
      </c>
    </row>
    <row r="130">
      <c r="A130" s="10">
        <f>IFERROR(__xludf.DUMMYFUNCTION("""COMPUTED_VALUE"""),0.929)</f>
        <v>0.929</v>
      </c>
    </row>
    <row r="131">
      <c r="A131" s="10">
        <f>IFERROR(__xludf.DUMMYFUNCTION("""COMPUTED_VALUE"""),0.775)</f>
        <v>0.775</v>
      </c>
    </row>
    <row r="132">
      <c r="A132" s="10">
        <f>IFERROR(__xludf.DUMMYFUNCTION("""COMPUTED_VALUE"""),0.908)</f>
        <v>0.908</v>
      </c>
    </row>
    <row r="133">
      <c r="A133" s="10">
        <f>IFERROR(__xludf.DUMMYFUNCTION("""COMPUTED_VALUE"""),0.522)</f>
        <v>0.522</v>
      </c>
    </row>
    <row r="134">
      <c r="A134" s="10">
        <f>IFERROR(__xludf.DUMMYFUNCTION("""COMPUTED_VALUE"""),0.83)</f>
        <v>0.83</v>
      </c>
    </row>
    <row r="135">
      <c r="A135" s="10">
        <f>IFERROR(__xludf.DUMMYFUNCTION("""COMPUTED_VALUE"""),0.815)</f>
        <v>0.815</v>
      </c>
    </row>
    <row r="136">
      <c r="A136" s="10">
        <f>IFERROR(__xludf.DUMMYFUNCTION("""COMPUTED_VALUE"""),0.933)</f>
        <v>0.933</v>
      </c>
    </row>
    <row r="137">
      <c r="A137" s="10"/>
    </row>
    <row r="138">
      <c r="A138" s="10">
        <f>IFERROR(__xludf.DUMMYFUNCTION("""COMPUTED_VALUE"""),0.64)</f>
        <v>0.64</v>
      </c>
    </row>
    <row r="139">
      <c r="A139" s="10">
        <f>IFERROR(__xludf.DUMMYFUNCTION("""COMPUTED_VALUE"""),0.918)</f>
        <v>0.918</v>
      </c>
    </row>
    <row r="140">
      <c r="A140" s="10">
        <f>IFERROR(__xludf.DUMMYFUNCTION("""COMPUTED_VALUE"""),0.00229)</f>
        <v>0.00229</v>
      </c>
    </row>
    <row r="141">
      <c r="A141" s="10">
        <f>IFERROR(__xludf.DUMMYFUNCTION("""COMPUTED_VALUE"""),0.888)</f>
        <v>0.888</v>
      </c>
    </row>
    <row r="142">
      <c r="A142" s="10">
        <f>IFERROR(__xludf.DUMMYFUNCTION("""COMPUTED_VALUE"""),0.802)</f>
        <v>0.802</v>
      </c>
    </row>
    <row r="143">
      <c r="A143" s="10">
        <f>IFERROR(__xludf.DUMMYFUNCTION("""COMPUTED_VALUE"""),0.496)</f>
        <v>0.496</v>
      </c>
    </row>
    <row r="144">
      <c r="A144" s="10">
        <f>IFERROR(__xludf.DUMMYFUNCTION("""COMPUTED_VALUE"""),0.934)</f>
        <v>0.934</v>
      </c>
    </row>
    <row r="145">
      <c r="A145" s="10">
        <f>IFERROR(__xludf.DUMMYFUNCTION("""COMPUTED_VALUE"""),0.939)</f>
        <v>0.939</v>
      </c>
    </row>
    <row r="146">
      <c r="A146" s="10">
        <f>IFERROR(__xludf.DUMMYFUNCTION("""COMPUTED_VALUE"""),0.559)</f>
        <v>0.559</v>
      </c>
    </row>
    <row r="147">
      <c r="A147" s="10">
        <f>IFERROR(__xludf.DUMMYFUNCTION("""COMPUTED_VALUE"""),0.0212)</f>
        <v>0.0212</v>
      </c>
    </row>
    <row r="148">
      <c r="A148" s="10">
        <f>IFERROR(__xludf.DUMMYFUNCTION("""COMPUTED_VALUE"""),0.886)</f>
        <v>0.886</v>
      </c>
    </row>
    <row r="149">
      <c r="A149" s="10">
        <f>IFERROR(__xludf.DUMMYFUNCTION("""COMPUTED_VALUE"""),0.906)</f>
        <v>0.906</v>
      </c>
    </row>
    <row r="150">
      <c r="A150" s="10">
        <f>IFERROR(__xludf.DUMMYFUNCTION("""COMPUTED_VALUE"""),0.913)</f>
        <v>0.913</v>
      </c>
    </row>
    <row r="151">
      <c r="A151" s="10">
        <f>IFERROR(__xludf.DUMMYFUNCTION("""COMPUTED_VALUE"""),0.406)</f>
        <v>0.406</v>
      </c>
    </row>
    <row r="152">
      <c r="A152" s="10">
        <f>IFERROR(__xludf.DUMMYFUNCTION("""COMPUTED_VALUE"""),0.851)</f>
        <v>0.851</v>
      </c>
    </row>
    <row r="153">
      <c r="A153" s="10">
        <f>IFERROR(__xludf.DUMMYFUNCTION("""COMPUTED_VALUE"""),0.899)</f>
        <v>0.899</v>
      </c>
    </row>
    <row r="154">
      <c r="A154" s="10">
        <f>IFERROR(__xludf.DUMMYFUNCTION("""COMPUTED_VALUE"""),0.485)</f>
        <v>0.485</v>
      </c>
    </row>
    <row r="155">
      <c r="A155" s="10">
        <f>IFERROR(__xludf.DUMMYFUNCTION("""COMPUTED_VALUE"""),0.923)</f>
        <v>0.923</v>
      </c>
    </row>
    <row r="156">
      <c r="A156" s="10">
        <f>IFERROR(__xludf.DUMMYFUNCTION("""COMPUTED_VALUE"""),0.525)</f>
        <v>0.525</v>
      </c>
    </row>
    <row r="157">
      <c r="A157" s="10">
        <f>IFERROR(__xludf.DUMMYFUNCTION("""COMPUTED_VALUE"""),0.44)</f>
        <v>0.44</v>
      </c>
    </row>
    <row r="158">
      <c r="A158" s="10">
        <f>IFERROR(__xludf.DUMMYFUNCTION("""COMPUTED_VALUE"""),0.788)</f>
        <v>0.788</v>
      </c>
    </row>
    <row r="159">
      <c r="A159" s="10">
        <f>IFERROR(__xludf.DUMMYFUNCTION("""COMPUTED_VALUE"""),0.905)</f>
        <v>0.905</v>
      </c>
    </row>
    <row r="160">
      <c r="A160" s="10">
        <f>IFERROR(__xludf.DUMMYFUNCTION("""COMPUTED_VALUE"""),0.914)</f>
        <v>0.914</v>
      </c>
    </row>
    <row r="161">
      <c r="A161" s="10">
        <f>IFERROR(__xludf.DUMMYFUNCTION("""COMPUTED_VALUE"""),0.877)</f>
        <v>0.877</v>
      </c>
    </row>
    <row r="162">
      <c r="A162" s="10">
        <f>IFERROR(__xludf.DUMMYFUNCTION("""COMPUTED_VALUE"""),0.907)</f>
        <v>0.907</v>
      </c>
    </row>
    <row r="163">
      <c r="A163" s="10">
        <f>IFERROR(__xludf.DUMMYFUNCTION("""COMPUTED_VALUE"""),0.934)</f>
        <v>0.934</v>
      </c>
    </row>
    <row r="164">
      <c r="A164" s="10">
        <f>IFERROR(__xludf.DUMMYFUNCTION("""COMPUTED_VALUE"""),0.00129)</f>
        <v>0.00129</v>
      </c>
    </row>
    <row r="165">
      <c r="A165" s="10">
        <f>IFERROR(__xludf.DUMMYFUNCTION("""COMPUTED_VALUE"""),0.0713)</f>
        <v>0.0713</v>
      </c>
    </row>
    <row r="166">
      <c r="A166" s="10">
        <f>IFERROR(__xludf.DUMMYFUNCTION("""COMPUTED_VALUE"""),0.938)</f>
        <v>0.938</v>
      </c>
    </row>
    <row r="167">
      <c r="A167" s="10">
        <f>IFERROR(__xludf.DUMMYFUNCTION("""COMPUTED_VALUE"""),0.926)</f>
        <v>0.926</v>
      </c>
    </row>
    <row r="168">
      <c r="A168" s="10">
        <f>IFERROR(__xludf.DUMMYFUNCTION("""COMPUTED_VALUE"""),0.922)</f>
        <v>0.922</v>
      </c>
    </row>
    <row r="169">
      <c r="A169" s="10">
        <f>IFERROR(__xludf.DUMMYFUNCTION("""COMPUTED_VALUE"""),0.823)</f>
        <v>0.823</v>
      </c>
    </row>
    <row r="170">
      <c r="A170" s="10">
        <f>IFERROR(__xludf.DUMMYFUNCTION("""COMPUTED_VALUE"""),0.755)</f>
        <v>0.755</v>
      </c>
    </row>
    <row r="171">
      <c r="A171" s="10">
        <f>IFERROR(__xludf.DUMMYFUNCTION("""COMPUTED_VALUE"""),0.913)</f>
        <v>0.913</v>
      </c>
    </row>
    <row r="172">
      <c r="A172" s="10">
        <f>IFERROR(__xludf.DUMMYFUNCTION("""COMPUTED_VALUE"""),0.754)</f>
        <v>0.754</v>
      </c>
    </row>
    <row r="173">
      <c r="A173" s="10">
        <f>IFERROR(__xludf.DUMMYFUNCTION("""COMPUTED_VALUE"""),0.936)</f>
        <v>0.936</v>
      </c>
    </row>
    <row r="174">
      <c r="A174" s="10">
        <f>IFERROR(__xludf.DUMMYFUNCTION("""COMPUTED_VALUE"""),0.958)</f>
        <v>0.958</v>
      </c>
    </row>
    <row r="175">
      <c r="A175" s="10">
        <f>IFERROR(__xludf.DUMMYFUNCTION("""COMPUTED_VALUE"""),0.682)</f>
        <v>0.682</v>
      </c>
    </row>
    <row r="176">
      <c r="A176" s="10">
        <f>IFERROR(__xludf.DUMMYFUNCTION("""COMPUTED_VALUE"""),0.703)</f>
        <v>0.703</v>
      </c>
    </row>
    <row r="177">
      <c r="A177" s="10">
        <f>IFERROR(__xludf.DUMMYFUNCTION("""COMPUTED_VALUE"""),0.888)</f>
        <v>0.888</v>
      </c>
    </row>
    <row r="178">
      <c r="A178" s="10">
        <f>IFERROR(__xludf.DUMMYFUNCTION("""COMPUTED_VALUE"""),0.623)</f>
        <v>0.623</v>
      </c>
    </row>
    <row r="179">
      <c r="A179" s="10">
        <f>IFERROR(__xludf.DUMMYFUNCTION("""COMPUTED_VALUE"""),0.831)</f>
        <v>0.831</v>
      </c>
    </row>
    <row r="180">
      <c r="A180" s="10">
        <f>IFERROR(__xludf.DUMMYFUNCTION("""COMPUTED_VALUE"""),0.0)</f>
        <v>0</v>
      </c>
    </row>
    <row r="181">
      <c r="A181" s="10">
        <f>IFERROR(__xludf.DUMMYFUNCTION("""COMPUTED_VALUE"""),0.00453)</f>
        <v>0.00453</v>
      </c>
    </row>
    <row r="182">
      <c r="A182" s="10">
        <f>IFERROR(__xludf.DUMMYFUNCTION("""COMPUTED_VALUE"""),0.0724)</f>
        <v>0.0724</v>
      </c>
    </row>
    <row r="183">
      <c r="A183" s="10">
        <f>IFERROR(__xludf.DUMMYFUNCTION("""COMPUTED_VALUE"""),0.875)</f>
        <v>0.875</v>
      </c>
    </row>
    <row r="184">
      <c r="A184" s="10">
        <f>IFERROR(__xludf.DUMMYFUNCTION("""COMPUTED_VALUE"""),6.02E-5)</f>
        <v>0.0000602</v>
      </c>
    </row>
    <row r="185">
      <c r="A185" s="10">
        <f>IFERROR(__xludf.DUMMYFUNCTION("""COMPUTED_VALUE"""),0.86)</f>
        <v>0.86</v>
      </c>
    </row>
    <row r="186">
      <c r="A186" s="10">
        <f>IFERROR(__xludf.DUMMYFUNCTION("""COMPUTED_VALUE"""),0.536)</f>
        <v>0.536</v>
      </c>
    </row>
    <row r="187">
      <c r="A187" s="10">
        <f>IFERROR(__xludf.DUMMYFUNCTION("""COMPUTED_VALUE"""),0.0734)</f>
        <v>0.0734</v>
      </c>
    </row>
    <row r="188">
      <c r="A188" s="10">
        <f>IFERROR(__xludf.DUMMYFUNCTION("""COMPUTED_VALUE"""),0.86)</f>
        <v>0.86</v>
      </c>
    </row>
    <row r="189">
      <c r="A189" s="10">
        <f>IFERROR(__xludf.DUMMYFUNCTION("""COMPUTED_VALUE"""),0.0166)</f>
        <v>0.0166</v>
      </c>
    </row>
    <row r="190">
      <c r="A190" s="10">
        <f>IFERROR(__xludf.DUMMYFUNCTION("""COMPUTED_VALUE"""),0.382)</f>
        <v>0.382</v>
      </c>
    </row>
    <row r="191">
      <c r="A191" s="10">
        <f>IFERROR(__xludf.DUMMYFUNCTION("""COMPUTED_VALUE"""),0.949)</f>
        <v>0.949</v>
      </c>
    </row>
    <row r="192">
      <c r="A192" s="10">
        <f>IFERROR(__xludf.DUMMYFUNCTION("""COMPUTED_VALUE"""),0.914)</f>
        <v>0.914</v>
      </c>
    </row>
    <row r="193">
      <c r="A193" s="10">
        <f>IFERROR(__xludf.DUMMYFUNCTION("""COMPUTED_VALUE"""),0.88)</f>
        <v>0.88</v>
      </c>
    </row>
    <row r="194">
      <c r="A194" s="10">
        <f>IFERROR(__xludf.DUMMYFUNCTION("""COMPUTED_VALUE"""),0.456)</f>
        <v>0.456</v>
      </c>
    </row>
    <row r="195">
      <c r="A195" s="10">
        <f>IFERROR(__xludf.DUMMYFUNCTION("""COMPUTED_VALUE"""),0.883)</f>
        <v>0.883</v>
      </c>
    </row>
    <row r="196">
      <c r="A196" s="10">
        <f>IFERROR(__xludf.DUMMYFUNCTION("""COMPUTED_VALUE"""),0.765)</f>
        <v>0.765</v>
      </c>
    </row>
    <row r="197">
      <c r="A197" s="10">
        <f>IFERROR(__xludf.DUMMYFUNCTION("""COMPUTED_VALUE"""),0.714)</f>
        <v>0.714</v>
      </c>
    </row>
    <row r="198">
      <c r="A198" s="10">
        <f>IFERROR(__xludf.DUMMYFUNCTION("""COMPUTED_VALUE"""),0.869)</f>
        <v>0.869</v>
      </c>
    </row>
    <row r="199">
      <c r="A199" s="10">
        <f>IFERROR(__xludf.DUMMYFUNCTION("""COMPUTED_VALUE"""),0.668)</f>
        <v>0.668</v>
      </c>
    </row>
    <row r="200">
      <c r="A200" s="10">
        <f>IFERROR(__xludf.DUMMYFUNCTION("""COMPUTED_VALUE"""),0.686)</f>
        <v>0.686</v>
      </c>
    </row>
    <row r="201">
      <c r="A201" s="10">
        <f>IFERROR(__xludf.DUMMYFUNCTION("""COMPUTED_VALUE"""),0.741)</f>
        <v>0.741</v>
      </c>
    </row>
    <row r="202">
      <c r="A202" s="10">
        <f>IFERROR(__xludf.DUMMYFUNCTION("""COMPUTED_VALUE"""),0.874)</f>
        <v>0.874</v>
      </c>
    </row>
    <row r="203">
      <c r="A203" s="10">
        <f>IFERROR(__xludf.DUMMYFUNCTION("""COMPUTED_VALUE"""),0.343)</f>
        <v>0.343</v>
      </c>
    </row>
    <row r="204">
      <c r="A204" s="10">
        <f>IFERROR(__xludf.DUMMYFUNCTION("""COMPUTED_VALUE"""),0.229)</f>
        <v>0.229</v>
      </c>
    </row>
    <row r="205">
      <c r="A205" s="10">
        <f>IFERROR(__xludf.DUMMYFUNCTION("""COMPUTED_VALUE"""),0.922)</f>
        <v>0.922</v>
      </c>
    </row>
    <row r="206">
      <c r="A206" s="10">
        <f>IFERROR(__xludf.DUMMYFUNCTION("""COMPUTED_VALUE"""),0.885)</f>
        <v>0.885</v>
      </c>
    </row>
    <row r="207">
      <c r="A207" s="10">
        <f>IFERROR(__xludf.DUMMYFUNCTION("""COMPUTED_VALUE"""),3.66E-4)</f>
        <v>0.000366</v>
      </c>
    </row>
    <row r="208">
      <c r="A208" s="10">
        <f>IFERROR(__xludf.DUMMYFUNCTION("""COMPUTED_VALUE"""),0.79)</f>
        <v>0.79</v>
      </c>
    </row>
    <row r="209">
      <c r="A209" s="10">
        <f>IFERROR(__xludf.DUMMYFUNCTION("""COMPUTED_VALUE"""),0.545)</f>
        <v>0.545</v>
      </c>
    </row>
    <row r="210">
      <c r="A210" s="10">
        <f>IFERROR(__xludf.DUMMYFUNCTION("""COMPUTED_VALUE"""),0.939)</f>
        <v>0.939</v>
      </c>
    </row>
    <row r="211">
      <c r="A211" s="10">
        <f>IFERROR(__xludf.DUMMYFUNCTION("""COMPUTED_VALUE"""),0.878)</f>
        <v>0.878</v>
      </c>
    </row>
    <row r="212">
      <c r="A212" s="10">
        <f>IFERROR(__xludf.DUMMYFUNCTION("""COMPUTED_VALUE"""),0.761)</f>
        <v>0.761</v>
      </c>
    </row>
    <row r="213">
      <c r="A213" s="10">
        <f>IFERROR(__xludf.DUMMYFUNCTION("""COMPUTED_VALUE"""),0.367)</f>
        <v>0.367</v>
      </c>
    </row>
    <row r="214">
      <c r="A214" s="10">
        <f>IFERROR(__xludf.DUMMYFUNCTION("""COMPUTED_VALUE"""),0.901)</f>
        <v>0.901</v>
      </c>
    </row>
    <row r="215">
      <c r="A215" s="10">
        <f>IFERROR(__xludf.DUMMYFUNCTION("""COMPUTED_VALUE"""),0.871)</f>
        <v>0.871</v>
      </c>
    </row>
    <row r="216">
      <c r="A216" s="10">
        <f>IFERROR(__xludf.DUMMYFUNCTION("""COMPUTED_VALUE"""),0.831)</f>
        <v>0.831</v>
      </c>
    </row>
    <row r="217">
      <c r="A217" s="10">
        <f>IFERROR(__xludf.DUMMYFUNCTION("""COMPUTED_VALUE"""),0.95)</f>
        <v>0.95</v>
      </c>
    </row>
    <row r="218">
      <c r="A218" s="10">
        <f>IFERROR(__xludf.DUMMYFUNCTION("""COMPUTED_VALUE"""),0.0625)</f>
        <v>0.0625</v>
      </c>
    </row>
    <row r="219">
      <c r="A219" s="10">
        <f>IFERROR(__xludf.DUMMYFUNCTION("""COMPUTED_VALUE"""),0.661)</f>
        <v>0.661</v>
      </c>
    </row>
    <row r="220">
      <c r="A220" s="10">
        <f>IFERROR(__xludf.DUMMYFUNCTION("""COMPUTED_VALUE"""),0.898)</f>
        <v>0.898</v>
      </c>
    </row>
    <row r="221">
      <c r="A221" s="10">
        <f>IFERROR(__xludf.DUMMYFUNCTION("""COMPUTED_VALUE"""),9.2E-5)</f>
        <v>0.000092</v>
      </c>
    </row>
    <row r="222">
      <c r="A222" s="10">
        <f>IFERROR(__xludf.DUMMYFUNCTION("""COMPUTED_VALUE"""),0.0)</f>
        <v>0</v>
      </c>
    </row>
    <row r="223">
      <c r="A223" s="10">
        <f>IFERROR(__xludf.DUMMYFUNCTION("""COMPUTED_VALUE"""),0.118)</f>
        <v>0.118</v>
      </c>
    </row>
    <row r="224">
      <c r="A224" s="10">
        <f>IFERROR(__xludf.DUMMYFUNCTION("""COMPUTED_VALUE"""),1.46E-5)</f>
        <v>0.0000146</v>
      </c>
    </row>
    <row r="225">
      <c r="A225" s="10">
        <f>IFERROR(__xludf.DUMMYFUNCTION("""COMPUTED_VALUE"""),0.0947)</f>
        <v>0.0947</v>
      </c>
    </row>
    <row r="226">
      <c r="A226" s="10">
        <f>IFERROR(__xludf.DUMMYFUNCTION("""COMPUTED_VALUE"""),0.00591)</f>
        <v>0.00591</v>
      </c>
    </row>
    <row r="227">
      <c r="A227" s="10">
        <f>IFERROR(__xludf.DUMMYFUNCTION("""COMPUTED_VALUE"""),1.34E-6)</f>
        <v>0.00000134</v>
      </c>
    </row>
    <row r="228">
      <c r="A228" s="10">
        <f>IFERROR(__xludf.DUMMYFUNCTION("""COMPUTED_VALUE"""),9.42E-5)</f>
        <v>0.0000942</v>
      </c>
    </row>
    <row r="229">
      <c r="A229" s="10">
        <f>IFERROR(__xludf.DUMMYFUNCTION("""COMPUTED_VALUE"""),0.0)</f>
        <v>0</v>
      </c>
    </row>
    <row r="230">
      <c r="A230" s="10">
        <f>IFERROR(__xludf.DUMMYFUNCTION("""COMPUTED_VALUE"""),0.0)</f>
        <v>0</v>
      </c>
    </row>
    <row r="231">
      <c r="A231" s="10">
        <f>IFERROR(__xludf.DUMMYFUNCTION("""COMPUTED_VALUE"""),1.22E-5)</f>
        <v>0.0000122</v>
      </c>
    </row>
    <row r="232">
      <c r="A232" s="10">
        <f>IFERROR(__xludf.DUMMYFUNCTION("""COMPUTED_VALUE"""),1.05E-4)</f>
        <v>0.000105</v>
      </c>
    </row>
    <row r="233">
      <c r="A233" s="10">
        <f>IFERROR(__xludf.DUMMYFUNCTION("""COMPUTED_VALUE"""),0.0141)</f>
        <v>0.0141</v>
      </c>
    </row>
    <row r="234">
      <c r="A234" s="10">
        <f>IFERROR(__xludf.DUMMYFUNCTION("""COMPUTED_VALUE"""),0.0)</f>
        <v>0</v>
      </c>
    </row>
    <row r="235">
      <c r="A235" s="10">
        <f>IFERROR(__xludf.DUMMYFUNCTION("""COMPUTED_VALUE"""),2.88E-4)</f>
        <v>0.000288</v>
      </c>
    </row>
    <row r="236">
      <c r="A236" s="10">
        <f>IFERROR(__xludf.DUMMYFUNCTION("""COMPUTED_VALUE"""),0.0)</f>
        <v>0</v>
      </c>
    </row>
    <row r="237">
      <c r="A237" s="10">
        <f>IFERROR(__xludf.DUMMYFUNCTION("""COMPUTED_VALUE"""),0.0)</f>
        <v>0</v>
      </c>
    </row>
    <row r="238">
      <c r="A238" s="10">
        <f>IFERROR(__xludf.DUMMYFUNCTION("""COMPUTED_VALUE"""),0.0)</f>
        <v>0</v>
      </c>
    </row>
    <row r="239">
      <c r="A239" s="10">
        <f>IFERROR(__xludf.DUMMYFUNCTION("""COMPUTED_VALUE"""),0.0)</f>
        <v>0</v>
      </c>
    </row>
    <row r="240">
      <c r="A240" s="10">
        <f>IFERROR(__xludf.DUMMYFUNCTION("""COMPUTED_VALUE"""),5.33E-6)</f>
        <v>0.00000533</v>
      </c>
    </row>
    <row r="241">
      <c r="A241" s="10">
        <f>IFERROR(__xludf.DUMMYFUNCTION("""COMPUTED_VALUE"""),0.0047)</f>
        <v>0.0047</v>
      </c>
    </row>
    <row r="242">
      <c r="A242" s="10">
        <f>IFERROR(__xludf.DUMMYFUNCTION("""COMPUTED_VALUE"""),0.714)</f>
        <v>0.714</v>
      </c>
    </row>
    <row r="243">
      <c r="A243" s="10">
        <f>IFERROR(__xludf.DUMMYFUNCTION("""COMPUTED_VALUE"""),7.6E-5)</f>
        <v>0.000076</v>
      </c>
    </row>
    <row r="244">
      <c r="A244" s="10">
        <f>IFERROR(__xludf.DUMMYFUNCTION("""COMPUTED_VALUE"""),0.0)</f>
        <v>0</v>
      </c>
    </row>
    <row r="245">
      <c r="A245" s="10">
        <f>IFERROR(__xludf.DUMMYFUNCTION("""COMPUTED_VALUE"""),0.579)</f>
        <v>0.579</v>
      </c>
    </row>
    <row r="246">
      <c r="A246" s="10">
        <f>IFERROR(__xludf.DUMMYFUNCTION("""COMPUTED_VALUE"""),0.925)</f>
        <v>0.925</v>
      </c>
    </row>
    <row r="247">
      <c r="A247" s="10">
        <f>IFERROR(__xludf.DUMMYFUNCTION("""COMPUTED_VALUE"""),0.832)</f>
        <v>0.832</v>
      </c>
    </row>
    <row r="248">
      <c r="A248" s="10">
        <f>IFERROR(__xludf.DUMMYFUNCTION("""COMPUTED_VALUE"""),0.657)</f>
        <v>0.657</v>
      </c>
    </row>
    <row r="249">
      <c r="A249" s="10">
        <f>IFERROR(__xludf.DUMMYFUNCTION("""COMPUTED_VALUE"""),2.44E-5)</f>
        <v>0.0000244</v>
      </c>
    </row>
    <row r="250">
      <c r="A250" s="10">
        <f>IFERROR(__xludf.DUMMYFUNCTION("""COMPUTED_VALUE"""),0.894)</f>
        <v>0.894</v>
      </c>
    </row>
    <row r="251">
      <c r="A251" s="10">
        <f>IFERROR(__xludf.DUMMYFUNCTION("""COMPUTED_VALUE"""),0.799)</f>
        <v>0.799</v>
      </c>
    </row>
    <row r="252">
      <c r="A252" s="10">
        <f>IFERROR(__xludf.DUMMYFUNCTION("""COMPUTED_VALUE"""),0.00117)</f>
        <v>0.00117</v>
      </c>
    </row>
    <row r="253">
      <c r="A253" s="10">
        <f>IFERROR(__xludf.DUMMYFUNCTION("""COMPUTED_VALUE"""),0.748)</f>
        <v>0.748</v>
      </c>
    </row>
    <row r="254">
      <c r="A254" s="10">
        <f>IFERROR(__xludf.DUMMYFUNCTION("""COMPUTED_VALUE"""),0.658)</f>
        <v>0.658</v>
      </c>
    </row>
    <row r="255">
      <c r="A255" s="10">
        <f>IFERROR(__xludf.DUMMYFUNCTION("""COMPUTED_VALUE"""),6.43E-5)</f>
        <v>0.0000643</v>
      </c>
    </row>
    <row r="256">
      <c r="A256" s="10">
        <f>IFERROR(__xludf.DUMMYFUNCTION("""COMPUTED_VALUE"""),0.0363)</f>
        <v>0.0363</v>
      </c>
    </row>
    <row r="257">
      <c r="A257" s="10">
        <f>IFERROR(__xludf.DUMMYFUNCTION("""COMPUTED_VALUE"""),0.909)</f>
        <v>0.909</v>
      </c>
    </row>
    <row r="258">
      <c r="A258" s="10">
        <f>IFERROR(__xludf.DUMMYFUNCTION("""COMPUTED_VALUE"""),0.215)</f>
        <v>0.215</v>
      </c>
    </row>
    <row r="259">
      <c r="A259" s="10">
        <f>IFERROR(__xludf.DUMMYFUNCTION("""COMPUTED_VALUE"""),0.854)</f>
        <v>0.854</v>
      </c>
    </row>
    <row r="260">
      <c r="A260" s="10">
        <f>IFERROR(__xludf.DUMMYFUNCTION("""COMPUTED_VALUE"""),0.852)</f>
        <v>0.852</v>
      </c>
    </row>
    <row r="261">
      <c r="A261" s="10">
        <f>IFERROR(__xludf.DUMMYFUNCTION("""COMPUTED_VALUE"""),0.901)</f>
        <v>0.901</v>
      </c>
    </row>
    <row r="262">
      <c r="A262" s="10">
        <f>IFERROR(__xludf.DUMMYFUNCTION("""COMPUTED_VALUE"""),0.0)</f>
        <v>0</v>
      </c>
    </row>
    <row r="263">
      <c r="A263" s="10">
        <f>IFERROR(__xludf.DUMMYFUNCTION("""COMPUTED_VALUE"""),0.018)</f>
        <v>0.018</v>
      </c>
    </row>
    <row r="264">
      <c r="A264" s="10">
        <f>IFERROR(__xludf.DUMMYFUNCTION("""COMPUTED_VALUE"""),0.891)</f>
        <v>0.891</v>
      </c>
    </row>
    <row r="265">
      <c r="A265" s="10">
        <f>IFERROR(__xludf.DUMMYFUNCTION("""COMPUTED_VALUE"""),0.179)</f>
        <v>0.179</v>
      </c>
    </row>
    <row r="266">
      <c r="A266" s="10">
        <f>IFERROR(__xludf.DUMMYFUNCTION("""COMPUTED_VALUE"""),0.905)</f>
        <v>0.905</v>
      </c>
    </row>
    <row r="267">
      <c r="A267" s="10">
        <f>IFERROR(__xludf.DUMMYFUNCTION("""COMPUTED_VALUE"""),0.841)</f>
        <v>0.841</v>
      </c>
    </row>
    <row r="268">
      <c r="A268" s="10">
        <f>IFERROR(__xludf.DUMMYFUNCTION("""COMPUTED_VALUE"""),0.0445)</f>
        <v>0.0445</v>
      </c>
    </row>
    <row r="269">
      <c r="A269" s="10">
        <f>IFERROR(__xludf.DUMMYFUNCTION("""COMPUTED_VALUE"""),0.879)</f>
        <v>0.879</v>
      </c>
    </row>
    <row r="270">
      <c r="A270" s="10">
        <f>IFERROR(__xludf.DUMMYFUNCTION("""COMPUTED_VALUE"""),0.0356)</f>
        <v>0.0356</v>
      </c>
    </row>
    <row r="271">
      <c r="A271" s="10">
        <f>IFERROR(__xludf.DUMMYFUNCTION("""COMPUTED_VALUE"""),5.13E-5)</f>
        <v>0.0000513</v>
      </c>
    </row>
    <row r="272">
      <c r="A272" s="10">
        <f>IFERROR(__xludf.DUMMYFUNCTION("""COMPUTED_VALUE"""),1.47E-6)</f>
        <v>0.00000147</v>
      </c>
    </row>
    <row r="273">
      <c r="A273" s="10">
        <f>IFERROR(__xludf.DUMMYFUNCTION("""COMPUTED_VALUE"""),0.891)</f>
        <v>0.891</v>
      </c>
    </row>
    <row r="274">
      <c r="A274" s="10">
        <f>IFERROR(__xludf.DUMMYFUNCTION("""COMPUTED_VALUE"""),3.81E-4)</f>
        <v>0.000381</v>
      </c>
    </row>
    <row r="275">
      <c r="A275" s="10">
        <f>IFERROR(__xludf.DUMMYFUNCTION("""COMPUTED_VALUE"""),0.0178)</f>
        <v>0.0178</v>
      </c>
    </row>
    <row r="276">
      <c r="A276" s="10">
        <f>IFERROR(__xludf.DUMMYFUNCTION("""COMPUTED_VALUE"""),2.78E-5)</f>
        <v>0.0000278</v>
      </c>
    </row>
    <row r="277">
      <c r="A277" s="10">
        <f>IFERROR(__xludf.DUMMYFUNCTION("""COMPUTED_VALUE"""),0.00295)</f>
        <v>0.00295</v>
      </c>
    </row>
    <row r="278">
      <c r="A278" s="10">
        <f>IFERROR(__xludf.DUMMYFUNCTION("""COMPUTED_VALUE"""),1.34E-4)</f>
        <v>0.000134</v>
      </c>
    </row>
    <row r="279">
      <c r="A279" s="10">
        <f>IFERROR(__xludf.DUMMYFUNCTION("""COMPUTED_VALUE"""),0.0)</f>
        <v>0</v>
      </c>
    </row>
    <row r="280">
      <c r="A280" s="10">
        <f>IFERROR(__xludf.DUMMYFUNCTION("""COMPUTED_VALUE"""),2.11E-5)</f>
        <v>0.0000211</v>
      </c>
    </row>
    <row r="281">
      <c r="A281" s="10">
        <f>IFERROR(__xludf.DUMMYFUNCTION("""COMPUTED_VALUE"""),0.797)</f>
        <v>0.797</v>
      </c>
    </row>
    <row r="282">
      <c r="A282" s="10">
        <f>IFERROR(__xludf.DUMMYFUNCTION("""COMPUTED_VALUE"""),5.02E-4)</f>
        <v>0.000502</v>
      </c>
    </row>
    <row r="283">
      <c r="A283" s="10">
        <f>IFERROR(__xludf.DUMMYFUNCTION("""COMPUTED_VALUE"""),0.179)</f>
        <v>0.179</v>
      </c>
    </row>
    <row r="284">
      <c r="A284" s="10">
        <f>IFERROR(__xludf.DUMMYFUNCTION("""COMPUTED_VALUE"""),3.3E-4)</f>
        <v>0.00033</v>
      </c>
    </row>
    <row r="285">
      <c r="A285" s="10">
        <f>IFERROR(__xludf.DUMMYFUNCTION("""COMPUTED_VALUE"""),1.2E-5)</f>
        <v>0.000012</v>
      </c>
    </row>
    <row r="286">
      <c r="A286" s="10">
        <f>IFERROR(__xludf.DUMMYFUNCTION("""COMPUTED_VALUE"""),9.6E-6)</f>
        <v>0.0000096</v>
      </c>
    </row>
    <row r="287">
      <c r="A287" s="10">
        <f>IFERROR(__xludf.DUMMYFUNCTION("""COMPUTED_VALUE"""),1.33E-4)</f>
        <v>0.000133</v>
      </c>
    </row>
    <row r="288">
      <c r="A288" s="10">
        <f>IFERROR(__xludf.DUMMYFUNCTION("""COMPUTED_VALUE"""),0.0)</f>
        <v>0</v>
      </c>
    </row>
    <row r="289">
      <c r="A289" s="10">
        <f>IFERROR(__xludf.DUMMYFUNCTION("""COMPUTED_VALUE"""),0.0)</f>
        <v>0</v>
      </c>
    </row>
    <row r="290">
      <c r="A290" s="10">
        <f>IFERROR(__xludf.DUMMYFUNCTION("""COMPUTED_VALUE"""),0.0)</f>
        <v>0</v>
      </c>
    </row>
    <row r="291">
      <c r="A291" s="10">
        <f>IFERROR(__xludf.DUMMYFUNCTION("""COMPUTED_VALUE"""),0.00152)</f>
        <v>0.00152</v>
      </c>
    </row>
    <row r="292">
      <c r="A292" s="10">
        <f>IFERROR(__xludf.DUMMYFUNCTION("""COMPUTED_VALUE"""),0.0)</f>
        <v>0</v>
      </c>
    </row>
    <row r="293">
      <c r="A293" s="10">
        <f>IFERROR(__xludf.DUMMYFUNCTION("""COMPUTED_VALUE"""),6.54E-5)</f>
        <v>0.0000654</v>
      </c>
    </row>
    <row r="294">
      <c r="A294" s="10">
        <f>IFERROR(__xludf.DUMMYFUNCTION("""COMPUTED_VALUE"""),0.0)</f>
        <v>0</v>
      </c>
    </row>
    <row r="295">
      <c r="A295" s="10">
        <f>IFERROR(__xludf.DUMMYFUNCTION("""COMPUTED_VALUE"""),2.62E-5)</f>
        <v>0.0000262</v>
      </c>
    </row>
    <row r="296">
      <c r="A296" s="10">
        <f>IFERROR(__xludf.DUMMYFUNCTION("""COMPUTED_VALUE"""),0.00243)</f>
        <v>0.00243</v>
      </c>
    </row>
    <row r="297">
      <c r="A297" s="10">
        <f>IFERROR(__xludf.DUMMYFUNCTION("""COMPUTED_VALUE"""),0.0)</f>
        <v>0</v>
      </c>
    </row>
    <row r="298">
      <c r="A298" s="10">
        <f>IFERROR(__xludf.DUMMYFUNCTION("""COMPUTED_VALUE"""),1.44E-5)</f>
        <v>0.0000144</v>
      </c>
    </row>
    <row r="299">
      <c r="A299" s="10">
        <f>IFERROR(__xludf.DUMMYFUNCTION("""COMPUTED_VALUE"""),0.0)</f>
        <v>0</v>
      </c>
    </row>
    <row r="300">
      <c r="A300" s="10">
        <f>IFERROR(__xludf.DUMMYFUNCTION("""COMPUTED_VALUE"""),0.00113)</f>
        <v>0.00113</v>
      </c>
    </row>
    <row r="301">
      <c r="A301" s="10">
        <f>IFERROR(__xludf.DUMMYFUNCTION("""COMPUTED_VALUE"""),0.0)</f>
        <v>0</v>
      </c>
    </row>
    <row r="302">
      <c r="A302" s="10">
        <f>IFERROR(__xludf.DUMMYFUNCTION("""COMPUTED_VALUE"""),0.0)</f>
        <v>0</v>
      </c>
    </row>
    <row r="303">
      <c r="A303" s="10">
        <f>IFERROR(__xludf.DUMMYFUNCTION("""COMPUTED_VALUE"""),5.99E-5)</f>
        <v>0.0000599</v>
      </c>
    </row>
    <row r="304">
      <c r="A304" s="10">
        <f>IFERROR(__xludf.DUMMYFUNCTION("""COMPUTED_VALUE"""),4.37E-6)</f>
        <v>0.00000437</v>
      </c>
    </row>
    <row r="305">
      <c r="A305" s="10">
        <f>IFERROR(__xludf.DUMMYFUNCTION("""COMPUTED_VALUE"""),0.0)</f>
        <v>0</v>
      </c>
    </row>
    <row r="306">
      <c r="A306" s="10">
        <f>IFERROR(__xludf.DUMMYFUNCTION("""COMPUTED_VALUE"""),1.34E-5)</f>
        <v>0.0000134</v>
      </c>
    </row>
    <row r="307">
      <c r="A307" s="10">
        <f>IFERROR(__xludf.DUMMYFUNCTION("""COMPUTED_VALUE"""),0.0)</f>
        <v>0</v>
      </c>
    </row>
    <row r="308">
      <c r="A308" s="10">
        <f>IFERROR(__xludf.DUMMYFUNCTION("""COMPUTED_VALUE"""),0.0)</f>
        <v>0</v>
      </c>
    </row>
    <row r="309">
      <c r="A309" s="10">
        <f>IFERROR(__xludf.DUMMYFUNCTION("""COMPUTED_VALUE"""),0.014)</f>
        <v>0.014</v>
      </c>
    </row>
    <row r="310">
      <c r="A310" s="10">
        <f>IFERROR(__xludf.DUMMYFUNCTION("""COMPUTED_VALUE"""),0.0065)</f>
        <v>0.0065</v>
      </c>
    </row>
    <row r="311">
      <c r="A311" s="10">
        <f>IFERROR(__xludf.DUMMYFUNCTION("""COMPUTED_VALUE"""),0.0)</f>
        <v>0</v>
      </c>
    </row>
    <row r="312">
      <c r="A312" s="10">
        <f>IFERROR(__xludf.DUMMYFUNCTION("""COMPUTED_VALUE"""),0.103)</f>
        <v>0.103</v>
      </c>
    </row>
    <row r="313">
      <c r="A313" s="10">
        <f>IFERROR(__xludf.DUMMYFUNCTION("""COMPUTED_VALUE"""),0.0013)</f>
        <v>0.0013</v>
      </c>
    </row>
    <row r="314">
      <c r="A314" s="10">
        <f>IFERROR(__xludf.DUMMYFUNCTION("""COMPUTED_VALUE"""),0.00177)</f>
        <v>0.00177</v>
      </c>
    </row>
    <row r="315">
      <c r="A315" s="10">
        <f>IFERROR(__xludf.DUMMYFUNCTION("""COMPUTED_VALUE"""),5.87E-5)</f>
        <v>0.0000587</v>
      </c>
    </row>
    <row r="316">
      <c r="A316" s="10">
        <f>IFERROR(__xludf.DUMMYFUNCTION("""COMPUTED_VALUE"""),0.0)</f>
        <v>0</v>
      </c>
    </row>
    <row r="317">
      <c r="A317" s="10">
        <f>IFERROR(__xludf.DUMMYFUNCTION("""COMPUTED_VALUE"""),0.0)</f>
        <v>0</v>
      </c>
    </row>
    <row r="318">
      <c r="A318" s="10">
        <f>IFERROR(__xludf.DUMMYFUNCTION("""COMPUTED_VALUE"""),0.0)</f>
        <v>0</v>
      </c>
    </row>
    <row r="319">
      <c r="A319" s="10">
        <f>IFERROR(__xludf.DUMMYFUNCTION("""COMPUTED_VALUE"""),0.00161)</f>
        <v>0.00161</v>
      </c>
    </row>
    <row r="320">
      <c r="A320" s="10">
        <f>IFERROR(__xludf.DUMMYFUNCTION("""COMPUTED_VALUE"""),0.0)</f>
        <v>0</v>
      </c>
    </row>
    <row r="321">
      <c r="A321" s="10">
        <f>IFERROR(__xludf.DUMMYFUNCTION("""COMPUTED_VALUE"""),0.0)</f>
        <v>0</v>
      </c>
    </row>
    <row r="322">
      <c r="A322" s="10">
        <f>IFERROR(__xludf.DUMMYFUNCTION("""COMPUTED_VALUE"""),2.59E-5)</f>
        <v>0.0000259</v>
      </c>
    </row>
    <row r="323">
      <c r="A323" s="10">
        <f>IFERROR(__xludf.DUMMYFUNCTION("""COMPUTED_VALUE"""),0.0)</f>
        <v>0</v>
      </c>
    </row>
    <row r="324">
      <c r="A324" s="10">
        <f>IFERROR(__xludf.DUMMYFUNCTION("""COMPUTED_VALUE"""),0.0)</f>
        <v>0</v>
      </c>
    </row>
    <row r="325">
      <c r="A325" s="10">
        <f>IFERROR(__xludf.DUMMYFUNCTION("""COMPUTED_VALUE"""),1.46E-4)</f>
        <v>0.000146</v>
      </c>
    </row>
    <row r="326">
      <c r="A326" s="10">
        <f>IFERROR(__xludf.DUMMYFUNCTION("""COMPUTED_VALUE"""),0.0)</f>
        <v>0</v>
      </c>
    </row>
    <row r="327">
      <c r="A327" s="10">
        <f>IFERROR(__xludf.DUMMYFUNCTION("""COMPUTED_VALUE"""),0.0)</f>
        <v>0</v>
      </c>
    </row>
    <row r="328">
      <c r="A328" s="10">
        <f>IFERROR(__xludf.DUMMYFUNCTION("""COMPUTED_VALUE"""),0.535)</f>
        <v>0.535</v>
      </c>
    </row>
    <row r="329">
      <c r="A329" s="10">
        <f>IFERROR(__xludf.DUMMYFUNCTION("""COMPUTED_VALUE"""),0.831)</f>
        <v>0.831</v>
      </c>
    </row>
    <row r="330">
      <c r="A330" s="10">
        <f>IFERROR(__xludf.DUMMYFUNCTION("""COMPUTED_VALUE"""),0.0)</f>
        <v>0</v>
      </c>
    </row>
    <row r="331">
      <c r="A331" s="10">
        <f>IFERROR(__xludf.DUMMYFUNCTION("""COMPUTED_VALUE"""),0.0413)</f>
        <v>0.0413</v>
      </c>
    </row>
    <row r="332">
      <c r="A332" s="10">
        <f>IFERROR(__xludf.DUMMYFUNCTION("""COMPUTED_VALUE"""),0.933)</f>
        <v>0.933</v>
      </c>
    </row>
    <row r="333">
      <c r="A333" s="10">
        <f>IFERROR(__xludf.DUMMYFUNCTION("""COMPUTED_VALUE"""),0.781)</f>
        <v>0.781</v>
      </c>
    </row>
    <row r="334">
      <c r="A334" s="10">
        <f>IFERROR(__xludf.DUMMYFUNCTION("""COMPUTED_VALUE"""),3.96E-5)</f>
        <v>0.0000396</v>
      </c>
    </row>
    <row r="335">
      <c r="A335" s="10">
        <f>IFERROR(__xludf.DUMMYFUNCTION("""COMPUTED_VALUE"""),0.00397)</f>
        <v>0.00397</v>
      </c>
    </row>
    <row r="336">
      <c r="A336" s="10">
        <f>IFERROR(__xludf.DUMMYFUNCTION("""COMPUTED_VALUE"""),4.16E-5)</f>
        <v>0.0000416</v>
      </c>
    </row>
    <row r="337">
      <c r="A337" s="10">
        <f>IFERROR(__xludf.DUMMYFUNCTION("""COMPUTED_VALUE"""),0.935)</f>
        <v>0.935</v>
      </c>
    </row>
    <row r="338">
      <c r="A338" s="10">
        <f>IFERROR(__xludf.DUMMYFUNCTION("""COMPUTED_VALUE"""),0.752)</f>
        <v>0.752</v>
      </c>
    </row>
    <row r="339">
      <c r="A339" s="10">
        <f>IFERROR(__xludf.DUMMYFUNCTION("""COMPUTED_VALUE"""),0.417)</f>
        <v>0.417</v>
      </c>
    </row>
    <row r="340">
      <c r="A340" s="10">
        <f>IFERROR(__xludf.DUMMYFUNCTION("""COMPUTED_VALUE"""),0.0)</f>
        <v>0</v>
      </c>
    </row>
    <row r="341">
      <c r="A341" s="10">
        <f>IFERROR(__xludf.DUMMYFUNCTION("""COMPUTED_VALUE"""),1.48E-5)</f>
        <v>0.0000148</v>
      </c>
    </row>
    <row r="342">
      <c r="A342" s="10">
        <f>IFERROR(__xludf.DUMMYFUNCTION("""COMPUTED_VALUE"""),0.00273)</f>
        <v>0.00273</v>
      </c>
    </row>
    <row r="343">
      <c r="A343" s="10">
        <f>IFERROR(__xludf.DUMMYFUNCTION("""COMPUTED_VALUE"""),0.0)</f>
        <v>0</v>
      </c>
    </row>
    <row r="344">
      <c r="A344" s="10">
        <f>IFERROR(__xludf.DUMMYFUNCTION("""COMPUTED_VALUE"""),0.853)</f>
        <v>0.853</v>
      </c>
    </row>
    <row r="345">
      <c r="A345" s="10">
        <f>IFERROR(__xludf.DUMMYFUNCTION("""COMPUTED_VALUE"""),0.69)</f>
        <v>0.69</v>
      </c>
    </row>
    <row r="346">
      <c r="A346" s="10">
        <f>IFERROR(__xludf.DUMMYFUNCTION("""COMPUTED_VALUE"""),0.0482)</f>
        <v>0.0482</v>
      </c>
    </row>
    <row r="347">
      <c r="A347" s="10">
        <f>IFERROR(__xludf.DUMMYFUNCTION("""COMPUTED_VALUE"""),0.00468)</f>
        <v>0.00468</v>
      </c>
    </row>
    <row r="348">
      <c r="A348" s="10">
        <f>IFERROR(__xludf.DUMMYFUNCTION("""COMPUTED_VALUE"""),5.5E-5)</f>
        <v>0.000055</v>
      </c>
    </row>
    <row r="349">
      <c r="A349" s="10">
        <f>IFERROR(__xludf.DUMMYFUNCTION("""COMPUTED_VALUE"""),0.00307)</f>
        <v>0.00307</v>
      </c>
    </row>
    <row r="350">
      <c r="A350" s="10">
        <f>IFERROR(__xludf.DUMMYFUNCTION("""COMPUTED_VALUE"""),0.00317)</f>
        <v>0.00317</v>
      </c>
    </row>
    <row r="351">
      <c r="A351" s="10">
        <f>IFERROR(__xludf.DUMMYFUNCTION("""COMPUTED_VALUE"""),0.831)</f>
        <v>0.831</v>
      </c>
    </row>
    <row r="352">
      <c r="A352" s="10">
        <f>IFERROR(__xludf.DUMMYFUNCTION("""COMPUTED_VALUE"""),0.35)</f>
        <v>0.35</v>
      </c>
    </row>
    <row r="353">
      <c r="A353" s="10">
        <f>IFERROR(__xludf.DUMMYFUNCTION("""COMPUTED_VALUE"""),0.0286)</f>
        <v>0.0286</v>
      </c>
    </row>
    <row r="354">
      <c r="A354" s="10">
        <f>IFERROR(__xludf.DUMMYFUNCTION("""COMPUTED_VALUE"""),0.426)</f>
        <v>0.426</v>
      </c>
    </row>
    <row r="355">
      <c r="A355" s="10">
        <f>IFERROR(__xludf.DUMMYFUNCTION("""COMPUTED_VALUE"""),0.0)</f>
        <v>0</v>
      </c>
    </row>
    <row r="356">
      <c r="A356" s="10">
        <f>IFERROR(__xludf.DUMMYFUNCTION("""COMPUTED_VALUE"""),0.0587)</f>
        <v>0.0587</v>
      </c>
    </row>
    <row r="357">
      <c r="A357" s="10">
        <f>IFERROR(__xludf.DUMMYFUNCTION("""COMPUTED_VALUE"""),0.0)</f>
        <v>0</v>
      </c>
    </row>
    <row r="358">
      <c r="A358" s="10">
        <f>IFERROR(__xludf.DUMMYFUNCTION("""COMPUTED_VALUE"""),0.0)</f>
        <v>0</v>
      </c>
    </row>
    <row r="359">
      <c r="A359" s="10">
        <f>IFERROR(__xludf.DUMMYFUNCTION("""COMPUTED_VALUE"""),0.928)</f>
        <v>0.928</v>
      </c>
    </row>
    <row r="360">
      <c r="A360" s="10">
        <f>IFERROR(__xludf.DUMMYFUNCTION("""COMPUTED_VALUE"""),0.942)</f>
        <v>0.942</v>
      </c>
    </row>
    <row r="361">
      <c r="A361" s="10">
        <f>IFERROR(__xludf.DUMMYFUNCTION("""COMPUTED_VALUE"""),0.894)</f>
        <v>0.894</v>
      </c>
    </row>
    <row r="362">
      <c r="A362" s="10">
        <f>IFERROR(__xludf.DUMMYFUNCTION("""COMPUTED_VALUE"""),8.22E-4)</f>
        <v>0.000822</v>
      </c>
    </row>
    <row r="363">
      <c r="A363" s="10">
        <f>IFERROR(__xludf.DUMMYFUNCTION("""COMPUTED_VALUE"""),0.0)</f>
        <v>0</v>
      </c>
    </row>
    <row r="364">
      <c r="A364" s="10">
        <f>IFERROR(__xludf.DUMMYFUNCTION("""COMPUTED_VALUE"""),0.00645)</f>
        <v>0.00645</v>
      </c>
    </row>
    <row r="365">
      <c r="A365" s="10">
        <f>IFERROR(__xludf.DUMMYFUNCTION("""COMPUTED_VALUE"""),6.43E-5)</f>
        <v>0.0000643</v>
      </c>
    </row>
    <row r="366">
      <c r="A366" s="10">
        <f>IFERROR(__xludf.DUMMYFUNCTION("""COMPUTED_VALUE"""),1.29E-5)</f>
        <v>0.0000129</v>
      </c>
    </row>
    <row r="367">
      <c r="A367" s="10">
        <f>IFERROR(__xludf.DUMMYFUNCTION("""COMPUTED_VALUE"""),0.904)</f>
        <v>0.904</v>
      </c>
    </row>
    <row r="368">
      <c r="A368" s="10">
        <f>IFERROR(__xludf.DUMMYFUNCTION("""COMPUTED_VALUE"""),0.018)</f>
        <v>0.018</v>
      </c>
    </row>
    <row r="369">
      <c r="A369" s="10">
        <f>IFERROR(__xludf.DUMMYFUNCTION("""COMPUTED_VALUE"""),0.0185)</f>
        <v>0.0185</v>
      </c>
    </row>
    <row r="370">
      <c r="A370" s="10">
        <f>IFERROR(__xludf.DUMMYFUNCTION("""COMPUTED_VALUE"""),0.179)</f>
        <v>0.179</v>
      </c>
    </row>
    <row r="371">
      <c r="A371" s="10">
        <f>IFERROR(__xludf.DUMMYFUNCTION("""COMPUTED_VALUE"""),0.0)</f>
        <v>0</v>
      </c>
    </row>
    <row r="372">
      <c r="A372" s="10">
        <f>IFERROR(__xludf.DUMMYFUNCTION("""COMPUTED_VALUE"""),0.902)</f>
        <v>0.902</v>
      </c>
    </row>
    <row r="373">
      <c r="A373" s="10">
        <f>IFERROR(__xludf.DUMMYFUNCTION("""COMPUTED_VALUE"""),0.44)</f>
        <v>0.44</v>
      </c>
    </row>
    <row r="374">
      <c r="A374" s="10">
        <f>IFERROR(__xludf.DUMMYFUNCTION("""COMPUTED_VALUE"""),9.23E-6)</f>
        <v>0.00000923</v>
      </c>
    </row>
    <row r="375">
      <c r="A375" s="10">
        <f>IFERROR(__xludf.DUMMYFUNCTION("""COMPUTED_VALUE"""),0.372)</f>
        <v>0.372</v>
      </c>
    </row>
    <row r="376">
      <c r="A376" s="10">
        <f>IFERROR(__xludf.DUMMYFUNCTION("""COMPUTED_VALUE"""),0.0)</f>
        <v>0</v>
      </c>
    </row>
    <row r="377">
      <c r="A377" s="10">
        <f>IFERROR(__xludf.DUMMYFUNCTION("""COMPUTED_VALUE"""),0.0118)</f>
        <v>0.0118</v>
      </c>
    </row>
    <row r="378">
      <c r="A378" s="10">
        <f>IFERROR(__xludf.DUMMYFUNCTION("""COMPUTED_VALUE"""),6.49E-4)</f>
        <v>0.000649</v>
      </c>
    </row>
    <row r="379">
      <c r="A379" s="10">
        <f>IFERROR(__xludf.DUMMYFUNCTION("""COMPUTED_VALUE"""),3.83E-6)</f>
        <v>0.00000383</v>
      </c>
    </row>
    <row r="380">
      <c r="A380" s="10">
        <f>IFERROR(__xludf.DUMMYFUNCTION("""COMPUTED_VALUE"""),0.906)</f>
        <v>0.906</v>
      </c>
    </row>
    <row r="381">
      <c r="A381" s="10">
        <f>IFERROR(__xludf.DUMMYFUNCTION("""COMPUTED_VALUE"""),1.38E-6)</f>
        <v>0.00000138</v>
      </c>
    </row>
    <row r="382">
      <c r="A382" s="10">
        <f>IFERROR(__xludf.DUMMYFUNCTION("""COMPUTED_VALUE"""),0.0959)</f>
        <v>0.0959</v>
      </c>
    </row>
    <row r="383">
      <c r="A383" s="10">
        <f>IFERROR(__xludf.DUMMYFUNCTION("""COMPUTED_VALUE"""),0.11)</f>
        <v>0.11</v>
      </c>
    </row>
    <row r="384">
      <c r="A384" s="10">
        <f>IFERROR(__xludf.DUMMYFUNCTION("""COMPUTED_VALUE"""),8.09E-4)</f>
        <v>0.000809</v>
      </c>
    </row>
    <row r="385">
      <c r="A385" s="10">
        <f>IFERROR(__xludf.DUMMYFUNCTION("""COMPUTED_VALUE"""),0.91)</f>
        <v>0.91</v>
      </c>
    </row>
    <row r="386">
      <c r="A386" s="10">
        <f>IFERROR(__xludf.DUMMYFUNCTION("""COMPUTED_VALUE"""),0.00131)</f>
        <v>0.00131</v>
      </c>
    </row>
    <row r="387">
      <c r="A387" s="10">
        <f>IFERROR(__xludf.DUMMYFUNCTION("""COMPUTED_VALUE"""),0.252)</f>
        <v>0.252</v>
      </c>
    </row>
    <row r="388">
      <c r="A388" s="10">
        <f>IFERROR(__xludf.DUMMYFUNCTION("""COMPUTED_VALUE"""),0.026)</f>
        <v>0.026</v>
      </c>
    </row>
    <row r="389">
      <c r="A389" s="10">
        <f>IFERROR(__xludf.DUMMYFUNCTION("""COMPUTED_VALUE"""),0.0)</f>
        <v>0</v>
      </c>
    </row>
    <row r="390">
      <c r="A390" s="10">
        <f>IFERROR(__xludf.DUMMYFUNCTION("""COMPUTED_VALUE"""),0.0848)</f>
        <v>0.0848</v>
      </c>
    </row>
    <row r="391">
      <c r="A391" s="10">
        <f>IFERROR(__xludf.DUMMYFUNCTION("""COMPUTED_VALUE"""),0.00196)</f>
        <v>0.00196</v>
      </c>
    </row>
    <row r="392">
      <c r="A392" s="10">
        <f>IFERROR(__xludf.DUMMYFUNCTION("""COMPUTED_VALUE"""),0.0)</f>
        <v>0</v>
      </c>
    </row>
    <row r="393">
      <c r="A393" s="10">
        <f>IFERROR(__xludf.DUMMYFUNCTION("""COMPUTED_VALUE"""),3.99E-4)</f>
        <v>0.000399</v>
      </c>
    </row>
    <row r="394">
      <c r="A394" s="10">
        <f>IFERROR(__xludf.DUMMYFUNCTION("""COMPUTED_VALUE"""),0.0525)</f>
        <v>0.0525</v>
      </c>
    </row>
    <row r="395">
      <c r="A395" s="10">
        <f>IFERROR(__xludf.DUMMYFUNCTION("""COMPUTED_VALUE"""),0.00191)</f>
        <v>0.00191</v>
      </c>
    </row>
    <row r="396">
      <c r="A396" s="10">
        <f>IFERROR(__xludf.DUMMYFUNCTION("""COMPUTED_VALUE"""),0.896)</f>
        <v>0.896</v>
      </c>
    </row>
    <row r="397">
      <c r="A397" s="10">
        <f>IFERROR(__xludf.DUMMYFUNCTION("""COMPUTED_VALUE"""),0.905)</f>
        <v>0.905</v>
      </c>
    </row>
    <row r="398">
      <c r="A398" s="10">
        <f>IFERROR(__xludf.DUMMYFUNCTION("""COMPUTED_VALUE"""),0.116)</f>
        <v>0.116</v>
      </c>
    </row>
    <row r="399">
      <c r="A399" s="10">
        <f>IFERROR(__xludf.DUMMYFUNCTION("""COMPUTED_VALUE"""),0.943)</f>
        <v>0.943</v>
      </c>
    </row>
    <row r="400">
      <c r="A400" s="10">
        <f>IFERROR(__xludf.DUMMYFUNCTION("""COMPUTED_VALUE"""),0.207)</f>
        <v>0.207</v>
      </c>
    </row>
    <row r="401">
      <c r="A401" s="10">
        <f>IFERROR(__xludf.DUMMYFUNCTION("""COMPUTED_VALUE"""),0.913)</f>
        <v>0.913</v>
      </c>
    </row>
    <row r="402">
      <c r="A402" s="10">
        <f>IFERROR(__xludf.DUMMYFUNCTION("""COMPUTED_VALUE"""),0.0315)</f>
        <v>0.0315</v>
      </c>
    </row>
    <row r="403">
      <c r="A403" s="10">
        <f>IFERROR(__xludf.DUMMYFUNCTION("""COMPUTED_VALUE"""),2.27E-4)</f>
        <v>0.000227</v>
      </c>
    </row>
    <row r="404">
      <c r="A404" s="10">
        <f>IFERROR(__xludf.DUMMYFUNCTION("""COMPUTED_VALUE"""),0.0911)</f>
        <v>0.0911</v>
      </c>
    </row>
    <row r="405">
      <c r="A405" s="10">
        <f>IFERROR(__xludf.DUMMYFUNCTION("""COMPUTED_VALUE"""),0.783)</f>
        <v>0.783</v>
      </c>
    </row>
    <row r="406">
      <c r="A406" s="10">
        <f>IFERROR(__xludf.DUMMYFUNCTION("""COMPUTED_VALUE"""),0.0)</f>
        <v>0</v>
      </c>
    </row>
    <row r="407">
      <c r="A407" s="10">
        <f>IFERROR(__xludf.DUMMYFUNCTION("""COMPUTED_VALUE"""),1.43E-4)</f>
        <v>0.000143</v>
      </c>
    </row>
    <row r="408">
      <c r="A408" s="10">
        <f>IFERROR(__xludf.DUMMYFUNCTION("""COMPUTED_VALUE"""),0.442)</f>
        <v>0.442</v>
      </c>
    </row>
    <row r="409">
      <c r="A409" s="10">
        <f>IFERROR(__xludf.DUMMYFUNCTION("""COMPUTED_VALUE"""),0.0)</f>
        <v>0</v>
      </c>
    </row>
    <row r="410">
      <c r="A410" s="10">
        <f>IFERROR(__xludf.DUMMYFUNCTION("""COMPUTED_VALUE"""),0.861)</f>
        <v>0.861</v>
      </c>
    </row>
    <row r="411">
      <c r="A411" s="10">
        <f>IFERROR(__xludf.DUMMYFUNCTION("""COMPUTED_VALUE"""),0.0)</f>
        <v>0</v>
      </c>
    </row>
    <row r="412">
      <c r="A412" s="10">
        <f>IFERROR(__xludf.DUMMYFUNCTION("""COMPUTED_VALUE"""),0.0)</f>
        <v>0</v>
      </c>
    </row>
    <row r="413">
      <c r="A413" s="10">
        <f>IFERROR(__xludf.DUMMYFUNCTION("""COMPUTED_VALUE"""),0.00104)</f>
        <v>0.00104</v>
      </c>
    </row>
    <row r="414">
      <c r="A414" s="10">
        <f>IFERROR(__xludf.DUMMYFUNCTION("""COMPUTED_VALUE"""),0.476)</f>
        <v>0.476</v>
      </c>
    </row>
    <row r="415">
      <c r="A415" s="10">
        <f>IFERROR(__xludf.DUMMYFUNCTION("""COMPUTED_VALUE"""),1.48E-6)</f>
        <v>0.00000148</v>
      </c>
    </row>
    <row r="416">
      <c r="A416" s="10">
        <f>IFERROR(__xludf.DUMMYFUNCTION("""COMPUTED_VALUE"""),5.05E-5)</f>
        <v>0.0000505</v>
      </c>
    </row>
    <row r="417">
      <c r="A417" s="10">
        <f>IFERROR(__xludf.DUMMYFUNCTION("""COMPUTED_VALUE"""),0.0)</f>
        <v>0</v>
      </c>
    </row>
    <row r="418">
      <c r="A418" s="10">
        <f>IFERROR(__xludf.DUMMYFUNCTION("""COMPUTED_VALUE"""),0.421)</f>
        <v>0.421</v>
      </c>
    </row>
    <row r="419">
      <c r="A419" s="10">
        <f>IFERROR(__xludf.DUMMYFUNCTION("""COMPUTED_VALUE"""),0.02)</f>
        <v>0.02</v>
      </c>
    </row>
    <row r="420">
      <c r="A420" s="10">
        <f>IFERROR(__xludf.DUMMYFUNCTION("""COMPUTED_VALUE"""),1.91E-4)</f>
        <v>0.000191</v>
      </c>
    </row>
    <row r="421">
      <c r="A421" s="10">
        <f>IFERROR(__xludf.DUMMYFUNCTION("""COMPUTED_VALUE"""),2.81E-4)</f>
        <v>0.000281</v>
      </c>
    </row>
    <row r="422">
      <c r="A422" s="10">
        <f>IFERROR(__xludf.DUMMYFUNCTION("""COMPUTED_VALUE"""),0.656)</f>
        <v>0.656</v>
      </c>
    </row>
    <row r="423">
      <c r="A423" s="10">
        <f>IFERROR(__xludf.DUMMYFUNCTION("""COMPUTED_VALUE"""),0.00766)</f>
        <v>0.00766</v>
      </c>
    </row>
    <row r="424">
      <c r="A424" s="10">
        <f>IFERROR(__xludf.DUMMYFUNCTION("""COMPUTED_VALUE"""),0.0593)</f>
        <v>0.0593</v>
      </c>
    </row>
    <row r="425">
      <c r="A425" s="10">
        <f>IFERROR(__xludf.DUMMYFUNCTION("""COMPUTED_VALUE"""),0.0109)</f>
        <v>0.0109</v>
      </c>
    </row>
    <row r="426">
      <c r="A426" s="10">
        <f>IFERROR(__xludf.DUMMYFUNCTION("""COMPUTED_VALUE"""),0.352)</f>
        <v>0.352</v>
      </c>
    </row>
    <row r="427">
      <c r="A427" s="10">
        <f>IFERROR(__xludf.DUMMYFUNCTION("""COMPUTED_VALUE"""),6.22E-4)</f>
        <v>0.000622</v>
      </c>
    </row>
    <row r="428">
      <c r="A428" s="10">
        <f>IFERROR(__xludf.DUMMYFUNCTION("""COMPUTED_VALUE"""),1.78E-5)</f>
        <v>0.0000178</v>
      </c>
    </row>
    <row r="429">
      <c r="A429" s="10">
        <f>IFERROR(__xludf.DUMMYFUNCTION("""COMPUTED_VALUE"""),0.0)</f>
        <v>0</v>
      </c>
    </row>
    <row r="430">
      <c r="A430" s="10">
        <f>IFERROR(__xludf.DUMMYFUNCTION("""COMPUTED_VALUE"""),0.0)</f>
        <v>0</v>
      </c>
    </row>
    <row r="431">
      <c r="A431" s="10">
        <f>IFERROR(__xludf.DUMMYFUNCTION("""COMPUTED_VALUE"""),0.796)</f>
        <v>0.796</v>
      </c>
    </row>
    <row r="432">
      <c r="A432" s="10">
        <f>IFERROR(__xludf.DUMMYFUNCTION("""COMPUTED_VALUE"""),9.07E-6)</f>
        <v>0.00000907</v>
      </c>
    </row>
    <row r="433">
      <c r="A433" s="10">
        <f>IFERROR(__xludf.DUMMYFUNCTION("""COMPUTED_VALUE"""),0.0)</f>
        <v>0</v>
      </c>
    </row>
    <row r="434">
      <c r="A434" s="10">
        <f>IFERROR(__xludf.DUMMYFUNCTION("""COMPUTED_VALUE"""),0.0)</f>
        <v>0</v>
      </c>
    </row>
    <row r="435">
      <c r="A435" s="10">
        <f>IFERROR(__xludf.DUMMYFUNCTION("""COMPUTED_VALUE"""),0.00121)</f>
        <v>0.00121</v>
      </c>
    </row>
    <row r="436">
      <c r="A436" s="10">
        <f>IFERROR(__xludf.DUMMYFUNCTION("""COMPUTED_VALUE"""),0.0)</f>
        <v>0</v>
      </c>
    </row>
    <row r="437">
      <c r="A437" s="10">
        <f>IFERROR(__xludf.DUMMYFUNCTION("""COMPUTED_VALUE"""),0.881)</f>
        <v>0.881</v>
      </c>
    </row>
    <row r="438">
      <c r="A438" s="10">
        <f>IFERROR(__xludf.DUMMYFUNCTION("""COMPUTED_VALUE"""),0.148)</f>
        <v>0.148</v>
      </c>
    </row>
    <row r="439">
      <c r="A439" s="10">
        <f>IFERROR(__xludf.DUMMYFUNCTION("""COMPUTED_VALUE"""),4.11E-4)</f>
        <v>0.000411</v>
      </c>
    </row>
    <row r="440">
      <c r="A440" s="10">
        <f>IFERROR(__xludf.DUMMYFUNCTION("""COMPUTED_VALUE"""),3.02E-4)</f>
        <v>0.000302</v>
      </c>
    </row>
    <row r="441">
      <c r="A441" s="10">
        <f>IFERROR(__xludf.DUMMYFUNCTION("""COMPUTED_VALUE"""),0.0)</f>
        <v>0</v>
      </c>
    </row>
    <row r="442">
      <c r="A442" s="10">
        <f>IFERROR(__xludf.DUMMYFUNCTION("""COMPUTED_VALUE"""),0.0)</f>
        <v>0</v>
      </c>
    </row>
    <row r="443">
      <c r="A443" s="10">
        <f>IFERROR(__xludf.DUMMYFUNCTION("""COMPUTED_VALUE"""),0.0505)</f>
        <v>0.0505</v>
      </c>
    </row>
    <row r="444">
      <c r="A444" s="10">
        <f>IFERROR(__xludf.DUMMYFUNCTION("""COMPUTED_VALUE"""),0.87)</f>
        <v>0.87</v>
      </c>
    </row>
    <row r="445">
      <c r="A445" s="10">
        <f>IFERROR(__xludf.DUMMYFUNCTION("""COMPUTED_VALUE"""),1.38E-4)</f>
        <v>0.000138</v>
      </c>
    </row>
    <row r="446">
      <c r="A446" s="10">
        <f>IFERROR(__xludf.DUMMYFUNCTION("""COMPUTED_VALUE"""),0.0)</f>
        <v>0</v>
      </c>
    </row>
    <row r="447">
      <c r="A447" s="10">
        <f>IFERROR(__xludf.DUMMYFUNCTION("""COMPUTED_VALUE"""),0.0)</f>
        <v>0</v>
      </c>
    </row>
    <row r="448">
      <c r="A448" s="10">
        <f>IFERROR(__xludf.DUMMYFUNCTION("""COMPUTED_VALUE"""),0.0)</f>
        <v>0</v>
      </c>
    </row>
    <row r="449">
      <c r="A449" s="10">
        <f>IFERROR(__xludf.DUMMYFUNCTION("""COMPUTED_VALUE"""),0.00199)</f>
        <v>0.00199</v>
      </c>
    </row>
    <row r="450">
      <c r="A450" s="10">
        <f>IFERROR(__xludf.DUMMYFUNCTION("""COMPUTED_VALUE"""),0.353)</f>
        <v>0.353</v>
      </c>
    </row>
    <row r="451">
      <c r="A451" s="10">
        <f>IFERROR(__xludf.DUMMYFUNCTION("""COMPUTED_VALUE"""),0.0593)</f>
        <v>0.0593</v>
      </c>
    </row>
    <row r="452">
      <c r="A452" s="10">
        <f>IFERROR(__xludf.DUMMYFUNCTION("""COMPUTED_VALUE"""),4.06E-4)</f>
        <v>0.000406</v>
      </c>
    </row>
    <row r="453">
      <c r="A453" s="10">
        <f>IFERROR(__xludf.DUMMYFUNCTION("""COMPUTED_VALUE"""),4.01E-4)</f>
        <v>0.000401</v>
      </c>
    </row>
    <row r="454">
      <c r="A454" s="10">
        <f>IFERROR(__xludf.DUMMYFUNCTION("""COMPUTED_VALUE"""),0.0194)</f>
        <v>0.0194</v>
      </c>
    </row>
    <row r="455">
      <c r="A455" s="10">
        <f>IFERROR(__xludf.DUMMYFUNCTION("""COMPUTED_VALUE"""),0.698)</f>
        <v>0.698</v>
      </c>
    </row>
    <row r="456">
      <c r="A456" s="10">
        <f>IFERROR(__xludf.DUMMYFUNCTION("""COMPUTED_VALUE"""),8.22E-4)</f>
        <v>0.000822</v>
      </c>
    </row>
    <row r="457">
      <c r="A457" s="10">
        <f>IFERROR(__xludf.DUMMYFUNCTION("""COMPUTED_VALUE"""),3.73E-6)</f>
        <v>0.00000373</v>
      </c>
    </row>
    <row r="458">
      <c r="A458" s="10">
        <f>IFERROR(__xludf.DUMMYFUNCTION("""COMPUTED_VALUE"""),2.23E-6)</f>
        <v>0.00000223</v>
      </c>
    </row>
    <row r="459">
      <c r="A459" s="10">
        <f>IFERROR(__xludf.DUMMYFUNCTION("""COMPUTED_VALUE"""),1.8E-4)</f>
        <v>0.00018</v>
      </c>
    </row>
    <row r="460">
      <c r="A460" s="10">
        <f>IFERROR(__xludf.DUMMYFUNCTION("""COMPUTED_VALUE"""),0.912)</f>
        <v>0.912</v>
      </c>
    </row>
    <row r="461">
      <c r="A461" s="10">
        <f>IFERROR(__xludf.DUMMYFUNCTION("""COMPUTED_VALUE"""),0.0858)</f>
        <v>0.0858</v>
      </c>
    </row>
    <row r="462">
      <c r="A462" s="10">
        <f>IFERROR(__xludf.DUMMYFUNCTION("""COMPUTED_VALUE"""),0.879)</f>
        <v>0.879</v>
      </c>
    </row>
    <row r="463">
      <c r="A463" s="10">
        <f>IFERROR(__xludf.DUMMYFUNCTION("""COMPUTED_VALUE"""),0.0)</f>
        <v>0</v>
      </c>
    </row>
    <row r="464">
      <c r="A464" s="10">
        <f>IFERROR(__xludf.DUMMYFUNCTION("""COMPUTED_VALUE"""),0.457)</f>
        <v>0.457</v>
      </c>
    </row>
    <row r="465">
      <c r="A465" s="10">
        <f>IFERROR(__xludf.DUMMYFUNCTION("""COMPUTED_VALUE"""),0.0)</f>
        <v>0</v>
      </c>
    </row>
    <row r="466">
      <c r="A466" s="10">
        <f>IFERROR(__xludf.DUMMYFUNCTION("""COMPUTED_VALUE"""),1.41E-5)</f>
        <v>0.0000141</v>
      </c>
    </row>
    <row r="467">
      <c r="A467" s="10">
        <f>IFERROR(__xludf.DUMMYFUNCTION("""COMPUTED_VALUE"""),2.05E-4)</f>
        <v>0.000205</v>
      </c>
    </row>
    <row r="468">
      <c r="A468" s="10">
        <f>IFERROR(__xludf.DUMMYFUNCTION("""COMPUTED_VALUE"""),0.00642)</f>
        <v>0.00642</v>
      </c>
    </row>
    <row r="469">
      <c r="A469" s="10">
        <f>IFERROR(__xludf.DUMMYFUNCTION("""COMPUTED_VALUE"""),4.48E-4)</f>
        <v>0.000448</v>
      </c>
    </row>
    <row r="470">
      <c r="A470" s="10">
        <f>IFERROR(__xludf.DUMMYFUNCTION("""COMPUTED_VALUE"""),2.65E-6)</f>
        <v>0.00000265</v>
      </c>
    </row>
    <row r="471">
      <c r="A471" s="10">
        <f>IFERROR(__xludf.DUMMYFUNCTION("""COMPUTED_VALUE"""),0.109)</f>
        <v>0.109</v>
      </c>
    </row>
    <row r="472">
      <c r="A472" s="10">
        <f>IFERROR(__xludf.DUMMYFUNCTION("""COMPUTED_VALUE"""),0.861)</f>
        <v>0.861</v>
      </c>
    </row>
    <row r="473">
      <c r="A473" s="10">
        <f>IFERROR(__xludf.DUMMYFUNCTION("""COMPUTED_VALUE"""),0.573)</f>
        <v>0.573</v>
      </c>
    </row>
    <row r="474">
      <c r="A474" s="10">
        <f>IFERROR(__xludf.DUMMYFUNCTION("""COMPUTED_VALUE"""),1.48E-5)</f>
        <v>0.0000148</v>
      </c>
    </row>
    <row r="475">
      <c r="A475" s="10">
        <f>IFERROR(__xludf.DUMMYFUNCTION("""COMPUTED_VALUE"""),0.0)</f>
        <v>0</v>
      </c>
    </row>
    <row r="476">
      <c r="A476" s="10">
        <f>IFERROR(__xludf.DUMMYFUNCTION("""COMPUTED_VALUE"""),0.298)</f>
        <v>0.298</v>
      </c>
    </row>
    <row r="477">
      <c r="A477" s="10">
        <f>IFERROR(__xludf.DUMMYFUNCTION("""COMPUTED_VALUE"""),0.00424)</f>
        <v>0.00424</v>
      </c>
    </row>
    <row r="478">
      <c r="A478" s="10">
        <f>IFERROR(__xludf.DUMMYFUNCTION("""COMPUTED_VALUE"""),0.00665)</f>
        <v>0.00665</v>
      </c>
    </row>
    <row r="479">
      <c r="A479" s="10">
        <f>IFERROR(__xludf.DUMMYFUNCTION("""COMPUTED_VALUE"""),0.829)</f>
        <v>0.829</v>
      </c>
    </row>
    <row r="480">
      <c r="A480" s="10">
        <f>IFERROR(__xludf.DUMMYFUNCTION("""COMPUTED_VALUE"""),0.687)</f>
        <v>0.687</v>
      </c>
    </row>
    <row r="481">
      <c r="A481" s="10">
        <f>IFERROR(__xludf.DUMMYFUNCTION("""COMPUTED_VALUE"""),0.852)</f>
        <v>0.852</v>
      </c>
    </row>
    <row r="482">
      <c r="A482" s="10">
        <f>IFERROR(__xludf.DUMMYFUNCTION("""COMPUTED_VALUE"""),0.491)</f>
        <v>0.491</v>
      </c>
    </row>
    <row r="483">
      <c r="A483" s="10">
        <f>IFERROR(__xludf.DUMMYFUNCTION("""COMPUTED_VALUE"""),2.5E-4)</f>
        <v>0.00025</v>
      </c>
    </row>
    <row r="484">
      <c r="A484" s="10">
        <f>IFERROR(__xludf.DUMMYFUNCTION("""COMPUTED_VALUE"""),0.895)</f>
        <v>0.895</v>
      </c>
    </row>
    <row r="485">
      <c r="A485" s="10">
        <f>IFERROR(__xludf.DUMMYFUNCTION("""COMPUTED_VALUE"""),2.07E-6)</f>
        <v>0.00000207</v>
      </c>
    </row>
    <row r="486">
      <c r="A486" s="10">
        <f>IFERROR(__xludf.DUMMYFUNCTION("""COMPUTED_VALUE"""),0.925)</f>
        <v>0.925</v>
      </c>
    </row>
    <row r="487">
      <c r="A487" s="10">
        <f>IFERROR(__xludf.DUMMYFUNCTION("""COMPUTED_VALUE"""),0.874)</f>
        <v>0.874</v>
      </c>
    </row>
    <row r="488">
      <c r="A488" s="10">
        <f>IFERROR(__xludf.DUMMYFUNCTION("""COMPUTED_VALUE"""),0.87)</f>
        <v>0.87</v>
      </c>
    </row>
    <row r="489">
      <c r="A489" s="10">
        <f>IFERROR(__xludf.DUMMYFUNCTION("""COMPUTED_VALUE"""),0.86)</f>
        <v>0.86</v>
      </c>
    </row>
    <row r="490">
      <c r="A490" s="10">
        <f>IFERROR(__xludf.DUMMYFUNCTION("""COMPUTED_VALUE"""),0.495)</f>
        <v>0.495</v>
      </c>
    </row>
    <row r="491">
      <c r="A491" s="10">
        <f>IFERROR(__xludf.DUMMYFUNCTION("""COMPUTED_VALUE"""),0.0114)</f>
        <v>0.0114</v>
      </c>
    </row>
    <row r="492">
      <c r="A492" s="10">
        <f>IFERROR(__xludf.DUMMYFUNCTION("""COMPUTED_VALUE"""),0.171)</f>
        <v>0.171</v>
      </c>
    </row>
    <row r="493">
      <c r="A493" s="10">
        <f>IFERROR(__xludf.DUMMYFUNCTION("""COMPUTED_VALUE"""),0.404)</f>
        <v>0.404</v>
      </c>
    </row>
    <row r="494">
      <c r="A494" s="10">
        <f>IFERROR(__xludf.DUMMYFUNCTION("""COMPUTED_VALUE"""),0.0185)</f>
        <v>0.0185</v>
      </c>
    </row>
    <row r="495">
      <c r="A495" s="10">
        <f>IFERROR(__xludf.DUMMYFUNCTION("""COMPUTED_VALUE"""),0.0)</f>
        <v>0</v>
      </c>
    </row>
    <row r="496">
      <c r="A496" s="10">
        <f>IFERROR(__xludf.DUMMYFUNCTION("""COMPUTED_VALUE"""),0.0616)</f>
        <v>0.0616</v>
      </c>
    </row>
    <row r="497">
      <c r="A497" s="10">
        <f>IFERROR(__xludf.DUMMYFUNCTION("""COMPUTED_VALUE"""),7.82E-5)</f>
        <v>0.0000782</v>
      </c>
    </row>
    <row r="498">
      <c r="A498" s="10">
        <f>IFERROR(__xludf.DUMMYFUNCTION("""COMPUTED_VALUE"""),0.0)</f>
        <v>0</v>
      </c>
    </row>
    <row r="499">
      <c r="A499" s="10">
        <f>IFERROR(__xludf.DUMMYFUNCTION("""COMPUTED_VALUE"""),0.145)</f>
        <v>0.145</v>
      </c>
    </row>
    <row r="500">
      <c r="A500" s="10">
        <f>IFERROR(__xludf.DUMMYFUNCTION("""COMPUTED_VALUE"""),0.22)</f>
        <v>0.22</v>
      </c>
    </row>
    <row r="501">
      <c r="A501" s="10">
        <f>IFERROR(__xludf.DUMMYFUNCTION("""COMPUTED_VALUE"""),3.66E-4)</f>
        <v>0.000366</v>
      </c>
    </row>
    <row r="502">
      <c r="A502" s="10">
        <f>IFERROR(__xludf.DUMMYFUNCTION("""COMPUTED_VALUE"""),4.77E-5)</f>
        <v>0.0000477</v>
      </c>
    </row>
    <row r="503">
      <c r="A503" s="10">
        <f>IFERROR(__xludf.DUMMYFUNCTION("""COMPUTED_VALUE"""),0.0)</f>
        <v>0</v>
      </c>
    </row>
    <row r="504">
      <c r="A504" s="10">
        <f>IFERROR(__xludf.DUMMYFUNCTION("""COMPUTED_VALUE"""),0.0736)</f>
        <v>0.0736</v>
      </c>
    </row>
    <row r="505">
      <c r="A505" s="10">
        <f>IFERROR(__xludf.DUMMYFUNCTION("""COMPUTED_VALUE"""),2.21E-6)</f>
        <v>0.00000221</v>
      </c>
    </row>
    <row r="506">
      <c r="A506" s="10">
        <f>IFERROR(__xludf.DUMMYFUNCTION("""COMPUTED_VALUE"""),0.698)</f>
        <v>0.698</v>
      </c>
    </row>
    <row r="507">
      <c r="A507" s="10">
        <f>IFERROR(__xludf.DUMMYFUNCTION("""COMPUTED_VALUE"""),7.74E-6)</f>
        <v>0.00000774</v>
      </c>
    </row>
    <row r="508">
      <c r="A508" s="10">
        <f>IFERROR(__xludf.DUMMYFUNCTION("""COMPUTED_VALUE"""),0.865)</f>
        <v>0.865</v>
      </c>
    </row>
    <row r="509">
      <c r="A509" s="10">
        <f>IFERROR(__xludf.DUMMYFUNCTION("""COMPUTED_VALUE"""),0.0364)</f>
        <v>0.0364</v>
      </c>
    </row>
    <row r="510">
      <c r="A510" s="10">
        <f>IFERROR(__xludf.DUMMYFUNCTION("""COMPUTED_VALUE"""),0.942)</f>
        <v>0.942</v>
      </c>
    </row>
    <row r="511">
      <c r="A511" s="10">
        <f>IFERROR(__xludf.DUMMYFUNCTION("""COMPUTED_VALUE"""),3.07E-5)</f>
        <v>0.0000307</v>
      </c>
    </row>
    <row r="512">
      <c r="A512" s="10">
        <f>IFERROR(__xludf.DUMMYFUNCTION("""COMPUTED_VALUE"""),6.12E-5)</f>
        <v>0.0000612</v>
      </c>
    </row>
    <row r="513">
      <c r="A513" s="10">
        <f>IFERROR(__xludf.DUMMYFUNCTION("""COMPUTED_VALUE"""),9.61E-4)</f>
        <v>0.000961</v>
      </c>
    </row>
    <row r="514">
      <c r="A514" s="10">
        <f>IFERROR(__xludf.DUMMYFUNCTION("""COMPUTED_VALUE"""),0.0)</f>
        <v>0</v>
      </c>
    </row>
    <row r="515">
      <c r="A515" s="10">
        <f>IFERROR(__xludf.DUMMYFUNCTION("""COMPUTED_VALUE"""),0.853)</f>
        <v>0.853</v>
      </c>
    </row>
    <row r="516">
      <c r="A516" s="10">
        <f>IFERROR(__xludf.DUMMYFUNCTION("""COMPUTED_VALUE"""),0.00104)</f>
        <v>0.00104</v>
      </c>
    </row>
    <row r="517">
      <c r="A517" s="10">
        <f>IFERROR(__xludf.DUMMYFUNCTION("""COMPUTED_VALUE"""),0.209)</f>
        <v>0.209</v>
      </c>
    </row>
    <row r="518">
      <c r="A518" s="10">
        <f>IFERROR(__xludf.DUMMYFUNCTION("""COMPUTED_VALUE"""),0.612)</f>
        <v>0.612</v>
      </c>
    </row>
    <row r="519">
      <c r="A519" s="10">
        <f>IFERROR(__xludf.DUMMYFUNCTION("""COMPUTED_VALUE"""),0.313)</f>
        <v>0.313</v>
      </c>
    </row>
    <row r="520">
      <c r="A520" s="10">
        <f>IFERROR(__xludf.DUMMYFUNCTION("""COMPUTED_VALUE"""),0.446)</f>
        <v>0.446</v>
      </c>
    </row>
    <row r="521">
      <c r="A521" s="10">
        <f>IFERROR(__xludf.DUMMYFUNCTION("""COMPUTED_VALUE"""),0.0)</f>
        <v>0</v>
      </c>
    </row>
    <row r="522">
      <c r="A522" s="10">
        <f>IFERROR(__xludf.DUMMYFUNCTION("""COMPUTED_VALUE"""),0.162)</f>
        <v>0.162</v>
      </c>
    </row>
    <row r="523">
      <c r="A523" s="10">
        <f>IFERROR(__xludf.DUMMYFUNCTION("""COMPUTED_VALUE"""),2.23E-4)</f>
        <v>0.000223</v>
      </c>
    </row>
    <row r="524">
      <c r="A524" s="10">
        <f>IFERROR(__xludf.DUMMYFUNCTION("""COMPUTED_VALUE"""),0.683)</f>
        <v>0.683</v>
      </c>
    </row>
    <row r="525">
      <c r="A525" s="10">
        <f>IFERROR(__xludf.DUMMYFUNCTION("""COMPUTED_VALUE"""),4.65E-6)</f>
        <v>0.00000465</v>
      </c>
    </row>
    <row r="526">
      <c r="A526" s="10">
        <f>IFERROR(__xludf.DUMMYFUNCTION("""COMPUTED_VALUE"""),0.899)</f>
        <v>0.899</v>
      </c>
    </row>
    <row r="527">
      <c r="A527" s="10">
        <f>IFERROR(__xludf.DUMMYFUNCTION("""COMPUTED_VALUE"""),0.863)</f>
        <v>0.863</v>
      </c>
    </row>
    <row r="528">
      <c r="A528" s="10">
        <f>IFERROR(__xludf.DUMMYFUNCTION("""COMPUTED_VALUE"""),0.718)</f>
        <v>0.718</v>
      </c>
    </row>
    <row r="529">
      <c r="A529" s="10">
        <f>IFERROR(__xludf.DUMMYFUNCTION("""COMPUTED_VALUE"""),0.0467)</f>
        <v>0.0467</v>
      </c>
    </row>
    <row r="530">
      <c r="A530" s="10">
        <f>IFERROR(__xludf.DUMMYFUNCTION("""COMPUTED_VALUE"""),0.0)</f>
        <v>0</v>
      </c>
    </row>
    <row r="531">
      <c r="A531" s="10">
        <f>IFERROR(__xludf.DUMMYFUNCTION("""COMPUTED_VALUE"""),4.82E-5)</f>
        <v>0.0000482</v>
      </c>
    </row>
    <row r="532">
      <c r="A532" s="10">
        <f>IFERROR(__xludf.DUMMYFUNCTION("""COMPUTED_VALUE"""),8.6E-5)</f>
        <v>0.000086</v>
      </c>
    </row>
    <row r="533">
      <c r="A533" s="10">
        <f>IFERROR(__xludf.DUMMYFUNCTION("""COMPUTED_VALUE"""),0.393)</f>
        <v>0.393</v>
      </c>
    </row>
    <row r="534">
      <c r="A534" s="10">
        <f>IFERROR(__xludf.DUMMYFUNCTION("""COMPUTED_VALUE"""),0.401)</f>
        <v>0.401</v>
      </c>
    </row>
    <row r="535">
      <c r="A535" s="10">
        <f>IFERROR(__xludf.DUMMYFUNCTION("""COMPUTED_VALUE"""),0.518)</f>
        <v>0.518</v>
      </c>
    </row>
    <row r="536">
      <c r="A536" s="10">
        <f>IFERROR(__xludf.DUMMYFUNCTION("""COMPUTED_VALUE"""),0.00588)</f>
        <v>0.00588</v>
      </c>
    </row>
    <row r="537">
      <c r="A537" s="10">
        <f>IFERROR(__xludf.DUMMYFUNCTION("""COMPUTED_VALUE"""),1.23E-4)</f>
        <v>0.000123</v>
      </c>
    </row>
    <row r="538">
      <c r="A538" s="10">
        <f>IFERROR(__xludf.DUMMYFUNCTION("""COMPUTED_VALUE"""),0.0946)</f>
        <v>0.0946</v>
      </c>
    </row>
    <row r="539">
      <c r="A539" s="10">
        <f>IFERROR(__xludf.DUMMYFUNCTION("""COMPUTED_VALUE"""),0.12)</f>
        <v>0.12</v>
      </c>
    </row>
    <row r="540">
      <c r="A540" s="10">
        <f>IFERROR(__xludf.DUMMYFUNCTION("""COMPUTED_VALUE"""),4.14E-4)</f>
        <v>0.000414</v>
      </c>
    </row>
    <row r="541">
      <c r="A541" s="10">
        <f>IFERROR(__xludf.DUMMYFUNCTION("""COMPUTED_VALUE"""),2.58E-6)</f>
        <v>0.00000258</v>
      </c>
    </row>
    <row r="542">
      <c r="A542" s="10">
        <f>IFERROR(__xludf.DUMMYFUNCTION("""COMPUTED_VALUE"""),0.0116)</f>
        <v>0.0116</v>
      </c>
    </row>
    <row r="543">
      <c r="A543" s="10">
        <f>IFERROR(__xludf.DUMMYFUNCTION("""COMPUTED_VALUE"""),0.0623)</f>
        <v>0.0623</v>
      </c>
    </row>
    <row r="544">
      <c r="A544" s="10">
        <f>IFERROR(__xludf.DUMMYFUNCTION("""COMPUTED_VALUE"""),0.00401)</f>
        <v>0.00401</v>
      </c>
    </row>
    <row r="545">
      <c r="A545" s="10">
        <f>IFERROR(__xludf.DUMMYFUNCTION("""COMPUTED_VALUE"""),0.329)</f>
        <v>0.329</v>
      </c>
    </row>
    <row r="546">
      <c r="A546" s="10">
        <f>IFERROR(__xludf.DUMMYFUNCTION("""COMPUTED_VALUE"""),2.98E-6)</f>
        <v>0.00000298</v>
      </c>
    </row>
    <row r="547">
      <c r="A547" s="10">
        <f>IFERROR(__xludf.DUMMYFUNCTION("""COMPUTED_VALUE"""),8.49E-5)</f>
        <v>0.0000849</v>
      </c>
    </row>
    <row r="548">
      <c r="A548" s="10">
        <f>IFERROR(__xludf.DUMMYFUNCTION("""COMPUTED_VALUE"""),0.0034)</f>
        <v>0.0034</v>
      </c>
    </row>
    <row r="549">
      <c r="A549" s="10">
        <f>IFERROR(__xludf.DUMMYFUNCTION("""COMPUTED_VALUE"""),0.00585)</f>
        <v>0.00585</v>
      </c>
    </row>
    <row r="550">
      <c r="A550" s="10">
        <f>IFERROR(__xludf.DUMMYFUNCTION("""COMPUTED_VALUE"""),1.17E-4)</f>
        <v>0.000117</v>
      </c>
    </row>
    <row r="551">
      <c r="A551" s="10">
        <f>IFERROR(__xludf.DUMMYFUNCTION("""COMPUTED_VALUE"""),0.853)</f>
        <v>0.853</v>
      </c>
    </row>
    <row r="552">
      <c r="A552" s="10">
        <f>IFERROR(__xludf.DUMMYFUNCTION("""COMPUTED_VALUE"""),0.479)</f>
        <v>0.479</v>
      </c>
    </row>
    <row r="553">
      <c r="A553" s="10">
        <f>IFERROR(__xludf.DUMMYFUNCTION("""COMPUTED_VALUE"""),0.51)</f>
        <v>0.51</v>
      </c>
    </row>
    <row r="554">
      <c r="A554" s="10">
        <f>IFERROR(__xludf.DUMMYFUNCTION("""COMPUTED_VALUE"""),2.47E-4)</f>
        <v>0.000247</v>
      </c>
    </row>
    <row r="555">
      <c r="A555" s="10">
        <f>IFERROR(__xludf.DUMMYFUNCTION("""COMPUTED_VALUE"""),0.00648)</f>
        <v>0.00648</v>
      </c>
    </row>
    <row r="556">
      <c r="A556" s="10">
        <f>IFERROR(__xludf.DUMMYFUNCTION("""COMPUTED_VALUE"""),0.878)</f>
        <v>0.878</v>
      </c>
    </row>
    <row r="557">
      <c r="A557" s="10">
        <f>IFERROR(__xludf.DUMMYFUNCTION("""COMPUTED_VALUE"""),0.00788)</f>
        <v>0.00788</v>
      </c>
    </row>
    <row r="558">
      <c r="A558" s="10">
        <f>IFERROR(__xludf.DUMMYFUNCTION("""COMPUTED_VALUE"""),2.45E-4)</f>
        <v>0.000245</v>
      </c>
    </row>
    <row r="559">
      <c r="A559" s="10">
        <f>IFERROR(__xludf.DUMMYFUNCTION("""COMPUTED_VALUE"""),6.58E-4)</f>
        <v>0.000658</v>
      </c>
    </row>
    <row r="560">
      <c r="A560" s="10">
        <f>IFERROR(__xludf.DUMMYFUNCTION("""COMPUTED_VALUE"""),0.497)</f>
        <v>0.497</v>
      </c>
    </row>
    <row r="561">
      <c r="A561" s="10">
        <f>IFERROR(__xludf.DUMMYFUNCTION("""COMPUTED_VALUE"""),8.39E-6)</f>
        <v>0.00000839</v>
      </c>
    </row>
    <row r="562">
      <c r="A562" s="10">
        <f>IFERROR(__xludf.DUMMYFUNCTION("""COMPUTED_VALUE"""),0.00217)</f>
        <v>0.00217</v>
      </c>
    </row>
    <row r="563">
      <c r="A563" s="10">
        <f>IFERROR(__xludf.DUMMYFUNCTION("""COMPUTED_VALUE"""),0.776)</f>
        <v>0.776</v>
      </c>
    </row>
    <row r="564">
      <c r="A564" s="10">
        <f>IFERROR(__xludf.DUMMYFUNCTION("""COMPUTED_VALUE"""),0.907)</f>
        <v>0.907</v>
      </c>
    </row>
    <row r="565">
      <c r="A565" s="10">
        <f>IFERROR(__xludf.DUMMYFUNCTION("""COMPUTED_VALUE"""),1.7E-4)</f>
        <v>0.00017</v>
      </c>
    </row>
    <row r="566">
      <c r="A566" s="10">
        <f>IFERROR(__xludf.DUMMYFUNCTION("""COMPUTED_VALUE"""),0.118)</f>
        <v>0.118</v>
      </c>
    </row>
    <row r="567">
      <c r="A567" s="10">
        <f>IFERROR(__xludf.DUMMYFUNCTION("""COMPUTED_VALUE"""),0.898)</f>
        <v>0.898</v>
      </c>
    </row>
    <row r="568">
      <c r="A568" s="10">
        <f>IFERROR(__xludf.DUMMYFUNCTION("""COMPUTED_VALUE"""),0.363)</f>
        <v>0.363</v>
      </c>
    </row>
    <row r="569">
      <c r="A569" s="10">
        <f>IFERROR(__xludf.DUMMYFUNCTION("""COMPUTED_VALUE"""),0.88)</f>
        <v>0.88</v>
      </c>
    </row>
    <row r="570">
      <c r="A570" s="10">
        <f>IFERROR(__xludf.DUMMYFUNCTION("""COMPUTED_VALUE"""),0.0)</f>
        <v>0</v>
      </c>
    </row>
    <row r="571">
      <c r="A571" s="10">
        <f>IFERROR(__xludf.DUMMYFUNCTION("""COMPUTED_VALUE"""),0.0)</f>
        <v>0</v>
      </c>
    </row>
    <row r="572">
      <c r="A572" s="10">
        <f>IFERROR(__xludf.DUMMYFUNCTION("""COMPUTED_VALUE"""),1.21E-5)</f>
        <v>0.0000121</v>
      </c>
    </row>
    <row r="573">
      <c r="A573" s="10">
        <f>IFERROR(__xludf.DUMMYFUNCTION("""COMPUTED_VALUE"""),0.0236)</f>
        <v>0.0236</v>
      </c>
    </row>
    <row r="574">
      <c r="A574" s="10">
        <f>IFERROR(__xludf.DUMMYFUNCTION("""COMPUTED_VALUE"""),0.976)</f>
        <v>0.976</v>
      </c>
    </row>
    <row r="575">
      <c r="A575" s="10">
        <f>IFERROR(__xludf.DUMMYFUNCTION("""COMPUTED_VALUE"""),0.927)</f>
        <v>0.927</v>
      </c>
    </row>
    <row r="576">
      <c r="A576" s="10">
        <f>IFERROR(__xludf.DUMMYFUNCTION("""COMPUTED_VALUE"""),0.876)</f>
        <v>0.876</v>
      </c>
    </row>
    <row r="577">
      <c r="A577" s="10">
        <f>IFERROR(__xludf.DUMMYFUNCTION("""COMPUTED_VALUE"""),0.271)</f>
        <v>0.271</v>
      </c>
    </row>
    <row r="578">
      <c r="A578" s="10">
        <f>IFERROR(__xludf.DUMMYFUNCTION("""COMPUTED_VALUE"""),0.0652)</f>
        <v>0.0652</v>
      </c>
    </row>
    <row r="579">
      <c r="A579" s="10">
        <f>IFERROR(__xludf.DUMMYFUNCTION("""COMPUTED_VALUE"""),0.827)</f>
        <v>0.827</v>
      </c>
    </row>
    <row r="580">
      <c r="A580" s="10">
        <f>IFERROR(__xludf.DUMMYFUNCTION("""COMPUTED_VALUE"""),0.532)</f>
        <v>0.532</v>
      </c>
    </row>
    <row r="581">
      <c r="A581" s="10">
        <f>IFERROR(__xludf.DUMMYFUNCTION("""COMPUTED_VALUE"""),0.22)</f>
        <v>0.22</v>
      </c>
    </row>
    <row r="582">
      <c r="A582" s="10">
        <f>IFERROR(__xludf.DUMMYFUNCTION("""COMPUTED_VALUE"""),6.67E-5)</f>
        <v>0.0000667</v>
      </c>
    </row>
    <row r="583">
      <c r="A583" s="10">
        <f>IFERROR(__xludf.DUMMYFUNCTION("""COMPUTED_VALUE"""),0.0)</f>
        <v>0</v>
      </c>
    </row>
    <row r="584">
      <c r="A584" s="10">
        <f>IFERROR(__xludf.DUMMYFUNCTION("""COMPUTED_VALUE"""),4.17E-4)</f>
        <v>0.000417</v>
      </c>
    </row>
    <row r="585">
      <c r="A585" s="10">
        <f>IFERROR(__xludf.DUMMYFUNCTION("""COMPUTED_VALUE"""),0.109)</f>
        <v>0.109</v>
      </c>
    </row>
    <row r="586">
      <c r="A586" s="10">
        <f>IFERROR(__xludf.DUMMYFUNCTION("""COMPUTED_VALUE"""),7.75E-5)</f>
        <v>0.0000775</v>
      </c>
    </row>
    <row r="587">
      <c r="A587" s="10">
        <f>IFERROR(__xludf.DUMMYFUNCTION("""COMPUTED_VALUE"""),1.55E-4)</f>
        <v>0.000155</v>
      </c>
    </row>
    <row r="588">
      <c r="A588" s="10">
        <f>IFERROR(__xludf.DUMMYFUNCTION("""COMPUTED_VALUE"""),0.00239)</f>
        <v>0.00239</v>
      </c>
    </row>
    <row r="589">
      <c r="A589" s="10">
        <f>IFERROR(__xludf.DUMMYFUNCTION("""COMPUTED_VALUE"""),0.0)</f>
        <v>0</v>
      </c>
    </row>
    <row r="590">
      <c r="A590" s="10">
        <f>IFERROR(__xludf.DUMMYFUNCTION("""COMPUTED_VALUE"""),0.0628)</f>
        <v>0.0628</v>
      </c>
    </row>
    <row r="591">
      <c r="A591" s="10">
        <f>IFERROR(__xludf.DUMMYFUNCTION("""COMPUTED_VALUE"""),0.948)</f>
        <v>0.948</v>
      </c>
    </row>
    <row r="592">
      <c r="A592" s="10">
        <f>IFERROR(__xludf.DUMMYFUNCTION("""COMPUTED_VALUE"""),0.243)</f>
        <v>0.243</v>
      </c>
    </row>
    <row r="593">
      <c r="A593" s="10">
        <f>IFERROR(__xludf.DUMMYFUNCTION("""COMPUTED_VALUE"""),0.635)</f>
        <v>0.635</v>
      </c>
    </row>
    <row r="594">
      <c r="A594" s="10">
        <f>IFERROR(__xludf.DUMMYFUNCTION("""COMPUTED_VALUE"""),0.24)</f>
        <v>0.24</v>
      </c>
    </row>
    <row r="595">
      <c r="A595" s="10">
        <f>IFERROR(__xludf.DUMMYFUNCTION("""COMPUTED_VALUE"""),0.0)</f>
        <v>0</v>
      </c>
    </row>
    <row r="596">
      <c r="A596" s="10">
        <f>IFERROR(__xludf.DUMMYFUNCTION("""COMPUTED_VALUE"""),0.935)</f>
        <v>0.935</v>
      </c>
    </row>
    <row r="597">
      <c r="A597" s="10">
        <f>IFERROR(__xludf.DUMMYFUNCTION("""COMPUTED_VALUE"""),0.798)</f>
        <v>0.798</v>
      </c>
    </row>
    <row r="598">
      <c r="A598" s="10">
        <f>IFERROR(__xludf.DUMMYFUNCTION("""COMPUTED_VALUE"""),0.889)</f>
        <v>0.889</v>
      </c>
    </row>
    <row r="599">
      <c r="A599" s="10">
        <f>IFERROR(__xludf.DUMMYFUNCTION("""COMPUTED_VALUE"""),9.04E-6)</f>
        <v>0.00000904</v>
      </c>
    </row>
    <row r="600">
      <c r="A600" s="10">
        <f>IFERROR(__xludf.DUMMYFUNCTION("""COMPUTED_VALUE"""),6.09E-4)</f>
        <v>0.000609</v>
      </c>
    </row>
    <row r="601">
      <c r="A601" s="10">
        <f>IFERROR(__xludf.DUMMYFUNCTION("""COMPUTED_VALUE"""),0.005)</f>
        <v>0.005</v>
      </c>
    </row>
    <row r="602">
      <c r="A602" s="10">
        <f>IFERROR(__xludf.DUMMYFUNCTION("""COMPUTED_VALUE"""),4.4E-5)</f>
        <v>0.000044</v>
      </c>
    </row>
    <row r="603">
      <c r="A603" s="10">
        <f>IFERROR(__xludf.DUMMYFUNCTION("""COMPUTED_VALUE"""),0.378)</f>
        <v>0.378</v>
      </c>
    </row>
    <row r="604">
      <c r="A604" s="10">
        <f>IFERROR(__xludf.DUMMYFUNCTION("""COMPUTED_VALUE"""),5.45E-4)</f>
        <v>0.000545</v>
      </c>
    </row>
    <row r="605">
      <c r="A605" s="10">
        <f>IFERROR(__xludf.DUMMYFUNCTION("""COMPUTED_VALUE"""),0.00199)</f>
        <v>0.00199</v>
      </c>
    </row>
    <row r="606">
      <c r="A606" s="10">
        <f>IFERROR(__xludf.DUMMYFUNCTION("""COMPUTED_VALUE"""),2.05E-5)</f>
        <v>0.0000205</v>
      </c>
    </row>
    <row r="607">
      <c r="A607" s="10">
        <f>IFERROR(__xludf.DUMMYFUNCTION("""COMPUTED_VALUE"""),2.14E-4)</f>
        <v>0.000214</v>
      </c>
    </row>
    <row r="608">
      <c r="A608" s="10">
        <f>IFERROR(__xludf.DUMMYFUNCTION("""COMPUTED_VALUE"""),8.68E-5)</f>
        <v>0.0000868</v>
      </c>
    </row>
    <row r="609">
      <c r="A609" s="10">
        <f>IFERROR(__xludf.DUMMYFUNCTION("""COMPUTED_VALUE"""),0.0)</f>
        <v>0</v>
      </c>
    </row>
    <row r="610">
      <c r="A610" s="10">
        <f>IFERROR(__xludf.DUMMYFUNCTION("""COMPUTED_VALUE"""),0.0)</f>
        <v>0</v>
      </c>
    </row>
    <row r="611">
      <c r="A611" s="10">
        <f>IFERROR(__xludf.DUMMYFUNCTION("""COMPUTED_VALUE"""),0.892)</f>
        <v>0.892</v>
      </c>
    </row>
    <row r="612">
      <c r="A612" s="10">
        <f>IFERROR(__xludf.DUMMYFUNCTION("""COMPUTED_VALUE"""),0.823)</f>
        <v>0.823</v>
      </c>
    </row>
    <row r="613">
      <c r="A613" s="10">
        <f>IFERROR(__xludf.DUMMYFUNCTION("""COMPUTED_VALUE"""),0.889)</f>
        <v>0.889</v>
      </c>
    </row>
    <row r="614">
      <c r="A614" s="10">
        <f>IFERROR(__xludf.DUMMYFUNCTION("""COMPUTED_VALUE"""),2.69E-5)</f>
        <v>0.0000269</v>
      </c>
    </row>
    <row r="615">
      <c r="A615" s="10">
        <f>IFERROR(__xludf.DUMMYFUNCTION("""COMPUTED_VALUE"""),2.96E-5)</f>
        <v>0.0000296</v>
      </c>
    </row>
    <row r="616">
      <c r="A616" s="10">
        <f>IFERROR(__xludf.DUMMYFUNCTION("""COMPUTED_VALUE"""),0.886)</f>
        <v>0.886</v>
      </c>
    </row>
    <row r="617">
      <c r="A617" s="10">
        <f>IFERROR(__xludf.DUMMYFUNCTION("""COMPUTED_VALUE"""),0.942)</f>
        <v>0.942</v>
      </c>
    </row>
    <row r="618">
      <c r="A618" s="10">
        <f>IFERROR(__xludf.DUMMYFUNCTION("""COMPUTED_VALUE"""),0.844)</f>
        <v>0.844</v>
      </c>
    </row>
    <row r="619">
      <c r="A619" s="10">
        <f>IFERROR(__xludf.DUMMYFUNCTION("""COMPUTED_VALUE"""),0.882)</f>
        <v>0.882</v>
      </c>
    </row>
    <row r="620">
      <c r="A620" s="10">
        <f>IFERROR(__xludf.DUMMYFUNCTION("""COMPUTED_VALUE"""),0.931)</f>
        <v>0.931</v>
      </c>
    </row>
    <row r="621">
      <c r="A621" s="10">
        <f>IFERROR(__xludf.DUMMYFUNCTION("""COMPUTED_VALUE"""),0.876)</f>
        <v>0.876</v>
      </c>
    </row>
    <row r="622">
      <c r="A622" s="10">
        <f>IFERROR(__xludf.DUMMYFUNCTION("""COMPUTED_VALUE"""),0.463)</f>
        <v>0.463</v>
      </c>
    </row>
    <row r="623">
      <c r="A623" s="10">
        <f>IFERROR(__xludf.DUMMYFUNCTION("""COMPUTED_VALUE"""),0.927)</f>
        <v>0.927</v>
      </c>
    </row>
    <row r="624">
      <c r="A624" s="10">
        <f>IFERROR(__xludf.DUMMYFUNCTION("""COMPUTED_VALUE"""),0.845)</f>
        <v>0.845</v>
      </c>
    </row>
    <row r="625">
      <c r="A625" s="10">
        <f>IFERROR(__xludf.DUMMYFUNCTION("""COMPUTED_VALUE"""),0.00921)</f>
        <v>0.00921</v>
      </c>
    </row>
    <row r="626">
      <c r="A626" s="10">
        <f>IFERROR(__xludf.DUMMYFUNCTION("""COMPUTED_VALUE"""),0.0317)</f>
        <v>0.0317</v>
      </c>
    </row>
    <row r="627">
      <c r="A627" s="10">
        <f>IFERROR(__xludf.DUMMYFUNCTION("""COMPUTED_VALUE"""),0.394)</f>
        <v>0.394</v>
      </c>
    </row>
    <row r="628">
      <c r="A628" s="10">
        <f>IFERROR(__xludf.DUMMYFUNCTION("""COMPUTED_VALUE"""),0.0518)</f>
        <v>0.0518</v>
      </c>
    </row>
    <row r="629">
      <c r="A629" s="10">
        <f>IFERROR(__xludf.DUMMYFUNCTION("""COMPUTED_VALUE"""),0.859)</f>
        <v>0.859</v>
      </c>
    </row>
    <row r="630">
      <c r="A630" s="10">
        <f>IFERROR(__xludf.DUMMYFUNCTION("""COMPUTED_VALUE"""),0.886)</f>
        <v>0.886</v>
      </c>
    </row>
    <row r="631">
      <c r="A631" s="10">
        <f>IFERROR(__xludf.DUMMYFUNCTION("""COMPUTED_VALUE"""),4.82E-4)</f>
        <v>0.000482</v>
      </c>
    </row>
    <row r="632">
      <c r="A632" s="10">
        <f>IFERROR(__xludf.DUMMYFUNCTION("""COMPUTED_VALUE"""),0.0598)</f>
        <v>0.0598</v>
      </c>
    </row>
    <row r="633">
      <c r="A633" s="10">
        <f>IFERROR(__xludf.DUMMYFUNCTION("""COMPUTED_VALUE"""),9.84E-5)</f>
        <v>0.0000984</v>
      </c>
    </row>
    <row r="634">
      <c r="A634" s="10">
        <f>IFERROR(__xludf.DUMMYFUNCTION("""COMPUTED_VALUE"""),0.748)</f>
        <v>0.748</v>
      </c>
    </row>
    <row r="635">
      <c r="A635" s="10">
        <f>IFERROR(__xludf.DUMMYFUNCTION("""COMPUTED_VALUE"""),0.932)</f>
        <v>0.932</v>
      </c>
    </row>
    <row r="636">
      <c r="A636" s="10">
        <f>IFERROR(__xludf.DUMMYFUNCTION("""COMPUTED_VALUE"""),0.945)</f>
        <v>0.945</v>
      </c>
    </row>
    <row r="637">
      <c r="A637" s="10">
        <f>IFERROR(__xludf.DUMMYFUNCTION("""COMPUTED_VALUE"""),0.0267)</f>
        <v>0.0267</v>
      </c>
    </row>
    <row r="638">
      <c r="A638" s="10">
        <f>IFERROR(__xludf.DUMMYFUNCTION("""COMPUTED_VALUE"""),0.00164)</f>
        <v>0.00164</v>
      </c>
    </row>
    <row r="639">
      <c r="A639" s="10">
        <f>IFERROR(__xludf.DUMMYFUNCTION("""COMPUTED_VALUE"""),3.37E-5)</f>
        <v>0.0000337</v>
      </c>
    </row>
    <row r="640">
      <c r="A640" s="10">
        <f>IFERROR(__xludf.DUMMYFUNCTION("""COMPUTED_VALUE"""),0.908)</f>
        <v>0.908</v>
      </c>
    </row>
    <row r="641">
      <c r="A641" s="10">
        <f>IFERROR(__xludf.DUMMYFUNCTION("""COMPUTED_VALUE"""),0.494)</f>
        <v>0.494</v>
      </c>
    </row>
    <row r="642">
      <c r="A642" s="10">
        <f>IFERROR(__xludf.DUMMYFUNCTION("""COMPUTED_VALUE"""),0.0)</f>
        <v>0</v>
      </c>
    </row>
    <row r="643">
      <c r="A643" s="10">
        <f>IFERROR(__xludf.DUMMYFUNCTION("""COMPUTED_VALUE"""),0.0)</f>
        <v>0</v>
      </c>
    </row>
    <row r="644">
      <c r="A644" s="10">
        <f>IFERROR(__xludf.DUMMYFUNCTION("""COMPUTED_VALUE"""),0.92)</f>
        <v>0.92</v>
      </c>
    </row>
    <row r="645">
      <c r="A645" s="10">
        <f>IFERROR(__xludf.DUMMYFUNCTION("""COMPUTED_VALUE"""),0.0175)</f>
        <v>0.0175</v>
      </c>
    </row>
    <row r="646">
      <c r="A646" s="10">
        <f>IFERROR(__xludf.DUMMYFUNCTION("""COMPUTED_VALUE"""),0.951)</f>
        <v>0.951</v>
      </c>
    </row>
    <row r="647">
      <c r="A647" s="10">
        <f>IFERROR(__xludf.DUMMYFUNCTION("""COMPUTED_VALUE"""),0.0436)</f>
        <v>0.0436</v>
      </c>
    </row>
    <row r="648">
      <c r="A648" s="10">
        <f>IFERROR(__xludf.DUMMYFUNCTION("""COMPUTED_VALUE"""),0.0)</f>
        <v>0</v>
      </c>
    </row>
    <row r="649">
      <c r="A649" s="10">
        <f>IFERROR(__xludf.DUMMYFUNCTION("""COMPUTED_VALUE"""),0.0)</f>
        <v>0</v>
      </c>
    </row>
    <row r="650">
      <c r="A650" s="10">
        <f>IFERROR(__xludf.DUMMYFUNCTION("""COMPUTED_VALUE"""),0.00469)</f>
        <v>0.00469</v>
      </c>
    </row>
    <row r="651">
      <c r="A651" s="10">
        <f>IFERROR(__xludf.DUMMYFUNCTION("""COMPUTED_VALUE"""),6.4E-6)</f>
        <v>0.0000064</v>
      </c>
    </row>
    <row r="652">
      <c r="A652" s="10">
        <f>IFERROR(__xludf.DUMMYFUNCTION("""COMPUTED_VALUE"""),1.63E-4)</f>
        <v>0.000163</v>
      </c>
    </row>
    <row r="653">
      <c r="A653" s="10">
        <f>IFERROR(__xludf.DUMMYFUNCTION("""COMPUTED_VALUE"""),0.344)</f>
        <v>0.344</v>
      </c>
    </row>
    <row r="654">
      <c r="A654" s="10">
        <f>IFERROR(__xludf.DUMMYFUNCTION("""COMPUTED_VALUE"""),0.829)</f>
        <v>0.829</v>
      </c>
    </row>
    <row r="655">
      <c r="A655" s="10">
        <f>IFERROR(__xludf.DUMMYFUNCTION("""COMPUTED_VALUE"""),0.921)</f>
        <v>0.921</v>
      </c>
    </row>
    <row r="656">
      <c r="A656" s="10">
        <f>IFERROR(__xludf.DUMMYFUNCTION("""COMPUTED_VALUE"""),0.786)</f>
        <v>0.786</v>
      </c>
    </row>
    <row r="657">
      <c r="A657" s="10">
        <f>IFERROR(__xludf.DUMMYFUNCTION("""COMPUTED_VALUE"""),0.695)</f>
        <v>0.695</v>
      </c>
    </row>
    <row r="658">
      <c r="A658" s="10">
        <f>IFERROR(__xludf.DUMMYFUNCTION("""COMPUTED_VALUE"""),0.933)</f>
        <v>0.933</v>
      </c>
    </row>
    <row r="659">
      <c r="A659" s="10">
        <f>IFERROR(__xludf.DUMMYFUNCTION("""COMPUTED_VALUE"""),0.355)</f>
        <v>0.355</v>
      </c>
    </row>
    <row r="660">
      <c r="A660" s="10">
        <f>IFERROR(__xludf.DUMMYFUNCTION("""COMPUTED_VALUE"""),0.89)</f>
        <v>0.89</v>
      </c>
    </row>
    <row r="661">
      <c r="A661" s="10">
        <f>IFERROR(__xludf.DUMMYFUNCTION("""COMPUTED_VALUE"""),0.83)</f>
        <v>0.83</v>
      </c>
    </row>
    <row r="662">
      <c r="A662" s="10">
        <f>IFERROR(__xludf.DUMMYFUNCTION("""COMPUTED_VALUE"""),0.111)</f>
        <v>0.111</v>
      </c>
    </row>
    <row r="663">
      <c r="A663" s="10">
        <f>IFERROR(__xludf.DUMMYFUNCTION("""COMPUTED_VALUE"""),0.819)</f>
        <v>0.819</v>
      </c>
    </row>
    <row r="664">
      <c r="A664" s="10">
        <f>IFERROR(__xludf.DUMMYFUNCTION("""COMPUTED_VALUE"""),0.513)</f>
        <v>0.513</v>
      </c>
    </row>
    <row r="665">
      <c r="A665" s="10">
        <f>IFERROR(__xludf.DUMMYFUNCTION("""COMPUTED_VALUE"""),0.0141)</f>
        <v>0.0141</v>
      </c>
    </row>
    <row r="666">
      <c r="A666" s="10">
        <f>IFERROR(__xludf.DUMMYFUNCTION("""COMPUTED_VALUE"""),3.23E-4)</f>
        <v>0.000323</v>
      </c>
    </row>
    <row r="667">
      <c r="A667" s="10">
        <f>IFERROR(__xludf.DUMMYFUNCTION("""COMPUTED_VALUE"""),0.486)</f>
        <v>0.486</v>
      </c>
    </row>
    <row r="668">
      <c r="A668" s="10">
        <f>IFERROR(__xludf.DUMMYFUNCTION("""COMPUTED_VALUE"""),0.00584)</f>
        <v>0.00584</v>
      </c>
    </row>
    <row r="669">
      <c r="A669" s="10">
        <f>IFERROR(__xludf.DUMMYFUNCTION("""COMPUTED_VALUE"""),0.893)</f>
        <v>0.893</v>
      </c>
    </row>
    <row r="670">
      <c r="A670" s="10">
        <f>IFERROR(__xludf.DUMMYFUNCTION("""COMPUTED_VALUE"""),0.136)</f>
        <v>0.136</v>
      </c>
    </row>
    <row r="671">
      <c r="A671" s="10">
        <f>IFERROR(__xludf.DUMMYFUNCTION("""COMPUTED_VALUE"""),0.00963)</f>
        <v>0.00963</v>
      </c>
    </row>
    <row r="672">
      <c r="A672" s="10">
        <f>IFERROR(__xludf.DUMMYFUNCTION("""COMPUTED_VALUE"""),2.33E-5)</f>
        <v>0.0000233</v>
      </c>
    </row>
    <row r="673">
      <c r="A673" s="10">
        <f>IFERROR(__xludf.DUMMYFUNCTION("""COMPUTED_VALUE"""),0.0)</f>
        <v>0</v>
      </c>
    </row>
    <row r="674">
      <c r="A674" s="10">
        <f>IFERROR(__xludf.DUMMYFUNCTION("""COMPUTED_VALUE"""),0.671)</f>
        <v>0.671</v>
      </c>
    </row>
    <row r="675">
      <c r="A675" s="10">
        <f>IFERROR(__xludf.DUMMYFUNCTION("""COMPUTED_VALUE"""),3.33E-4)</f>
        <v>0.000333</v>
      </c>
    </row>
    <row r="676">
      <c r="A676" s="10">
        <f>IFERROR(__xludf.DUMMYFUNCTION("""COMPUTED_VALUE"""),3.08E-6)</f>
        <v>0.00000308</v>
      </c>
    </row>
    <row r="677">
      <c r="A677" s="10">
        <f>IFERROR(__xludf.DUMMYFUNCTION("""COMPUTED_VALUE"""),0.928)</f>
        <v>0.928</v>
      </c>
    </row>
    <row r="678">
      <c r="A678" s="10">
        <f>IFERROR(__xludf.DUMMYFUNCTION("""COMPUTED_VALUE"""),0.00821)</f>
        <v>0.00821</v>
      </c>
    </row>
    <row r="679">
      <c r="A679" s="10">
        <f>IFERROR(__xludf.DUMMYFUNCTION("""COMPUTED_VALUE"""),0.0)</f>
        <v>0</v>
      </c>
    </row>
    <row r="680">
      <c r="A680" s="10">
        <f>IFERROR(__xludf.DUMMYFUNCTION("""COMPUTED_VALUE"""),0.00222)</f>
        <v>0.00222</v>
      </c>
    </row>
    <row r="681">
      <c r="A681" s="10">
        <f>IFERROR(__xludf.DUMMYFUNCTION("""COMPUTED_VALUE"""),0.00429)</f>
        <v>0.00429</v>
      </c>
    </row>
    <row r="682">
      <c r="A682" s="10">
        <f>IFERROR(__xludf.DUMMYFUNCTION("""COMPUTED_VALUE"""),0.0)</f>
        <v>0</v>
      </c>
    </row>
    <row r="683">
      <c r="A683" s="10">
        <f>IFERROR(__xludf.DUMMYFUNCTION("""COMPUTED_VALUE"""),3.0E-6)</f>
        <v>0.000003</v>
      </c>
    </row>
    <row r="684">
      <c r="A684" s="10">
        <f>IFERROR(__xludf.DUMMYFUNCTION("""COMPUTED_VALUE"""),0.884)</f>
        <v>0.884</v>
      </c>
    </row>
    <row r="685">
      <c r="A685" s="10">
        <f>IFERROR(__xludf.DUMMYFUNCTION("""COMPUTED_VALUE"""),0.542)</f>
        <v>0.542</v>
      </c>
    </row>
    <row r="686">
      <c r="A686" s="10">
        <f>IFERROR(__xludf.DUMMYFUNCTION("""COMPUTED_VALUE"""),0.9)</f>
        <v>0.9</v>
      </c>
    </row>
    <row r="687">
      <c r="A687" s="10">
        <f>IFERROR(__xludf.DUMMYFUNCTION("""COMPUTED_VALUE"""),0.0)</f>
        <v>0</v>
      </c>
    </row>
    <row r="688">
      <c r="A688" s="10">
        <f>IFERROR(__xludf.DUMMYFUNCTION("""COMPUTED_VALUE"""),0.00161)</f>
        <v>0.00161</v>
      </c>
    </row>
    <row r="689">
      <c r="A689" s="10">
        <f>IFERROR(__xludf.DUMMYFUNCTION("""COMPUTED_VALUE"""),0.938)</f>
        <v>0.938</v>
      </c>
    </row>
    <row r="690">
      <c r="A690" s="10">
        <f>IFERROR(__xludf.DUMMYFUNCTION("""COMPUTED_VALUE"""),0.0)</f>
        <v>0</v>
      </c>
    </row>
    <row r="691">
      <c r="A691" s="10">
        <f>IFERROR(__xludf.DUMMYFUNCTION("""COMPUTED_VALUE"""),0.00355)</f>
        <v>0.00355</v>
      </c>
    </row>
    <row r="692">
      <c r="A692" s="10">
        <f>IFERROR(__xludf.DUMMYFUNCTION("""COMPUTED_VALUE"""),1.96E-5)</f>
        <v>0.0000196</v>
      </c>
    </row>
    <row r="693">
      <c r="A693" s="10">
        <f>IFERROR(__xludf.DUMMYFUNCTION("""COMPUTED_VALUE"""),0.794)</f>
        <v>0.794</v>
      </c>
    </row>
    <row r="694">
      <c r="A694" s="10">
        <f>IFERROR(__xludf.DUMMYFUNCTION("""COMPUTED_VALUE"""),0.00701)</f>
        <v>0.00701</v>
      </c>
    </row>
    <row r="695">
      <c r="A695" s="10">
        <f>IFERROR(__xludf.DUMMYFUNCTION("""COMPUTED_VALUE"""),0.0)</f>
        <v>0</v>
      </c>
    </row>
    <row r="696">
      <c r="A696" s="10">
        <f>IFERROR(__xludf.DUMMYFUNCTION("""COMPUTED_VALUE"""),0.00405)</f>
        <v>0.00405</v>
      </c>
    </row>
    <row r="697">
      <c r="A697" s="10">
        <f>IFERROR(__xludf.DUMMYFUNCTION("""COMPUTED_VALUE"""),0.916)</f>
        <v>0.916</v>
      </c>
    </row>
    <row r="698">
      <c r="A698" s="10">
        <f>IFERROR(__xludf.DUMMYFUNCTION("""COMPUTED_VALUE"""),0.0)</f>
        <v>0</v>
      </c>
    </row>
    <row r="699">
      <c r="A699" s="10">
        <f>IFERROR(__xludf.DUMMYFUNCTION("""COMPUTED_VALUE"""),0.0)</f>
        <v>0</v>
      </c>
    </row>
    <row r="700">
      <c r="A700" s="10">
        <f>IFERROR(__xludf.DUMMYFUNCTION("""COMPUTED_VALUE"""),0.864)</f>
        <v>0.864</v>
      </c>
    </row>
    <row r="701">
      <c r="A701" s="10">
        <f>IFERROR(__xludf.DUMMYFUNCTION("""COMPUTED_VALUE"""),0.102)</f>
        <v>0.102</v>
      </c>
    </row>
    <row r="702">
      <c r="A702" s="10">
        <f>IFERROR(__xludf.DUMMYFUNCTION("""COMPUTED_VALUE"""),0.00105)</f>
        <v>0.00105</v>
      </c>
    </row>
    <row r="703">
      <c r="A703" s="10">
        <f>IFERROR(__xludf.DUMMYFUNCTION("""COMPUTED_VALUE"""),0.923)</f>
        <v>0.923</v>
      </c>
    </row>
    <row r="704">
      <c r="A704" s="10">
        <f>IFERROR(__xludf.DUMMYFUNCTION("""COMPUTED_VALUE"""),6.49E-4)</f>
        <v>0.000649</v>
      </c>
    </row>
    <row r="705">
      <c r="A705" s="10">
        <f>IFERROR(__xludf.DUMMYFUNCTION("""COMPUTED_VALUE"""),0.862)</f>
        <v>0.862</v>
      </c>
    </row>
    <row r="706">
      <c r="A706" s="10">
        <f>IFERROR(__xludf.DUMMYFUNCTION("""COMPUTED_VALUE"""),2.67E-5)</f>
        <v>0.0000267</v>
      </c>
    </row>
    <row r="707">
      <c r="A707" s="10">
        <f>IFERROR(__xludf.DUMMYFUNCTION("""COMPUTED_VALUE"""),6.8E-4)</f>
        <v>0.00068</v>
      </c>
    </row>
    <row r="708">
      <c r="A708" s="10">
        <f>IFERROR(__xludf.DUMMYFUNCTION("""COMPUTED_VALUE"""),2.58E-6)</f>
        <v>0.00000258</v>
      </c>
    </row>
    <row r="709">
      <c r="A709" s="10">
        <f>IFERROR(__xludf.DUMMYFUNCTION("""COMPUTED_VALUE"""),0.937)</f>
        <v>0.937</v>
      </c>
    </row>
    <row r="710">
      <c r="A710" s="10">
        <f>IFERROR(__xludf.DUMMYFUNCTION("""COMPUTED_VALUE"""),0.871)</f>
        <v>0.871</v>
      </c>
    </row>
    <row r="711">
      <c r="A711" s="10">
        <f>IFERROR(__xludf.DUMMYFUNCTION("""COMPUTED_VALUE"""),1.24E-6)</f>
        <v>0.00000124</v>
      </c>
    </row>
    <row r="712">
      <c r="A712" s="10">
        <f>IFERROR(__xludf.DUMMYFUNCTION("""COMPUTED_VALUE"""),0.0406)</f>
        <v>0.0406</v>
      </c>
    </row>
    <row r="713">
      <c r="A713" s="10">
        <f>IFERROR(__xludf.DUMMYFUNCTION("""COMPUTED_VALUE"""),0.00902)</f>
        <v>0.00902</v>
      </c>
    </row>
    <row r="714">
      <c r="A714" s="10">
        <f>IFERROR(__xludf.DUMMYFUNCTION("""COMPUTED_VALUE"""),0.0243)</f>
        <v>0.0243</v>
      </c>
    </row>
    <row r="715">
      <c r="A715" s="10">
        <f>IFERROR(__xludf.DUMMYFUNCTION("""COMPUTED_VALUE"""),1.42E-5)</f>
        <v>0.0000142</v>
      </c>
    </row>
    <row r="716">
      <c r="A716" s="10">
        <f>IFERROR(__xludf.DUMMYFUNCTION("""COMPUTED_VALUE"""),0.82)</f>
        <v>0.82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tr">
        <f>IFERROR(__xludf.DUMMYFUNCTION("QUERY({'chill inducing songs'!A2:Q716},""select Col11 label Col11 'Speechiness'"",0)"),"Speechiness")</f>
        <v>Speechiness</v>
      </c>
    </row>
    <row r="2">
      <c r="A2" s="9">
        <f>IFERROR(__xludf.DUMMYFUNCTION("""COMPUTED_VALUE"""),0.037)</f>
        <v>0.037</v>
      </c>
    </row>
    <row r="3">
      <c r="A3" s="9">
        <f>IFERROR(__xludf.DUMMYFUNCTION("""COMPUTED_VALUE"""),0.0435)</f>
        <v>0.0435</v>
      </c>
    </row>
    <row r="4">
      <c r="A4" s="9">
        <f>IFERROR(__xludf.DUMMYFUNCTION("""COMPUTED_VALUE"""),0.0443)</f>
        <v>0.0443</v>
      </c>
    </row>
    <row r="5">
      <c r="A5" s="9">
        <f>IFERROR(__xludf.DUMMYFUNCTION("""COMPUTED_VALUE"""),0.0261)</f>
        <v>0.0261</v>
      </c>
    </row>
    <row r="6">
      <c r="A6" s="9">
        <f>IFERROR(__xludf.DUMMYFUNCTION("""COMPUTED_VALUE"""),0.0535)</f>
        <v>0.0535</v>
      </c>
    </row>
    <row r="7">
      <c r="A7" s="9">
        <f>IFERROR(__xludf.DUMMYFUNCTION("""COMPUTED_VALUE"""),0.0307)</f>
        <v>0.0307</v>
      </c>
    </row>
    <row r="8">
      <c r="A8" s="9">
        <f>IFERROR(__xludf.DUMMYFUNCTION("""COMPUTED_VALUE"""),0.0499)</f>
        <v>0.0499</v>
      </c>
    </row>
    <row r="9">
      <c r="A9" s="9">
        <f>IFERROR(__xludf.DUMMYFUNCTION("""COMPUTED_VALUE"""),0.0364)</f>
        <v>0.0364</v>
      </c>
    </row>
    <row r="10">
      <c r="A10" s="9">
        <f>IFERROR(__xludf.DUMMYFUNCTION("""COMPUTED_VALUE"""),0.0361)</f>
        <v>0.0361</v>
      </c>
    </row>
    <row r="11">
      <c r="A11" s="9">
        <f>IFERROR(__xludf.DUMMYFUNCTION("""COMPUTED_VALUE"""),0.0451)</f>
        <v>0.0451</v>
      </c>
    </row>
    <row r="12">
      <c r="A12" s="9">
        <f>IFERROR(__xludf.DUMMYFUNCTION("""COMPUTED_VALUE"""),0.0317)</f>
        <v>0.0317</v>
      </c>
    </row>
    <row r="13">
      <c r="A13" s="9">
        <f>IFERROR(__xludf.DUMMYFUNCTION("""COMPUTED_VALUE"""),0.0391)</f>
        <v>0.0391</v>
      </c>
    </row>
    <row r="14">
      <c r="A14" s="9">
        <f>IFERROR(__xludf.DUMMYFUNCTION("""COMPUTED_VALUE"""),0.0505)</f>
        <v>0.0505</v>
      </c>
    </row>
    <row r="15">
      <c r="A15" s="9">
        <f>IFERROR(__xludf.DUMMYFUNCTION("""COMPUTED_VALUE"""),0.0535)</f>
        <v>0.0535</v>
      </c>
    </row>
    <row r="16">
      <c r="A16" s="9">
        <f>IFERROR(__xludf.DUMMYFUNCTION("""COMPUTED_VALUE"""),0.0615)</f>
        <v>0.0615</v>
      </c>
    </row>
    <row r="17">
      <c r="A17" s="9">
        <f>IFERROR(__xludf.DUMMYFUNCTION("""COMPUTED_VALUE"""),0.0389)</f>
        <v>0.0389</v>
      </c>
    </row>
    <row r="18">
      <c r="A18" s="9">
        <f>IFERROR(__xludf.DUMMYFUNCTION("""COMPUTED_VALUE"""),0.0451)</f>
        <v>0.0451</v>
      </c>
    </row>
    <row r="19">
      <c r="A19" s="9">
        <f>IFERROR(__xludf.DUMMYFUNCTION("""COMPUTED_VALUE"""),0.0324)</f>
        <v>0.0324</v>
      </c>
    </row>
    <row r="20">
      <c r="A20" s="9">
        <f>IFERROR(__xludf.DUMMYFUNCTION("""COMPUTED_VALUE"""),0.0399)</f>
        <v>0.0399</v>
      </c>
    </row>
    <row r="21">
      <c r="A21" s="9">
        <f>IFERROR(__xludf.DUMMYFUNCTION("""COMPUTED_VALUE"""),0.0486)</f>
        <v>0.0486</v>
      </c>
    </row>
    <row r="22">
      <c r="A22" s="9">
        <f>IFERROR(__xludf.DUMMYFUNCTION("""COMPUTED_VALUE"""),0.0343)</f>
        <v>0.0343</v>
      </c>
    </row>
    <row r="23">
      <c r="A23" s="9">
        <f>IFERROR(__xludf.DUMMYFUNCTION("""COMPUTED_VALUE"""),0.0358)</f>
        <v>0.0358</v>
      </c>
    </row>
    <row r="24">
      <c r="A24" s="9">
        <f>IFERROR(__xludf.DUMMYFUNCTION("""COMPUTED_VALUE"""),0.0599)</f>
        <v>0.0599</v>
      </c>
    </row>
    <row r="25">
      <c r="A25" s="9">
        <f>IFERROR(__xludf.DUMMYFUNCTION("""COMPUTED_VALUE"""),0.0349)</f>
        <v>0.0349</v>
      </c>
    </row>
    <row r="26">
      <c r="A26" s="9">
        <f>IFERROR(__xludf.DUMMYFUNCTION("""COMPUTED_VALUE"""),0.0368)</f>
        <v>0.0368</v>
      </c>
    </row>
    <row r="27">
      <c r="A27" s="9">
        <f>IFERROR(__xludf.DUMMYFUNCTION("""COMPUTED_VALUE"""),0.0438)</f>
        <v>0.0438</v>
      </c>
    </row>
    <row r="28">
      <c r="A28" s="9">
        <f>IFERROR(__xludf.DUMMYFUNCTION("""COMPUTED_VALUE"""),0.0468)</f>
        <v>0.0468</v>
      </c>
    </row>
    <row r="29">
      <c r="A29" s="9">
        <f>IFERROR(__xludf.DUMMYFUNCTION("""COMPUTED_VALUE"""),0.0388)</f>
        <v>0.0388</v>
      </c>
    </row>
    <row r="30">
      <c r="A30" s="9">
        <f>IFERROR(__xludf.DUMMYFUNCTION("""COMPUTED_VALUE"""),0.139)</f>
        <v>0.139</v>
      </c>
    </row>
    <row r="31">
      <c r="A31" s="9">
        <f>IFERROR(__xludf.DUMMYFUNCTION("""COMPUTED_VALUE"""),0.0488)</f>
        <v>0.0488</v>
      </c>
    </row>
    <row r="32">
      <c r="A32" s="9">
        <f>IFERROR(__xludf.DUMMYFUNCTION("""COMPUTED_VALUE"""),0.0471)</f>
        <v>0.0471</v>
      </c>
    </row>
    <row r="33">
      <c r="A33" s="9">
        <f>IFERROR(__xludf.DUMMYFUNCTION("""COMPUTED_VALUE"""),0.0485)</f>
        <v>0.0485</v>
      </c>
    </row>
    <row r="34">
      <c r="A34" s="9">
        <f>IFERROR(__xludf.DUMMYFUNCTION("""COMPUTED_VALUE"""),0.0332)</f>
        <v>0.0332</v>
      </c>
    </row>
    <row r="35">
      <c r="A35" s="9">
        <f>IFERROR(__xludf.DUMMYFUNCTION("""COMPUTED_VALUE"""),0.0459)</f>
        <v>0.0459</v>
      </c>
    </row>
    <row r="36">
      <c r="A36" s="9">
        <f>IFERROR(__xludf.DUMMYFUNCTION("""COMPUTED_VALUE"""),0.0313)</f>
        <v>0.0313</v>
      </c>
    </row>
    <row r="37">
      <c r="A37" s="9">
        <f>IFERROR(__xludf.DUMMYFUNCTION("""COMPUTED_VALUE"""),0.035)</f>
        <v>0.035</v>
      </c>
    </row>
    <row r="38">
      <c r="A38" s="9">
        <f>IFERROR(__xludf.DUMMYFUNCTION("""COMPUTED_VALUE"""),0.046)</f>
        <v>0.046</v>
      </c>
    </row>
    <row r="39">
      <c r="A39" s="9">
        <f>IFERROR(__xludf.DUMMYFUNCTION("""COMPUTED_VALUE"""),0.036)</f>
        <v>0.036</v>
      </c>
    </row>
    <row r="40">
      <c r="A40" s="9">
        <f>IFERROR(__xludf.DUMMYFUNCTION("""COMPUTED_VALUE"""),0.0518)</f>
        <v>0.0518</v>
      </c>
    </row>
    <row r="41">
      <c r="A41" s="9">
        <f>IFERROR(__xludf.DUMMYFUNCTION("""COMPUTED_VALUE"""),0.0371)</f>
        <v>0.0371</v>
      </c>
    </row>
    <row r="42">
      <c r="A42" s="9">
        <f>IFERROR(__xludf.DUMMYFUNCTION("""COMPUTED_VALUE"""),0.0406)</f>
        <v>0.0406</v>
      </c>
    </row>
    <row r="43">
      <c r="A43" s="9">
        <f>IFERROR(__xludf.DUMMYFUNCTION("""COMPUTED_VALUE"""),0.0352)</f>
        <v>0.0352</v>
      </c>
    </row>
    <row r="44">
      <c r="A44" s="9">
        <f>IFERROR(__xludf.DUMMYFUNCTION("""COMPUTED_VALUE"""),0.0745)</f>
        <v>0.0745</v>
      </c>
    </row>
    <row r="45">
      <c r="A45" s="9">
        <f>IFERROR(__xludf.DUMMYFUNCTION("""COMPUTED_VALUE"""),0.0335)</f>
        <v>0.0335</v>
      </c>
    </row>
    <row r="46">
      <c r="A46" s="9">
        <f>IFERROR(__xludf.DUMMYFUNCTION("""COMPUTED_VALUE"""),0.0488)</f>
        <v>0.0488</v>
      </c>
    </row>
    <row r="47">
      <c r="A47" s="9">
        <f>IFERROR(__xludf.DUMMYFUNCTION("""COMPUTED_VALUE"""),0.0285)</f>
        <v>0.0285</v>
      </c>
    </row>
    <row r="48">
      <c r="A48" s="9">
        <f>IFERROR(__xludf.DUMMYFUNCTION("""COMPUTED_VALUE"""),0.041)</f>
        <v>0.041</v>
      </c>
    </row>
    <row r="49">
      <c r="A49" s="9">
        <f>IFERROR(__xludf.DUMMYFUNCTION("""COMPUTED_VALUE"""),0.0351)</f>
        <v>0.0351</v>
      </c>
    </row>
    <row r="50">
      <c r="A50" s="9">
        <f>IFERROR(__xludf.DUMMYFUNCTION("""COMPUTED_VALUE"""),0.0382)</f>
        <v>0.0382</v>
      </c>
    </row>
    <row r="51">
      <c r="A51" s="9">
        <f>IFERROR(__xludf.DUMMYFUNCTION("""COMPUTED_VALUE"""),0.0525)</f>
        <v>0.0525</v>
      </c>
    </row>
    <row r="52">
      <c r="A52" s="9">
        <f>IFERROR(__xludf.DUMMYFUNCTION("""COMPUTED_VALUE"""),0.0382)</f>
        <v>0.0382</v>
      </c>
    </row>
    <row r="53">
      <c r="A53" s="9">
        <f>IFERROR(__xludf.DUMMYFUNCTION("""COMPUTED_VALUE"""),0.0294)</f>
        <v>0.0294</v>
      </c>
    </row>
    <row r="54">
      <c r="A54" s="9">
        <f>IFERROR(__xludf.DUMMYFUNCTION("""COMPUTED_VALUE"""),0.0379)</f>
        <v>0.0379</v>
      </c>
    </row>
    <row r="55">
      <c r="A55" s="9">
        <f>IFERROR(__xludf.DUMMYFUNCTION("""COMPUTED_VALUE"""),0.048)</f>
        <v>0.048</v>
      </c>
    </row>
    <row r="56">
      <c r="A56" s="9">
        <f>IFERROR(__xludf.DUMMYFUNCTION("""COMPUTED_VALUE"""),0.0422)</f>
        <v>0.0422</v>
      </c>
    </row>
    <row r="57">
      <c r="A57" s="9">
        <f>IFERROR(__xludf.DUMMYFUNCTION("""COMPUTED_VALUE"""),0.0368)</f>
        <v>0.0368</v>
      </c>
    </row>
    <row r="58">
      <c r="A58" s="9">
        <f>IFERROR(__xludf.DUMMYFUNCTION("""COMPUTED_VALUE"""),0.0281)</f>
        <v>0.0281</v>
      </c>
    </row>
    <row r="59">
      <c r="A59" s="9">
        <f>IFERROR(__xludf.DUMMYFUNCTION("""COMPUTED_VALUE"""),0.0455)</f>
        <v>0.0455</v>
      </c>
    </row>
    <row r="60">
      <c r="A60" s="9">
        <f>IFERROR(__xludf.DUMMYFUNCTION("""COMPUTED_VALUE"""),0.0388)</f>
        <v>0.0388</v>
      </c>
    </row>
    <row r="61">
      <c r="A61" s="9">
        <f>IFERROR(__xludf.DUMMYFUNCTION("""COMPUTED_VALUE"""),0.0375)</f>
        <v>0.0375</v>
      </c>
    </row>
    <row r="62">
      <c r="A62" s="9">
        <f>IFERROR(__xludf.DUMMYFUNCTION("""COMPUTED_VALUE"""),0.0388)</f>
        <v>0.0388</v>
      </c>
    </row>
    <row r="63">
      <c r="A63" s="9">
        <f>IFERROR(__xludf.DUMMYFUNCTION("""COMPUTED_VALUE"""),0.0346)</f>
        <v>0.0346</v>
      </c>
    </row>
    <row r="64">
      <c r="A64" s="9">
        <f>IFERROR(__xludf.DUMMYFUNCTION("""COMPUTED_VALUE"""),0.0382)</f>
        <v>0.0382</v>
      </c>
    </row>
    <row r="65">
      <c r="A65" s="9">
        <f>IFERROR(__xludf.DUMMYFUNCTION("""COMPUTED_VALUE"""),0.0803)</f>
        <v>0.0803</v>
      </c>
    </row>
    <row r="66">
      <c r="A66" s="9">
        <f>IFERROR(__xludf.DUMMYFUNCTION("""COMPUTED_VALUE"""),0.0384)</f>
        <v>0.0384</v>
      </c>
    </row>
    <row r="67">
      <c r="A67" s="9">
        <f>IFERROR(__xludf.DUMMYFUNCTION("""COMPUTED_VALUE"""),0.0375)</f>
        <v>0.0375</v>
      </c>
    </row>
    <row r="68">
      <c r="A68" s="9">
        <f>IFERROR(__xludf.DUMMYFUNCTION("""COMPUTED_VALUE"""),0.0397)</f>
        <v>0.0397</v>
      </c>
    </row>
    <row r="69">
      <c r="A69" s="9">
        <f>IFERROR(__xludf.DUMMYFUNCTION("""COMPUTED_VALUE"""),0.0362)</f>
        <v>0.0362</v>
      </c>
    </row>
    <row r="70">
      <c r="A70" s="9">
        <f>IFERROR(__xludf.DUMMYFUNCTION("""COMPUTED_VALUE"""),0.0517)</f>
        <v>0.0517</v>
      </c>
    </row>
    <row r="71">
      <c r="A71" s="9">
        <f>IFERROR(__xludf.DUMMYFUNCTION("""COMPUTED_VALUE"""),0.0334)</f>
        <v>0.0334</v>
      </c>
    </row>
    <row r="72">
      <c r="A72" s="9">
        <f>IFERROR(__xludf.DUMMYFUNCTION("""COMPUTED_VALUE"""),0.0296)</f>
        <v>0.0296</v>
      </c>
    </row>
    <row r="73">
      <c r="A73" s="9">
        <f>IFERROR(__xludf.DUMMYFUNCTION("""COMPUTED_VALUE"""),0.0512)</f>
        <v>0.0512</v>
      </c>
    </row>
    <row r="74">
      <c r="A74" s="9">
        <f>IFERROR(__xludf.DUMMYFUNCTION("""COMPUTED_VALUE"""),0.0469)</f>
        <v>0.0469</v>
      </c>
    </row>
    <row r="75">
      <c r="A75" s="9">
        <f>IFERROR(__xludf.DUMMYFUNCTION("""COMPUTED_VALUE"""),0.0459)</f>
        <v>0.0459</v>
      </c>
    </row>
    <row r="76">
      <c r="A76" s="9">
        <f>IFERROR(__xludf.DUMMYFUNCTION("""COMPUTED_VALUE"""),0.0375)</f>
        <v>0.0375</v>
      </c>
    </row>
    <row r="77">
      <c r="A77" s="9">
        <f>IFERROR(__xludf.DUMMYFUNCTION("""COMPUTED_VALUE"""),0.0444)</f>
        <v>0.0444</v>
      </c>
    </row>
    <row r="78">
      <c r="A78" s="9">
        <f>IFERROR(__xludf.DUMMYFUNCTION("""COMPUTED_VALUE"""),0.0332)</f>
        <v>0.0332</v>
      </c>
    </row>
    <row r="79">
      <c r="A79" s="9">
        <f>IFERROR(__xludf.DUMMYFUNCTION("""COMPUTED_VALUE"""),0.0372)</f>
        <v>0.0372</v>
      </c>
    </row>
    <row r="80">
      <c r="A80" s="9">
        <f>IFERROR(__xludf.DUMMYFUNCTION("""COMPUTED_VALUE"""),0.0364)</f>
        <v>0.0364</v>
      </c>
    </row>
    <row r="81">
      <c r="A81" s="9">
        <f>IFERROR(__xludf.DUMMYFUNCTION("""COMPUTED_VALUE"""),0.0329)</f>
        <v>0.0329</v>
      </c>
    </row>
    <row r="82">
      <c r="A82" s="9">
        <f>IFERROR(__xludf.DUMMYFUNCTION("""COMPUTED_VALUE"""),0.114)</f>
        <v>0.114</v>
      </c>
    </row>
    <row r="83">
      <c r="A83" s="9">
        <f>IFERROR(__xludf.DUMMYFUNCTION("""COMPUTED_VALUE"""),0.0682)</f>
        <v>0.0682</v>
      </c>
    </row>
    <row r="84">
      <c r="A84" s="9">
        <f>IFERROR(__xludf.DUMMYFUNCTION("""COMPUTED_VALUE"""),0.0515)</f>
        <v>0.0515</v>
      </c>
    </row>
    <row r="85">
      <c r="A85" s="9">
        <f>IFERROR(__xludf.DUMMYFUNCTION("""COMPUTED_VALUE"""),0.0412)</f>
        <v>0.0412</v>
      </c>
    </row>
    <row r="86">
      <c r="A86" s="9">
        <f>IFERROR(__xludf.DUMMYFUNCTION("""COMPUTED_VALUE"""),0.0372)</f>
        <v>0.0372</v>
      </c>
    </row>
    <row r="87">
      <c r="A87" s="9">
        <f>IFERROR(__xludf.DUMMYFUNCTION("""COMPUTED_VALUE"""),0.0546)</f>
        <v>0.0546</v>
      </c>
    </row>
    <row r="88">
      <c r="A88" s="9">
        <f>IFERROR(__xludf.DUMMYFUNCTION("""COMPUTED_VALUE"""),0.0479)</f>
        <v>0.0479</v>
      </c>
    </row>
    <row r="89">
      <c r="A89" s="9">
        <f>IFERROR(__xludf.DUMMYFUNCTION("""COMPUTED_VALUE"""),0.0367)</f>
        <v>0.0367</v>
      </c>
    </row>
    <row r="90">
      <c r="A90" s="9">
        <f>IFERROR(__xludf.DUMMYFUNCTION("""COMPUTED_VALUE"""),0.0437)</f>
        <v>0.0437</v>
      </c>
    </row>
    <row r="91">
      <c r="A91" s="9">
        <f>IFERROR(__xludf.DUMMYFUNCTION("""COMPUTED_VALUE"""),0.0483)</f>
        <v>0.0483</v>
      </c>
    </row>
    <row r="92">
      <c r="A92" s="9">
        <f>IFERROR(__xludf.DUMMYFUNCTION("""COMPUTED_VALUE"""),0.0471)</f>
        <v>0.0471</v>
      </c>
    </row>
    <row r="93">
      <c r="A93" s="9">
        <f>IFERROR(__xludf.DUMMYFUNCTION("""COMPUTED_VALUE"""),0.0452)</f>
        <v>0.0452</v>
      </c>
    </row>
    <row r="94">
      <c r="A94" s="9">
        <f>IFERROR(__xludf.DUMMYFUNCTION("""COMPUTED_VALUE"""),0.0413)</f>
        <v>0.0413</v>
      </c>
    </row>
    <row r="95">
      <c r="A95" s="9">
        <f>IFERROR(__xludf.DUMMYFUNCTION("""COMPUTED_VALUE"""),0.0415)</f>
        <v>0.0415</v>
      </c>
    </row>
    <row r="96">
      <c r="A96" s="9">
        <f>IFERROR(__xludf.DUMMYFUNCTION("""COMPUTED_VALUE"""),0.0524)</f>
        <v>0.0524</v>
      </c>
    </row>
    <row r="97">
      <c r="A97" s="9">
        <f>IFERROR(__xludf.DUMMYFUNCTION("""COMPUTED_VALUE"""),0.0695)</f>
        <v>0.0695</v>
      </c>
    </row>
    <row r="98">
      <c r="A98" s="9">
        <f>IFERROR(__xludf.DUMMYFUNCTION("""COMPUTED_VALUE"""),0.0434)</f>
        <v>0.0434</v>
      </c>
    </row>
    <row r="99">
      <c r="A99" s="9">
        <f>IFERROR(__xludf.DUMMYFUNCTION("""COMPUTED_VALUE"""),0.0451)</f>
        <v>0.0451</v>
      </c>
    </row>
    <row r="100">
      <c r="A100" s="9">
        <f>IFERROR(__xludf.DUMMYFUNCTION("""COMPUTED_VALUE"""),0.101)</f>
        <v>0.101</v>
      </c>
    </row>
    <row r="101">
      <c r="A101" s="9">
        <f>IFERROR(__xludf.DUMMYFUNCTION("""COMPUTED_VALUE"""),0.0469)</f>
        <v>0.0469</v>
      </c>
    </row>
    <row r="102">
      <c r="A102" s="9">
        <f>IFERROR(__xludf.DUMMYFUNCTION("""COMPUTED_VALUE"""),0.0425)</f>
        <v>0.0425</v>
      </c>
    </row>
    <row r="103">
      <c r="A103" s="9">
        <f>IFERROR(__xludf.DUMMYFUNCTION("""COMPUTED_VALUE"""),0.0427)</f>
        <v>0.0427</v>
      </c>
    </row>
    <row r="104">
      <c r="A104" s="9">
        <f>IFERROR(__xludf.DUMMYFUNCTION("""COMPUTED_VALUE"""),0.0516)</f>
        <v>0.0516</v>
      </c>
    </row>
    <row r="105">
      <c r="A105" s="9">
        <f>IFERROR(__xludf.DUMMYFUNCTION("""COMPUTED_VALUE"""),0.0572)</f>
        <v>0.0572</v>
      </c>
    </row>
    <row r="106">
      <c r="A106" s="9">
        <f>IFERROR(__xludf.DUMMYFUNCTION("""COMPUTED_VALUE"""),0.0468)</f>
        <v>0.0468</v>
      </c>
    </row>
    <row r="107">
      <c r="A107" s="9">
        <f>IFERROR(__xludf.DUMMYFUNCTION("""COMPUTED_VALUE"""),0.0506)</f>
        <v>0.0506</v>
      </c>
    </row>
    <row r="108">
      <c r="A108" s="9">
        <f>IFERROR(__xludf.DUMMYFUNCTION("""COMPUTED_VALUE"""),0.0407)</f>
        <v>0.0407</v>
      </c>
    </row>
    <row r="109">
      <c r="A109" s="9">
        <f>IFERROR(__xludf.DUMMYFUNCTION("""COMPUTED_VALUE"""),0.0443)</f>
        <v>0.0443</v>
      </c>
    </row>
    <row r="110">
      <c r="A110" s="9">
        <f>IFERROR(__xludf.DUMMYFUNCTION("""COMPUTED_VALUE"""),0.0393)</f>
        <v>0.0393</v>
      </c>
    </row>
    <row r="111">
      <c r="A111" s="9">
        <f>IFERROR(__xludf.DUMMYFUNCTION("""COMPUTED_VALUE"""),0.0405)</f>
        <v>0.0405</v>
      </c>
    </row>
    <row r="112">
      <c r="A112" s="9">
        <f>IFERROR(__xludf.DUMMYFUNCTION("""COMPUTED_VALUE"""),0.0372)</f>
        <v>0.0372</v>
      </c>
    </row>
    <row r="113">
      <c r="A113" s="9">
        <f>IFERROR(__xludf.DUMMYFUNCTION("""COMPUTED_VALUE"""),0.0466)</f>
        <v>0.0466</v>
      </c>
    </row>
    <row r="114">
      <c r="A114" s="9">
        <f>IFERROR(__xludf.DUMMYFUNCTION("""COMPUTED_VALUE"""),0.0701)</f>
        <v>0.0701</v>
      </c>
    </row>
    <row r="115">
      <c r="A115" s="9">
        <f>IFERROR(__xludf.DUMMYFUNCTION("""COMPUTED_VALUE"""),0.0324)</f>
        <v>0.0324</v>
      </c>
    </row>
    <row r="116">
      <c r="A116" s="9">
        <f>IFERROR(__xludf.DUMMYFUNCTION("""COMPUTED_VALUE"""),0.049)</f>
        <v>0.049</v>
      </c>
    </row>
    <row r="117">
      <c r="A117" s="9">
        <f>IFERROR(__xludf.DUMMYFUNCTION("""COMPUTED_VALUE"""),0.043)</f>
        <v>0.043</v>
      </c>
    </row>
    <row r="118">
      <c r="A118" s="9">
        <f>IFERROR(__xludf.DUMMYFUNCTION("""COMPUTED_VALUE"""),0.0327)</f>
        <v>0.0327</v>
      </c>
    </row>
    <row r="119">
      <c r="A119" s="9">
        <f>IFERROR(__xludf.DUMMYFUNCTION("""COMPUTED_VALUE"""),0.0438)</f>
        <v>0.0438</v>
      </c>
    </row>
    <row r="120">
      <c r="A120" s="9">
        <f>IFERROR(__xludf.DUMMYFUNCTION("""COMPUTED_VALUE"""),0.0511)</f>
        <v>0.0511</v>
      </c>
    </row>
    <row r="121">
      <c r="A121" s="9">
        <f>IFERROR(__xludf.DUMMYFUNCTION("""COMPUTED_VALUE"""),0.0314)</f>
        <v>0.0314</v>
      </c>
    </row>
    <row r="122">
      <c r="A122" s="9">
        <f>IFERROR(__xludf.DUMMYFUNCTION("""COMPUTED_VALUE"""),0.0464)</f>
        <v>0.0464</v>
      </c>
    </row>
    <row r="123">
      <c r="A123" s="9">
        <f>IFERROR(__xludf.DUMMYFUNCTION("""COMPUTED_VALUE"""),0.0415)</f>
        <v>0.0415</v>
      </c>
    </row>
    <row r="124">
      <c r="A124" s="9">
        <f>IFERROR(__xludf.DUMMYFUNCTION("""COMPUTED_VALUE"""),0.0447)</f>
        <v>0.0447</v>
      </c>
    </row>
    <row r="125">
      <c r="A125" s="9">
        <f>IFERROR(__xludf.DUMMYFUNCTION("""COMPUTED_VALUE"""),0.0448)</f>
        <v>0.0448</v>
      </c>
    </row>
    <row r="126">
      <c r="A126" s="9">
        <f>IFERROR(__xludf.DUMMYFUNCTION("""COMPUTED_VALUE"""),0.0289)</f>
        <v>0.0289</v>
      </c>
    </row>
    <row r="127">
      <c r="A127" s="9">
        <f>IFERROR(__xludf.DUMMYFUNCTION("""COMPUTED_VALUE"""),0.0373)</f>
        <v>0.0373</v>
      </c>
    </row>
    <row r="128">
      <c r="A128" s="9">
        <f>IFERROR(__xludf.DUMMYFUNCTION("""COMPUTED_VALUE"""),0.0417)</f>
        <v>0.0417</v>
      </c>
    </row>
    <row r="129">
      <c r="A129" s="9">
        <f>IFERROR(__xludf.DUMMYFUNCTION("""COMPUTED_VALUE"""),0.0413)</f>
        <v>0.0413</v>
      </c>
    </row>
    <row r="130">
      <c r="A130" s="9">
        <f>IFERROR(__xludf.DUMMYFUNCTION("""COMPUTED_VALUE"""),0.0371)</f>
        <v>0.0371</v>
      </c>
    </row>
    <row r="131">
      <c r="A131" s="9">
        <f>IFERROR(__xludf.DUMMYFUNCTION("""COMPUTED_VALUE"""),0.0383)</f>
        <v>0.0383</v>
      </c>
    </row>
    <row r="132">
      <c r="A132" s="9">
        <f>IFERROR(__xludf.DUMMYFUNCTION("""COMPUTED_VALUE"""),0.0392)</f>
        <v>0.0392</v>
      </c>
    </row>
    <row r="133">
      <c r="A133" s="9">
        <f>IFERROR(__xludf.DUMMYFUNCTION("""COMPUTED_VALUE"""),0.0391)</f>
        <v>0.0391</v>
      </c>
    </row>
    <row r="134">
      <c r="A134" s="9">
        <f>IFERROR(__xludf.DUMMYFUNCTION("""COMPUTED_VALUE"""),0.0408)</f>
        <v>0.0408</v>
      </c>
    </row>
    <row r="135">
      <c r="A135" s="9">
        <f>IFERROR(__xludf.DUMMYFUNCTION("""COMPUTED_VALUE"""),0.0468)</f>
        <v>0.0468</v>
      </c>
    </row>
    <row r="136">
      <c r="A136" s="9">
        <f>IFERROR(__xludf.DUMMYFUNCTION("""COMPUTED_VALUE"""),0.0386)</f>
        <v>0.0386</v>
      </c>
    </row>
    <row r="137">
      <c r="A137" s="9"/>
    </row>
    <row r="138">
      <c r="A138" s="9">
        <f>IFERROR(__xludf.DUMMYFUNCTION("""COMPUTED_VALUE"""),0.0423)</f>
        <v>0.0423</v>
      </c>
    </row>
    <row r="139">
      <c r="A139" s="9">
        <f>IFERROR(__xludf.DUMMYFUNCTION("""COMPUTED_VALUE"""),0.0404)</f>
        <v>0.0404</v>
      </c>
    </row>
    <row r="140">
      <c r="A140" s="9">
        <f>IFERROR(__xludf.DUMMYFUNCTION("""COMPUTED_VALUE"""),0.0415)</f>
        <v>0.0415</v>
      </c>
    </row>
    <row r="141">
      <c r="A141" s="9">
        <f>IFERROR(__xludf.DUMMYFUNCTION("""COMPUTED_VALUE"""),0.0451)</f>
        <v>0.0451</v>
      </c>
    </row>
    <row r="142">
      <c r="A142" s="9">
        <f>IFERROR(__xludf.DUMMYFUNCTION("""COMPUTED_VALUE"""),0.0409)</f>
        <v>0.0409</v>
      </c>
    </row>
    <row r="143">
      <c r="A143" s="9">
        <f>IFERROR(__xludf.DUMMYFUNCTION("""COMPUTED_VALUE"""),0.0344)</f>
        <v>0.0344</v>
      </c>
    </row>
    <row r="144">
      <c r="A144" s="9">
        <f>IFERROR(__xludf.DUMMYFUNCTION("""COMPUTED_VALUE"""),0.0356)</f>
        <v>0.0356</v>
      </c>
    </row>
    <row r="145">
      <c r="A145" s="9">
        <f>IFERROR(__xludf.DUMMYFUNCTION("""COMPUTED_VALUE"""),0.0414)</f>
        <v>0.0414</v>
      </c>
    </row>
    <row r="146">
      <c r="A146" s="9">
        <f>IFERROR(__xludf.DUMMYFUNCTION("""COMPUTED_VALUE"""),0.0402)</f>
        <v>0.0402</v>
      </c>
    </row>
    <row r="147">
      <c r="A147" s="9">
        <f>IFERROR(__xludf.DUMMYFUNCTION("""COMPUTED_VALUE"""),0.0273)</f>
        <v>0.0273</v>
      </c>
    </row>
    <row r="148">
      <c r="A148" s="9">
        <f>IFERROR(__xludf.DUMMYFUNCTION("""COMPUTED_VALUE"""),0.0493)</f>
        <v>0.0493</v>
      </c>
    </row>
    <row r="149">
      <c r="A149" s="9">
        <f>IFERROR(__xludf.DUMMYFUNCTION("""COMPUTED_VALUE"""),0.0409)</f>
        <v>0.0409</v>
      </c>
    </row>
    <row r="150">
      <c r="A150" s="9">
        <f>IFERROR(__xludf.DUMMYFUNCTION("""COMPUTED_VALUE"""),0.0367)</f>
        <v>0.0367</v>
      </c>
    </row>
    <row r="151">
      <c r="A151" s="9">
        <f>IFERROR(__xludf.DUMMYFUNCTION("""COMPUTED_VALUE"""),0.0342)</f>
        <v>0.0342</v>
      </c>
    </row>
    <row r="152">
      <c r="A152" s="9">
        <f>IFERROR(__xludf.DUMMYFUNCTION("""COMPUTED_VALUE"""),0.0418)</f>
        <v>0.0418</v>
      </c>
    </row>
    <row r="153">
      <c r="A153" s="9">
        <f>IFERROR(__xludf.DUMMYFUNCTION("""COMPUTED_VALUE"""),0.0447)</f>
        <v>0.0447</v>
      </c>
    </row>
    <row r="154">
      <c r="A154" s="9">
        <f>IFERROR(__xludf.DUMMYFUNCTION("""COMPUTED_VALUE"""),0.0387)</f>
        <v>0.0387</v>
      </c>
    </row>
    <row r="155">
      <c r="A155" s="9">
        <f>IFERROR(__xludf.DUMMYFUNCTION("""COMPUTED_VALUE"""),0.0507)</f>
        <v>0.0507</v>
      </c>
    </row>
    <row r="156">
      <c r="A156" s="9">
        <f>IFERROR(__xludf.DUMMYFUNCTION("""COMPUTED_VALUE"""),0.0457)</f>
        <v>0.0457</v>
      </c>
    </row>
    <row r="157">
      <c r="A157" s="9">
        <f>IFERROR(__xludf.DUMMYFUNCTION("""COMPUTED_VALUE"""),0.0388)</f>
        <v>0.0388</v>
      </c>
    </row>
    <row r="158">
      <c r="A158" s="9">
        <f>IFERROR(__xludf.DUMMYFUNCTION("""COMPUTED_VALUE"""),0.0284)</f>
        <v>0.0284</v>
      </c>
    </row>
    <row r="159">
      <c r="A159" s="9">
        <f>IFERROR(__xludf.DUMMYFUNCTION("""COMPUTED_VALUE"""),0.0329)</f>
        <v>0.0329</v>
      </c>
    </row>
    <row r="160">
      <c r="A160" s="9">
        <f>IFERROR(__xludf.DUMMYFUNCTION("""COMPUTED_VALUE"""),0.0355)</f>
        <v>0.0355</v>
      </c>
    </row>
    <row r="161">
      <c r="A161" s="9">
        <f>IFERROR(__xludf.DUMMYFUNCTION("""COMPUTED_VALUE"""),0.0358)</f>
        <v>0.0358</v>
      </c>
    </row>
    <row r="162">
      <c r="A162" s="9">
        <f>IFERROR(__xludf.DUMMYFUNCTION("""COMPUTED_VALUE"""),0.05)</f>
        <v>0.05</v>
      </c>
    </row>
    <row r="163">
      <c r="A163" s="9">
        <f>IFERROR(__xludf.DUMMYFUNCTION("""COMPUTED_VALUE"""),0.0459)</f>
        <v>0.0459</v>
      </c>
    </row>
    <row r="164">
      <c r="A164" s="9">
        <f>IFERROR(__xludf.DUMMYFUNCTION("""COMPUTED_VALUE"""),0.0315)</f>
        <v>0.0315</v>
      </c>
    </row>
    <row r="165">
      <c r="A165" s="9">
        <f>IFERROR(__xludf.DUMMYFUNCTION("""COMPUTED_VALUE"""),0.0318)</f>
        <v>0.0318</v>
      </c>
    </row>
    <row r="166">
      <c r="A166" s="9">
        <f>IFERROR(__xludf.DUMMYFUNCTION("""COMPUTED_VALUE"""),0.038)</f>
        <v>0.038</v>
      </c>
    </row>
    <row r="167">
      <c r="A167" s="9">
        <f>IFERROR(__xludf.DUMMYFUNCTION("""COMPUTED_VALUE"""),0.044)</f>
        <v>0.044</v>
      </c>
    </row>
    <row r="168">
      <c r="A168" s="9">
        <f>IFERROR(__xludf.DUMMYFUNCTION("""COMPUTED_VALUE"""),0.041)</f>
        <v>0.041</v>
      </c>
    </row>
    <row r="169">
      <c r="A169" s="9">
        <f>IFERROR(__xludf.DUMMYFUNCTION("""COMPUTED_VALUE"""),0.0352)</f>
        <v>0.0352</v>
      </c>
    </row>
    <row r="170">
      <c r="A170" s="9">
        <f>IFERROR(__xludf.DUMMYFUNCTION("""COMPUTED_VALUE"""),0.0701)</f>
        <v>0.0701</v>
      </c>
    </row>
    <row r="171">
      <c r="A171" s="9">
        <f>IFERROR(__xludf.DUMMYFUNCTION("""COMPUTED_VALUE"""),0.0497)</f>
        <v>0.0497</v>
      </c>
    </row>
    <row r="172">
      <c r="A172" s="9">
        <f>IFERROR(__xludf.DUMMYFUNCTION("""COMPUTED_VALUE"""),0.0367)</f>
        <v>0.0367</v>
      </c>
    </row>
    <row r="173">
      <c r="A173" s="9">
        <f>IFERROR(__xludf.DUMMYFUNCTION("""COMPUTED_VALUE"""),0.0324)</f>
        <v>0.0324</v>
      </c>
    </row>
    <row r="174">
      <c r="A174" s="9">
        <f>IFERROR(__xludf.DUMMYFUNCTION("""COMPUTED_VALUE"""),0.0392)</f>
        <v>0.0392</v>
      </c>
    </row>
    <row r="175">
      <c r="A175" s="9">
        <f>IFERROR(__xludf.DUMMYFUNCTION("""COMPUTED_VALUE"""),0.0313)</f>
        <v>0.0313</v>
      </c>
    </row>
    <row r="176">
      <c r="A176" s="9">
        <f>IFERROR(__xludf.DUMMYFUNCTION("""COMPUTED_VALUE"""),0.0326)</f>
        <v>0.0326</v>
      </c>
    </row>
    <row r="177">
      <c r="A177" s="9">
        <f>IFERROR(__xludf.DUMMYFUNCTION("""COMPUTED_VALUE"""),0.0347)</f>
        <v>0.0347</v>
      </c>
    </row>
    <row r="178">
      <c r="A178" s="9">
        <f>IFERROR(__xludf.DUMMYFUNCTION("""COMPUTED_VALUE"""),0.0372)</f>
        <v>0.0372</v>
      </c>
    </row>
    <row r="179">
      <c r="A179" s="9">
        <f>IFERROR(__xludf.DUMMYFUNCTION("""COMPUTED_VALUE"""),0.0345)</f>
        <v>0.0345</v>
      </c>
    </row>
    <row r="180">
      <c r="A180" s="9">
        <f>IFERROR(__xludf.DUMMYFUNCTION("""COMPUTED_VALUE"""),0.031)</f>
        <v>0.031</v>
      </c>
    </row>
    <row r="181">
      <c r="A181" s="9">
        <f>IFERROR(__xludf.DUMMYFUNCTION("""COMPUTED_VALUE"""),0.122)</f>
        <v>0.122</v>
      </c>
    </row>
    <row r="182">
      <c r="A182" s="9">
        <f>IFERROR(__xludf.DUMMYFUNCTION("""COMPUTED_VALUE"""),0.06)</f>
        <v>0.06</v>
      </c>
    </row>
    <row r="183">
      <c r="A183" s="9">
        <f>IFERROR(__xludf.DUMMYFUNCTION("""COMPUTED_VALUE"""),0.0378)</f>
        <v>0.0378</v>
      </c>
    </row>
    <row r="184">
      <c r="A184" s="9">
        <f>IFERROR(__xludf.DUMMYFUNCTION("""COMPUTED_VALUE"""),0.0261)</f>
        <v>0.0261</v>
      </c>
    </row>
    <row r="185">
      <c r="A185" s="9">
        <f>IFERROR(__xludf.DUMMYFUNCTION("""COMPUTED_VALUE"""),0.04)</f>
        <v>0.04</v>
      </c>
    </row>
    <row r="186">
      <c r="A186" s="9">
        <f>IFERROR(__xludf.DUMMYFUNCTION("""COMPUTED_VALUE"""),0.101)</f>
        <v>0.101</v>
      </c>
    </row>
    <row r="187">
      <c r="A187" s="9">
        <f>IFERROR(__xludf.DUMMYFUNCTION("""COMPUTED_VALUE"""),0.0336)</f>
        <v>0.0336</v>
      </c>
    </row>
    <row r="188">
      <c r="A188" s="9">
        <f>IFERROR(__xludf.DUMMYFUNCTION("""COMPUTED_VALUE"""),0.052)</f>
        <v>0.052</v>
      </c>
    </row>
    <row r="189">
      <c r="A189" s="9">
        <f>IFERROR(__xludf.DUMMYFUNCTION("""COMPUTED_VALUE"""),0.039)</f>
        <v>0.039</v>
      </c>
    </row>
    <row r="190">
      <c r="A190" s="9">
        <f>IFERROR(__xludf.DUMMYFUNCTION("""COMPUTED_VALUE"""),0.046)</f>
        <v>0.046</v>
      </c>
    </row>
    <row r="191">
      <c r="A191" s="9">
        <f>IFERROR(__xludf.DUMMYFUNCTION("""COMPUTED_VALUE"""),0.0699)</f>
        <v>0.0699</v>
      </c>
    </row>
    <row r="192">
      <c r="A192" s="9">
        <f>IFERROR(__xludf.DUMMYFUNCTION("""COMPUTED_VALUE"""),0.037)</f>
        <v>0.037</v>
      </c>
    </row>
    <row r="193">
      <c r="A193" s="9">
        <f>IFERROR(__xludf.DUMMYFUNCTION("""COMPUTED_VALUE"""),0.0395)</f>
        <v>0.0395</v>
      </c>
    </row>
    <row r="194">
      <c r="A194" s="9">
        <f>IFERROR(__xludf.DUMMYFUNCTION("""COMPUTED_VALUE"""),0.0322)</f>
        <v>0.0322</v>
      </c>
    </row>
    <row r="195">
      <c r="A195" s="9">
        <f>IFERROR(__xludf.DUMMYFUNCTION("""COMPUTED_VALUE"""),0.0347)</f>
        <v>0.0347</v>
      </c>
    </row>
    <row r="196">
      <c r="A196" s="9">
        <f>IFERROR(__xludf.DUMMYFUNCTION("""COMPUTED_VALUE"""),0.0525)</f>
        <v>0.0525</v>
      </c>
    </row>
    <row r="197">
      <c r="A197" s="9">
        <f>IFERROR(__xludf.DUMMYFUNCTION("""COMPUTED_VALUE"""),0.0649)</f>
        <v>0.0649</v>
      </c>
    </row>
    <row r="198">
      <c r="A198" s="9">
        <f>IFERROR(__xludf.DUMMYFUNCTION("""COMPUTED_VALUE"""),0.0517)</f>
        <v>0.0517</v>
      </c>
    </row>
    <row r="199">
      <c r="A199" s="9">
        <f>IFERROR(__xludf.DUMMYFUNCTION("""COMPUTED_VALUE"""),0.0301)</f>
        <v>0.0301</v>
      </c>
    </row>
    <row r="200">
      <c r="A200" s="9">
        <f>IFERROR(__xludf.DUMMYFUNCTION("""COMPUTED_VALUE"""),0.028)</f>
        <v>0.028</v>
      </c>
    </row>
    <row r="201">
      <c r="A201" s="9">
        <f>IFERROR(__xludf.DUMMYFUNCTION("""COMPUTED_VALUE"""),0.0603)</f>
        <v>0.0603</v>
      </c>
    </row>
    <row r="202">
      <c r="A202" s="9">
        <f>IFERROR(__xludf.DUMMYFUNCTION("""COMPUTED_VALUE"""),0.064)</f>
        <v>0.064</v>
      </c>
    </row>
    <row r="203">
      <c r="A203" s="9">
        <f>IFERROR(__xludf.DUMMYFUNCTION("""COMPUTED_VALUE"""),0.0643)</f>
        <v>0.0643</v>
      </c>
    </row>
    <row r="204">
      <c r="A204" s="9">
        <f>IFERROR(__xludf.DUMMYFUNCTION("""COMPUTED_VALUE"""),0.0694)</f>
        <v>0.0694</v>
      </c>
    </row>
    <row r="205">
      <c r="A205" s="9">
        <f>IFERROR(__xludf.DUMMYFUNCTION("""COMPUTED_VALUE"""),0.0282)</f>
        <v>0.0282</v>
      </c>
    </row>
    <row r="206">
      <c r="A206" s="9">
        <f>IFERROR(__xludf.DUMMYFUNCTION("""COMPUTED_VALUE"""),0.0587)</f>
        <v>0.0587</v>
      </c>
    </row>
    <row r="207">
      <c r="A207" s="9">
        <f>IFERROR(__xludf.DUMMYFUNCTION("""COMPUTED_VALUE"""),0.0836)</f>
        <v>0.0836</v>
      </c>
    </row>
    <row r="208">
      <c r="A208" s="9">
        <f>IFERROR(__xludf.DUMMYFUNCTION("""COMPUTED_VALUE"""),0.0328)</f>
        <v>0.0328</v>
      </c>
    </row>
    <row r="209">
      <c r="A209" s="9">
        <f>IFERROR(__xludf.DUMMYFUNCTION("""COMPUTED_VALUE"""),0.0787)</f>
        <v>0.0787</v>
      </c>
    </row>
    <row r="210">
      <c r="A210" s="9">
        <f>IFERROR(__xludf.DUMMYFUNCTION("""COMPUTED_VALUE"""),0.0461)</f>
        <v>0.0461</v>
      </c>
    </row>
    <row r="211">
      <c r="A211" s="9">
        <f>IFERROR(__xludf.DUMMYFUNCTION("""COMPUTED_VALUE"""),0.0403)</f>
        <v>0.0403</v>
      </c>
    </row>
    <row r="212">
      <c r="A212" s="9">
        <f>IFERROR(__xludf.DUMMYFUNCTION("""COMPUTED_VALUE"""),0.0417)</f>
        <v>0.0417</v>
      </c>
    </row>
    <row r="213">
      <c r="A213" s="9">
        <f>IFERROR(__xludf.DUMMYFUNCTION("""COMPUTED_VALUE"""),0.17)</f>
        <v>0.17</v>
      </c>
    </row>
    <row r="214">
      <c r="A214" s="9">
        <f>IFERROR(__xludf.DUMMYFUNCTION("""COMPUTED_VALUE"""),0.0394)</f>
        <v>0.0394</v>
      </c>
    </row>
    <row r="215">
      <c r="A215" s="9">
        <f>IFERROR(__xludf.DUMMYFUNCTION("""COMPUTED_VALUE"""),0.038)</f>
        <v>0.038</v>
      </c>
    </row>
    <row r="216">
      <c r="A216" s="9">
        <f>IFERROR(__xludf.DUMMYFUNCTION("""COMPUTED_VALUE"""),0.0397)</f>
        <v>0.0397</v>
      </c>
    </row>
    <row r="217">
      <c r="A217" s="9">
        <f>IFERROR(__xludf.DUMMYFUNCTION("""COMPUTED_VALUE"""),0.184)</f>
        <v>0.184</v>
      </c>
    </row>
    <row r="218">
      <c r="A218" s="9">
        <f>IFERROR(__xludf.DUMMYFUNCTION("""COMPUTED_VALUE"""),0.0357)</f>
        <v>0.0357</v>
      </c>
    </row>
    <row r="219">
      <c r="A219" s="9">
        <f>IFERROR(__xludf.DUMMYFUNCTION("""COMPUTED_VALUE"""),0.0301)</f>
        <v>0.0301</v>
      </c>
    </row>
    <row r="220">
      <c r="A220" s="9">
        <f>IFERROR(__xludf.DUMMYFUNCTION("""COMPUTED_VALUE"""),0.049)</f>
        <v>0.049</v>
      </c>
    </row>
    <row r="221">
      <c r="A221" s="9">
        <f>IFERROR(__xludf.DUMMYFUNCTION("""COMPUTED_VALUE"""),0.0321)</f>
        <v>0.0321</v>
      </c>
    </row>
    <row r="222">
      <c r="A222" s="9">
        <f>IFERROR(__xludf.DUMMYFUNCTION("""COMPUTED_VALUE"""),0.0296)</f>
        <v>0.0296</v>
      </c>
    </row>
    <row r="223">
      <c r="A223" s="9">
        <f>IFERROR(__xludf.DUMMYFUNCTION("""COMPUTED_VALUE"""),0.0302)</f>
        <v>0.0302</v>
      </c>
    </row>
    <row r="224">
      <c r="A224" s="9">
        <f>IFERROR(__xludf.DUMMYFUNCTION("""COMPUTED_VALUE"""),0.0243)</f>
        <v>0.0243</v>
      </c>
    </row>
    <row r="225">
      <c r="A225" s="9">
        <f>IFERROR(__xludf.DUMMYFUNCTION("""COMPUTED_VALUE"""),0.031)</f>
        <v>0.031</v>
      </c>
    </row>
    <row r="226">
      <c r="A226" s="9">
        <f>IFERROR(__xludf.DUMMYFUNCTION("""COMPUTED_VALUE"""),0.035)</f>
        <v>0.035</v>
      </c>
    </row>
    <row r="227">
      <c r="A227" s="9">
        <f>IFERROR(__xludf.DUMMYFUNCTION("""COMPUTED_VALUE"""),0.0286)</f>
        <v>0.0286</v>
      </c>
    </row>
    <row r="228">
      <c r="A228" s="9">
        <f>IFERROR(__xludf.DUMMYFUNCTION("""COMPUTED_VALUE"""),0.0696)</f>
        <v>0.0696</v>
      </c>
    </row>
    <row r="229">
      <c r="A229" s="9">
        <f>IFERROR(__xludf.DUMMYFUNCTION("""COMPUTED_VALUE"""),0.0406)</f>
        <v>0.0406</v>
      </c>
    </row>
    <row r="230">
      <c r="A230" s="9">
        <f>IFERROR(__xludf.DUMMYFUNCTION("""COMPUTED_VALUE"""),0.0277)</f>
        <v>0.0277</v>
      </c>
    </row>
    <row r="231">
      <c r="A231" s="9">
        <f>IFERROR(__xludf.DUMMYFUNCTION("""COMPUTED_VALUE"""),0.0355)</f>
        <v>0.0355</v>
      </c>
    </row>
    <row r="232">
      <c r="A232" s="9">
        <f>IFERROR(__xludf.DUMMYFUNCTION("""COMPUTED_VALUE"""),0.0286)</f>
        <v>0.0286</v>
      </c>
    </row>
    <row r="233">
      <c r="A233" s="9">
        <f>IFERROR(__xludf.DUMMYFUNCTION("""COMPUTED_VALUE"""),0.0246)</f>
        <v>0.0246</v>
      </c>
    </row>
    <row r="234">
      <c r="A234" s="9">
        <f>IFERROR(__xludf.DUMMYFUNCTION("""COMPUTED_VALUE"""),0.0479)</f>
        <v>0.0479</v>
      </c>
    </row>
    <row r="235">
      <c r="A235" s="9">
        <f>IFERROR(__xludf.DUMMYFUNCTION("""COMPUTED_VALUE"""),0.033)</f>
        <v>0.033</v>
      </c>
    </row>
    <row r="236">
      <c r="A236" s="9">
        <f>IFERROR(__xludf.DUMMYFUNCTION("""COMPUTED_VALUE"""),0.0293)</f>
        <v>0.0293</v>
      </c>
    </row>
    <row r="237">
      <c r="A237" s="9">
        <f>IFERROR(__xludf.DUMMYFUNCTION("""COMPUTED_VALUE"""),0.037)</f>
        <v>0.037</v>
      </c>
    </row>
    <row r="238">
      <c r="A238" s="9">
        <f>IFERROR(__xludf.DUMMYFUNCTION("""COMPUTED_VALUE"""),0.0357)</f>
        <v>0.0357</v>
      </c>
    </row>
    <row r="239">
      <c r="A239" s="9">
        <f>IFERROR(__xludf.DUMMYFUNCTION("""COMPUTED_VALUE"""),0.0568)</f>
        <v>0.0568</v>
      </c>
    </row>
    <row r="240">
      <c r="A240" s="9">
        <f>IFERROR(__xludf.DUMMYFUNCTION("""COMPUTED_VALUE"""),0.0362)</f>
        <v>0.0362</v>
      </c>
    </row>
    <row r="241">
      <c r="A241" s="9">
        <f>IFERROR(__xludf.DUMMYFUNCTION("""COMPUTED_VALUE"""),0.0303)</f>
        <v>0.0303</v>
      </c>
    </row>
    <row r="242">
      <c r="A242" s="9">
        <f>IFERROR(__xludf.DUMMYFUNCTION("""COMPUTED_VALUE"""),0.0325)</f>
        <v>0.0325</v>
      </c>
    </row>
    <row r="243">
      <c r="A243" s="9">
        <f>IFERROR(__xludf.DUMMYFUNCTION("""COMPUTED_VALUE"""),0.0343)</f>
        <v>0.0343</v>
      </c>
    </row>
    <row r="244">
      <c r="A244" s="9">
        <f>IFERROR(__xludf.DUMMYFUNCTION("""COMPUTED_VALUE"""),0.0301)</f>
        <v>0.0301</v>
      </c>
    </row>
    <row r="245">
      <c r="A245" s="9">
        <f>IFERROR(__xludf.DUMMYFUNCTION("""COMPUTED_VALUE"""),0.0436)</f>
        <v>0.0436</v>
      </c>
    </row>
    <row r="246">
      <c r="A246" s="9">
        <f>IFERROR(__xludf.DUMMYFUNCTION("""COMPUTED_VALUE"""),0.0398)</f>
        <v>0.0398</v>
      </c>
    </row>
    <row r="247">
      <c r="A247" s="9">
        <f>IFERROR(__xludf.DUMMYFUNCTION("""COMPUTED_VALUE"""),0.0379)</f>
        <v>0.0379</v>
      </c>
    </row>
    <row r="248">
      <c r="A248" s="9">
        <f>IFERROR(__xludf.DUMMYFUNCTION("""COMPUTED_VALUE"""),0.0474)</f>
        <v>0.0474</v>
      </c>
    </row>
    <row r="249">
      <c r="A249" s="9">
        <f>IFERROR(__xludf.DUMMYFUNCTION("""COMPUTED_VALUE"""),0.0494)</f>
        <v>0.0494</v>
      </c>
    </row>
    <row r="250">
      <c r="A250" s="9">
        <f>IFERROR(__xludf.DUMMYFUNCTION("""COMPUTED_VALUE"""),0.0427)</f>
        <v>0.0427</v>
      </c>
    </row>
    <row r="251">
      <c r="A251" s="9">
        <f>IFERROR(__xludf.DUMMYFUNCTION("""COMPUTED_VALUE"""),0.045)</f>
        <v>0.045</v>
      </c>
    </row>
    <row r="252">
      <c r="A252" s="9">
        <f>IFERROR(__xludf.DUMMYFUNCTION("""COMPUTED_VALUE"""),0.0318)</f>
        <v>0.0318</v>
      </c>
    </row>
    <row r="253">
      <c r="A253" s="9">
        <f>IFERROR(__xludf.DUMMYFUNCTION("""COMPUTED_VALUE"""),0.0514)</f>
        <v>0.0514</v>
      </c>
    </row>
    <row r="254">
      <c r="A254" s="9">
        <f>IFERROR(__xludf.DUMMYFUNCTION("""COMPUTED_VALUE"""),0.0619)</f>
        <v>0.0619</v>
      </c>
    </row>
    <row r="255">
      <c r="A255" s="9">
        <f>IFERROR(__xludf.DUMMYFUNCTION("""COMPUTED_VALUE"""),0.03)</f>
        <v>0.03</v>
      </c>
    </row>
    <row r="256">
      <c r="A256" s="9">
        <f>IFERROR(__xludf.DUMMYFUNCTION("""COMPUTED_VALUE"""),0.0442)</f>
        <v>0.0442</v>
      </c>
    </row>
    <row r="257">
      <c r="A257" s="9">
        <f>IFERROR(__xludf.DUMMYFUNCTION("""COMPUTED_VALUE"""),0.0475)</f>
        <v>0.0475</v>
      </c>
    </row>
    <row r="258">
      <c r="A258" s="9">
        <f>IFERROR(__xludf.DUMMYFUNCTION("""COMPUTED_VALUE"""),0.0327)</f>
        <v>0.0327</v>
      </c>
    </row>
    <row r="259">
      <c r="A259" s="9">
        <f>IFERROR(__xludf.DUMMYFUNCTION("""COMPUTED_VALUE"""),0.0361)</f>
        <v>0.0361</v>
      </c>
    </row>
    <row r="260">
      <c r="A260" s="9">
        <f>IFERROR(__xludf.DUMMYFUNCTION("""COMPUTED_VALUE"""),0.0389)</f>
        <v>0.0389</v>
      </c>
    </row>
    <row r="261">
      <c r="A261" s="9">
        <f>IFERROR(__xludf.DUMMYFUNCTION("""COMPUTED_VALUE"""),0.0494)</f>
        <v>0.0494</v>
      </c>
    </row>
    <row r="262">
      <c r="A262" s="9">
        <f>IFERROR(__xludf.DUMMYFUNCTION("""COMPUTED_VALUE"""),0.03)</f>
        <v>0.03</v>
      </c>
    </row>
    <row r="263">
      <c r="A263" s="9">
        <f>IFERROR(__xludf.DUMMYFUNCTION("""COMPUTED_VALUE"""),0.0411)</f>
        <v>0.0411</v>
      </c>
    </row>
    <row r="264">
      <c r="A264" s="9">
        <f>IFERROR(__xludf.DUMMYFUNCTION("""COMPUTED_VALUE"""),0.072)</f>
        <v>0.072</v>
      </c>
    </row>
    <row r="265">
      <c r="A265" s="9">
        <f>IFERROR(__xludf.DUMMYFUNCTION("""COMPUTED_VALUE"""),0.0285)</f>
        <v>0.0285</v>
      </c>
    </row>
    <row r="266">
      <c r="A266" s="9">
        <f>IFERROR(__xludf.DUMMYFUNCTION("""COMPUTED_VALUE"""),0.0414)</f>
        <v>0.0414</v>
      </c>
    </row>
    <row r="267">
      <c r="A267" s="9">
        <f>IFERROR(__xludf.DUMMYFUNCTION("""COMPUTED_VALUE"""),0.0408)</f>
        <v>0.0408</v>
      </c>
    </row>
    <row r="268">
      <c r="A268" s="9">
        <f>IFERROR(__xludf.DUMMYFUNCTION("""COMPUTED_VALUE"""),0.0806)</f>
        <v>0.0806</v>
      </c>
    </row>
    <row r="269">
      <c r="A269" s="9">
        <f>IFERROR(__xludf.DUMMYFUNCTION("""COMPUTED_VALUE"""),0.0301)</f>
        <v>0.0301</v>
      </c>
    </row>
    <row r="270">
      <c r="A270" s="9">
        <f>IFERROR(__xludf.DUMMYFUNCTION("""COMPUTED_VALUE"""),0.0328)</f>
        <v>0.0328</v>
      </c>
    </row>
    <row r="271">
      <c r="A271" s="9">
        <f>IFERROR(__xludf.DUMMYFUNCTION("""COMPUTED_VALUE"""),0.0516)</f>
        <v>0.0516</v>
      </c>
    </row>
    <row r="272">
      <c r="A272" s="9">
        <f>IFERROR(__xludf.DUMMYFUNCTION("""COMPUTED_VALUE"""),0.197)</f>
        <v>0.197</v>
      </c>
    </row>
    <row r="273">
      <c r="A273" s="9">
        <f>IFERROR(__xludf.DUMMYFUNCTION("""COMPUTED_VALUE"""),0.0359)</f>
        <v>0.0359</v>
      </c>
    </row>
    <row r="274">
      <c r="A274" s="9">
        <f>IFERROR(__xludf.DUMMYFUNCTION("""COMPUTED_VALUE"""),0.0261)</f>
        <v>0.0261</v>
      </c>
    </row>
    <row r="275">
      <c r="A275" s="9">
        <f>IFERROR(__xludf.DUMMYFUNCTION("""COMPUTED_VALUE"""),0.0432)</f>
        <v>0.0432</v>
      </c>
    </row>
    <row r="276">
      <c r="A276" s="9">
        <f>IFERROR(__xludf.DUMMYFUNCTION("""COMPUTED_VALUE"""),0.0411)</f>
        <v>0.0411</v>
      </c>
    </row>
    <row r="277">
      <c r="A277" s="9">
        <f>IFERROR(__xludf.DUMMYFUNCTION("""COMPUTED_VALUE"""),0.0311)</f>
        <v>0.0311</v>
      </c>
    </row>
    <row r="278">
      <c r="A278" s="9">
        <f>IFERROR(__xludf.DUMMYFUNCTION("""COMPUTED_VALUE"""),0.0291)</f>
        <v>0.0291</v>
      </c>
    </row>
    <row r="279">
      <c r="A279" s="9">
        <f>IFERROR(__xludf.DUMMYFUNCTION("""COMPUTED_VALUE"""),0.0343)</f>
        <v>0.0343</v>
      </c>
    </row>
    <row r="280">
      <c r="A280" s="9">
        <f>IFERROR(__xludf.DUMMYFUNCTION("""COMPUTED_VALUE"""),0.0266)</f>
        <v>0.0266</v>
      </c>
    </row>
    <row r="281">
      <c r="A281" s="9">
        <f>IFERROR(__xludf.DUMMYFUNCTION("""COMPUTED_VALUE"""),0.0458)</f>
        <v>0.0458</v>
      </c>
    </row>
    <row r="282">
      <c r="A282" s="9">
        <f>IFERROR(__xludf.DUMMYFUNCTION("""COMPUTED_VALUE"""),0.0307)</f>
        <v>0.0307</v>
      </c>
    </row>
    <row r="283">
      <c r="A283" s="9">
        <f>IFERROR(__xludf.DUMMYFUNCTION("""COMPUTED_VALUE"""),0.0333)</f>
        <v>0.0333</v>
      </c>
    </row>
    <row r="284">
      <c r="A284" s="9">
        <f>IFERROR(__xludf.DUMMYFUNCTION("""COMPUTED_VALUE"""),0.0296)</f>
        <v>0.0296</v>
      </c>
    </row>
    <row r="285">
      <c r="A285" s="9">
        <f>IFERROR(__xludf.DUMMYFUNCTION("""COMPUTED_VALUE"""),0.0353)</f>
        <v>0.0353</v>
      </c>
    </row>
    <row r="286">
      <c r="A286" s="9">
        <f>IFERROR(__xludf.DUMMYFUNCTION("""COMPUTED_VALUE"""),0.0282)</f>
        <v>0.0282</v>
      </c>
    </row>
    <row r="287">
      <c r="A287" s="9">
        <f>IFERROR(__xludf.DUMMYFUNCTION("""COMPUTED_VALUE"""),0.0279)</f>
        <v>0.0279</v>
      </c>
    </row>
    <row r="288">
      <c r="A288" s="9">
        <f>IFERROR(__xludf.DUMMYFUNCTION("""COMPUTED_VALUE"""),0.0363)</f>
        <v>0.0363</v>
      </c>
    </row>
    <row r="289">
      <c r="A289" s="9">
        <f>IFERROR(__xludf.DUMMYFUNCTION("""COMPUTED_VALUE"""),0.0345)</f>
        <v>0.0345</v>
      </c>
    </row>
    <row r="290">
      <c r="A290" s="9">
        <f>IFERROR(__xludf.DUMMYFUNCTION("""COMPUTED_VALUE"""),0.151)</f>
        <v>0.151</v>
      </c>
    </row>
    <row r="291">
      <c r="A291" s="9">
        <f>IFERROR(__xludf.DUMMYFUNCTION("""COMPUTED_VALUE"""),0.0367)</f>
        <v>0.0367</v>
      </c>
    </row>
    <row r="292">
      <c r="A292" s="9">
        <f>IFERROR(__xludf.DUMMYFUNCTION("""COMPUTED_VALUE"""),0.0307)</f>
        <v>0.0307</v>
      </c>
    </row>
    <row r="293">
      <c r="A293" s="9">
        <f>IFERROR(__xludf.DUMMYFUNCTION("""COMPUTED_VALUE"""),0.0642)</f>
        <v>0.0642</v>
      </c>
    </row>
    <row r="294">
      <c r="A294" s="9">
        <f>IFERROR(__xludf.DUMMYFUNCTION("""COMPUTED_VALUE"""),0.0268)</f>
        <v>0.0268</v>
      </c>
    </row>
    <row r="295">
      <c r="A295" s="9">
        <f>IFERROR(__xludf.DUMMYFUNCTION("""COMPUTED_VALUE"""),0.0236)</f>
        <v>0.0236</v>
      </c>
    </row>
    <row r="296">
      <c r="A296" s="9">
        <f>IFERROR(__xludf.DUMMYFUNCTION("""COMPUTED_VALUE"""),0.0403)</f>
        <v>0.0403</v>
      </c>
    </row>
    <row r="297">
      <c r="A297" s="9">
        <f>IFERROR(__xludf.DUMMYFUNCTION("""COMPUTED_VALUE"""),0.0362)</f>
        <v>0.0362</v>
      </c>
    </row>
    <row r="298">
      <c r="A298" s="9">
        <f>IFERROR(__xludf.DUMMYFUNCTION("""COMPUTED_VALUE"""),0.114)</f>
        <v>0.114</v>
      </c>
    </row>
    <row r="299">
      <c r="A299" s="9">
        <f>IFERROR(__xludf.DUMMYFUNCTION("""COMPUTED_VALUE"""),0.0285)</f>
        <v>0.0285</v>
      </c>
    </row>
    <row r="300">
      <c r="A300" s="9">
        <f>IFERROR(__xludf.DUMMYFUNCTION("""COMPUTED_VALUE"""),0.034)</f>
        <v>0.034</v>
      </c>
    </row>
    <row r="301">
      <c r="A301" s="9">
        <f>IFERROR(__xludf.DUMMYFUNCTION("""COMPUTED_VALUE"""),0.0349)</f>
        <v>0.0349</v>
      </c>
    </row>
    <row r="302">
      <c r="A302" s="9">
        <f>IFERROR(__xludf.DUMMYFUNCTION("""COMPUTED_VALUE"""),0.0387)</f>
        <v>0.0387</v>
      </c>
    </row>
    <row r="303">
      <c r="A303" s="9">
        <f>IFERROR(__xludf.DUMMYFUNCTION("""COMPUTED_VALUE"""),0.0342)</f>
        <v>0.0342</v>
      </c>
    </row>
    <row r="304">
      <c r="A304" s="9">
        <f>IFERROR(__xludf.DUMMYFUNCTION("""COMPUTED_VALUE"""),0.0913)</f>
        <v>0.0913</v>
      </c>
    </row>
    <row r="305">
      <c r="A305" s="9">
        <f>IFERROR(__xludf.DUMMYFUNCTION("""COMPUTED_VALUE"""),0.129)</f>
        <v>0.129</v>
      </c>
    </row>
    <row r="306">
      <c r="A306" s="9">
        <f>IFERROR(__xludf.DUMMYFUNCTION("""COMPUTED_VALUE"""),0.094)</f>
        <v>0.094</v>
      </c>
    </row>
    <row r="307">
      <c r="A307" s="9">
        <f>IFERROR(__xludf.DUMMYFUNCTION("""COMPUTED_VALUE"""),0.0749)</f>
        <v>0.0749</v>
      </c>
    </row>
    <row r="308">
      <c r="A308" s="9">
        <f>IFERROR(__xludf.DUMMYFUNCTION("""COMPUTED_VALUE"""),0.0334)</f>
        <v>0.0334</v>
      </c>
    </row>
    <row r="309">
      <c r="A309" s="9">
        <f>IFERROR(__xludf.DUMMYFUNCTION("""COMPUTED_VALUE"""),0.0478)</f>
        <v>0.0478</v>
      </c>
    </row>
    <row r="310">
      <c r="A310" s="9">
        <f>IFERROR(__xludf.DUMMYFUNCTION("""COMPUTED_VALUE"""),0.174)</f>
        <v>0.174</v>
      </c>
    </row>
    <row r="311">
      <c r="A311" s="9">
        <f>IFERROR(__xludf.DUMMYFUNCTION("""COMPUTED_VALUE"""),0.0391)</f>
        <v>0.0391</v>
      </c>
    </row>
    <row r="312">
      <c r="A312" s="9">
        <f>IFERROR(__xludf.DUMMYFUNCTION("""COMPUTED_VALUE"""),0.0366)</f>
        <v>0.0366</v>
      </c>
    </row>
    <row r="313">
      <c r="A313" s="9">
        <f>IFERROR(__xludf.DUMMYFUNCTION("""COMPUTED_VALUE"""),0.131)</f>
        <v>0.131</v>
      </c>
    </row>
    <row r="314">
      <c r="A314" s="9">
        <f>IFERROR(__xludf.DUMMYFUNCTION("""COMPUTED_VALUE"""),0.0262)</f>
        <v>0.0262</v>
      </c>
    </row>
    <row r="315">
      <c r="A315" s="9">
        <f>IFERROR(__xludf.DUMMYFUNCTION("""COMPUTED_VALUE"""),0.059)</f>
        <v>0.059</v>
      </c>
    </row>
    <row r="316">
      <c r="A316" s="9">
        <f>IFERROR(__xludf.DUMMYFUNCTION("""COMPUTED_VALUE"""),0.0265)</f>
        <v>0.0265</v>
      </c>
    </row>
    <row r="317">
      <c r="A317" s="9">
        <f>IFERROR(__xludf.DUMMYFUNCTION("""COMPUTED_VALUE"""),0.0622)</f>
        <v>0.0622</v>
      </c>
    </row>
    <row r="318">
      <c r="A318" s="9">
        <f>IFERROR(__xludf.DUMMYFUNCTION("""COMPUTED_VALUE"""),0.111)</f>
        <v>0.111</v>
      </c>
    </row>
    <row r="319">
      <c r="A319" s="9">
        <f>IFERROR(__xludf.DUMMYFUNCTION("""COMPUTED_VALUE"""),0.0466)</f>
        <v>0.0466</v>
      </c>
    </row>
    <row r="320">
      <c r="A320" s="9">
        <f>IFERROR(__xludf.DUMMYFUNCTION("""COMPUTED_VALUE"""),0.0302)</f>
        <v>0.0302</v>
      </c>
    </row>
    <row r="321">
      <c r="A321" s="9">
        <f>IFERROR(__xludf.DUMMYFUNCTION("""COMPUTED_VALUE"""),0.0264)</f>
        <v>0.0264</v>
      </c>
    </row>
    <row r="322">
      <c r="A322" s="9">
        <f>IFERROR(__xludf.DUMMYFUNCTION("""COMPUTED_VALUE"""),0.056)</f>
        <v>0.056</v>
      </c>
    </row>
    <row r="323">
      <c r="A323" s="9">
        <f>IFERROR(__xludf.DUMMYFUNCTION("""COMPUTED_VALUE"""),0.0513)</f>
        <v>0.0513</v>
      </c>
    </row>
    <row r="324">
      <c r="A324" s="9">
        <f>IFERROR(__xludf.DUMMYFUNCTION("""COMPUTED_VALUE"""),0.0438)</f>
        <v>0.0438</v>
      </c>
    </row>
    <row r="325">
      <c r="A325" s="9">
        <f>IFERROR(__xludf.DUMMYFUNCTION("""COMPUTED_VALUE"""),0.0433)</f>
        <v>0.0433</v>
      </c>
    </row>
    <row r="326">
      <c r="A326" s="9">
        <f>IFERROR(__xludf.DUMMYFUNCTION("""COMPUTED_VALUE"""),0.24)</f>
        <v>0.24</v>
      </c>
    </row>
    <row r="327">
      <c r="A327" s="9">
        <f>IFERROR(__xludf.DUMMYFUNCTION("""COMPUTED_VALUE"""),0.0435)</f>
        <v>0.0435</v>
      </c>
    </row>
    <row r="328">
      <c r="A328" s="9">
        <f>IFERROR(__xludf.DUMMYFUNCTION("""COMPUTED_VALUE"""),0.0376)</f>
        <v>0.0376</v>
      </c>
    </row>
    <row r="329">
      <c r="A329" s="9">
        <f>IFERROR(__xludf.DUMMYFUNCTION("""COMPUTED_VALUE"""),0.032)</f>
        <v>0.032</v>
      </c>
    </row>
    <row r="330">
      <c r="A330" s="9">
        <f>IFERROR(__xludf.DUMMYFUNCTION("""COMPUTED_VALUE"""),0.0305)</f>
        <v>0.0305</v>
      </c>
    </row>
    <row r="331">
      <c r="A331" s="9">
        <f>IFERROR(__xludf.DUMMYFUNCTION("""COMPUTED_VALUE"""),0.0287)</f>
        <v>0.0287</v>
      </c>
    </row>
    <row r="332">
      <c r="A332" s="9">
        <f>IFERROR(__xludf.DUMMYFUNCTION("""COMPUTED_VALUE"""),0.0412)</f>
        <v>0.0412</v>
      </c>
    </row>
    <row r="333">
      <c r="A333" s="9">
        <f>IFERROR(__xludf.DUMMYFUNCTION("""COMPUTED_VALUE"""),0.0409)</f>
        <v>0.0409</v>
      </c>
    </row>
    <row r="334">
      <c r="A334" s="9">
        <f>IFERROR(__xludf.DUMMYFUNCTION("""COMPUTED_VALUE"""),0.0397)</f>
        <v>0.0397</v>
      </c>
    </row>
    <row r="335">
      <c r="A335" s="9">
        <f>IFERROR(__xludf.DUMMYFUNCTION("""COMPUTED_VALUE"""),0.053)</f>
        <v>0.053</v>
      </c>
    </row>
    <row r="336">
      <c r="A336" s="9">
        <f>IFERROR(__xludf.DUMMYFUNCTION("""COMPUTED_VALUE"""),0.0457)</f>
        <v>0.0457</v>
      </c>
    </row>
    <row r="337">
      <c r="A337" s="9">
        <f>IFERROR(__xludf.DUMMYFUNCTION("""COMPUTED_VALUE"""),0.0553)</f>
        <v>0.0553</v>
      </c>
    </row>
    <row r="338">
      <c r="A338" s="9">
        <f>IFERROR(__xludf.DUMMYFUNCTION("""COMPUTED_VALUE"""),0.0384)</f>
        <v>0.0384</v>
      </c>
    </row>
    <row r="339">
      <c r="A339" s="9">
        <f>IFERROR(__xludf.DUMMYFUNCTION("""COMPUTED_VALUE"""),0.048)</f>
        <v>0.048</v>
      </c>
    </row>
    <row r="340">
      <c r="A340" s="9">
        <f>IFERROR(__xludf.DUMMYFUNCTION("""COMPUTED_VALUE"""),0.0368)</f>
        <v>0.0368</v>
      </c>
    </row>
    <row r="341">
      <c r="A341" s="9">
        <f>IFERROR(__xludf.DUMMYFUNCTION("""COMPUTED_VALUE"""),0.0496)</f>
        <v>0.0496</v>
      </c>
    </row>
    <row r="342">
      <c r="A342" s="9">
        <f>IFERROR(__xludf.DUMMYFUNCTION("""COMPUTED_VALUE"""),0.0992)</f>
        <v>0.0992</v>
      </c>
    </row>
    <row r="343">
      <c r="A343" s="9">
        <f>IFERROR(__xludf.DUMMYFUNCTION("""COMPUTED_VALUE"""),0.0379)</f>
        <v>0.0379</v>
      </c>
    </row>
    <row r="344">
      <c r="A344" s="9">
        <f>IFERROR(__xludf.DUMMYFUNCTION("""COMPUTED_VALUE"""),0.0336)</f>
        <v>0.0336</v>
      </c>
    </row>
    <row r="345">
      <c r="A345" s="9">
        <f>IFERROR(__xludf.DUMMYFUNCTION("""COMPUTED_VALUE"""),0.0414)</f>
        <v>0.0414</v>
      </c>
    </row>
    <row r="346">
      <c r="A346" s="9">
        <f>IFERROR(__xludf.DUMMYFUNCTION("""COMPUTED_VALUE"""),0.0449)</f>
        <v>0.0449</v>
      </c>
    </row>
    <row r="347">
      <c r="A347" s="9">
        <f>IFERROR(__xludf.DUMMYFUNCTION("""COMPUTED_VALUE"""),0.0949)</f>
        <v>0.0949</v>
      </c>
    </row>
    <row r="348">
      <c r="A348" s="9">
        <f>IFERROR(__xludf.DUMMYFUNCTION("""COMPUTED_VALUE"""),0.0344)</f>
        <v>0.0344</v>
      </c>
    </row>
    <row r="349">
      <c r="A349" s="9">
        <f>IFERROR(__xludf.DUMMYFUNCTION("""COMPUTED_VALUE"""),0.0558)</f>
        <v>0.0558</v>
      </c>
    </row>
    <row r="350">
      <c r="A350" s="9">
        <f>IFERROR(__xludf.DUMMYFUNCTION("""COMPUTED_VALUE"""),0.0272)</f>
        <v>0.0272</v>
      </c>
    </row>
    <row r="351">
      <c r="A351" s="9">
        <f>IFERROR(__xludf.DUMMYFUNCTION("""COMPUTED_VALUE"""),0.0617)</f>
        <v>0.0617</v>
      </c>
    </row>
    <row r="352">
      <c r="A352" s="9">
        <f>IFERROR(__xludf.DUMMYFUNCTION("""COMPUTED_VALUE"""),0.104)</f>
        <v>0.104</v>
      </c>
    </row>
    <row r="353">
      <c r="A353" s="9">
        <f>IFERROR(__xludf.DUMMYFUNCTION("""COMPUTED_VALUE"""),0.0999)</f>
        <v>0.0999</v>
      </c>
    </row>
    <row r="354">
      <c r="A354" s="9">
        <f>IFERROR(__xludf.DUMMYFUNCTION("""COMPUTED_VALUE"""),0.0307)</f>
        <v>0.0307</v>
      </c>
    </row>
    <row r="355">
      <c r="A355" s="9">
        <f>IFERROR(__xludf.DUMMYFUNCTION("""COMPUTED_VALUE"""),0.227)</f>
        <v>0.227</v>
      </c>
    </row>
    <row r="356">
      <c r="A356" s="9">
        <f>IFERROR(__xludf.DUMMYFUNCTION("""COMPUTED_VALUE"""),0.0314)</f>
        <v>0.0314</v>
      </c>
    </row>
    <row r="357">
      <c r="A357" s="9">
        <f>IFERROR(__xludf.DUMMYFUNCTION("""COMPUTED_VALUE"""),0.0307)</f>
        <v>0.0307</v>
      </c>
    </row>
    <row r="358">
      <c r="A358" s="9">
        <f>IFERROR(__xludf.DUMMYFUNCTION("""COMPUTED_VALUE"""),0.033)</f>
        <v>0.033</v>
      </c>
    </row>
    <row r="359">
      <c r="A359" s="9">
        <f>IFERROR(__xludf.DUMMYFUNCTION("""COMPUTED_VALUE"""),0.0354)</f>
        <v>0.0354</v>
      </c>
    </row>
    <row r="360">
      <c r="A360" s="9">
        <f>IFERROR(__xludf.DUMMYFUNCTION("""COMPUTED_VALUE"""),0.0353)</f>
        <v>0.0353</v>
      </c>
    </row>
    <row r="361">
      <c r="A361" s="9">
        <f>IFERROR(__xludf.DUMMYFUNCTION("""COMPUTED_VALUE"""),0.114)</f>
        <v>0.114</v>
      </c>
    </row>
    <row r="362">
      <c r="A362" s="9">
        <f>IFERROR(__xludf.DUMMYFUNCTION("""COMPUTED_VALUE"""),0.102)</f>
        <v>0.102</v>
      </c>
    </row>
    <row r="363">
      <c r="A363" s="9">
        <f>IFERROR(__xludf.DUMMYFUNCTION("""COMPUTED_VALUE"""),0.0496)</f>
        <v>0.0496</v>
      </c>
    </row>
    <row r="364">
      <c r="A364" s="9">
        <f>IFERROR(__xludf.DUMMYFUNCTION("""COMPUTED_VALUE"""),0.0377)</f>
        <v>0.0377</v>
      </c>
    </row>
    <row r="365">
      <c r="A365" s="9">
        <f>IFERROR(__xludf.DUMMYFUNCTION("""COMPUTED_VALUE"""),0.0374)</f>
        <v>0.0374</v>
      </c>
    </row>
    <row r="366">
      <c r="A366" s="9">
        <f>IFERROR(__xludf.DUMMYFUNCTION("""COMPUTED_VALUE"""),0.0962)</f>
        <v>0.0962</v>
      </c>
    </row>
    <row r="367">
      <c r="A367" s="9">
        <f>IFERROR(__xludf.DUMMYFUNCTION("""COMPUTED_VALUE"""),0.0485)</f>
        <v>0.0485</v>
      </c>
    </row>
    <row r="368">
      <c r="A368" s="9">
        <f>IFERROR(__xludf.DUMMYFUNCTION("""COMPUTED_VALUE"""),0.048)</f>
        <v>0.048</v>
      </c>
    </row>
    <row r="369">
      <c r="A369" s="9">
        <f>IFERROR(__xludf.DUMMYFUNCTION("""COMPUTED_VALUE"""),0.0385)</f>
        <v>0.0385</v>
      </c>
    </row>
    <row r="370">
      <c r="A370" s="9">
        <f>IFERROR(__xludf.DUMMYFUNCTION("""COMPUTED_VALUE"""),0.0293)</f>
        <v>0.0293</v>
      </c>
    </row>
    <row r="371">
      <c r="A371" s="9">
        <f>IFERROR(__xludf.DUMMYFUNCTION("""COMPUTED_VALUE"""),0.116)</f>
        <v>0.116</v>
      </c>
    </row>
    <row r="372">
      <c r="A372" s="9">
        <f>IFERROR(__xludf.DUMMYFUNCTION("""COMPUTED_VALUE"""),0.0539)</f>
        <v>0.0539</v>
      </c>
    </row>
    <row r="373">
      <c r="A373" s="9">
        <f>IFERROR(__xludf.DUMMYFUNCTION("""COMPUTED_VALUE"""),0.0369)</f>
        <v>0.0369</v>
      </c>
    </row>
    <row r="374">
      <c r="A374" s="9">
        <f>IFERROR(__xludf.DUMMYFUNCTION("""COMPUTED_VALUE"""),0.0398)</f>
        <v>0.0398</v>
      </c>
    </row>
    <row r="375">
      <c r="A375" s="9">
        <f>IFERROR(__xludf.DUMMYFUNCTION("""COMPUTED_VALUE"""),0.0945)</f>
        <v>0.0945</v>
      </c>
    </row>
    <row r="376">
      <c r="A376" s="9">
        <f>IFERROR(__xludf.DUMMYFUNCTION("""COMPUTED_VALUE"""),0.116)</f>
        <v>0.116</v>
      </c>
    </row>
    <row r="377">
      <c r="A377" s="9">
        <f>IFERROR(__xludf.DUMMYFUNCTION("""COMPUTED_VALUE"""),0.042)</f>
        <v>0.042</v>
      </c>
    </row>
    <row r="378">
      <c r="A378" s="9">
        <f>IFERROR(__xludf.DUMMYFUNCTION("""COMPUTED_VALUE"""),0.236)</f>
        <v>0.236</v>
      </c>
    </row>
    <row r="379">
      <c r="A379" s="9">
        <f>IFERROR(__xludf.DUMMYFUNCTION("""COMPUTED_VALUE"""),0.101)</f>
        <v>0.101</v>
      </c>
    </row>
    <row r="380">
      <c r="A380" s="9">
        <f>IFERROR(__xludf.DUMMYFUNCTION("""COMPUTED_VALUE"""),0.0646)</f>
        <v>0.0646</v>
      </c>
    </row>
    <row r="381">
      <c r="A381" s="9">
        <f>IFERROR(__xludf.DUMMYFUNCTION("""COMPUTED_VALUE"""),0.0268)</f>
        <v>0.0268</v>
      </c>
    </row>
    <row r="382">
      <c r="A382" s="9">
        <f>IFERROR(__xludf.DUMMYFUNCTION("""COMPUTED_VALUE"""),0.0535)</f>
        <v>0.0535</v>
      </c>
    </row>
    <row r="383">
      <c r="A383" s="9">
        <f>IFERROR(__xludf.DUMMYFUNCTION("""COMPUTED_VALUE"""),0.0336)</f>
        <v>0.0336</v>
      </c>
    </row>
    <row r="384">
      <c r="A384" s="9">
        <f>IFERROR(__xludf.DUMMYFUNCTION("""COMPUTED_VALUE"""),0.106)</f>
        <v>0.106</v>
      </c>
    </row>
    <row r="385">
      <c r="A385" s="9">
        <f>IFERROR(__xludf.DUMMYFUNCTION("""COMPUTED_VALUE"""),0.0603)</f>
        <v>0.0603</v>
      </c>
    </row>
    <row r="386">
      <c r="A386" s="9">
        <f>IFERROR(__xludf.DUMMYFUNCTION("""COMPUTED_VALUE"""),0.0383)</f>
        <v>0.0383</v>
      </c>
    </row>
    <row r="387">
      <c r="A387" s="9">
        <f>IFERROR(__xludf.DUMMYFUNCTION("""COMPUTED_VALUE"""),0.0325)</f>
        <v>0.0325</v>
      </c>
    </row>
    <row r="388">
      <c r="A388" s="9">
        <f>IFERROR(__xludf.DUMMYFUNCTION("""COMPUTED_VALUE"""),0.0411)</f>
        <v>0.0411</v>
      </c>
    </row>
    <row r="389">
      <c r="A389" s="9">
        <f>IFERROR(__xludf.DUMMYFUNCTION("""COMPUTED_VALUE"""),0.0737)</f>
        <v>0.0737</v>
      </c>
    </row>
    <row r="390">
      <c r="A390" s="9">
        <f>IFERROR(__xludf.DUMMYFUNCTION("""COMPUTED_VALUE"""),0.0639)</f>
        <v>0.0639</v>
      </c>
    </row>
    <row r="391">
      <c r="A391" s="9">
        <f>IFERROR(__xludf.DUMMYFUNCTION("""COMPUTED_VALUE"""),0.0338)</f>
        <v>0.0338</v>
      </c>
    </row>
    <row r="392">
      <c r="A392" s="9">
        <f>IFERROR(__xludf.DUMMYFUNCTION("""COMPUTED_VALUE"""),0.0332)</f>
        <v>0.0332</v>
      </c>
    </row>
    <row r="393">
      <c r="A393" s="9">
        <f>IFERROR(__xludf.DUMMYFUNCTION("""COMPUTED_VALUE"""),0.0598)</f>
        <v>0.0598</v>
      </c>
    </row>
    <row r="394">
      <c r="A394" s="9">
        <f>IFERROR(__xludf.DUMMYFUNCTION("""COMPUTED_VALUE"""),0.0323)</f>
        <v>0.0323</v>
      </c>
    </row>
    <row r="395">
      <c r="A395" s="9">
        <f>IFERROR(__xludf.DUMMYFUNCTION("""COMPUTED_VALUE"""),0.421)</f>
        <v>0.421</v>
      </c>
    </row>
    <row r="396">
      <c r="A396" s="9">
        <f>IFERROR(__xludf.DUMMYFUNCTION("""COMPUTED_VALUE"""),0.0345)</f>
        <v>0.0345</v>
      </c>
    </row>
    <row r="397">
      <c r="A397" s="9">
        <f>IFERROR(__xludf.DUMMYFUNCTION("""COMPUTED_VALUE"""),0.0436)</f>
        <v>0.0436</v>
      </c>
    </row>
    <row r="398">
      <c r="A398" s="9">
        <f>IFERROR(__xludf.DUMMYFUNCTION("""COMPUTED_VALUE"""),0.0943)</f>
        <v>0.0943</v>
      </c>
    </row>
    <row r="399">
      <c r="A399" s="9">
        <f>IFERROR(__xludf.DUMMYFUNCTION("""COMPUTED_VALUE"""),0.0385)</f>
        <v>0.0385</v>
      </c>
    </row>
    <row r="400">
      <c r="A400" s="9">
        <f>IFERROR(__xludf.DUMMYFUNCTION("""COMPUTED_VALUE"""),0.0303)</f>
        <v>0.0303</v>
      </c>
    </row>
    <row r="401">
      <c r="A401" s="9">
        <f>IFERROR(__xludf.DUMMYFUNCTION("""COMPUTED_VALUE"""),0.0314)</f>
        <v>0.0314</v>
      </c>
    </row>
    <row r="402">
      <c r="A402" s="9">
        <f>IFERROR(__xludf.DUMMYFUNCTION("""COMPUTED_VALUE"""),0.0436)</f>
        <v>0.0436</v>
      </c>
    </row>
    <row r="403">
      <c r="A403" s="9">
        <f>IFERROR(__xludf.DUMMYFUNCTION("""COMPUTED_VALUE"""),0.0267)</f>
        <v>0.0267</v>
      </c>
    </row>
    <row r="404">
      <c r="A404" s="9">
        <f>IFERROR(__xludf.DUMMYFUNCTION("""COMPUTED_VALUE"""),0.0342)</f>
        <v>0.0342</v>
      </c>
    </row>
    <row r="405">
      <c r="A405" s="9">
        <f>IFERROR(__xludf.DUMMYFUNCTION("""COMPUTED_VALUE"""),0.0375)</f>
        <v>0.0375</v>
      </c>
    </row>
    <row r="406">
      <c r="A406" s="9">
        <f>IFERROR(__xludf.DUMMYFUNCTION("""COMPUTED_VALUE"""),0.141)</f>
        <v>0.141</v>
      </c>
    </row>
    <row r="407">
      <c r="A407" s="9">
        <f>IFERROR(__xludf.DUMMYFUNCTION("""COMPUTED_VALUE"""),0.0388)</f>
        <v>0.0388</v>
      </c>
    </row>
    <row r="408">
      <c r="A408" s="9">
        <f>IFERROR(__xludf.DUMMYFUNCTION("""COMPUTED_VALUE"""),0.0466)</f>
        <v>0.0466</v>
      </c>
    </row>
    <row r="409">
      <c r="A409" s="9">
        <f>IFERROR(__xludf.DUMMYFUNCTION("""COMPUTED_VALUE"""),0.0509)</f>
        <v>0.0509</v>
      </c>
    </row>
    <row r="410">
      <c r="A410" s="9">
        <f>IFERROR(__xludf.DUMMYFUNCTION("""COMPUTED_VALUE"""),0.0371)</f>
        <v>0.0371</v>
      </c>
    </row>
    <row r="411">
      <c r="A411" s="9">
        <f>IFERROR(__xludf.DUMMYFUNCTION("""COMPUTED_VALUE"""),0.0353)</f>
        <v>0.0353</v>
      </c>
    </row>
    <row r="412">
      <c r="A412" s="9">
        <f>IFERROR(__xludf.DUMMYFUNCTION("""COMPUTED_VALUE"""),0.0373)</f>
        <v>0.0373</v>
      </c>
    </row>
    <row r="413">
      <c r="A413" s="9">
        <f>IFERROR(__xludf.DUMMYFUNCTION("""COMPUTED_VALUE"""),0.0361)</f>
        <v>0.0361</v>
      </c>
    </row>
    <row r="414">
      <c r="A414" s="9">
        <f>IFERROR(__xludf.DUMMYFUNCTION("""COMPUTED_VALUE"""),0.045)</f>
        <v>0.045</v>
      </c>
    </row>
    <row r="415">
      <c r="A415" s="9">
        <f>IFERROR(__xludf.DUMMYFUNCTION("""COMPUTED_VALUE"""),0.0383)</f>
        <v>0.0383</v>
      </c>
    </row>
    <row r="416">
      <c r="A416" s="9">
        <f>IFERROR(__xludf.DUMMYFUNCTION("""COMPUTED_VALUE"""),0.0276)</f>
        <v>0.0276</v>
      </c>
    </row>
    <row r="417">
      <c r="A417" s="9">
        <f>IFERROR(__xludf.DUMMYFUNCTION("""COMPUTED_VALUE"""),0.141)</f>
        <v>0.141</v>
      </c>
    </row>
    <row r="418">
      <c r="A418" s="9">
        <f>IFERROR(__xludf.DUMMYFUNCTION("""COMPUTED_VALUE"""),0.035)</f>
        <v>0.035</v>
      </c>
    </row>
    <row r="419">
      <c r="A419" s="9">
        <f>IFERROR(__xludf.DUMMYFUNCTION("""COMPUTED_VALUE"""),0.0287)</f>
        <v>0.0287</v>
      </c>
    </row>
    <row r="420">
      <c r="A420" s="9">
        <f>IFERROR(__xludf.DUMMYFUNCTION("""COMPUTED_VALUE"""),0.16)</f>
        <v>0.16</v>
      </c>
    </row>
    <row r="421">
      <c r="A421" s="9">
        <f>IFERROR(__xludf.DUMMYFUNCTION("""COMPUTED_VALUE"""),0.0395)</f>
        <v>0.0395</v>
      </c>
    </row>
    <row r="422">
      <c r="A422" s="9">
        <f>IFERROR(__xludf.DUMMYFUNCTION("""COMPUTED_VALUE"""),0.153)</f>
        <v>0.153</v>
      </c>
    </row>
    <row r="423">
      <c r="A423" s="9">
        <f>IFERROR(__xludf.DUMMYFUNCTION("""COMPUTED_VALUE"""),0.0295)</f>
        <v>0.0295</v>
      </c>
    </row>
    <row r="424">
      <c r="A424" s="9">
        <f>IFERROR(__xludf.DUMMYFUNCTION("""COMPUTED_VALUE"""),0.0428)</f>
        <v>0.0428</v>
      </c>
    </row>
    <row r="425">
      <c r="A425" s="9">
        <f>IFERROR(__xludf.DUMMYFUNCTION("""COMPUTED_VALUE"""),0.03)</f>
        <v>0.03</v>
      </c>
    </row>
    <row r="426">
      <c r="A426" s="9">
        <f>IFERROR(__xludf.DUMMYFUNCTION("""COMPUTED_VALUE"""),0.034)</f>
        <v>0.034</v>
      </c>
    </row>
    <row r="427">
      <c r="A427" s="9">
        <f>IFERROR(__xludf.DUMMYFUNCTION("""COMPUTED_VALUE"""),0.0318)</f>
        <v>0.0318</v>
      </c>
    </row>
    <row r="428">
      <c r="A428" s="9">
        <f>IFERROR(__xludf.DUMMYFUNCTION("""COMPUTED_VALUE"""),0.0364)</f>
        <v>0.0364</v>
      </c>
    </row>
    <row r="429">
      <c r="A429" s="9">
        <f>IFERROR(__xludf.DUMMYFUNCTION("""COMPUTED_VALUE"""),0.0475)</f>
        <v>0.0475</v>
      </c>
    </row>
    <row r="430">
      <c r="A430" s="9">
        <f>IFERROR(__xludf.DUMMYFUNCTION("""COMPUTED_VALUE"""),0.0373)</f>
        <v>0.0373</v>
      </c>
    </row>
    <row r="431">
      <c r="A431" s="9">
        <f>IFERROR(__xludf.DUMMYFUNCTION("""COMPUTED_VALUE"""),0.0343)</f>
        <v>0.0343</v>
      </c>
    </row>
    <row r="432">
      <c r="A432" s="9">
        <f>IFERROR(__xludf.DUMMYFUNCTION("""COMPUTED_VALUE"""),0.0295)</f>
        <v>0.0295</v>
      </c>
    </row>
    <row r="433">
      <c r="A433" s="9">
        <f>IFERROR(__xludf.DUMMYFUNCTION("""COMPUTED_VALUE"""),0.0438)</f>
        <v>0.0438</v>
      </c>
    </row>
    <row r="434">
      <c r="A434" s="9">
        <f>IFERROR(__xludf.DUMMYFUNCTION("""COMPUTED_VALUE"""),0.0337)</f>
        <v>0.0337</v>
      </c>
    </row>
    <row r="435">
      <c r="A435" s="9">
        <f>IFERROR(__xludf.DUMMYFUNCTION("""COMPUTED_VALUE"""),0.0295)</f>
        <v>0.0295</v>
      </c>
    </row>
    <row r="436">
      <c r="A436" s="9">
        <f>IFERROR(__xludf.DUMMYFUNCTION("""COMPUTED_VALUE"""),0.0418)</f>
        <v>0.0418</v>
      </c>
    </row>
    <row r="437">
      <c r="A437" s="9">
        <f>IFERROR(__xludf.DUMMYFUNCTION("""COMPUTED_VALUE"""),0.0509)</f>
        <v>0.0509</v>
      </c>
    </row>
    <row r="438">
      <c r="A438" s="9">
        <f>IFERROR(__xludf.DUMMYFUNCTION("""COMPUTED_VALUE"""),0.0315)</f>
        <v>0.0315</v>
      </c>
    </row>
    <row r="439">
      <c r="A439" s="9">
        <f>IFERROR(__xludf.DUMMYFUNCTION("""COMPUTED_VALUE"""),0.0736)</f>
        <v>0.0736</v>
      </c>
    </row>
    <row r="440">
      <c r="A440" s="9">
        <f>IFERROR(__xludf.DUMMYFUNCTION("""COMPUTED_VALUE"""),0.0289)</f>
        <v>0.0289</v>
      </c>
    </row>
    <row r="441">
      <c r="A441" s="9">
        <f>IFERROR(__xludf.DUMMYFUNCTION("""COMPUTED_VALUE"""),0.0404)</f>
        <v>0.0404</v>
      </c>
    </row>
    <row r="442">
      <c r="A442" s="9">
        <f>IFERROR(__xludf.DUMMYFUNCTION("""COMPUTED_VALUE"""),0.0333)</f>
        <v>0.0333</v>
      </c>
    </row>
    <row r="443">
      <c r="A443" s="9">
        <f>IFERROR(__xludf.DUMMYFUNCTION("""COMPUTED_VALUE"""),0.0436)</f>
        <v>0.0436</v>
      </c>
    </row>
    <row r="444">
      <c r="A444" s="9">
        <f>IFERROR(__xludf.DUMMYFUNCTION("""COMPUTED_VALUE"""),0.0505)</f>
        <v>0.0505</v>
      </c>
    </row>
    <row r="445">
      <c r="A445" s="9">
        <f>IFERROR(__xludf.DUMMYFUNCTION("""COMPUTED_VALUE"""),0.0386)</f>
        <v>0.0386</v>
      </c>
    </row>
    <row r="446">
      <c r="A446" s="9">
        <f>IFERROR(__xludf.DUMMYFUNCTION("""COMPUTED_VALUE"""),0.0271)</f>
        <v>0.0271</v>
      </c>
    </row>
    <row r="447">
      <c r="A447" s="9">
        <f>IFERROR(__xludf.DUMMYFUNCTION("""COMPUTED_VALUE"""),0.0281)</f>
        <v>0.0281</v>
      </c>
    </row>
    <row r="448">
      <c r="A448" s="9">
        <f>IFERROR(__xludf.DUMMYFUNCTION("""COMPUTED_VALUE"""),0.0335)</f>
        <v>0.0335</v>
      </c>
    </row>
    <row r="449">
      <c r="A449" s="9">
        <f>IFERROR(__xludf.DUMMYFUNCTION("""COMPUTED_VALUE"""),0.0803)</f>
        <v>0.0803</v>
      </c>
    </row>
    <row r="450">
      <c r="A450" s="9">
        <f>IFERROR(__xludf.DUMMYFUNCTION("""COMPUTED_VALUE"""),0.0381)</f>
        <v>0.0381</v>
      </c>
    </row>
    <row r="451">
      <c r="A451" s="9">
        <f>IFERROR(__xludf.DUMMYFUNCTION("""COMPUTED_VALUE"""),0.0362)</f>
        <v>0.0362</v>
      </c>
    </row>
    <row r="452">
      <c r="A452" s="9">
        <f>IFERROR(__xludf.DUMMYFUNCTION("""COMPUTED_VALUE"""),0.0507)</f>
        <v>0.0507</v>
      </c>
    </row>
    <row r="453">
      <c r="A453" s="9">
        <f>IFERROR(__xludf.DUMMYFUNCTION("""COMPUTED_VALUE"""),0.0298)</f>
        <v>0.0298</v>
      </c>
    </row>
    <row r="454">
      <c r="A454" s="9">
        <f>IFERROR(__xludf.DUMMYFUNCTION("""COMPUTED_VALUE"""),0.0396)</f>
        <v>0.0396</v>
      </c>
    </row>
    <row r="455">
      <c r="A455" s="9">
        <f>IFERROR(__xludf.DUMMYFUNCTION("""COMPUTED_VALUE"""),0.0331)</f>
        <v>0.0331</v>
      </c>
    </row>
    <row r="456">
      <c r="A456" s="9">
        <f>IFERROR(__xludf.DUMMYFUNCTION("""COMPUTED_VALUE"""),0.0496)</f>
        <v>0.0496</v>
      </c>
    </row>
    <row r="457">
      <c r="A457" s="9">
        <f>IFERROR(__xludf.DUMMYFUNCTION("""COMPUTED_VALUE"""),0.0329)</f>
        <v>0.0329</v>
      </c>
    </row>
    <row r="458">
      <c r="A458" s="9">
        <f>IFERROR(__xludf.DUMMYFUNCTION("""COMPUTED_VALUE"""),0.0267)</f>
        <v>0.0267</v>
      </c>
    </row>
    <row r="459">
      <c r="A459" s="9">
        <f>IFERROR(__xludf.DUMMYFUNCTION("""COMPUTED_VALUE"""),0.0336)</f>
        <v>0.0336</v>
      </c>
    </row>
    <row r="460">
      <c r="A460" s="9">
        <f>IFERROR(__xludf.DUMMYFUNCTION("""COMPUTED_VALUE"""),0.0378)</f>
        <v>0.0378</v>
      </c>
    </row>
    <row r="461">
      <c r="A461" s="9">
        <f>IFERROR(__xludf.DUMMYFUNCTION("""COMPUTED_VALUE"""),0.0529)</f>
        <v>0.0529</v>
      </c>
    </row>
    <row r="462">
      <c r="A462" s="9">
        <f>IFERROR(__xludf.DUMMYFUNCTION("""COMPUTED_VALUE"""),0.041)</f>
        <v>0.041</v>
      </c>
    </row>
    <row r="463">
      <c r="A463" s="9">
        <f>IFERROR(__xludf.DUMMYFUNCTION("""COMPUTED_VALUE"""),0.0515)</f>
        <v>0.0515</v>
      </c>
    </row>
    <row r="464">
      <c r="A464" s="9">
        <f>IFERROR(__xludf.DUMMYFUNCTION("""COMPUTED_VALUE"""),0.0448)</f>
        <v>0.0448</v>
      </c>
    </row>
    <row r="465">
      <c r="A465" s="9">
        <f>IFERROR(__xludf.DUMMYFUNCTION("""COMPUTED_VALUE"""),0.0431)</f>
        <v>0.0431</v>
      </c>
    </row>
    <row r="466">
      <c r="A466" s="9">
        <f>IFERROR(__xludf.DUMMYFUNCTION("""COMPUTED_VALUE"""),0.0342)</f>
        <v>0.0342</v>
      </c>
    </row>
    <row r="467">
      <c r="A467" s="9">
        <f>IFERROR(__xludf.DUMMYFUNCTION("""COMPUTED_VALUE"""),0.0276)</f>
        <v>0.0276</v>
      </c>
    </row>
    <row r="468">
      <c r="A468" s="9">
        <f>IFERROR(__xludf.DUMMYFUNCTION("""COMPUTED_VALUE"""),0.0293)</f>
        <v>0.0293</v>
      </c>
    </row>
    <row r="469">
      <c r="A469" s="9">
        <f>IFERROR(__xludf.DUMMYFUNCTION("""COMPUTED_VALUE"""),0.0468)</f>
        <v>0.0468</v>
      </c>
    </row>
    <row r="470">
      <c r="A470" s="9">
        <f>IFERROR(__xludf.DUMMYFUNCTION("""COMPUTED_VALUE"""),0.0431)</f>
        <v>0.0431</v>
      </c>
    </row>
    <row r="471">
      <c r="A471" s="9">
        <f>IFERROR(__xludf.DUMMYFUNCTION("""COMPUTED_VALUE"""),0.0483)</f>
        <v>0.0483</v>
      </c>
    </row>
    <row r="472">
      <c r="A472" s="9">
        <f>IFERROR(__xludf.DUMMYFUNCTION("""COMPUTED_VALUE"""),0.0315)</f>
        <v>0.0315</v>
      </c>
    </row>
    <row r="473">
      <c r="A473" s="9">
        <f>IFERROR(__xludf.DUMMYFUNCTION("""COMPUTED_VALUE"""),0.0401)</f>
        <v>0.0401</v>
      </c>
    </row>
    <row r="474">
      <c r="A474" s="9">
        <f>IFERROR(__xludf.DUMMYFUNCTION("""COMPUTED_VALUE"""),0.0431)</f>
        <v>0.0431</v>
      </c>
    </row>
    <row r="475">
      <c r="A475" s="9">
        <f>IFERROR(__xludf.DUMMYFUNCTION("""COMPUTED_VALUE"""),0.0336)</f>
        <v>0.0336</v>
      </c>
    </row>
    <row r="476">
      <c r="A476" s="9">
        <f>IFERROR(__xludf.DUMMYFUNCTION("""COMPUTED_VALUE"""),0.0912)</f>
        <v>0.0912</v>
      </c>
    </row>
    <row r="477">
      <c r="A477" s="9">
        <f>IFERROR(__xludf.DUMMYFUNCTION("""COMPUTED_VALUE"""),0.0285)</f>
        <v>0.0285</v>
      </c>
    </row>
    <row r="478">
      <c r="A478" s="9">
        <f>IFERROR(__xludf.DUMMYFUNCTION("""COMPUTED_VALUE"""),0.0302)</f>
        <v>0.0302</v>
      </c>
    </row>
    <row r="479">
      <c r="A479" s="9">
        <f>IFERROR(__xludf.DUMMYFUNCTION("""COMPUTED_VALUE"""),0.0737)</f>
        <v>0.0737</v>
      </c>
    </row>
    <row r="480">
      <c r="A480" s="9">
        <f>IFERROR(__xludf.DUMMYFUNCTION("""COMPUTED_VALUE"""),0.0355)</f>
        <v>0.0355</v>
      </c>
    </row>
    <row r="481">
      <c r="A481" s="9">
        <f>IFERROR(__xludf.DUMMYFUNCTION("""COMPUTED_VALUE"""),0.042)</f>
        <v>0.042</v>
      </c>
    </row>
    <row r="482">
      <c r="A482" s="9">
        <f>IFERROR(__xludf.DUMMYFUNCTION("""COMPUTED_VALUE"""),0.033)</f>
        <v>0.033</v>
      </c>
    </row>
    <row r="483">
      <c r="A483" s="9">
        <f>IFERROR(__xludf.DUMMYFUNCTION("""COMPUTED_VALUE"""),0.0321)</f>
        <v>0.0321</v>
      </c>
    </row>
    <row r="484">
      <c r="A484" s="9">
        <f>IFERROR(__xludf.DUMMYFUNCTION("""COMPUTED_VALUE"""),0.0294)</f>
        <v>0.0294</v>
      </c>
    </row>
    <row r="485">
      <c r="A485" s="9">
        <f>IFERROR(__xludf.DUMMYFUNCTION("""COMPUTED_VALUE"""),0.0385)</f>
        <v>0.0385</v>
      </c>
    </row>
    <row r="486">
      <c r="A486" s="9">
        <f>IFERROR(__xludf.DUMMYFUNCTION("""COMPUTED_VALUE"""),0.0414)</f>
        <v>0.0414</v>
      </c>
    </row>
    <row r="487">
      <c r="A487" s="9">
        <f>IFERROR(__xludf.DUMMYFUNCTION("""COMPUTED_VALUE"""),0.0295)</f>
        <v>0.0295</v>
      </c>
    </row>
    <row r="488">
      <c r="A488" s="9">
        <f>IFERROR(__xludf.DUMMYFUNCTION("""COMPUTED_VALUE"""),0.0338)</f>
        <v>0.0338</v>
      </c>
    </row>
    <row r="489">
      <c r="A489" s="9">
        <f>IFERROR(__xludf.DUMMYFUNCTION("""COMPUTED_VALUE"""),0.0391)</f>
        <v>0.0391</v>
      </c>
    </row>
    <row r="490">
      <c r="A490" s="9">
        <f>IFERROR(__xludf.DUMMYFUNCTION("""COMPUTED_VALUE"""),0.0261)</f>
        <v>0.0261</v>
      </c>
    </row>
    <row r="491">
      <c r="A491" s="9">
        <f>IFERROR(__xludf.DUMMYFUNCTION("""COMPUTED_VALUE"""),0.0414)</f>
        <v>0.0414</v>
      </c>
    </row>
    <row r="492">
      <c r="A492" s="9">
        <f>IFERROR(__xludf.DUMMYFUNCTION("""COMPUTED_VALUE"""),0.0439)</f>
        <v>0.0439</v>
      </c>
    </row>
    <row r="493">
      <c r="A493" s="9">
        <f>IFERROR(__xludf.DUMMYFUNCTION("""COMPUTED_VALUE"""),0.0352)</f>
        <v>0.0352</v>
      </c>
    </row>
    <row r="494">
      <c r="A494" s="9">
        <f>IFERROR(__xludf.DUMMYFUNCTION("""COMPUTED_VALUE"""),0.0296)</f>
        <v>0.0296</v>
      </c>
    </row>
    <row r="495">
      <c r="A495" s="9">
        <f>IFERROR(__xludf.DUMMYFUNCTION("""COMPUTED_VALUE"""),0.0927)</f>
        <v>0.0927</v>
      </c>
    </row>
    <row r="496">
      <c r="A496" s="9">
        <f>IFERROR(__xludf.DUMMYFUNCTION("""COMPUTED_VALUE"""),0.0343)</f>
        <v>0.0343</v>
      </c>
    </row>
    <row r="497">
      <c r="A497" s="9">
        <f>IFERROR(__xludf.DUMMYFUNCTION("""COMPUTED_VALUE"""),0.0899)</f>
        <v>0.0899</v>
      </c>
    </row>
    <row r="498">
      <c r="A498" s="9">
        <f>IFERROR(__xludf.DUMMYFUNCTION("""COMPUTED_VALUE"""),0.0514)</f>
        <v>0.0514</v>
      </c>
    </row>
    <row r="499">
      <c r="A499" s="9">
        <f>IFERROR(__xludf.DUMMYFUNCTION("""COMPUTED_VALUE"""),0.029)</f>
        <v>0.029</v>
      </c>
    </row>
    <row r="500">
      <c r="A500" s="9">
        <f>IFERROR(__xludf.DUMMYFUNCTION("""COMPUTED_VALUE"""),0.0291)</f>
        <v>0.0291</v>
      </c>
    </row>
    <row r="501">
      <c r="A501" s="9">
        <f>IFERROR(__xludf.DUMMYFUNCTION("""COMPUTED_VALUE"""),0.0374)</f>
        <v>0.0374</v>
      </c>
    </row>
    <row r="502">
      <c r="A502" s="9">
        <f>IFERROR(__xludf.DUMMYFUNCTION("""COMPUTED_VALUE"""),0.0399)</f>
        <v>0.0399</v>
      </c>
    </row>
    <row r="503">
      <c r="A503" s="9">
        <f>IFERROR(__xludf.DUMMYFUNCTION("""COMPUTED_VALUE"""),0.0309)</f>
        <v>0.0309</v>
      </c>
    </row>
    <row r="504">
      <c r="A504" s="9">
        <f>IFERROR(__xludf.DUMMYFUNCTION("""COMPUTED_VALUE"""),0.0417)</f>
        <v>0.0417</v>
      </c>
    </row>
    <row r="505">
      <c r="A505" s="9">
        <f>IFERROR(__xludf.DUMMYFUNCTION("""COMPUTED_VALUE"""),0.0287)</f>
        <v>0.0287</v>
      </c>
    </row>
    <row r="506">
      <c r="A506" s="9">
        <f>IFERROR(__xludf.DUMMYFUNCTION("""COMPUTED_VALUE"""),0.0381)</f>
        <v>0.0381</v>
      </c>
    </row>
    <row r="507">
      <c r="A507" s="9">
        <f>IFERROR(__xludf.DUMMYFUNCTION("""COMPUTED_VALUE"""),0.0452)</f>
        <v>0.0452</v>
      </c>
    </row>
    <row r="508">
      <c r="A508" s="9">
        <f>IFERROR(__xludf.DUMMYFUNCTION("""COMPUTED_VALUE"""),0.053)</f>
        <v>0.053</v>
      </c>
    </row>
    <row r="509">
      <c r="A509" s="9">
        <f>IFERROR(__xludf.DUMMYFUNCTION("""COMPUTED_VALUE"""),0.0304)</f>
        <v>0.0304</v>
      </c>
    </row>
    <row r="510">
      <c r="A510" s="9">
        <f>IFERROR(__xludf.DUMMYFUNCTION("""COMPUTED_VALUE"""),0.0401)</f>
        <v>0.0401</v>
      </c>
    </row>
    <row r="511">
      <c r="A511" s="9">
        <f>IFERROR(__xludf.DUMMYFUNCTION("""COMPUTED_VALUE"""),0.0331)</f>
        <v>0.0331</v>
      </c>
    </row>
    <row r="512">
      <c r="A512" s="9">
        <f>IFERROR(__xludf.DUMMYFUNCTION("""COMPUTED_VALUE"""),0.0283)</f>
        <v>0.0283</v>
      </c>
    </row>
    <row r="513">
      <c r="A513" s="9">
        <f>IFERROR(__xludf.DUMMYFUNCTION("""COMPUTED_VALUE"""),0.0267)</f>
        <v>0.0267</v>
      </c>
    </row>
    <row r="514">
      <c r="A514" s="9">
        <f>IFERROR(__xludf.DUMMYFUNCTION("""COMPUTED_VALUE"""),0.096)</f>
        <v>0.096</v>
      </c>
    </row>
    <row r="515">
      <c r="A515" s="9">
        <f>IFERROR(__xludf.DUMMYFUNCTION("""COMPUTED_VALUE"""),0.041)</f>
        <v>0.041</v>
      </c>
    </row>
    <row r="516">
      <c r="A516" s="9">
        <f>IFERROR(__xludf.DUMMYFUNCTION("""COMPUTED_VALUE"""),0.0369)</f>
        <v>0.0369</v>
      </c>
    </row>
    <row r="517">
      <c r="A517" s="9">
        <f>IFERROR(__xludf.DUMMYFUNCTION("""COMPUTED_VALUE"""),0.032)</f>
        <v>0.032</v>
      </c>
    </row>
    <row r="518">
      <c r="A518" s="9">
        <f>IFERROR(__xludf.DUMMYFUNCTION("""COMPUTED_VALUE"""),0.0324)</f>
        <v>0.0324</v>
      </c>
    </row>
    <row r="519">
      <c r="A519" s="9">
        <f>IFERROR(__xludf.DUMMYFUNCTION("""COMPUTED_VALUE"""),0.0465)</f>
        <v>0.0465</v>
      </c>
    </row>
    <row r="520">
      <c r="A520" s="9">
        <f>IFERROR(__xludf.DUMMYFUNCTION("""COMPUTED_VALUE"""),0.0339)</f>
        <v>0.0339</v>
      </c>
    </row>
    <row r="521">
      <c r="A521" s="9">
        <f>IFERROR(__xludf.DUMMYFUNCTION("""COMPUTED_VALUE"""),0.129)</f>
        <v>0.129</v>
      </c>
    </row>
    <row r="522">
      <c r="A522" s="9">
        <f>IFERROR(__xludf.DUMMYFUNCTION("""COMPUTED_VALUE"""),0.0764)</f>
        <v>0.0764</v>
      </c>
    </row>
    <row r="523">
      <c r="A523" s="9">
        <f>IFERROR(__xludf.DUMMYFUNCTION("""COMPUTED_VALUE"""),0.0336)</f>
        <v>0.0336</v>
      </c>
    </row>
    <row r="524">
      <c r="A524" s="9">
        <f>IFERROR(__xludf.DUMMYFUNCTION("""COMPUTED_VALUE"""),0.0663)</f>
        <v>0.0663</v>
      </c>
    </row>
    <row r="525">
      <c r="A525" s="9">
        <f>IFERROR(__xludf.DUMMYFUNCTION("""COMPUTED_VALUE"""),0.0695)</f>
        <v>0.0695</v>
      </c>
    </row>
    <row r="526">
      <c r="A526" s="9">
        <f>IFERROR(__xludf.DUMMYFUNCTION("""COMPUTED_VALUE"""),0.0547)</f>
        <v>0.0547</v>
      </c>
    </row>
    <row r="527">
      <c r="A527" s="9">
        <f>IFERROR(__xludf.DUMMYFUNCTION("""COMPUTED_VALUE"""),0.0301)</f>
        <v>0.0301</v>
      </c>
    </row>
    <row r="528">
      <c r="A528" s="9">
        <f>IFERROR(__xludf.DUMMYFUNCTION("""COMPUTED_VALUE"""),0.0295)</f>
        <v>0.0295</v>
      </c>
    </row>
    <row r="529">
      <c r="A529" s="9">
        <f>IFERROR(__xludf.DUMMYFUNCTION("""COMPUTED_VALUE"""),0.0379)</f>
        <v>0.0379</v>
      </c>
    </row>
    <row r="530">
      <c r="A530" s="9">
        <f>IFERROR(__xludf.DUMMYFUNCTION("""COMPUTED_VALUE"""),0.035)</f>
        <v>0.035</v>
      </c>
    </row>
    <row r="531">
      <c r="A531" s="9">
        <f>IFERROR(__xludf.DUMMYFUNCTION("""COMPUTED_VALUE"""),0.0328)</f>
        <v>0.0328</v>
      </c>
    </row>
    <row r="532">
      <c r="A532" s="9">
        <f>IFERROR(__xludf.DUMMYFUNCTION("""COMPUTED_VALUE"""),0.0303)</f>
        <v>0.0303</v>
      </c>
    </row>
    <row r="533">
      <c r="A533" s="9">
        <f>IFERROR(__xludf.DUMMYFUNCTION("""COMPUTED_VALUE"""),0.0299)</f>
        <v>0.0299</v>
      </c>
    </row>
    <row r="534">
      <c r="A534" s="9">
        <f>IFERROR(__xludf.DUMMYFUNCTION("""COMPUTED_VALUE"""),0.0674)</f>
        <v>0.0674</v>
      </c>
    </row>
    <row r="535">
      <c r="A535" s="9">
        <f>IFERROR(__xludf.DUMMYFUNCTION("""COMPUTED_VALUE"""),0.0338)</f>
        <v>0.0338</v>
      </c>
    </row>
    <row r="536">
      <c r="A536" s="9">
        <f>IFERROR(__xludf.DUMMYFUNCTION("""COMPUTED_VALUE"""),0.0328)</f>
        <v>0.0328</v>
      </c>
    </row>
    <row r="537">
      <c r="A537" s="9">
        <f>IFERROR(__xludf.DUMMYFUNCTION("""COMPUTED_VALUE"""),0.0349)</f>
        <v>0.0349</v>
      </c>
    </row>
    <row r="538">
      <c r="A538" s="9">
        <f>IFERROR(__xludf.DUMMYFUNCTION("""COMPUTED_VALUE"""),0.0373)</f>
        <v>0.0373</v>
      </c>
    </row>
    <row r="539">
      <c r="A539" s="9">
        <f>IFERROR(__xludf.DUMMYFUNCTION("""COMPUTED_VALUE"""),0.0381)</f>
        <v>0.0381</v>
      </c>
    </row>
    <row r="540">
      <c r="A540" s="9">
        <f>IFERROR(__xludf.DUMMYFUNCTION("""COMPUTED_VALUE"""),0.0497)</f>
        <v>0.0497</v>
      </c>
    </row>
    <row r="541">
      <c r="A541" s="9">
        <f>IFERROR(__xludf.DUMMYFUNCTION("""COMPUTED_VALUE"""),0.0348)</f>
        <v>0.0348</v>
      </c>
    </row>
    <row r="542">
      <c r="A542" s="9">
        <f>IFERROR(__xludf.DUMMYFUNCTION("""COMPUTED_VALUE"""),0.0487)</f>
        <v>0.0487</v>
      </c>
    </row>
    <row r="543">
      <c r="A543" s="9">
        <f>IFERROR(__xludf.DUMMYFUNCTION("""COMPUTED_VALUE"""),0.0316)</f>
        <v>0.0316</v>
      </c>
    </row>
    <row r="544">
      <c r="A544" s="9">
        <f>IFERROR(__xludf.DUMMYFUNCTION("""COMPUTED_VALUE"""),0.0365)</f>
        <v>0.0365</v>
      </c>
    </row>
    <row r="545">
      <c r="A545" s="9">
        <f>IFERROR(__xludf.DUMMYFUNCTION("""COMPUTED_VALUE"""),0.0311)</f>
        <v>0.0311</v>
      </c>
    </row>
    <row r="546">
      <c r="A546" s="9">
        <f>IFERROR(__xludf.DUMMYFUNCTION("""COMPUTED_VALUE"""),0.028)</f>
        <v>0.028</v>
      </c>
    </row>
    <row r="547">
      <c r="A547" s="9">
        <f>IFERROR(__xludf.DUMMYFUNCTION("""COMPUTED_VALUE"""),0.0587)</f>
        <v>0.0587</v>
      </c>
    </row>
    <row r="548">
      <c r="A548" s="9">
        <f>IFERROR(__xludf.DUMMYFUNCTION("""COMPUTED_VALUE"""),0.0369)</f>
        <v>0.0369</v>
      </c>
    </row>
    <row r="549">
      <c r="A549" s="9">
        <f>IFERROR(__xludf.DUMMYFUNCTION("""COMPUTED_VALUE"""),0.0329)</f>
        <v>0.0329</v>
      </c>
    </row>
    <row r="550">
      <c r="A550" s="9">
        <f>IFERROR(__xludf.DUMMYFUNCTION("""COMPUTED_VALUE"""),0.0307)</f>
        <v>0.0307</v>
      </c>
    </row>
    <row r="551">
      <c r="A551" s="9">
        <f>IFERROR(__xludf.DUMMYFUNCTION("""COMPUTED_VALUE"""),0.0444)</f>
        <v>0.0444</v>
      </c>
    </row>
    <row r="552">
      <c r="A552" s="9">
        <f>IFERROR(__xludf.DUMMYFUNCTION("""COMPUTED_VALUE"""),0.0463)</f>
        <v>0.0463</v>
      </c>
    </row>
    <row r="553">
      <c r="A553" s="9">
        <f>IFERROR(__xludf.DUMMYFUNCTION("""COMPUTED_VALUE"""),0.0439)</f>
        <v>0.0439</v>
      </c>
    </row>
    <row r="554">
      <c r="A554" s="9">
        <f>IFERROR(__xludf.DUMMYFUNCTION("""COMPUTED_VALUE"""),0.035)</f>
        <v>0.035</v>
      </c>
    </row>
    <row r="555">
      <c r="A555" s="9">
        <f>IFERROR(__xludf.DUMMYFUNCTION("""COMPUTED_VALUE"""),0.0383)</f>
        <v>0.0383</v>
      </c>
    </row>
    <row r="556">
      <c r="A556" s="9">
        <f>IFERROR(__xludf.DUMMYFUNCTION("""COMPUTED_VALUE"""),0.0476)</f>
        <v>0.0476</v>
      </c>
    </row>
    <row r="557">
      <c r="A557" s="9">
        <f>IFERROR(__xludf.DUMMYFUNCTION("""COMPUTED_VALUE"""),0.0661)</f>
        <v>0.0661</v>
      </c>
    </row>
    <row r="558">
      <c r="A558" s="9">
        <f>IFERROR(__xludf.DUMMYFUNCTION("""COMPUTED_VALUE"""),0.0305)</f>
        <v>0.0305</v>
      </c>
    </row>
    <row r="559">
      <c r="A559" s="9">
        <f>IFERROR(__xludf.DUMMYFUNCTION("""COMPUTED_VALUE"""),0.0326)</f>
        <v>0.0326</v>
      </c>
    </row>
    <row r="560">
      <c r="A560" s="9">
        <f>IFERROR(__xludf.DUMMYFUNCTION("""COMPUTED_VALUE"""),0.0395)</f>
        <v>0.0395</v>
      </c>
    </row>
    <row r="561">
      <c r="A561" s="9">
        <f>IFERROR(__xludf.DUMMYFUNCTION("""COMPUTED_VALUE"""),0.0635)</f>
        <v>0.0635</v>
      </c>
    </row>
    <row r="562">
      <c r="A562" s="9">
        <f>IFERROR(__xludf.DUMMYFUNCTION("""COMPUTED_VALUE"""),0.0452)</f>
        <v>0.0452</v>
      </c>
    </row>
    <row r="563">
      <c r="A563" s="9">
        <f>IFERROR(__xludf.DUMMYFUNCTION("""COMPUTED_VALUE"""),0.0465)</f>
        <v>0.0465</v>
      </c>
    </row>
    <row r="564">
      <c r="A564" s="9">
        <f>IFERROR(__xludf.DUMMYFUNCTION("""COMPUTED_VALUE"""),0.049)</f>
        <v>0.049</v>
      </c>
    </row>
    <row r="565">
      <c r="A565" s="9">
        <f>IFERROR(__xludf.DUMMYFUNCTION("""COMPUTED_VALUE"""),0.0279)</f>
        <v>0.0279</v>
      </c>
    </row>
    <row r="566">
      <c r="A566" s="9">
        <f>IFERROR(__xludf.DUMMYFUNCTION("""COMPUTED_VALUE"""),0.0501)</f>
        <v>0.0501</v>
      </c>
    </row>
    <row r="567">
      <c r="A567" s="9">
        <f>IFERROR(__xludf.DUMMYFUNCTION("""COMPUTED_VALUE"""),0.0279)</f>
        <v>0.0279</v>
      </c>
    </row>
    <row r="568">
      <c r="A568" s="9">
        <f>IFERROR(__xludf.DUMMYFUNCTION("""COMPUTED_VALUE"""),0.0322)</f>
        <v>0.0322</v>
      </c>
    </row>
    <row r="569">
      <c r="A569" s="9">
        <f>IFERROR(__xludf.DUMMYFUNCTION("""COMPUTED_VALUE"""),0.0391)</f>
        <v>0.0391</v>
      </c>
    </row>
    <row r="570">
      <c r="A570" s="9">
        <f>IFERROR(__xludf.DUMMYFUNCTION("""COMPUTED_VALUE"""),0.0294)</f>
        <v>0.0294</v>
      </c>
    </row>
    <row r="571">
      <c r="A571" s="9">
        <f>IFERROR(__xludf.DUMMYFUNCTION("""COMPUTED_VALUE"""),0.0315)</f>
        <v>0.0315</v>
      </c>
    </row>
    <row r="572">
      <c r="A572" s="9">
        <f>IFERROR(__xludf.DUMMYFUNCTION("""COMPUTED_VALUE"""),0.028)</f>
        <v>0.028</v>
      </c>
    </row>
    <row r="573">
      <c r="A573" s="9">
        <f>IFERROR(__xludf.DUMMYFUNCTION("""COMPUTED_VALUE"""),0.0426)</f>
        <v>0.0426</v>
      </c>
    </row>
    <row r="574">
      <c r="A574" s="9">
        <f>IFERROR(__xludf.DUMMYFUNCTION("""COMPUTED_VALUE"""),0.0371)</f>
        <v>0.0371</v>
      </c>
    </row>
    <row r="575">
      <c r="A575" s="9">
        <f>IFERROR(__xludf.DUMMYFUNCTION("""COMPUTED_VALUE"""),0.0433)</f>
        <v>0.0433</v>
      </c>
    </row>
    <row r="576">
      <c r="A576" s="9">
        <f>IFERROR(__xludf.DUMMYFUNCTION("""COMPUTED_VALUE"""),0.0336)</f>
        <v>0.0336</v>
      </c>
    </row>
    <row r="577">
      <c r="A577" s="9">
        <f>IFERROR(__xludf.DUMMYFUNCTION("""COMPUTED_VALUE"""),0.0417)</f>
        <v>0.0417</v>
      </c>
    </row>
    <row r="578">
      <c r="A578" s="9">
        <f>IFERROR(__xludf.DUMMYFUNCTION("""COMPUTED_VALUE"""),0.0405)</f>
        <v>0.0405</v>
      </c>
    </row>
    <row r="579">
      <c r="A579" s="9">
        <f>IFERROR(__xludf.DUMMYFUNCTION("""COMPUTED_VALUE"""),0.0433)</f>
        <v>0.0433</v>
      </c>
    </row>
    <row r="580">
      <c r="A580" s="9">
        <f>IFERROR(__xludf.DUMMYFUNCTION("""COMPUTED_VALUE"""),0.0444)</f>
        <v>0.0444</v>
      </c>
    </row>
    <row r="581">
      <c r="A581" s="9">
        <f>IFERROR(__xludf.DUMMYFUNCTION("""COMPUTED_VALUE"""),0.0376)</f>
        <v>0.0376</v>
      </c>
    </row>
    <row r="582">
      <c r="A582" s="9">
        <f>IFERROR(__xludf.DUMMYFUNCTION("""COMPUTED_VALUE"""),0.0361)</f>
        <v>0.0361</v>
      </c>
    </row>
    <row r="583">
      <c r="A583" s="9">
        <f>IFERROR(__xludf.DUMMYFUNCTION("""COMPUTED_VALUE"""),0.0375)</f>
        <v>0.0375</v>
      </c>
    </row>
    <row r="584">
      <c r="A584" s="9">
        <f>IFERROR(__xludf.DUMMYFUNCTION("""COMPUTED_VALUE"""),0.0566)</f>
        <v>0.0566</v>
      </c>
    </row>
    <row r="585">
      <c r="A585" s="9">
        <f>IFERROR(__xludf.DUMMYFUNCTION("""COMPUTED_VALUE"""),0.0296)</f>
        <v>0.0296</v>
      </c>
    </row>
    <row r="586">
      <c r="A586" s="9">
        <f>IFERROR(__xludf.DUMMYFUNCTION("""COMPUTED_VALUE"""),0.061)</f>
        <v>0.061</v>
      </c>
    </row>
    <row r="587">
      <c r="A587" s="9">
        <f>IFERROR(__xludf.DUMMYFUNCTION("""COMPUTED_VALUE"""),0.057)</f>
        <v>0.057</v>
      </c>
    </row>
    <row r="588">
      <c r="A588" s="9">
        <f>IFERROR(__xludf.DUMMYFUNCTION("""COMPUTED_VALUE"""),0.0496)</f>
        <v>0.0496</v>
      </c>
    </row>
    <row r="589">
      <c r="A589" s="9">
        <f>IFERROR(__xludf.DUMMYFUNCTION("""COMPUTED_VALUE"""),0.0536)</f>
        <v>0.0536</v>
      </c>
    </row>
    <row r="590">
      <c r="A590" s="9">
        <f>IFERROR(__xludf.DUMMYFUNCTION("""COMPUTED_VALUE"""),0.091)</f>
        <v>0.091</v>
      </c>
    </row>
    <row r="591">
      <c r="A591" s="9">
        <f>IFERROR(__xludf.DUMMYFUNCTION("""COMPUTED_VALUE"""),0.0403)</f>
        <v>0.0403</v>
      </c>
    </row>
    <row r="592">
      <c r="A592" s="9">
        <f>IFERROR(__xludf.DUMMYFUNCTION("""COMPUTED_VALUE"""),0.0457)</f>
        <v>0.0457</v>
      </c>
    </row>
    <row r="593">
      <c r="A593" s="9">
        <f>IFERROR(__xludf.DUMMYFUNCTION("""COMPUTED_VALUE"""),0.039)</f>
        <v>0.039</v>
      </c>
    </row>
    <row r="594">
      <c r="A594" s="9">
        <f>IFERROR(__xludf.DUMMYFUNCTION("""COMPUTED_VALUE"""),0.0508)</f>
        <v>0.0508</v>
      </c>
    </row>
    <row r="595">
      <c r="A595" s="9">
        <f>IFERROR(__xludf.DUMMYFUNCTION("""COMPUTED_VALUE"""),0.0332)</f>
        <v>0.0332</v>
      </c>
    </row>
    <row r="596">
      <c r="A596" s="9">
        <f>IFERROR(__xludf.DUMMYFUNCTION("""COMPUTED_VALUE"""),0.0469)</f>
        <v>0.0469</v>
      </c>
    </row>
    <row r="597">
      <c r="A597" s="9">
        <f>IFERROR(__xludf.DUMMYFUNCTION("""COMPUTED_VALUE"""),0.0383)</f>
        <v>0.0383</v>
      </c>
    </row>
    <row r="598">
      <c r="A598" s="9">
        <f>IFERROR(__xludf.DUMMYFUNCTION("""COMPUTED_VALUE"""),0.0452)</f>
        <v>0.0452</v>
      </c>
    </row>
    <row r="599">
      <c r="A599" s="9">
        <f>IFERROR(__xludf.DUMMYFUNCTION("""COMPUTED_VALUE"""),0.0292)</f>
        <v>0.0292</v>
      </c>
    </row>
    <row r="600">
      <c r="A600" s="9">
        <f>IFERROR(__xludf.DUMMYFUNCTION("""COMPUTED_VALUE"""),0.029)</f>
        <v>0.029</v>
      </c>
    </row>
    <row r="601">
      <c r="A601" s="9">
        <f>IFERROR(__xludf.DUMMYFUNCTION("""COMPUTED_VALUE"""),0.0336)</f>
        <v>0.0336</v>
      </c>
    </row>
    <row r="602">
      <c r="A602" s="9">
        <f>IFERROR(__xludf.DUMMYFUNCTION("""COMPUTED_VALUE"""),0.0404)</f>
        <v>0.0404</v>
      </c>
    </row>
    <row r="603">
      <c r="A603" s="9">
        <f>IFERROR(__xludf.DUMMYFUNCTION("""COMPUTED_VALUE"""),0.0371)</f>
        <v>0.0371</v>
      </c>
    </row>
    <row r="604">
      <c r="A604" s="9">
        <f>IFERROR(__xludf.DUMMYFUNCTION("""COMPUTED_VALUE"""),0.03)</f>
        <v>0.03</v>
      </c>
    </row>
    <row r="605">
      <c r="A605" s="9">
        <f>IFERROR(__xludf.DUMMYFUNCTION("""COMPUTED_VALUE"""),0.0672)</f>
        <v>0.0672</v>
      </c>
    </row>
    <row r="606">
      <c r="A606" s="9">
        <f>IFERROR(__xludf.DUMMYFUNCTION("""COMPUTED_VALUE"""),0.0975)</f>
        <v>0.0975</v>
      </c>
    </row>
    <row r="607">
      <c r="A607" s="9">
        <f>IFERROR(__xludf.DUMMYFUNCTION("""COMPUTED_VALUE"""),0.0335)</f>
        <v>0.0335</v>
      </c>
    </row>
    <row r="608">
      <c r="A608" s="9">
        <f>IFERROR(__xludf.DUMMYFUNCTION("""COMPUTED_VALUE"""),0.0287)</f>
        <v>0.0287</v>
      </c>
    </row>
    <row r="609">
      <c r="A609" s="9">
        <f>IFERROR(__xludf.DUMMYFUNCTION("""COMPUTED_VALUE"""),0.0261)</f>
        <v>0.0261</v>
      </c>
    </row>
    <row r="610">
      <c r="A610" s="9">
        <f>IFERROR(__xludf.DUMMYFUNCTION("""COMPUTED_VALUE"""),0.0419)</f>
        <v>0.0419</v>
      </c>
    </row>
    <row r="611">
      <c r="A611" s="9">
        <f>IFERROR(__xludf.DUMMYFUNCTION("""COMPUTED_VALUE"""),0.0324)</f>
        <v>0.0324</v>
      </c>
    </row>
    <row r="612">
      <c r="A612" s="9">
        <f>IFERROR(__xludf.DUMMYFUNCTION("""COMPUTED_VALUE"""),0.0379)</f>
        <v>0.0379</v>
      </c>
    </row>
    <row r="613">
      <c r="A613" s="9">
        <f>IFERROR(__xludf.DUMMYFUNCTION("""COMPUTED_VALUE"""),0.0489)</f>
        <v>0.0489</v>
      </c>
    </row>
    <row r="614">
      <c r="A614" s="9">
        <f>IFERROR(__xludf.DUMMYFUNCTION("""COMPUTED_VALUE"""),0.11)</f>
        <v>0.11</v>
      </c>
    </row>
    <row r="615">
      <c r="A615" s="9">
        <f>IFERROR(__xludf.DUMMYFUNCTION("""COMPUTED_VALUE"""),0.0298)</f>
        <v>0.0298</v>
      </c>
    </row>
    <row r="616">
      <c r="A616" s="9">
        <f>IFERROR(__xludf.DUMMYFUNCTION("""COMPUTED_VALUE"""),0.0349)</f>
        <v>0.0349</v>
      </c>
    </row>
    <row r="617">
      <c r="A617" s="9">
        <f>IFERROR(__xludf.DUMMYFUNCTION("""COMPUTED_VALUE"""),0.0747)</f>
        <v>0.0747</v>
      </c>
    </row>
    <row r="618">
      <c r="A618" s="9">
        <f>IFERROR(__xludf.DUMMYFUNCTION("""COMPUTED_VALUE"""),0.0435)</f>
        <v>0.0435</v>
      </c>
    </row>
    <row r="619">
      <c r="A619" s="9">
        <f>IFERROR(__xludf.DUMMYFUNCTION("""COMPUTED_VALUE"""),0.0621)</f>
        <v>0.0621</v>
      </c>
    </row>
    <row r="620">
      <c r="A620" s="9">
        <f>IFERROR(__xludf.DUMMYFUNCTION("""COMPUTED_VALUE"""),0.0391)</f>
        <v>0.0391</v>
      </c>
    </row>
    <row r="621">
      <c r="A621" s="9">
        <f>IFERROR(__xludf.DUMMYFUNCTION("""COMPUTED_VALUE"""),0.0347)</f>
        <v>0.0347</v>
      </c>
    </row>
    <row r="622">
      <c r="A622" s="9">
        <f>IFERROR(__xludf.DUMMYFUNCTION("""COMPUTED_VALUE"""),0.0454)</f>
        <v>0.0454</v>
      </c>
    </row>
    <row r="623">
      <c r="A623" s="9">
        <f>IFERROR(__xludf.DUMMYFUNCTION("""COMPUTED_VALUE"""),0.0405)</f>
        <v>0.0405</v>
      </c>
    </row>
    <row r="624">
      <c r="A624" s="9">
        <f>IFERROR(__xludf.DUMMYFUNCTION("""COMPUTED_VALUE"""),0.0395)</f>
        <v>0.0395</v>
      </c>
    </row>
    <row r="625">
      <c r="A625" s="9">
        <f>IFERROR(__xludf.DUMMYFUNCTION("""COMPUTED_VALUE"""),0.0415)</f>
        <v>0.0415</v>
      </c>
    </row>
    <row r="626">
      <c r="A626" s="9">
        <f>IFERROR(__xludf.DUMMYFUNCTION("""COMPUTED_VALUE"""),0.0338)</f>
        <v>0.0338</v>
      </c>
    </row>
    <row r="627">
      <c r="A627" s="9">
        <f>IFERROR(__xludf.DUMMYFUNCTION("""COMPUTED_VALUE"""),0.0728)</f>
        <v>0.0728</v>
      </c>
    </row>
    <row r="628">
      <c r="A628" s="9">
        <f>IFERROR(__xludf.DUMMYFUNCTION("""COMPUTED_VALUE"""),0.206)</f>
        <v>0.206</v>
      </c>
    </row>
    <row r="629">
      <c r="A629" s="9">
        <f>IFERROR(__xludf.DUMMYFUNCTION("""COMPUTED_VALUE"""),0.0728)</f>
        <v>0.0728</v>
      </c>
    </row>
    <row r="630">
      <c r="A630" s="9">
        <f>IFERROR(__xludf.DUMMYFUNCTION("""COMPUTED_VALUE"""),0.0307)</f>
        <v>0.0307</v>
      </c>
    </row>
    <row r="631">
      <c r="A631" s="9">
        <f>IFERROR(__xludf.DUMMYFUNCTION("""COMPUTED_VALUE"""),0.0475)</f>
        <v>0.0475</v>
      </c>
    </row>
    <row r="632">
      <c r="A632" s="9">
        <f>IFERROR(__xludf.DUMMYFUNCTION("""COMPUTED_VALUE"""),0.0512)</f>
        <v>0.0512</v>
      </c>
    </row>
    <row r="633">
      <c r="A633" s="9">
        <f>IFERROR(__xludf.DUMMYFUNCTION("""COMPUTED_VALUE"""),0.0749)</f>
        <v>0.0749</v>
      </c>
    </row>
    <row r="634">
      <c r="A634" s="9">
        <f>IFERROR(__xludf.DUMMYFUNCTION("""COMPUTED_VALUE"""),0.0314)</f>
        <v>0.0314</v>
      </c>
    </row>
    <row r="635">
      <c r="A635" s="9">
        <f>IFERROR(__xludf.DUMMYFUNCTION("""COMPUTED_VALUE"""),0.0339)</f>
        <v>0.0339</v>
      </c>
    </row>
    <row r="636">
      <c r="A636" s="9">
        <f>IFERROR(__xludf.DUMMYFUNCTION("""COMPUTED_VALUE"""),0.0464)</f>
        <v>0.0464</v>
      </c>
    </row>
    <row r="637">
      <c r="A637" s="9">
        <f>IFERROR(__xludf.DUMMYFUNCTION("""COMPUTED_VALUE"""),0.0629)</f>
        <v>0.0629</v>
      </c>
    </row>
    <row r="638">
      <c r="A638" s="9">
        <f>IFERROR(__xludf.DUMMYFUNCTION("""COMPUTED_VALUE"""),0.122)</f>
        <v>0.122</v>
      </c>
    </row>
    <row r="639">
      <c r="A639" s="9">
        <f>IFERROR(__xludf.DUMMYFUNCTION("""COMPUTED_VALUE"""),0.074)</f>
        <v>0.074</v>
      </c>
    </row>
    <row r="640">
      <c r="A640" s="9">
        <f>IFERROR(__xludf.DUMMYFUNCTION("""COMPUTED_VALUE"""),0.0465)</f>
        <v>0.0465</v>
      </c>
    </row>
    <row r="641">
      <c r="A641" s="9">
        <f>IFERROR(__xludf.DUMMYFUNCTION("""COMPUTED_VALUE"""),0.0305)</f>
        <v>0.0305</v>
      </c>
    </row>
    <row r="642">
      <c r="A642" s="9">
        <f>IFERROR(__xludf.DUMMYFUNCTION("""COMPUTED_VALUE"""),0.0312)</f>
        <v>0.0312</v>
      </c>
    </row>
    <row r="643">
      <c r="A643" s="9">
        <f>IFERROR(__xludf.DUMMYFUNCTION("""COMPUTED_VALUE"""),0.0686)</f>
        <v>0.0686</v>
      </c>
    </row>
    <row r="644">
      <c r="A644" s="9">
        <f>IFERROR(__xludf.DUMMYFUNCTION("""COMPUTED_VALUE"""),0.0406)</f>
        <v>0.0406</v>
      </c>
    </row>
    <row r="645">
      <c r="A645" s="9">
        <f>IFERROR(__xludf.DUMMYFUNCTION("""COMPUTED_VALUE"""),0.0623)</f>
        <v>0.0623</v>
      </c>
    </row>
    <row r="646">
      <c r="A646" s="9">
        <f>IFERROR(__xludf.DUMMYFUNCTION("""COMPUTED_VALUE"""),0.0481)</f>
        <v>0.0481</v>
      </c>
    </row>
    <row r="647">
      <c r="A647" s="9">
        <f>IFERROR(__xludf.DUMMYFUNCTION("""COMPUTED_VALUE"""),0.0314)</f>
        <v>0.0314</v>
      </c>
    </row>
    <row r="648">
      <c r="A648" s="9">
        <f>IFERROR(__xludf.DUMMYFUNCTION("""COMPUTED_VALUE"""),0.0392)</f>
        <v>0.0392</v>
      </c>
    </row>
    <row r="649">
      <c r="A649" s="9">
        <f>IFERROR(__xludf.DUMMYFUNCTION("""COMPUTED_VALUE"""),0.0539)</f>
        <v>0.0539</v>
      </c>
    </row>
    <row r="650">
      <c r="A650" s="9">
        <f>IFERROR(__xludf.DUMMYFUNCTION("""COMPUTED_VALUE"""),0.0469)</f>
        <v>0.0469</v>
      </c>
    </row>
    <row r="651">
      <c r="A651" s="9">
        <f>IFERROR(__xludf.DUMMYFUNCTION("""COMPUTED_VALUE"""),0.0262)</f>
        <v>0.0262</v>
      </c>
    </row>
    <row r="652">
      <c r="A652" s="9">
        <f>IFERROR(__xludf.DUMMYFUNCTION("""COMPUTED_VALUE"""),0.0274)</f>
        <v>0.0274</v>
      </c>
    </row>
    <row r="653">
      <c r="A653" s="9">
        <f>IFERROR(__xludf.DUMMYFUNCTION("""COMPUTED_VALUE"""),0.0395)</f>
        <v>0.0395</v>
      </c>
    </row>
    <row r="654">
      <c r="A654" s="9">
        <f>IFERROR(__xludf.DUMMYFUNCTION("""COMPUTED_VALUE"""),0.0471)</f>
        <v>0.0471</v>
      </c>
    </row>
    <row r="655">
      <c r="A655" s="9">
        <f>IFERROR(__xludf.DUMMYFUNCTION("""COMPUTED_VALUE"""),0.0418)</f>
        <v>0.0418</v>
      </c>
    </row>
    <row r="656">
      <c r="A656" s="9">
        <f>IFERROR(__xludf.DUMMYFUNCTION("""COMPUTED_VALUE"""),0.0284)</f>
        <v>0.0284</v>
      </c>
    </row>
    <row r="657">
      <c r="A657" s="9">
        <f>IFERROR(__xludf.DUMMYFUNCTION("""COMPUTED_VALUE"""),0.0328)</f>
        <v>0.0328</v>
      </c>
    </row>
    <row r="658">
      <c r="A658" s="9">
        <f>IFERROR(__xludf.DUMMYFUNCTION("""COMPUTED_VALUE"""),0.0396)</f>
        <v>0.0396</v>
      </c>
    </row>
    <row r="659">
      <c r="A659" s="9">
        <f>IFERROR(__xludf.DUMMYFUNCTION("""COMPUTED_VALUE"""),0.0374)</f>
        <v>0.0374</v>
      </c>
    </row>
    <row r="660">
      <c r="A660" s="9">
        <f>IFERROR(__xludf.DUMMYFUNCTION("""COMPUTED_VALUE"""),0.0736)</f>
        <v>0.0736</v>
      </c>
    </row>
    <row r="661">
      <c r="A661" s="9">
        <f>IFERROR(__xludf.DUMMYFUNCTION("""COMPUTED_VALUE"""),0.0315)</f>
        <v>0.0315</v>
      </c>
    </row>
    <row r="662">
      <c r="A662" s="9">
        <f>IFERROR(__xludf.DUMMYFUNCTION("""COMPUTED_VALUE"""),0.0337)</f>
        <v>0.0337</v>
      </c>
    </row>
    <row r="663">
      <c r="A663" s="9">
        <f>IFERROR(__xludf.DUMMYFUNCTION("""COMPUTED_VALUE"""),0.0348)</f>
        <v>0.0348</v>
      </c>
    </row>
    <row r="664">
      <c r="A664" s="9">
        <f>IFERROR(__xludf.DUMMYFUNCTION("""COMPUTED_VALUE"""),0.0424)</f>
        <v>0.0424</v>
      </c>
    </row>
    <row r="665">
      <c r="A665" s="9">
        <f>IFERROR(__xludf.DUMMYFUNCTION("""COMPUTED_VALUE"""),0.0452)</f>
        <v>0.0452</v>
      </c>
    </row>
    <row r="666">
      <c r="A666" s="9">
        <f>IFERROR(__xludf.DUMMYFUNCTION("""COMPUTED_VALUE"""),0.0473)</f>
        <v>0.0473</v>
      </c>
    </row>
    <row r="667">
      <c r="A667" s="9">
        <f>IFERROR(__xludf.DUMMYFUNCTION("""COMPUTED_VALUE"""),0.0336)</f>
        <v>0.0336</v>
      </c>
    </row>
    <row r="668">
      <c r="A668" s="9">
        <f>IFERROR(__xludf.DUMMYFUNCTION("""COMPUTED_VALUE"""),0.0539)</f>
        <v>0.0539</v>
      </c>
    </row>
    <row r="669">
      <c r="A669" s="9">
        <f>IFERROR(__xludf.DUMMYFUNCTION("""COMPUTED_VALUE"""),0.042)</f>
        <v>0.042</v>
      </c>
    </row>
    <row r="670">
      <c r="A670" s="9">
        <f>IFERROR(__xludf.DUMMYFUNCTION("""COMPUTED_VALUE"""),0.0442)</f>
        <v>0.0442</v>
      </c>
    </row>
    <row r="671">
      <c r="A671" s="9">
        <f>IFERROR(__xludf.DUMMYFUNCTION("""COMPUTED_VALUE"""),0.0264)</f>
        <v>0.0264</v>
      </c>
    </row>
    <row r="672">
      <c r="A672" s="9">
        <f>IFERROR(__xludf.DUMMYFUNCTION("""COMPUTED_VALUE"""),0.0273)</f>
        <v>0.0273</v>
      </c>
    </row>
    <row r="673">
      <c r="A673" s="9">
        <f>IFERROR(__xludf.DUMMYFUNCTION("""COMPUTED_VALUE"""),0.29)</f>
        <v>0.29</v>
      </c>
    </row>
    <row r="674">
      <c r="A674" s="9">
        <f>IFERROR(__xludf.DUMMYFUNCTION("""COMPUTED_VALUE"""),0.042)</f>
        <v>0.042</v>
      </c>
    </row>
    <row r="675">
      <c r="A675" s="9">
        <f>IFERROR(__xludf.DUMMYFUNCTION("""COMPUTED_VALUE"""),0.037)</f>
        <v>0.037</v>
      </c>
    </row>
    <row r="676">
      <c r="A676" s="9">
        <f>IFERROR(__xludf.DUMMYFUNCTION("""COMPUTED_VALUE"""),0.0509)</f>
        <v>0.0509</v>
      </c>
    </row>
    <row r="677">
      <c r="A677" s="9">
        <f>IFERROR(__xludf.DUMMYFUNCTION("""COMPUTED_VALUE"""),0.0327)</f>
        <v>0.0327</v>
      </c>
    </row>
    <row r="678">
      <c r="A678" s="9">
        <f>IFERROR(__xludf.DUMMYFUNCTION("""COMPUTED_VALUE"""),0.0365)</f>
        <v>0.0365</v>
      </c>
    </row>
    <row r="679">
      <c r="A679" s="9">
        <f>IFERROR(__xludf.DUMMYFUNCTION("""COMPUTED_VALUE"""),0.0275)</f>
        <v>0.0275</v>
      </c>
    </row>
    <row r="680">
      <c r="A680" s="9">
        <f>IFERROR(__xludf.DUMMYFUNCTION("""COMPUTED_VALUE"""),0.123)</f>
        <v>0.123</v>
      </c>
    </row>
    <row r="681">
      <c r="A681" s="9">
        <f>IFERROR(__xludf.DUMMYFUNCTION("""COMPUTED_VALUE"""),0.174)</f>
        <v>0.174</v>
      </c>
    </row>
    <row r="682">
      <c r="A682" s="9">
        <f>IFERROR(__xludf.DUMMYFUNCTION("""COMPUTED_VALUE"""),0.0381)</f>
        <v>0.0381</v>
      </c>
    </row>
    <row r="683">
      <c r="A683" s="9">
        <f>IFERROR(__xludf.DUMMYFUNCTION("""COMPUTED_VALUE"""),0.0288)</f>
        <v>0.0288</v>
      </c>
    </row>
    <row r="684">
      <c r="A684" s="9">
        <f>IFERROR(__xludf.DUMMYFUNCTION("""COMPUTED_VALUE"""),0.0253)</f>
        <v>0.0253</v>
      </c>
    </row>
    <row r="685">
      <c r="A685" s="9">
        <f>IFERROR(__xludf.DUMMYFUNCTION("""COMPUTED_VALUE"""),0.0505)</f>
        <v>0.0505</v>
      </c>
    </row>
    <row r="686">
      <c r="A686" s="9">
        <f>IFERROR(__xludf.DUMMYFUNCTION("""COMPUTED_VALUE"""),0.0551)</f>
        <v>0.0551</v>
      </c>
    </row>
    <row r="687">
      <c r="A687" s="9">
        <f>IFERROR(__xludf.DUMMYFUNCTION("""COMPUTED_VALUE"""),0.0262)</f>
        <v>0.0262</v>
      </c>
    </row>
    <row r="688">
      <c r="A688" s="9">
        <f>IFERROR(__xludf.DUMMYFUNCTION("""COMPUTED_VALUE"""),0.0298)</f>
        <v>0.0298</v>
      </c>
    </row>
    <row r="689">
      <c r="A689" s="9">
        <f>IFERROR(__xludf.DUMMYFUNCTION("""COMPUTED_VALUE"""),0.0521)</f>
        <v>0.0521</v>
      </c>
    </row>
    <row r="690">
      <c r="A690" s="9">
        <f>IFERROR(__xludf.DUMMYFUNCTION("""COMPUTED_VALUE"""),0.0445)</f>
        <v>0.0445</v>
      </c>
    </row>
    <row r="691">
      <c r="A691" s="9">
        <f>IFERROR(__xludf.DUMMYFUNCTION("""COMPUTED_VALUE"""),0.231)</f>
        <v>0.231</v>
      </c>
    </row>
    <row r="692">
      <c r="A692" s="9">
        <f>IFERROR(__xludf.DUMMYFUNCTION("""COMPUTED_VALUE"""),0.0533)</f>
        <v>0.0533</v>
      </c>
    </row>
    <row r="693">
      <c r="A693" s="9">
        <f>IFERROR(__xludf.DUMMYFUNCTION("""COMPUTED_VALUE"""),0.0624)</f>
        <v>0.0624</v>
      </c>
    </row>
    <row r="694">
      <c r="A694" s="9">
        <f>IFERROR(__xludf.DUMMYFUNCTION("""COMPUTED_VALUE"""),0.0382)</f>
        <v>0.0382</v>
      </c>
    </row>
    <row r="695">
      <c r="A695" s="9">
        <f>IFERROR(__xludf.DUMMYFUNCTION("""COMPUTED_VALUE"""),0.0389)</f>
        <v>0.0389</v>
      </c>
    </row>
    <row r="696">
      <c r="A696" s="9">
        <f>IFERROR(__xludf.DUMMYFUNCTION("""COMPUTED_VALUE"""),0.0676)</f>
        <v>0.0676</v>
      </c>
    </row>
    <row r="697">
      <c r="A697" s="9">
        <f>IFERROR(__xludf.DUMMYFUNCTION("""COMPUTED_VALUE"""),0.04)</f>
        <v>0.04</v>
      </c>
    </row>
    <row r="698">
      <c r="A698" s="9">
        <f>IFERROR(__xludf.DUMMYFUNCTION("""COMPUTED_VALUE"""),0.0516)</f>
        <v>0.0516</v>
      </c>
    </row>
    <row r="699">
      <c r="A699" s="9">
        <f>IFERROR(__xludf.DUMMYFUNCTION("""COMPUTED_VALUE"""),0.0456)</f>
        <v>0.0456</v>
      </c>
    </row>
    <row r="700">
      <c r="A700" s="9">
        <f>IFERROR(__xludf.DUMMYFUNCTION("""COMPUTED_VALUE"""),0.0328)</f>
        <v>0.0328</v>
      </c>
    </row>
    <row r="701">
      <c r="A701" s="9">
        <f>IFERROR(__xludf.DUMMYFUNCTION("""COMPUTED_VALUE"""),0.0502)</f>
        <v>0.0502</v>
      </c>
    </row>
    <row r="702">
      <c r="A702" s="9">
        <f>IFERROR(__xludf.DUMMYFUNCTION("""COMPUTED_VALUE"""),0.0388)</f>
        <v>0.0388</v>
      </c>
    </row>
    <row r="703">
      <c r="A703" s="9">
        <f>IFERROR(__xludf.DUMMYFUNCTION("""COMPUTED_VALUE"""),0.0383)</f>
        <v>0.0383</v>
      </c>
    </row>
    <row r="704">
      <c r="A704" s="9">
        <f>IFERROR(__xludf.DUMMYFUNCTION("""COMPUTED_VALUE"""),0.0323)</f>
        <v>0.0323</v>
      </c>
    </row>
    <row r="705">
      <c r="A705" s="9">
        <f>IFERROR(__xludf.DUMMYFUNCTION("""COMPUTED_VALUE"""),0.0352)</f>
        <v>0.0352</v>
      </c>
    </row>
    <row r="706">
      <c r="A706" s="9">
        <f>IFERROR(__xludf.DUMMYFUNCTION("""COMPUTED_VALUE"""),0.107)</f>
        <v>0.107</v>
      </c>
    </row>
    <row r="707">
      <c r="A707" s="9">
        <f>IFERROR(__xludf.DUMMYFUNCTION("""COMPUTED_VALUE"""),0.0349)</f>
        <v>0.0349</v>
      </c>
    </row>
    <row r="708">
      <c r="A708" s="9">
        <f>IFERROR(__xludf.DUMMYFUNCTION("""COMPUTED_VALUE"""),0.0348)</f>
        <v>0.0348</v>
      </c>
    </row>
    <row r="709">
      <c r="A709" s="9">
        <f>IFERROR(__xludf.DUMMYFUNCTION("""COMPUTED_VALUE"""),0.119)</f>
        <v>0.119</v>
      </c>
    </row>
    <row r="710">
      <c r="A710" s="9">
        <f>IFERROR(__xludf.DUMMYFUNCTION("""COMPUTED_VALUE"""),0.084)</f>
        <v>0.084</v>
      </c>
    </row>
    <row r="711">
      <c r="A711" s="9">
        <f>IFERROR(__xludf.DUMMYFUNCTION("""COMPUTED_VALUE"""),0.0291)</f>
        <v>0.0291</v>
      </c>
    </row>
    <row r="712">
      <c r="A712" s="9">
        <f>IFERROR(__xludf.DUMMYFUNCTION("""COMPUTED_VALUE"""),0.0334)</f>
        <v>0.0334</v>
      </c>
    </row>
    <row r="713">
      <c r="A713" s="9">
        <f>IFERROR(__xludf.DUMMYFUNCTION("""COMPUTED_VALUE"""),0.0346)</f>
        <v>0.0346</v>
      </c>
    </row>
    <row r="714">
      <c r="A714" s="9">
        <f>IFERROR(__xludf.DUMMYFUNCTION("""COMPUTED_VALUE"""),0.0536)</f>
        <v>0.0536</v>
      </c>
    </row>
    <row r="715">
      <c r="A715" s="9">
        <f>IFERROR(__xludf.DUMMYFUNCTION("""COMPUTED_VALUE"""),0.0414)</f>
        <v>0.0414</v>
      </c>
    </row>
    <row r="716">
      <c r="A716" s="9">
        <f>IFERROR(__xludf.DUMMYFUNCTION("""COMPUTED_VALUE"""),0.0411)</f>
        <v>0.0411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tr">
        <f>IFERROR(__xludf.DUMMYFUNCTION("QUERY({'chill inducing songs'!A2:Q716},""select Col10,Col15 order by Col15 desc limit 5 label Col10 'Mode', Col15 'Valence'"",0)"),"Mode")</f>
        <v>Mode</v>
      </c>
      <c r="B1" s="9" t="str">
        <f>IFERROR(__xludf.DUMMYFUNCTION("""COMPUTED_VALUE"""),"Valence")</f>
        <v>Valence</v>
      </c>
    </row>
    <row r="2">
      <c r="A2" s="9">
        <f>IFERROR(__xludf.DUMMYFUNCTION("""COMPUTED_VALUE"""),1.0)</f>
        <v>1</v>
      </c>
      <c r="B2" s="9">
        <f>IFERROR(__xludf.DUMMYFUNCTION("""COMPUTED_VALUE"""),0.971)</f>
        <v>0.971</v>
      </c>
    </row>
    <row r="3">
      <c r="A3" s="9">
        <f>IFERROR(__xludf.DUMMYFUNCTION("""COMPUTED_VALUE"""),1.0)</f>
        <v>1</v>
      </c>
      <c r="B3" s="9">
        <f>IFERROR(__xludf.DUMMYFUNCTION("""COMPUTED_VALUE"""),0.966)</f>
        <v>0.966</v>
      </c>
    </row>
    <row r="4">
      <c r="A4" s="9">
        <f>IFERROR(__xludf.DUMMYFUNCTION("""COMPUTED_VALUE"""),1.0)</f>
        <v>1</v>
      </c>
      <c r="B4" s="9">
        <f>IFERROR(__xludf.DUMMYFUNCTION("""COMPUTED_VALUE"""),0.959)</f>
        <v>0.959</v>
      </c>
    </row>
    <row r="5">
      <c r="A5" s="9">
        <f>IFERROR(__xludf.DUMMYFUNCTION("""COMPUTED_VALUE"""),0.0)</f>
        <v>0</v>
      </c>
      <c r="B5" s="9">
        <f>IFERROR(__xludf.DUMMYFUNCTION("""COMPUTED_VALUE"""),0.954)</f>
        <v>0.954</v>
      </c>
    </row>
    <row r="6">
      <c r="A6" s="9">
        <f>IFERROR(__xludf.DUMMYFUNCTION("""COMPUTED_VALUE"""),1.0)</f>
        <v>1</v>
      </c>
      <c r="B6" s="9">
        <f>IFERROR(__xludf.DUMMYFUNCTION("""COMPUTED_VALUE"""),0.937)</f>
        <v>0.937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tr">
        <f t="array" ref="A1:B1832">{"Time Signature","Track Duration (ms)";'chill inducing songs'!Q2:Q716,'chill inducing songs'!D2:D716}</f>
        <v>Time Signature</v>
      </c>
      <c r="B1" s="9" t="s">
        <v>3</v>
      </c>
    </row>
    <row r="2">
      <c r="A2" s="9">
        <v>3.0</v>
      </c>
      <c r="B2" s="9">
        <v>188600.0</v>
      </c>
    </row>
    <row r="3">
      <c r="A3" s="9">
        <v>4.0</v>
      </c>
      <c r="B3" s="9">
        <v>280226.0</v>
      </c>
    </row>
    <row r="4">
      <c r="A4" s="9">
        <v>5.0</v>
      </c>
      <c r="B4" s="9">
        <v>184773.0</v>
      </c>
    </row>
    <row r="5">
      <c r="A5" s="9">
        <v>3.0</v>
      </c>
      <c r="B5" s="9">
        <v>191373.0</v>
      </c>
    </row>
    <row r="6">
      <c r="A6" s="9">
        <v>3.0</v>
      </c>
      <c r="B6" s="9">
        <v>267733.0</v>
      </c>
    </row>
    <row r="7">
      <c r="A7" s="9">
        <v>4.0</v>
      </c>
      <c r="B7" s="9">
        <v>520786.0</v>
      </c>
    </row>
    <row r="8">
      <c r="A8" s="9">
        <v>5.0</v>
      </c>
      <c r="B8" s="9">
        <v>216120.0</v>
      </c>
    </row>
    <row r="9">
      <c r="A9" s="9">
        <v>4.0</v>
      </c>
      <c r="B9" s="9">
        <v>1147000.0</v>
      </c>
    </row>
    <row r="10">
      <c r="A10" s="9">
        <v>4.0</v>
      </c>
      <c r="B10" s="9">
        <v>156160.0</v>
      </c>
    </row>
    <row r="11">
      <c r="A11" s="9">
        <v>4.0</v>
      </c>
      <c r="B11" s="9">
        <v>329840.0</v>
      </c>
    </row>
    <row r="12">
      <c r="A12" s="9">
        <v>4.0</v>
      </c>
      <c r="B12" s="9">
        <v>345400.0</v>
      </c>
    </row>
    <row r="13">
      <c r="A13" s="9">
        <v>5.0</v>
      </c>
      <c r="B13" s="9">
        <v>1042626.0</v>
      </c>
    </row>
    <row r="14">
      <c r="A14" s="9">
        <v>4.0</v>
      </c>
      <c r="B14" s="9">
        <v>99400.0</v>
      </c>
    </row>
    <row r="15">
      <c r="A15" s="9">
        <v>3.0</v>
      </c>
      <c r="B15" s="9">
        <v>182293.0</v>
      </c>
    </row>
    <row r="16">
      <c r="A16" s="9">
        <v>4.0</v>
      </c>
      <c r="B16" s="9">
        <v>408173.0</v>
      </c>
    </row>
    <row r="17">
      <c r="A17" s="9">
        <v>3.0</v>
      </c>
      <c r="B17" s="9">
        <v>129000.0</v>
      </c>
    </row>
    <row r="18">
      <c r="A18" s="9">
        <v>4.0</v>
      </c>
      <c r="B18" s="9">
        <v>397733.0</v>
      </c>
    </row>
    <row r="19">
      <c r="A19" s="9">
        <v>5.0</v>
      </c>
      <c r="B19" s="9">
        <v>267080.0</v>
      </c>
    </row>
    <row r="20">
      <c r="A20" s="9">
        <v>4.0</v>
      </c>
      <c r="B20" s="9">
        <v>235706.0</v>
      </c>
    </row>
    <row r="21">
      <c r="A21" s="9">
        <v>1.0</v>
      </c>
      <c r="B21" s="9">
        <v>179359.0</v>
      </c>
    </row>
    <row r="22">
      <c r="A22" s="9">
        <v>4.0</v>
      </c>
      <c r="B22" s="9">
        <v>303586.0</v>
      </c>
    </row>
    <row r="23">
      <c r="A23" s="9">
        <v>3.0</v>
      </c>
      <c r="B23" s="9">
        <v>269893.0</v>
      </c>
    </row>
    <row r="24">
      <c r="A24" s="9">
        <v>4.0</v>
      </c>
      <c r="B24" s="9">
        <v>427800.0</v>
      </c>
    </row>
    <row r="25">
      <c r="A25" s="9">
        <v>4.0</v>
      </c>
      <c r="B25" s="9">
        <v>271093.0</v>
      </c>
    </row>
    <row r="26">
      <c r="A26" s="9">
        <v>3.0</v>
      </c>
      <c r="B26" s="9">
        <v>525200.0</v>
      </c>
    </row>
    <row r="27">
      <c r="A27" s="9">
        <v>4.0</v>
      </c>
      <c r="B27" s="9">
        <v>204533.0</v>
      </c>
    </row>
    <row r="28">
      <c r="A28" s="9">
        <v>4.0</v>
      </c>
      <c r="B28" s="9">
        <v>171746.0</v>
      </c>
    </row>
    <row r="29">
      <c r="A29" s="9">
        <v>4.0</v>
      </c>
      <c r="B29" s="9">
        <v>575009.0</v>
      </c>
    </row>
    <row r="30">
      <c r="A30" s="9">
        <v>4.0</v>
      </c>
      <c r="B30" s="9">
        <v>151240.0</v>
      </c>
    </row>
    <row r="31">
      <c r="A31" s="9">
        <v>3.0</v>
      </c>
      <c r="B31" s="9">
        <v>537426.0</v>
      </c>
    </row>
    <row r="32">
      <c r="A32" s="9">
        <v>4.0</v>
      </c>
      <c r="B32" s="9">
        <v>583293.0</v>
      </c>
    </row>
    <row r="33">
      <c r="A33" s="9">
        <v>3.0</v>
      </c>
      <c r="B33" s="9">
        <v>208586.0</v>
      </c>
    </row>
    <row r="34">
      <c r="A34" s="9">
        <v>4.0</v>
      </c>
      <c r="B34" s="9">
        <v>686800.0</v>
      </c>
    </row>
    <row r="35">
      <c r="A35" s="9">
        <v>4.0</v>
      </c>
      <c r="B35" s="9">
        <v>724000.0</v>
      </c>
    </row>
    <row r="36">
      <c r="A36" s="9">
        <v>4.0</v>
      </c>
      <c r="B36" s="9">
        <v>280000.0</v>
      </c>
    </row>
    <row r="37">
      <c r="A37" s="9">
        <v>4.0</v>
      </c>
      <c r="B37" s="9">
        <v>507560.0</v>
      </c>
    </row>
    <row r="38">
      <c r="A38" s="9">
        <v>5.0</v>
      </c>
      <c r="B38" s="9">
        <v>397000.0</v>
      </c>
    </row>
    <row r="39">
      <c r="A39" s="9">
        <v>4.0</v>
      </c>
      <c r="B39" s="9">
        <v>401306.0</v>
      </c>
    </row>
    <row r="40">
      <c r="A40" s="9">
        <v>4.0</v>
      </c>
      <c r="B40" s="9">
        <v>235200.0</v>
      </c>
    </row>
    <row r="41">
      <c r="A41" s="9">
        <v>4.0</v>
      </c>
      <c r="B41" s="9">
        <v>343626.0</v>
      </c>
    </row>
    <row r="42">
      <c r="A42" s="9">
        <v>4.0</v>
      </c>
      <c r="B42" s="9">
        <v>196306.0</v>
      </c>
    </row>
    <row r="43">
      <c r="A43" s="9">
        <v>3.0</v>
      </c>
      <c r="B43" s="9">
        <v>534626.0</v>
      </c>
    </row>
    <row r="44">
      <c r="A44" s="9">
        <v>4.0</v>
      </c>
      <c r="B44" s="9">
        <v>233986.0</v>
      </c>
    </row>
    <row r="45">
      <c r="A45" s="9">
        <v>4.0</v>
      </c>
      <c r="B45" s="9">
        <v>282602.0</v>
      </c>
    </row>
    <row r="46">
      <c r="A46" s="9">
        <v>3.0</v>
      </c>
      <c r="B46" s="9">
        <v>345320.0</v>
      </c>
    </row>
    <row r="47">
      <c r="A47" s="9">
        <v>4.0</v>
      </c>
      <c r="B47" s="9">
        <v>258399.0</v>
      </c>
    </row>
    <row r="48">
      <c r="A48" s="9">
        <v>3.0</v>
      </c>
      <c r="B48" s="9">
        <v>392560.0</v>
      </c>
    </row>
    <row r="49">
      <c r="A49" s="9">
        <v>4.0</v>
      </c>
      <c r="B49" s="9">
        <v>62280.0</v>
      </c>
    </row>
    <row r="50">
      <c r="A50" s="9">
        <v>3.0</v>
      </c>
      <c r="B50" s="9">
        <v>710426.0</v>
      </c>
    </row>
    <row r="51">
      <c r="A51" s="9">
        <v>4.0</v>
      </c>
      <c r="B51" s="9">
        <v>120333.0</v>
      </c>
    </row>
    <row r="52">
      <c r="A52" s="9">
        <v>4.0</v>
      </c>
      <c r="B52" s="9">
        <v>282173.0</v>
      </c>
    </row>
    <row r="53">
      <c r="A53" s="9">
        <v>4.0</v>
      </c>
      <c r="B53" s="9">
        <v>124191.0</v>
      </c>
    </row>
    <row r="54">
      <c r="A54" s="9">
        <v>5.0</v>
      </c>
      <c r="B54" s="9">
        <v>149653.0</v>
      </c>
    </row>
    <row r="55">
      <c r="A55" s="9">
        <v>4.0</v>
      </c>
      <c r="B55" s="9">
        <v>480226.0</v>
      </c>
    </row>
    <row r="56">
      <c r="A56" s="9">
        <v>3.0</v>
      </c>
      <c r="B56" s="9">
        <v>380226.0</v>
      </c>
    </row>
    <row r="57">
      <c r="A57" s="9">
        <v>4.0</v>
      </c>
      <c r="B57" s="9">
        <v>1007000.0</v>
      </c>
    </row>
    <row r="58">
      <c r="A58" s="9">
        <v>4.0</v>
      </c>
      <c r="B58" s="9">
        <v>392110.0</v>
      </c>
    </row>
    <row r="59">
      <c r="A59" s="9">
        <v>4.0</v>
      </c>
      <c r="B59" s="9">
        <v>240320.0</v>
      </c>
    </row>
    <row r="60">
      <c r="A60" s="9">
        <v>4.0</v>
      </c>
      <c r="B60" s="9">
        <v>1368453.0</v>
      </c>
    </row>
    <row r="61">
      <c r="A61" s="9">
        <v>4.0</v>
      </c>
      <c r="B61" s="9">
        <v>173133.0</v>
      </c>
    </row>
    <row r="62">
      <c r="A62" s="9">
        <v>3.0</v>
      </c>
      <c r="B62" s="9">
        <v>521013.0</v>
      </c>
    </row>
    <row r="63">
      <c r="A63" s="9">
        <v>4.0</v>
      </c>
      <c r="B63" s="9">
        <v>594573.0</v>
      </c>
    </row>
    <row r="64">
      <c r="A64" s="9">
        <v>4.0</v>
      </c>
      <c r="B64" s="9">
        <v>147520.0</v>
      </c>
    </row>
    <row r="65">
      <c r="A65" s="9">
        <v>4.0</v>
      </c>
      <c r="B65" s="9">
        <v>291697.0</v>
      </c>
    </row>
    <row r="66">
      <c r="A66" s="9">
        <v>4.0</v>
      </c>
      <c r="B66" s="9">
        <v>676333.0</v>
      </c>
    </row>
    <row r="67">
      <c r="A67" s="9">
        <v>5.0</v>
      </c>
      <c r="B67" s="9">
        <v>193000.0</v>
      </c>
    </row>
    <row r="68">
      <c r="A68" s="9">
        <v>4.0</v>
      </c>
      <c r="B68" s="9">
        <v>679533.0</v>
      </c>
    </row>
    <row r="69">
      <c r="A69" s="9">
        <v>3.0</v>
      </c>
      <c r="B69" s="9">
        <v>300213.0</v>
      </c>
    </row>
    <row r="70">
      <c r="A70" s="9">
        <v>3.0</v>
      </c>
      <c r="B70" s="9">
        <v>364213.0</v>
      </c>
    </row>
    <row r="71">
      <c r="A71" s="9">
        <v>4.0</v>
      </c>
      <c r="B71" s="9">
        <v>88493.0</v>
      </c>
    </row>
    <row r="72">
      <c r="A72" s="9">
        <v>4.0</v>
      </c>
      <c r="B72" s="9">
        <v>437293.0</v>
      </c>
    </row>
    <row r="73">
      <c r="A73" s="9">
        <v>4.0</v>
      </c>
      <c r="B73" s="9">
        <v>417813.0</v>
      </c>
    </row>
    <row r="74">
      <c r="A74" s="9">
        <v>3.0</v>
      </c>
      <c r="B74" s="9">
        <v>88440.0</v>
      </c>
    </row>
    <row r="75">
      <c r="A75" s="9">
        <v>3.0</v>
      </c>
      <c r="B75" s="9">
        <v>649200.0</v>
      </c>
    </row>
    <row r="76">
      <c r="A76" s="9">
        <v>3.0</v>
      </c>
      <c r="B76" s="9">
        <v>579613.0</v>
      </c>
    </row>
    <row r="77">
      <c r="A77" s="9">
        <v>4.0</v>
      </c>
      <c r="B77" s="9">
        <v>630693.0</v>
      </c>
    </row>
    <row r="78">
      <c r="A78" s="9">
        <v>3.0</v>
      </c>
      <c r="B78" s="9">
        <v>157200.0</v>
      </c>
    </row>
    <row r="79">
      <c r="A79" s="9">
        <v>4.0</v>
      </c>
      <c r="B79" s="9">
        <v>71613.0</v>
      </c>
    </row>
    <row r="80">
      <c r="A80" s="9">
        <v>4.0</v>
      </c>
      <c r="B80" s="9">
        <v>166866.0</v>
      </c>
    </row>
    <row r="81">
      <c r="A81" s="9">
        <v>1.0</v>
      </c>
      <c r="B81" s="9">
        <v>300226.0</v>
      </c>
    </row>
    <row r="82">
      <c r="A82" s="9">
        <v>4.0</v>
      </c>
      <c r="B82" s="9">
        <v>187026.0</v>
      </c>
    </row>
    <row r="83">
      <c r="A83" s="9">
        <v>4.0</v>
      </c>
      <c r="B83" s="9">
        <v>232693.0</v>
      </c>
    </row>
    <row r="84">
      <c r="A84" s="9">
        <v>4.0</v>
      </c>
      <c r="B84" s="9">
        <v>257760.0</v>
      </c>
    </row>
    <row r="85">
      <c r="A85" s="9">
        <v>4.0</v>
      </c>
      <c r="B85" s="9">
        <v>360013.0</v>
      </c>
    </row>
    <row r="86">
      <c r="A86" s="9">
        <v>4.0</v>
      </c>
      <c r="B86" s="9">
        <v>1177226.0</v>
      </c>
    </row>
    <row r="87">
      <c r="A87" s="9">
        <v>4.0</v>
      </c>
      <c r="B87" s="9">
        <v>504973.0</v>
      </c>
    </row>
    <row r="88">
      <c r="A88" s="9">
        <v>1.0</v>
      </c>
      <c r="B88" s="9">
        <v>297372.0</v>
      </c>
    </row>
    <row r="89">
      <c r="A89" s="9">
        <v>5.0</v>
      </c>
      <c r="B89" s="9">
        <v>89320.0</v>
      </c>
    </row>
    <row r="90">
      <c r="A90" s="9">
        <v>4.0</v>
      </c>
      <c r="B90" s="9">
        <v>387000.0</v>
      </c>
    </row>
    <row r="91">
      <c r="A91" s="9">
        <v>3.0</v>
      </c>
      <c r="B91" s="9">
        <v>407213.0</v>
      </c>
    </row>
    <row r="92">
      <c r="A92" s="9">
        <v>4.0</v>
      </c>
      <c r="B92" s="9">
        <v>265160.0</v>
      </c>
    </row>
    <row r="93">
      <c r="A93" s="9">
        <v>4.0</v>
      </c>
      <c r="B93" s="9">
        <v>369000.0</v>
      </c>
    </row>
    <row r="94">
      <c r="A94" s="9">
        <v>3.0</v>
      </c>
      <c r="B94" s="9">
        <v>708155.0</v>
      </c>
    </row>
    <row r="95">
      <c r="A95" s="9">
        <v>4.0</v>
      </c>
      <c r="B95" s="9">
        <v>575440.0</v>
      </c>
    </row>
    <row r="96">
      <c r="A96" s="9">
        <v>5.0</v>
      </c>
      <c r="B96" s="9">
        <v>371600.0</v>
      </c>
    </row>
    <row r="97">
      <c r="A97" s="9">
        <v>4.0</v>
      </c>
      <c r="B97" s="9">
        <v>136586.0</v>
      </c>
    </row>
    <row r="98">
      <c r="A98" s="9">
        <v>4.0</v>
      </c>
      <c r="B98" s="9">
        <v>183266.0</v>
      </c>
    </row>
    <row r="99">
      <c r="A99" s="9">
        <v>3.0</v>
      </c>
      <c r="B99" s="9">
        <v>294960.0</v>
      </c>
    </row>
    <row r="100">
      <c r="A100" s="9">
        <v>3.0</v>
      </c>
      <c r="B100" s="9">
        <v>291493.0</v>
      </c>
    </row>
    <row r="101">
      <c r="A101" s="9">
        <v>3.0</v>
      </c>
      <c r="B101" s="9">
        <v>604840.0</v>
      </c>
    </row>
    <row r="102">
      <c r="A102" s="9">
        <v>3.0</v>
      </c>
      <c r="B102" s="9">
        <v>349800.0</v>
      </c>
    </row>
    <row r="103">
      <c r="A103" s="9">
        <v>4.0</v>
      </c>
      <c r="B103" s="9">
        <v>478573.0</v>
      </c>
    </row>
    <row r="104">
      <c r="A104" s="9">
        <v>4.0</v>
      </c>
      <c r="B104" s="9">
        <v>264000.0</v>
      </c>
    </row>
    <row r="105">
      <c r="A105" s="9">
        <v>4.0</v>
      </c>
      <c r="B105" s="9">
        <v>493800.0</v>
      </c>
    </row>
    <row r="106">
      <c r="A106" s="9">
        <v>4.0</v>
      </c>
      <c r="B106" s="9">
        <v>244561.0</v>
      </c>
    </row>
    <row r="107">
      <c r="A107" s="9">
        <v>3.0</v>
      </c>
      <c r="B107" s="9">
        <v>373093.0</v>
      </c>
    </row>
    <row r="108">
      <c r="A108" s="9">
        <v>4.0</v>
      </c>
      <c r="B108" s="9">
        <v>570094.0</v>
      </c>
    </row>
    <row r="109">
      <c r="A109" s="9">
        <v>4.0</v>
      </c>
      <c r="B109" s="9">
        <v>973000.0</v>
      </c>
    </row>
    <row r="110">
      <c r="A110" s="9">
        <v>4.0</v>
      </c>
      <c r="B110" s="9">
        <v>150800.0</v>
      </c>
    </row>
    <row r="111">
      <c r="A111" s="9">
        <v>4.0</v>
      </c>
      <c r="B111" s="9">
        <v>367595.0</v>
      </c>
    </row>
    <row r="112">
      <c r="A112" s="9">
        <v>4.0</v>
      </c>
      <c r="B112" s="9">
        <v>238640.0</v>
      </c>
    </row>
    <row r="113">
      <c r="A113" s="9">
        <v>3.0</v>
      </c>
      <c r="B113" s="9">
        <v>155000.0</v>
      </c>
    </row>
    <row r="114">
      <c r="A114" s="9">
        <v>4.0</v>
      </c>
      <c r="B114" s="9">
        <v>570946.0</v>
      </c>
    </row>
    <row r="115">
      <c r="A115" s="9">
        <v>4.0</v>
      </c>
      <c r="B115" s="9">
        <v>240533.0</v>
      </c>
    </row>
    <row r="116">
      <c r="A116" s="9">
        <v>4.0</v>
      </c>
      <c r="B116" s="9">
        <v>317830.0</v>
      </c>
    </row>
    <row r="117">
      <c r="A117" s="9">
        <v>3.0</v>
      </c>
      <c r="B117" s="9">
        <v>282000.0</v>
      </c>
    </row>
    <row r="118">
      <c r="A118" s="9">
        <v>4.0</v>
      </c>
      <c r="B118" s="9">
        <v>174653.0</v>
      </c>
    </row>
    <row r="119">
      <c r="A119" s="9">
        <v>3.0</v>
      </c>
      <c r="B119" s="9">
        <v>428152.0</v>
      </c>
    </row>
    <row r="120">
      <c r="A120" s="9">
        <v>4.0</v>
      </c>
      <c r="B120" s="9">
        <v>508537.0</v>
      </c>
    </row>
    <row r="121">
      <c r="A121" s="9">
        <v>4.0</v>
      </c>
      <c r="B121" s="9">
        <v>251586.0</v>
      </c>
    </row>
    <row r="122">
      <c r="A122" s="9">
        <v>4.0</v>
      </c>
      <c r="B122" s="9">
        <v>462162.0</v>
      </c>
    </row>
    <row r="123">
      <c r="A123" s="9">
        <v>3.0</v>
      </c>
      <c r="B123" s="9">
        <v>599887.0</v>
      </c>
    </row>
    <row r="124">
      <c r="A124" s="9">
        <v>4.0</v>
      </c>
      <c r="B124" s="9">
        <v>569360.0</v>
      </c>
    </row>
    <row r="125">
      <c r="A125" s="9">
        <v>3.0</v>
      </c>
      <c r="B125" s="9">
        <v>738560.0</v>
      </c>
    </row>
    <row r="126">
      <c r="A126" s="9">
        <v>3.0</v>
      </c>
      <c r="B126" s="9">
        <v>224066.0</v>
      </c>
    </row>
    <row r="127">
      <c r="A127" s="9">
        <v>4.0</v>
      </c>
      <c r="B127" s="9">
        <v>241293.0</v>
      </c>
    </row>
    <row r="128">
      <c r="A128" s="9">
        <v>4.0</v>
      </c>
      <c r="B128" s="9">
        <v>948840.0</v>
      </c>
    </row>
    <row r="129">
      <c r="A129" s="9">
        <v>3.0</v>
      </c>
      <c r="B129" s="9">
        <v>362520.0</v>
      </c>
    </row>
    <row r="130">
      <c r="A130" s="9">
        <v>4.0</v>
      </c>
      <c r="B130" s="9">
        <v>246800.0</v>
      </c>
    </row>
    <row r="131">
      <c r="A131" s="9">
        <v>3.0</v>
      </c>
      <c r="B131" s="9">
        <v>504146.0</v>
      </c>
    </row>
    <row r="132">
      <c r="A132" s="9">
        <v>4.0</v>
      </c>
      <c r="B132" s="9">
        <v>539120.0</v>
      </c>
    </row>
    <row r="133">
      <c r="A133" s="9">
        <v>3.0</v>
      </c>
      <c r="B133" s="9">
        <v>203493.0</v>
      </c>
    </row>
    <row r="134">
      <c r="A134" s="9">
        <v>3.0</v>
      </c>
      <c r="B134" s="9">
        <v>441266.0</v>
      </c>
    </row>
    <row r="135">
      <c r="A135" s="9">
        <v>4.0</v>
      </c>
      <c r="B135" s="9">
        <v>561653.0</v>
      </c>
    </row>
    <row r="136">
      <c r="A136" s="9">
        <v>3.0</v>
      </c>
      <c r="B136" s="9">
        <v>364560.0</v>
      </c>
    </row>
    <row r="137">
      <c r="A137" s="9"/>
      <c r="B137" s="9">
        <v>415360.0</v>
      </c>
    </row>
    <row r="138">
      <c r="A138" s="9">
        <v>4.0</v>
      </c>
      <c r="B138" s="9">
        <v>201853.0</v>
      </c>
    </row>
    <row r="139">
      <c r="A139" s="9">
        <v>3.0</v>
      </c>
      <c r="B139" s="9">
        <v>551933.0</v>
      </c>
    </row>
    <row r="140">
      <c r="A140" s="9">
        <v>4.0</v>
      </c>
      <c r="B140" s="9">
        <v>313400.0</v>
      </c>
    </row>
    <row r="141">
      <c r="A141" s="9">
        <v>3.0</v>
      </c>
      <c r="B141" s="9">
        <v>187771.0</v>
      </c>
    </row>
    <row r="142">
      <c r="A142" s="9">
        <v>4.0</v>
      </c>
      <c r="B142" s="9">
        <v>219093.0</v>
      </c>
    </row>
    <row r="143">
      <c r="A143" s="9">
        <v>3.0</v>
      </c>
      <c r="B143" s="9">
        <v>224333.0</v>
      </c>
    </row>
    <row r="144">
      <c r="A144" s="9">
        <v>3.0</v>
      </c>
      <c r="B144" s="9">
        <v>106026.0</v>
      </c>
    </row>
    <row r="145">
      <c r="A145" s="9">
        <v>3.0</v>
      </c>
      <c r="B145" s="9">
        <v>259200.0</v>
      </c>
    </row>
    <row r="146">
      <c r="A146" s="9">
        <v>4.0</v>
      </c>
      <c r="B146" s="9">
        <v>393466.0</v>
      </c>
    </row>
    <row r="147">
      <c r="A147" s="9">
        <v>3.0</v>
      </c>
      <c r="B147" s="9">
        <v>128333.0</v>
      </c>
    </row>
    <row r="148">
      <c r="A148" s="9">
        <v>4.0</v>
      </c>
      <c r="B148" s="9">
        <v>284440.0</v>
      </c>
    </row>
    <row r="149">
      <c r="A149" s="9">
        <v>4.0</v>
      </c>
      <c r="B149" s="9">
        <v>260266.0</v>
      </c>
    </row>
    <row r="150">
      <c r="A150" s="9">
        <v>4.0</v>
      </c>
      <c r="B150" s="9">
        <v>302200.0</v>
      </c>
    </row>
    <row r="151">
      <c r="A151" s="9">
        <v>4.0</v>
      </c>
      <c r="B151" s="9">
        <v>175040.0</v>
      </c>
    </row>
    <row r="152">
      <c r="A152" s="9">
        <v>4.0</v>
      </c>
      <c r="B152" s="9">
        <v>245533.0</v>
      </c>
    </row>
    <row r="153">
      <c r="A153" s="9">
        <v>4.0</v>
      </c>
      <c r="B153" s="9">
        <v>226000.0</v>
      </c>
    </row>
    <row r="154">
      <c r="A154" s="9">
        <v>4.0</v>
      </c>
      <c r="B154" s="9">
        <v>440800.0</v>
      </c>
    </row>
    <row r="155">
      <c r="A155" s="9">
        <v>3.0</v>
      </c>
      <c r="B155" s="9">
        <v>178493.0</v>
      </c>
    </row>
    <row r="156">
      <c r="A156" s="9">
        <v>4.0</v>
      </c>
      <c r="B156" s="9">
        <v>255718.0</v>
      </c>
    </row>
    <row r="157">
      <c r="A157" s="9">
        <v>4.0</v>
      </c>
      <c r="B157" s="9">
        <v>209880.0</v>
      </c>
    </row>
    <row r="158">
      <c r="A158" s="9">
        <v>4.0</v>
      </c>
      <c r="B158" s="9">
        <v>198320.0</v>
      </c>
    </row>
    <row r="159">
      <c r="A159" s="9">
        <v>4.0</v>
      </c>
      <c r="B159" s="9">
        <v>234400.0</v>
      </c>
    </row>
    <row r="160">
      <c r="A160" s="9">
        <v>4.0</v>
      </c>
      <c r="B160" s="9">
        <v>333346.0</v>
      </c>
    </row>
    <row r="161">
      <c r="A161" s="9">
        <v>4.0</v>
      </c>
      <c r="B161" s="9">
        <v>505600.0</v>
      </c>
    </row>
    <row r="162">
      <c r="A162" s="9">
        <v>1.0</v>
      </c>
      <c r="B162" s="9">
        <v>304000.0</v>
      </c>
    </row>
    <row r="163">
      <c r="A163" s="9">
        <v>4.0</v>
      </c>
      <c r="B163" s="9">
        <v>335026.0</v>
      </c>
    </row>
    <row r="164">
      <c r="A164" s="9">
        <v>4.0</v>
      </c>
      <c r="B164" s="9">
        <v>310733.0</v>
      </c>
    </row>
    <row r="165">
      <c r="A165" s="9">
        <v>4.0</v>
      </c>
      <c r="B165" s="9">
        <v>325200.0</v>
      </c>
    </row>
    <row r="166">
      <c r="A166" s="9">
        <v>4.0</v>
      </c>
      <c r="B166" s="9">
        <v>204386.0</v>
      </c>
    </row>
    <row r="167">
      <c r="A167" s="9">
        <v>3.0</v>
      </c>
      <c r="B167" s="9">
        <v>269093.0</v>
      </c>
    </row>
    <row r="168">
      <c r="A168" s="9">
        <v>4.0</v>
      </c>
      <c r="B168" s="9">
        <v>296800.0</v>
      </c>
    </row>
    <row r="169">
      <c r="A169" s="9">
        <v>4.0</v>
      </c>
      <c r="B169" s="9">
        <v>205800.0</v>
      </c>
    </row>
    <row r="170">
      <c r="A170" s="9">
        <v>1.0</v>
      </c>
      <c r="B170" s="9">
        <v>245946.0</v>
      </c>
    </row>
    <row r="171">
      <c r="A171" s="9">
        <v>3.0</v>
      </c>
      <c r="B171" s="9">
        <v>307800.0</v>
      </c>
    </row>
    <row r="172">
      <c r="A172" s="9">
        <v>4.0</v>
      </c>
      <c r="B172" s="9">
        <v>260880.0</v>
      </c>
    </row>
    <row r="173">
      <c r="A173" s="9">
        <v>4.0</v>
      </c>
      <c r="B173" s="9">
        <v>504973.0</v>
      </c>
    </row>
    <row r="174">
      <c r="A174" s="9">
        <v>1.0</v>
      </c>
      <c r="B174" s="9">
        <v>101386.0</v>
      </c>
    </row>
    <row r="175">
      <c r="A175" s="9">
        <v>4.0</v>
      </c>
      <c r="B175" s="9">
        <v>574000.0</v>
      </c>
    </row>
    <row r="176">
      <c r="A176" s="9">
        <v>3.0</v>
      </c>
      <c r="B176" s="9">
        <v>202533.0</v>
      </c>
    </row>
    <row r="177">
      <c r="A177" s="9">
        <v>4.0</v>
      </c>
      <c r="B177" s="9">
        <v>248120.0</v>
      </c>
    </row>
    <row r="178">
      <c r="A178" s="9">
        <v>3.0</v>
      </c>
      <c r="B178" s="9">
        <v>542466.0</v>
      </c>
    </row>
    <row r="179">
      <c r="A179" s="9">
        <v>3.0</v>
      </c>
      <c r="B179" s="9">
        <v>146146.0</v>
      </c>
    </row>
    <row r="180">
      <c r="A180" s="9">
        <v>4.0</v>
      </c>
      <c r="B180" s="9">
        <v>505453.0</v>
      </c>
    </row>
    <row r="181">
      <c r="A181" s="9">
        <v>4.0</v>
      </c>
      <c r="B181" s="9">
        <v>307626.0</v>
      </c>
    </row>
    <row r="182">
      <c r="A182" s="9">
        <v>4.0</v>
      </c>
      <c r="B182" s="9">
        <v>492760.0</v>
      </c>
    </row>
    <row r="183">
      <c r="A183" s="9">
        <v>4.0</v>
      </c>
      <c r="B183" s="9">
        <v>560386.0</v>
      </c>
    </row>
    <row r="184">
      <c r="A184" s="9">
        <v>4.0</v>
      </c>
      <c r="B184" s="9">
        <v>325226.0</v>
      </c>
    </row>
    <row r="185">
      <c r="A185" s="9">
        <v>4.0</v>
      </c>
      <c r="B185" s="9">
        <v>187626.0</v>
      </c>
    </row>
    <row r="186">
      <c r="A186" s="9">
        <v>4.0</v>
      </c>
      <c r="B186" s="9">
        <v>487706.0</v>
      </c>
    </row>
    <row r="187">
      <c r="A187" s="9">
        <v>4.0</v>
      </c>
      <c r="B187" s="9">
        <v>458986.0</v>
      </c>
    </row>
    <row r="188">
      <c r="A188" s="9">
        <v>3.0</v>
      </c>
      <c r="B188" s="9">
        <v>307000.0</v>
      </c>
    </row>
    <row r="189">
      <c r="A189" s="9">
        <v>4.0</v>
      </c>
      <c r="B189" s="9">
        <v>306906.0</v>
      </c>
    </row>
    <row r="190">
      <c r="A190" s="9">
        <v>4.0</v>
      </c>
      <c r="B190" s="9">
        <v>590000.0</v>
      </c>
    </row>
    <row r="191">
      <c r="A191" s="9">
        <v>4.0</v>
      </c>
      <c r="B191" s="9">
        <v>323173.0</v>
      </c>
    </row>
    <row r="192">
      <c r="A192" s="9">
        <v>4.0</v>
      </c>
      <c r="B192" s="9">
        <v>302600.0</v>
      </c>
    </row>
    <row r="193">
      <c r="A193" s="9">
        <v>4.0</v>
      </c>
      <c r="B193" s="9">
        <v>157000.0</v>
      </c>
    </row>
    <row r="194">
      <c r="A194" s="9">
        <v>4.0</v>
      </c>
      <c r="B194" s="9">
        <v>241306.0</v>
      </c>
    </row>
    <row r="195">
      <c r="A195" s="9">
        <v>4.0</v>
      </c>
      <c r="B195" s="9">
        <v>339440.0</v>
      </c>
    </row>
    <row r="196">
      <c r="A196" s="9">
        <v>4.0</v>
      </c>
      <c r="B196" s="9">
        <v>1355946.0</v>
      </c>
    </row>
    <row r="197">
      <c r="A197" s="9">
        <v>3.0</v>
      </c>
      <c r="B197" s="9">
        <v>1352413.0</v>
      </c>
    </row>
    <row r="198">
      <c r="A198" s="9">
        <v>4.0</v>
      </c>
      <c r="B198" s="9">
        <v>370760.0</v>
      </c>
    </row>
    <row r="199">
      <c r="A199" s="9">
        <v>4.0</v>
      </c>
      <c r="B199" s="9">
        <v>521013.0</v>
      </c>
    </row>
    <row r="200">
      <c r="A200" s="9">
        <v>3.0</v>
      </c>
      <c r="B200" s="9">
        <v>811077.0</v>
      </c>
    </row>
    <row r="201">
      <c r="A201" s="9">
        <v>4.0</v>
      </c>
      <c r="B201" s="9">
        <v>413466.0</v>
      </c>
    </row>
    <row r="202">
      <c r="A202" s="9">
        <v>4.0</v>
      </c>
      <c r="B202" s="9">
        <v>260959.0</v>
      </c>
    </row>
    <row r="203">
      <c r="A203" s="9">
        <v>4.0</v>
      </c>
      <c r="B203" s="9">
        <v>559120.0</v>
      </c>
    </row>
    <row r="204">
      <c r="A204" s="9">
        <v>4.0</v>
      </c>
      <c r="B204" s="9">
        <v>262586.0</v>
      </c>
    </row>
    <row r="205">
      <c r="A205" s="9">
        <v>4.0</v>
      </c>
      <c r="B205" s="9">
        <v>187986.0</v>
      </c>
    </row>
    <row r="206">
      <c r="A206" s="9">
        <v>4.0</v>
      </c>
      <c r="B206" s="9">
        <v>273240.0</v>
      </c>
    </row>
    <row r="207">
      <c r="A207" s="9">
        <v>4.0</v>
      </c>
      <c r="B207" s="9">
        <v>373133.0</v>
      </c>
    </row>
    <row r="208">
      <c r="A208" s="9">
        <v>4.0</v>
      </c>
      <c r="B208" s="9">
        <v>198933.0</v>
      </c>
    </row>
    <row r="209">
      <c r="A209" s="9">
        <v>4.0</v>
      </c>
      <c r="B209" s="9">
        <v>195483.0</v>
      </c>
    </row>
    <row r="210">
      <c r="A210" s="9">
        <v>4.0</v>
      </c>
      <c r="B210" s="9">
        <v>205053.0</v>
      </c>
    </row>
    <row r="211">
      <c r="A211" s="9">
        <v>4.0</v>
      </c>
      <c r="B211" s="9">
        <v>404320.0</v>
      </c>
    </row>
    <row r="212">
      <c r="A212" s="9">
        <v>4.0</v>
      </c>
      <c r="B212" s="9">
        <v>450960.0</v>
      </c>
    </row>
    <row r="213">
      <c r="A213" s="9">
        <v>3.0</v>
      </c>
      <c r="B213" s="9">
        <v>202533.0</v>
      </c>
    </row>
    <row r="214">
      <c r="A214" s="9">
        <v>4.0</v>
      </c>
      <c r="B214" s="9">
        <v>485666.0</v>
      </c>
    </row>
    <row r="215">
      <c r="A215" s="9">
        <v>4.0</v>
      </c>
      <c r="B215" s="9">
        <v>529640.0</v>
      </c>
    </row>
    <row r="216">
      <c r="A216" s="9">
        <v>4.0</v>
      </c>
      <c r="B216" s="9">
        <v>654226.0</v>
      </c>
    </row>
    <row r="217">
      <c r="A217" s="9">
        <v>4.0</v>
      </c>
      <c r="B217" s="9">
        <v>230240.0</v>
      </c>
    </row>
    <row r="218">
      <c r="A218" s="9">
        <v>1.0</v>
      </c>
      <c r="B218" s="9">
        <v>151386.0</v>
      </c>
    </row>
    <row r="219">
      <c r="A219" s="9">
        <v>4.0</v>
      </c>
      <c r="B219" s="9">
        <v>218546.0</v>
      </c>
    </row>
    <row r="220">
      <c r="A220" s="9">
        <v>4.0</v>
      </c>
      <c r="B220" s="9">
        <v>422560.0</v>
      </c>
    </row>
    <row r="221">
      <c r="A221" s="9">
        <v>4.0</v>
      </c>
      <c r="B221" s="9">
        <v>246373.0</v>
      </c>
    </row>
    <row r="222">
      <c r="A222" s="9">
        <v>4.0</v>
      </c>
      <c r="B222" s="9">
        <v>189466.0</v>
      </c>
    </row>
    <row r="223">
      <c r="A223" s="9">
        <v>4.0</v>
      </c>
      <c r="B223" s="9">
        <v>195080.0</v>
      </c>
    </row>
    <row r="224">
      <c r="A224" s="9">
        <v>4.0</v>
      </c>
      <c r="B224" s="9">
        <v>309600.0</v>
      </c>
    </row>
    <row r="225">
      <c r="A225" s="9">
        <v>4.0</v>
      </c>
      <c r="B225" s="9">
        <v>203493.0</v>
      </c>
    </row>
    <row r="226">
      <c r="A226" s="9">
        <v>4.0</v>
      </c>
      <c r="B226" s="9">
        <v>306440.0</v>
      </c>
    </row>
    <row r="227">
      <c r="A227" s="9">
        <v>4.0</v>
      </c>
      <c r="B227" s="9">
        <v>241333.0</v>
      </c>
    </row>
    <row r="228">
      <c r="A228" s="9">
        <v>4.0</v>
      </c>
      <c r="B228" s="9">
        <v>255626.0</v>
      </c>
    </row>
    <row r="229">
      <c r="A229" s="9">
        <v>4.0</v>
      </c>
      <c r="B229" s="9">
        <v>258773.0</v>
      </c>
    </row>
    <row r="230">
      <c r="A230" s="9">
        <v>4.0</v>
      </c>
      <c r="B230" s="9">
        <v>206360.0</v>
      </c>
    </row>
    <row r="231">
      <c r="A231" s="9">
        <v>3.0</v>
      </c>
      <c r="B231" s="9">
        <v>270400.0</v>
      </c>
    </row>
    <row r="232">
      <c r="A232" s="9">
        <v>4.0</v>
      </c>
      <c r="B232" s="9">
        <v>207360.0</v>
      </c>
    </row>
    <row r="233">
      <c r="A233" s="9">
        <v>4.0</v>
      </c>
      <c r="B233" s="9">
        <v>222120.0</v>
      </c>
    </row>
    <row r="234">
      <c r="A234" s="9">
        <v>4.0</v>
      </c>
      <c r="B234" s="9">
        <v>357266.0</v>
      </c>
    </row>
    <row r="235">
      <c r="A235" s="9">
        <v>4.0</v>
      </c>
      <c r="B235" s="9">
        <v>341746.0</v>
      </c>
    </row>
    <row r="236">
      <c r="A236" s="9">
        <v>4.0</v>
      </c>
      <c r="B236" s="9">
        <v>232533.0</v>
      </c>
    </row>
    <row r="237">
      <c r="A237" s="9">
        <v>4.0</v>
      </c>
      <c r="B237" s="9">
        <v>296800.0</v>
      </c>
    </row>
    <row r="238">
      <c r="A238" s="9">
        <v>4.0</v>
      </c>
      <c r="B238" s="9">
        <v>252613.0</v>
      </c>
    </row>
    <row r="239">
      <c r="A239" s="9">
        <v>4.0</v>
      </c>
      <c r="B239" s="9">
        <v>267360.0</v>
      </c>
    </row>
    <row r="240">
      <c r="A240" s="9">
        <v>3.0</v>
      </c>
      <c r="B240" s="9">
        <v>243493.0</v>
      </c>
    </row>
    <row r="241">
      <c r="A241" s="9">
        <v>3.0</v>
      </c>
      <c r="B241" s="9">
        <v>234320.0</v>
      </c>
    </row>
    <row r="242">
      <c r="A242" s="9">
        <v>4.0</v>
      </c>
      <c r="B242" s="9">
        <v>161680.0</v>
      </c>
    </row>
    <row r="243">
      <c r="A243" s="9">
        <v>4.0</v>
      </c>
      <c r="B243" s="9">
        <v>248586.0</v>
      </c>
    </row>
    <row r="244">
      <c r="A244" s="9">
        <v>4.0</v>
      </c>
      <c r="B244" s="9">
        <v>185413.0</v>
      </c>
    </row>
    <row r="245">
      <c r="A245" s="9">
        <v>4.0</v>
      </c>
      <c r="B245" s="9">
        <v>455960.0</v>
      </c>
    </row>
    <row r="246">
      <c r="A246" s="9">
        <v>4.0</v>
      </c>
      <c r="B246" s="9">
        <v>87000.0</v>
      </c>
    </row>
    <row r="247">
      <c r="A247" s="9">
        <v>4.0</v>
      </c>
      <c r="B247" s="9">
        <v>822053.0</v>
      </c>
    </row>
    <row r="248">
      <c r="A248" s="9">
        <v>4.0</v>
      </c>
      <c r="B248" s="9">
        <v>965160.0</v>
      </c>
    </row>
    <row r="249">
      <c r="A249" s="9">
        <v>4.0</v>
      </c>
      <c r="B249" s="9">
        <v>286733.0</v>
      </c>
    </row>
    <row r="250">
      <c r="A250" s="9">
        <v>4.0</v>
      </c>
      <c r="B250" s="9">
        <v>306000.0</v>
      </c>
    </row>
    <row r="251">
      <c r="A251" s="9">
        <v>4.0</v>
      </c>
      <c r="B251" s="9">
        <v>473000.0</v>
      </c>
    </row>
    <row r="252">
      <c r="A252" s="9">
        <v>3.0</v>
      </c>
      <c r="B252" s="9">
        <v>413826.0</v>
      </c>
    </row>
    <row r="253">
      <c r="A253" s="9">
        <v>3.0</v>
      </c>
      <c r="B253" s="9">
        <v>700000.0</v>
      </c>
    </row>
    <row r="254">
      <c r="A254" s="9">
        <v>4.0</v>
      </c>
      <c r="B254" s="9">
        <v>184320.0</v>
      </c>
    </row>
    <row r="255">
      <c r="A255" s="9">
        <v>3.0</v>
      </c>
      <c r="B255" s="9">
        <v>340746.0</v>
      </c>
    </row>
    <row r="256">
      <c r="A256" s="9">
        <v>4.0</v>
      </c>
      <c r="B256" s="9">
        <v>472653.0</v>
      </c>
    </row>
    <row r="257">
      <c r="A257" s="9">
        <v>5.0</v>
      </c>
      <c r="B257" s="9">
        <v>275293.0</v>
      </c>
    </row>
    <row r="258">
      <c r="A258" s="9">
        <v>4.0</v>
      </c>
      <c r="B258" s="9">
        <v>268706.0</v>
      </c>
    </row>
    <row r="259">
      <c r="A259" s="9">
        <v>4.0</v>
      </c>
      <c r="B259" s="9">
        <v>564146.0</v>
      </c>
    </row>
    <row r="260">
      <c r="A260" s="9">
        <v>3.0</v>
      </c>
      <c r="B260" s="9">
        <v>123506.0</v>
      </c>
    </row>
    <row r="261">
      <c r="A261" s="9">
        <v>4.0</v>
      </c>
      <c r="B261" s="9">
        <v>463401.0</v>
      </c>
    </row>
    <row r="262">
      <c r="A262" s="9">
        <v>4.0</v>
      </c>
      <c r="B262" s="9">
        <v>276000.0</v>
      </c>
    </row>
    <row r="263">
      <c r="A263" s="9">
        <v>4.0</v>
      </c>
      <c r="B263" s="9">
        <v>233824.0</v>
      </c>
    </row>
    <row r="264">
      <c r="A264" s="9">
        <v>4.0</v>
      </c>
      <c r="B264" s="9">
        <v>333200.0</v>
      </c>
    </row>
    <row r="265">
      <c r="A265" s="9">
        <v>4.0</v>
      </c>
      <c r="B265" s="9">
        <v>241786.0</v>
      </c>
    </row>
    <row r="266">
      <c r="A266" s="9">
        <v>3.0</v>
      </c>
      <c r="B266" s="9">
        <v>509266.0</v>
      </c>
    </row>
    <row r="267">
      <c r="A267" s="9">
        <v>4.0</v>
      </c>
      <c r="B267" s="9">
        <v>628400.0</v>
      </c>
    </row>
    <row r="268">
      <c r="A268" s="9">
        <v>4.0</v>
      </c>
      <c r="B268" s="9">
        <v>340786.0</v>
      </c>
    </row>
    <row r="269">
      <c r="A269" s="9">
        <v>4.0</v>
      </c>
      <c r="B269" s="9">
        <v>228773.0</v>
      </c>
    </row>
    <row r="270">
      <c r="A270" s="9">
        <v>4.0</v>
      </c>
      <c r="B270" s="9">
        <v>219000.0</v>
      </c>
    </row>
    <row r="271">
      <c r="A271" s="9">
        <v>4.0</v>
      </c>
      <c r="B271" s="9">
        <v>170240.0</v>
      </c>
    </row>
    <row r="272">
      <c r="A272" s="9">
        <v>4.0</v>
      </c>
      <c r="B272" s="9">
        <v>272626.0</v>
      </c>
    </row>
    <row r="273">
      <c r="A273" s="9">
        <v>4.0</v>
      </c>
      <c r="B273" s="9">
        <v>271440.0</v>
      </c>
    </row>
    <row r="274">
      <c r="A274" s="9">
        <v>4.0</v>
      </c>
      <c r="B274" s="9">
        <v>195333.0</v>
      </c>
    </row>
    <row r="275">
      <c r="A275" s="9">
        <v>4.0</v>
      </c>
      <c r="B275" s="9">
        <v>235813.0</v>
      </c>
    </row>
    <row r="276">
      <c r="A276" s="9">
        <v>4.0</v>
      </c>
      <c r="B276" s="9">
        <v>489333.0</v>
      </c>
    </row>
    <row r="277">
      <c r="A277" s="9">
        <v>4.0</v>
      </c>
      <c r="B277" s="9">
        <v>317280.0</v>
      </c>
    </row>
    <row r="278">
      <c r="A278" s="9">
        <v>4.0</v>
      </c>
      <c r="B278" s="9">
        <v>160453.0</v>
      </c>
    </row>
    <row r="279">
      <c r="A279" s="9">
        <v>4.0</v>
      </c>
      <c r="B279" s="9">
        <v>214240.0</v>
      </c>
    </row>
    <row r="280">
      <c r="A280" s="9">
        <v>4.0</v>
      </c>
      <c r="B280" s="9">
        <v>264266.0</v>
      </c>
    </row>
    <row r="281">
      <c r="A281" s="9">
        <v>4.0</v>
      </c>
      <c r="B281" s="9">
        <v>249666.0</v>
      </c>
    </row>
    <row r="282">
      <c r="A282" s="9">
        <v>4.0</v>
      </c>
      <c r="B282" s="9">
        <v>246173.0</v>
      </c>
    </row>
    <row r="283">
      <c r="A283" s="9">
        <v>4.0</v>
      </c>
      <c r="B283" s="9">
        <v>296146.0</v>
      </c>
    </row>
    <row r="284">
      <c r="A284" s="9">
        <v>4.0</v>
      </c>
      <c r="B284" s="9">
        <v>231000.0</v>
      </c>
    </row>
    <row r="285">
      <c r="A285" s="9">
        <v>4.0</v>
      </c>
      <c r="B285" s="9">
        <v>249600.0</v>
      </c>
    </row>
    <row r="286">
      <c r="A286" s="9">
        <v>4.0</v>
      </c>
      <c r="B286" s="9">
        <v>240200.0</v>
      </c>
    </row>
    <row r="287">
      <c r="A287" s="9">
        <v>4.0</v>
      </c>
      <c r="B287" s="9">
        <v>252733.0</v>
      </c>
    </row>
    <row r="288">
      <c r="A288" s="9">
        <v>4.0</v>
      </c>
      <c r="B288" s="9">
        <v>232520.0</v>
      </c>
    </row>
    <row r="289">
      <c r="A289" s="9">
        <v>4.0</v>
      </c>
      <c r="B289" s="9">
        <v>358586.0</v>
      </c>
    </row>
    <row r="290">
      <c r="A290" s="9">
        <v>4.0</v>
      </c>
      <c r="B290" s="9">
        <v>268506.0</v>
      </c>
    </row>
    <row r="291">
      <c r="A291" s="9">
        <v>4.0</v>
      </c>
      <c r="B291" s="9">
        <v>396000.0</v>
      </c>
    </row>
    <row r="292">
      <c r="A292" s="9">
        <v>4.0</v>
      </c>
      <c r="B292" s="9">
        <v>218173.0</v>
      </c>
    </row>
    <row r="293">
      <c r="A293" s="9">
        <v>4.0</v>
      </c>
      <c r="B293" s="9">
        <v>246173.0</v>
      </c>
    </row>
    <row r="294">
      <c r="A294" s="9">
        <v>4.0</v>
      </c>
      <c r="B294" s="9">
        <v>313066.0</v>
      </c>
    </row>
    <row r="295">
      <c r="A295" s="9">
        <v>4.0</v>
      </c>
      <c r="B295" s="9">
        <v>357960.0</v>
      </c>
    </row>
    <row r="296">
      <c r="A296" s="9">
        <v>4.0</v>
      </c>
      <c r="B296" s="9">
        <v>232946.0</v>
      </c>
    </row>
    <row r="297">
      <c r="A297" s="9">
        <v>4.0</v>
      </c>
      <c r="B297" s="9">
        <v>304293.0</v>
      </c>
    </row>
    <row r="298">
      <c r="A298" s="9">
        <v>4.0</v>
      </c>
      <c r="B298" s="9">
        <v>359493.0</v>
      </c>
    </row>
    <row r="299">
      <c r="A299" s="9">
        <v>4.0</v>
      </c>
      <c r="B299" s="9">
        <v>265720.0</v>
      </c>
    </row>
    <row r="300">
      <c r="A300" s="9">
        <v>4.0</v>
      </c>
      <c r="B300" s="9">
        <v>262202.0</v>
      </c>
    </row>
    <row r="301">
      <c r="A301" s="9">
        <v>4.0</v>
      </c>
      <c r="B301" s="9">
        <v>351173.0</v>
      </c>
    </row>
    <row r="302">
      <c r="A302" s="9">
        <v>4.0</v>
      </c>
      <c r="B302" s="9">
        <v>255293.0</v>
      </c>
    </row>
    <row r="303">
      <c r="A303" s="9">
        <v>4.0</v>
      </c>
      <c r="B303" s="9">
        <v>227693.0</v>
      </c>
    </row>
    <row r="304">
      <c r="A304" s="9">
        <v>4.0</v>
      </c>
      <c r="B304" s="9">
        <v>250506.0</v>
      </c>
    </row>
    <row r="305">
      <c r="A305" s="9">
        <v>4.0</v>
      </c>
      <c r="B305" s="9">
        <v>286666.0</v>
      </c>
    </row>
    <row r="306">
      <c r="A306" s="9">
        <v>4.0</v>
      </c>
      <c r="B306" s="9">
        <v>280293.0</v>
      </c>
    </row>
    <row r="307">
      <c r="A307" s="9">
        <v>4.0</v>
      </c>
      <c r="B307" s="9">
        <v>248426.0</v>
      </c>
    </row>
    <row r="308">
      <c r="A308" s="9">
        <v>4.0</v>
      </c>
      <c r="B308" s="9">
        <v>420920.0</v>
      </c>
    </row>
    <row r="309">
      <c r="A309" s="9">
        <v>4.0</v>
      </c>
      <c r="B309" s="9">
        <v>333093.0</v>
      </c>
    </row>
    <row r="310">
      <c r="A310" s="9">
        <v>4.0</v>
      </c>
      <c r="B310" s="9">
        <v>316320.0</v>
      </c>
    </row>
    <row r="311">
      <c r="A311" s="9">
        <v>4.0</v>
      </c>
      <c r="B311" s="9">
        <v>244666.0</v>
      </c>
    </row>
    <row r="312">
      <c r="A312" s="9">
        <v>4.0</v>
      </c>
      <c r="B312" s="9">
        <v>272760.0</v>
      </c>
    </row>
    <row r="313">
      <c r="A313" s="9">
        <v>4.0</v>
      </c>
      <c r="B313" s="9">
        <v>293626.0</v>
      </c>
    </row>
    <row r="314">
      <c r="A314" s="9">
        <v>4.0</v>
      </c>
      <c r="B314" s="9">
        <v>359760.0</v>
      </c>
    </row>
    <row r="315">
      <c r="A315" s="9">
        <v>4.0</v>
      </c>
      <c r="B315" s="9">
        <v>261106.0</v>
      </c>
    </row>
    <row r="316">
      <c r="A316" s="9">
        <v>4.0</v>
      </c>
      <c r="B316" s="9">
        <v>279200.0</v>
      </c>
    </row>
    <row r="317">
      <c r="A317" s="9">
        <v>4.0</v>
      </c>
      <c r="B317" s="9">
        <v>277366.0</v>
      </c>
    </row>
    <row r="318">
      <c r="A318" s="9">
        <v>4.0</v>
      </c>
      <c r="B318" s="9">
        <v>250840.0</v>
      </c>
    </row>
    <row r="319">
      <c r="A319" s="9">
        <v>4.0</v>
      </c>
      <c r="B319" s="9">
        <v>296626.0</v>
      </c>
    </row>
    <row r="320">
      <c r="A320" s="9">
        <v>4.0</v>
      </c>
      <c r="B320" s="9">
        <v>313186.0</v>
      </c>
    </row>
    <row r="321">
      <c r="A321" s="9">
        <v>3.0</v>
      </c>
      <c r="B321" s="9">
        <v>282973.0</v>
      </c>
    </row>
    <row r="322">
      <c r="A322" s="9">
        <v>4.0</v>
      </c>
      <c r="B322" s="9">
        <v>227306.0</v>
      </c>
    </row>
    <row r="323">
      <c r="A323" s="9">
        <v>4.0</v>
      </c>
      <c r="B323" s="9">
        <v>338693.0</v>
      </c>
    </row>
    <row r="324">
      <c r="A324" s="9">
        <v>4.0</v>
      </c>
      <c r="B324" s="9">
        <v>339573.0</v>
      </c>
    </row>
    <row r="325">
      <c r="A325" s="9">
        <v>4.0</v>
      </c>
      <c r="B325" s="9">
        <v>199773.0</v>
      </c>
    </row>
    <row r="326">
      <c r="A326" s="9">
        <v>4.0</v>
      </c>
      <c r="B326" s="9">
        <v>268400.0</v>
      </c>
    </row>
    <row r="327">
      <c r="A327" s="9">
        <v>4.0</v>
      </c>
      <c r="B327" s="9">
        <v>243426.0</v>
      </c>
    </row>
    <row r="328">
      <c r="A328" s="9">
        <v>3.0</v>
      </c>
      <c r="B328" s="9">
        <v>352600.0</v>
      </c>
    </row>
    <row r="329">
      <c r="A329" s="9">
        <v>3.0</v>
      </c>
      <c r="B329" s="9">
        <v>141255.0</v>
      </c>
    </row>
    <row r="330">
      <c r="A330" s="9">
        <v>4.0</v>
      </c>
      <c r="B330" s="9">
        <v>295502.0</v>
      </c>
    </row>
    <row r="331">
      <c r="A331" s="9">
        <v>4.0</v>
      </c>
      <c r="B331" s="9">
        <v>300893.0</v>
      </c>
    </row>
    <row r="332">
      <c r="A332" s="9">
        <v>4.0</v>
      </c>
      <c r="B332" s="9">
        <v>157240.0</v>
      </c>
    </row>
    <row r="333">
      <c r="A333" s="9">
        <v>4.0</v>
      </c>
      <c r="B333" s="9">
        <v>987266.0</v>
      </c>
    </row>
    <row r="334">
      <c r="A334" s="9">
        <v>3.0</v>
      </c>
      <c r="B334" s="9">
        <v>285866.0</v>
      </c>
    </row>
    <row r="335">
      <c r="A335" s="9">
        <v>4.0</v>
      </c>
      <c r="B335" s="9">
        <v>224506.0</v>
      </c>
    </row>
    <row r="336">
      <c r="A336" s="9">
        <v>4.0</v>
      </c>
      <c r="B336" s="9">
        <v>272466.0</v>
      </c>
    </row>
    <row r="337">
      <c r="A337" s="9">
        <v>4.0</v>
      </c>
      <c r="B337" s="9">
        <v>375933.0</v>
      </c>
    </row>
    <row r="338">
      <c r="A338" s="9">
        <v>3.0</v>
      </c>
      <c r="B338" s="9">
        <v>662106.0</v>
      </c>
    </row>
    <row r="339">
      <c r="A339" s="9">
        <v>1.0</v>
      </c>
      <c r="B339" s="9">
        <v>810322.0</v>
      </c>
    </row>
    <row r="340">
      <c r="A340" s="9">
        <v>4.0</v>
      </c>
      <c r="B340" s="9">
        <v>453200.0</v>
      </c>
    </row>
    <row r="341">
      <c r="A341" s="9">
        <v>4.0</v>
      </c>
      <c r="B341" s="9">
        <v>257200.0</v>
      </c>
    </row>
    <row r="342">
      <c r="A342" s="9">
        <v>4.0</v>
      </c>
      <c r="B342" s="9">
        <v>184693.0</v>
      </c>
    </row>
    <row r="343">
      <c r="A343" s="9">
        <v>4.0</v>
      </c>
      <c r="B343" s="9">
        <v>262533.0</v>
      </c>
    </row>
    <row r="344">
      <c r="A344" s="9">
        <v>3.0</v>
      </c>
      <c r="B344" s="9">
        <v>384438.0</v>
      </c>
    </row>
    <row r="345">
      <c r="A345" s="9">
        <v>4.0</v>
      </c>
      <c r="B345" s="9">
        <v>287893.0</v>
      </c>
    </row>
    <row r="346">
      <c r="A346" s="9">
        <v>5.0</v>
      </c>
      <c r="B346" s="9">
        <v>251426.0</v>
      </c>
    </row>
    <row r="347">
      <c r="A347" s="9">
        <v>4.0</v>
      </c>
      <c r="B347" s="9">
        <v>273640.0</v>
      </c>
    </row>
    <row r="348">
      <c r="A348" s="9">
        <v>4.0</v>
      </c>
      <c r="B348" s="9">
        <v>284853.0</v>
      </c>
    </row>
    <row r="349">
      <c r="A349" s="9">
        <v>4.0</v>
      </c>
      <c r="B349" s="9">
        <v>179658.0</v>
      </c>
    </row>
    <row r="350">
      <c r="A350" s="9">
        <v>4.0</v>
      </c>
      <c r="B350" s="9">
        <v>228553.0</v>
      </c>
    </row>
    <row r="351">
      <c r="A351" s="9">
        <v>4.0</v>
      </c>
      <c r="B351" s="9">
        <v>303440.0</v>
      </c>
    </row>
    <row r="352">
      <c r="A352" s="9">
        <v>5.0</v>
      </c>
      <c r="B352" s="9">
        <v>317800.0</v>
      </c>
    </row>
    <row r="353">
      <c r="A353" s="9">
        <v>4.0</v>
      </c>
      <c r="B353" s="9">
        <v>121626.0</v>
      </c>
    </row>
    <row r="354">
      <c r="A354" s="9">
        <v>4.0</v>
      </c>
      <c r="B354" s="9">
        <v>222253.0</v>
      </c>
    </row>
    <row r="355">
      <c r="A355" s="9">
        <v>4.0</v>
      </c>
      <c r="B355" s="9">
        <v>275520.0</v>
      </c>
    </row>
    <row r="356">
      <c r="A356" s="9">
        <v>4.0</v>
      </c>
      <c r="B356" s="9">
        <v>201706.0</v>
      </c>
    </row>
    <row r="357">
      <c r="A357" s="9">
        <v>4.0</v>
      </c>
      <c r="B357" s="9">
        <v>226066.0</v>
      </c>
    </row>
    <row r="358">
      <c r="A358" s="9">
        <v>4.0</v>
      </c>
      <c r="B358" s="9">
        <v>221933.0</v>
      </c>
    </row>
    <row r="359">
      <c r="A359" s="9">
        <v>3.0</v>
      </c>
      <c r="B359" s="9">
        <v>784533.0</v>
      </c>
    </row>
    <row r="360">
      <c r="A360" s="9">
        <v>5.0</v>
      </c>
      <c r="B360" s="9">
        <v>639000.0</v>
      </c>
    </row>
    <row r="361">
      <c r="A361" s="9">
        <v>4.0</v>
      </c>
      <c r="B361" s="9">
        <v>230426.0</v>
      </c>
    </row>
    <row r="362">
      <c r="A362" s="9">
        <v>4.0</v>
      </c>
      <c r="B362" s="9">
        <v>188336.0</v>
      </c>
    </row>
    <row r="363">
      <c r="A363" s="9">
        <v>4.0</v>
      </c>
      <c r="B363" s="9">
        <v>290900.0</v>
      </c>
    </row>
    <row r="364">
      <c r="A364" s="9">
        <v>3.0</v>
      </c>
      <c r="B364" s="9">
        <v>240066.0</v>
      </c>
    </row>
    <row r="365">
      <c r="A365" s="9">
        <v>5.0</v>
      </c>
      <c r="B365" s="9">
        <v>255333.0</v>
      </c>
    </row>
    <row r="366">
      <c r="A366" s="9">
        <v>3.0</v>
      </c>
      <c r="B366" s="9">
        <v>203813.0</v>
      </c>
    </row>
    <row r="367">
      <c r="A367" s="9">
        <v>3.0</v>
      </c>
      <c r="B367" s="9">
        <v>150545.0</v>
      </c>
    </row>
    <row r="368">
      <c r="A368" s="9">
        <v>4.0</v>
      </c>
      <c r="B368" s="9">
        <v>203440.0</v>
      </c>
    </row>
    <row r="369">
      <c r="A369" s="9">
        <v>4.0</v>
      </c>
      <c r="B369" s="9">
        <v>198226.0</v>
      </c>
    </row>
    <row r="370">
      <c r="A370" s="9">
        <v>4.0</v>
      </c>
      <c r="B370" s="9">
        <v>449106.0</v>
      </c>
    </row>
    <row r="371">
      <c r="A371" s="9">
        <v>4.0</v>
      </c>
      <c r="B371" s="9">
        <v>197733.0</v>
      </c>
    </row>
    <row r="372">
      <c r="A372" s="9">
        <v>4.0</v>
      </c>
      <c r="B372" s="9">
        <v>129000.0</v>
      </c>
    </row>
    <row r="373">
      <c r="A373" s="9">
        <v>4.0</v>
      </c>
      <c r="B373" s="9">
        <v>290093.0</v>
      </c>
    </row>
    <row r="374">
      <c r="A374" s="9">
        <v>4.0</v>
      </c>
      <c r="B374" s="9">
        <v>277053.0</v>
      </c>
    </row>
    <row r="375">
      <c r="A375" s="9">
        <v>4.0</v>
      </c>
      <c r="B375" s="9">
        <v>542000.0</v>
      </c>
    </row>
    <row r="376">
      <c r="A376" s="9">
        <v>4.0</v>
      </c>
      <c r="B376" s="9">
        <v>229742.0</v>
      </c>
    </row>
    <row r="377">
      <c r="A377" s="9">
        <v>4.0</v>
      </c>
      <c r="B377" s="9">
        <v>317906.0</v>
      </c>
    </row>
    <row r="378">
      <c r="A378" s="9">
        <v>4.0</v>
      </c>
      <c r="B378" s="9">
        <v>232373.0</v>
      </c>
    </row>
    <row r="379">
      <c r="A379" s="9">
        <v>4.0</v>
      </c>
      <c r="B379" s="9">
        <v>205841.0</v>
      </c>
    </row>
    <row r="380">
      <c r="A380" s="9">
        <v>4.0</v>
      </c>
      <c r="B380" s="9">
        <v>237466.0</v>
      </c>
    </row>
    <row r="381">
      <c r="A381" s="9">
        <v>4.0</v>
      </c>
      <c r="B381" s="9">
        <v>356200.0</v>
      </c>
    </row>
    <row r="382">
      <c r="A382" s="9">
        <v>4.0</v>
      </c>
      <c r="B382" s="9">
        <v>211466.0</v>
      </c>
    </row>
    <row r="383">
      <c r="A383" s="9">
        <v>4.0</v>
      </c>
      <c r="B383" s="9">
        <v>191266.0</v>
      </c>
    </row>
    <row r="384">
      <c r="A384" s="9">
        <v>4.0</v>
      </c>
      <c r="B384" s="9">
        <v>308360.0</v>
      </c>
    </row>
    <row r="385">
      <c r="A385" s="9">
        <v>4.0</v>
      </c>
      <c r="B385" s="9">
        <v>178106.0</v>
      </c>
    </row>
    <row r="386">
      <c r="A386" s="9">
        <v>4.0</v>
      </c>
      <c r="B386" s="9">
        <v>313360.0</v>
      </c>
    </row>
    <row r="387">
      <c r="A387" s="9">
        <v>4.0</v>
      </c>
      <c r="B387" s="9">
        <v>289373.0</v>
      </c>
    </row>
    <row r="388">
      <c r="A388" s="9">
        <v>4.0</v>
      </c>
      <c r="B388" s="9">
        <v>476960.0</v>
      </c>
    </row>
    <row r="389">
      <c r="A389" s="9">
        <v>4.0</v>
      </c>
      <c r="B389" s="9">
        <v>223920.0</v>
      </c>
    </row>
    <row r="390">
      <c r="A390" s="9">
        <v>4.0</v>
      </c>
      <c r="B390" s="9">
        <v>211026.0</v>
      </c>
    </row>
    <row r="391">
      <c r="A391" s="9">
        <v>4.0</v>
      </c>
      <c r="B391" s="9">
        <v>295533.0</v>
      </c>
    </row>
    <row r="392">
      <c r="A392" s="9">
        <v>4.0</v>
      </c>
      <c r="B392" s="9">
        <v>243133.0</v>
      </c>
    </row>
    <row r="393">
      <c r="A393" s="9">
        <v>4.0</v>
      </c>
      <c r="B393" s="9">
        <v>220634.0</v>
      </c>
    </row>
    <row r="394">
      <c r="A394" s="9">
        <v>3.0</v>
      </c>
      <c r="B394" s="9">
        <v>224022.0</v>
      </c>
    </row>
    <row r="395">
      <c r="A395" s="9">
        <v>4.0</v>
      </c>
      <c r="B395" s="9">
        <v>90133.0</v>
      </c>
    </row>
    <row r="396">
      <c r="A396" s="9">
        <v>4.0</v>
      </c>
      <c r="B396" s="9">
        <v>283872.0</v>
      </c>
    </row>
    <row r="397">
      <c r="A397" s="9">
        <v>4.0</v>
      </c>
      <c r="B397" s="9">
        <v>133760.0</v>
      </c>
    </row>
    <row r="398">
      <c r="A398" s="9">
        <v>3.0</v>
      </c>
      <c r="B398" s="9">
        <v>322026.0</v>
      </c>
    </row>
    <row r="399">
      <c r="A399" s="9">
        <v>4.0</v>
      </c>
      <c r="B399" s="9">
        <v>167760.0</v>
      </c>
    </row>
    <row r="400">
      <c r="A400" s="9">
        <v>4.0</v>
      </c>
      <c r="B400" s="9">
        <v>198400.0</v>
      </c>
    </row>
    <row r="401">
      <c r="A401" s="9">
        <v>3.0</v>
      </c>
      <c r="B401" s="9">
        <v>226000.0</v>
      </c>
    </row>
    <row r="402">
      <c r="A402" s="9">
        <v>4.0</v>
      </c>
      <c r="B402" s="9">
        <v>118800.0</v>
      </c>
    </row>
    <row r="403">
      <c r="A403" s="9">
        <v>4.0</v>
      </c>
      <c r="B403" s="9">
        <v>216533.0</v>
      </c>
    </row>
    <row r="404">
      <c r="A404" s="9">
        <v>4.0</v>
      </c>
      <c r="B404" s="9">
        <v>372666.0</v>
      </c>
    </row>
    <row r="405">
      <c r="A405" s="9">
        <v>4.0</v>
      </c>
      <c r="B405" s="9">
        <v>230986.0</v>
      </c>
    </row>
    <row r="406">
      <c r="A406" s="9">
        <v>4.0</v>
      </c>
      <c r="B406" s="9">
        <v>285880.0</v>
      </c>
    </row>
    <row r="407">
      <c r="A407" s="9">
        <v>4.0</v>
      </c>
      <c r="B407" s="9">
        <v>260693.0</v>
      </c>
    </row>
    <row r="408">
      <c r="A408" s="9">
        <v>3.0</v>
      </c>
      <c r="B408" s="9">
        <v>217773.0</v>
      </c>
    </row>
    <row r="409">
      <c r="A409" s="9">
        <v>4.0</v>
      </c>
      <c r="B409" s="9">
        <v>212862.0</v>
      </c>
    </row>
    <row r="410">
      <c r="A410" s="9">
        <v>4.0</v>
      </c>
      <c r="B410" s="9">
        <v>291160.0</v>
      </c>
    </row>
    <row r="411">
      <c r="A411" s="9">
        <v>3.0</v>
      </c>
      <c r="B411" s="9">
        <v>214293.0</v>
      </c>
    </row>
    <row r="412">
      <c r="A412" s="9">
        <v>4.0</v>
      </c>
      <c r="B412" s="9">
        <v>211324.0</v>
      </c>
    </row>
    <row r="413">
      <c r="A413" s="9">
        <v>5.0</v>
      </c>
      <c r="B413" s="9">
        <v>295346.0</v>
      </c>
    </row>
    <row r="414">
      <c r="A414" s="9">
        <v>3.0</v>
      </c>
      <c r="B414" s="9">
        <v>150133.0</v>
      </c>
    </row>
    <row r="415">
      <c r="A415" s="9">
        <v>4.0</v>
      </c>
      <c r="B415" s="9">
        <v>592026.0</v>
      </c>
    </row>
    <row r="416">
      <c r="A416" s="9">
        <v>4.0</v>
      </c>
      <c r="B416" s="9">
        <v>212466.0</v>
      </c>
    </row>
    <row r="417">
      <c r="A417" s="9">
        <v>4.0</v>
      </c>
      <c r="B417" s="9">
        <v>246209.0</v>
      </c>
    </row>
    <row r="418">
      <c r="A418" s="9">
        <v>4.0</v>
      </c>
      <c r="B418" s="9">
        <v>515386.0</v>
      </c>
    </row>
    <row r="419">
      <c r="A419" s="9">
        <v>4.0</v>
      </c>
      <c r="B419" s="9">
        <v>241232.0</v>
      </c>
    </row>
    <row r="420">
      <c r="A420" s="9">
        <v>4.0</v>
      </c>
      <c r="B420" s="9">
        <v>209413.0</v>
      </c>
    </row>
    <row r="421">
      <c r="A421" s="9">
        <v>4.0</v>
      </c>
      <c r="B421" s="9">
        <v>205533.0</v>
      </c>
    </row>
    <row r="422">
      <c r="A422" s="9">
        <v>4.0</v>
      </c>
      <c r="B422" s="9">
        <v>238426.0</v>
      </c>
    </row>
    <row r="423">
      <c r="A423" s="9">
        <v>4.0</v>
      </c>
      <c r="B423" s="9">
        <v>334706.0</v>
      </c>
    </row>
    <row r="424">
      <c r="A424" s="9">
        <v>4.0</v>
      </c>
      <c r="B424" s="9">
        <v>171653.0</v>
      </c>
    </row>
    <row r="425">
      <c r="A425" s="9">
        <v>4.0</v>
      </c>
      <c r="B425" s="9">
        <v>402106.0</v>
      </c>
    </row>
    <row r="426">
      <c r="A426" s="9">
        <v>4.0</v>
      </c>
      <c r="B426" s="9">
        <v>370666.0</v>
      </c>
    </row>
    <row r="427">
      <c r="A427" s="9">
        <v>5.0</v>
      </c>
      <c r="B427" s="9">
        <v>154435.0</v>
      </c>
    </row>
    <row r="428">
      <c r="A428" s="9">
        <v>4.0</v>
      </c>
      <c r="B428" s="9">
        <v>288720.0</v>
      </c>
    </row>
    <row r="429">
      <c r="A429" s="9">
        <v>4.0</v>
      </c>
      <c r="B429" s="9">
        <v>219546.0</v>
      </c>
    </row>
    <row r="430">
      <c r="A430" s="9">
        <v>4.0</v>
      </c>
      <c r="B430" s="9">
        <v>219535.0</v>
      </c>
    </row>
    <row r="431">
      <c r="A431" s="9">
        <v>4.0</v>
      </c>
      <c r="B431" s="9">
        <v>245322.0</v>
      </c>
    </row>
    <row r="432">
      <c r="A432" s="9">
        <v>4.0</v>
      </c>
      <c r="B432" s="9">
        <v>506733.0</v>
      </c>
    </row>
    <row r="433">
      <c r="A433" s="9">
        <v>4.0</v>
      </c>
      <c r="B433" s="9">
        <v>318226.0</v>
      </c>
    </row>
    <row r="434">
      <c r="A434" s="9">
        <v>4.0</v>
      </c>
      <c r="B434" s="9">
        <v>266750.0</v>
      </c>
    </row>
    <row r="435">
      <c r="A435" s="9">
        <v>4.0</v>
      </c>
      <c r="B435" s="9">
        <v>239626.0</v>
      </c>
    </row>
    <row r="436">
      <c r="A436" s="9">
        <v>4.0</v>
      </c>
      <c r="B436" s="9">
        <v>136346.0</v>
      </c>
    </row>
    <row r="437">
      <c r="A437" s="9">
        <v>4.0</v>
      </c>
      <c r="B437" s="9">
        <v>259493.0</v>
      </c>
    </row>
    <row r="438">
      <c r="A438" s="9">
        <v>1.0</v>
      </c>
      <c r="B438" s="9">
        <v>192866.0</v>
      </c>
    </row>
    <row r="439">
      <c r="A439" s="9">
        <v>4.0</v>
      </c>
      <c r="B439" s="9">
        <v>391053.0</v>
      </c>
    </row>
    <row r="440">
      <c r="A440" s="9">
        <v>3.0</v>
      </c>
      <c r="B440" s="9">
        <v>187426.0</v>
      </c>
    </row>
    <row r="441">
      <c r="A441" s="9">
        <v>4.0</v>
      </c>
      <c r="B441" s="9">
        <v>277880.0</v>
      </c>
    </row>
    <row r="442">
      <c r="A442" s="9">
        <v>4.0</v>
      </c>
      <c r="B442" s="9">
        <v>217893.0</v>
      </c>
    </row>
    <row r="443">
      <c r="A443" s="9">
        <v>3.0</v>
      </c>
      <c r="B443" s="9">
        <v>367920.0</v>
      </c>
    </row>
    <row r="444">
      <c r="A444" s="9">
        <v>4.0</v>
      </c>
      <c r="B444" s="9">
        <v>633280.0</v>
      </c>
    </row>
    <row r="445">
      <c r="A445" s="9">
        <v>4.0</v>
      </c>
      <c r="B445" s="9">
        <v>296280.0</v>
      </c>
    </row>
    <row r="446">
      <c r="A446" s="9">
        <v>3.0</v>
      </c>
      <c r="B446" s="9">
        <v>218535.0</v>
      </c>
    </row>
    <row r="447">
      <c r="A447" s="9">
        <v>4.0</v>
      </c>
      <c r="B447" s="9">
        <v>285240.0</v>
      </c>
    </row>
    <row r="448">
      <c r="A448" s="9">
        <v>4.0</v>
      </c>
      <c r="B448" s="9">
        <v>268120.0</v>
      </c>
    </row>
    <row r="449">
      <c r="A449" s="9">
        <v>4.0</v>
      </c>
      <c r="B449" s="9">
        <v>162653.0</v>
      </c>
    </row>
    <row r="450">
      <c r="A450" s="9">
        <v>3.0</v>
      </c>
      <c r="B450" s="9">
        <v>177480.0</v>
      </c>
    </row>
    <row r="451">
      <c r="A451" s="9">
        <v>4.0</v>
      </c>
      <c r="B451" s="9">
        <v>237653.0</v>
      </c>
    </row>
    <row r="452">
      <c r="A452" s="9">
        <v>4.0</v>
      </c>
      <c r="B452" s="9">
        <v>266160.0</v>
      </c>
    </row>
    <row r="453">
      <c r="A453" s="9">
        <v>4.0</v>
      </c>
      <c r="B453" s="9">
        <v>571000.0</v>
      </c>
    </row>
    <row r="454">
      <c r="A454" s="9">
        <v>4.0</v>
      </c>
      <c r="B454" s="9">
        <v>256760.0</v>
      </c>
    </row>
    <row r="455">
      <c r="A455" s="9">
        <v>3.0</v>
      </c>
      <c r="B455" s="9">
        <v>209120.0</v>
      </c>
    </row>
    <row r="456">
      <c r="A456" s="9">
        <v>4.0</v>
      </c>
      <c r="B456" s="9">
        <v>270213.0</v>
      </c>
    </row>
    <row r="457">
      <c r="A457" s="9">
        <v>4.0</v>
      </c>
      <c r="B457" s="9">
        <v>303373.0</v>
      </c>
    </row>
    <row r="458">
      <c r="A458" s="9">
        <v>4.0</v>
      </c>
      <c r="B458" s="9">
        <v>254293.0</v>
      </c>
    </row>
    <row r="459">
      <c r="A459" s="9">
        <v>3.0</v>
      </c>
      <c r="B459" s="9">
        <v>318866.0</v>
      </c>
    </row>
    <row r="460">
      <c r="A460" s="9">
        <v>4.0</v>
      </c>
      <c r="B460" s="9">
        <v>638533.0</v>
      </c>
    </row>
    <row r="461">
      <c r="A461" s="9">
        <v>3.0</v>
      </c>
      <c r="B461" s="9">
        <v>412613.0</v>
      </c>
    </row>
    <row r="462">
      <c r="A462" s="9">
        <v>3.0</v>
      </c>
      <c r="B462" s="9">
        <v>371746.0</v>
      </c>
    </row>
    <row r="463">
      <c r="A463" s="9">
        <v>4.0</v>
      </c>
      <c r="B463" s="9">
        <v>214146.0</v>
      </c>
    </row>
    <row r="464">
      <c r="A464" s="9">
        <v>3.0</v>
      </c>
      <c r="B464" s="9">
        <v>148160.0</v>
      </c>
    </row>
    <row r="465">
      <c r="A465" s="9">
        <v>4.0</v>
      </c>
      <c r="B465" s="9">
        <v>216773.0</v>
      </c>
    </row>
    <row r="466">
      <c r="A466" s="9">
        <v>4.0</v>
      </c>
      <c r="B466" s="9">
        <v>138386.0</v>
      </c>
    </row>
    <row r="467">
      <c r="A467" s="9">
        <v>4.0</v>
      </c>
      <c r="B467" s="9">
        <v>281600.0</v>
      </c>
    </row>
    <row r="468">
      <c r="A468" s="9">
        <v>3.0</v>
      </c>
      <c r="B468" s="9">
        <v>277160.0</v>
      </c>
    </row>
    <row r="469">
      <c r="A469" s="9">
        <v>3.0</v>
      </c>
      <c r="B469" s="9">
        <v>214093.0</v>
      </c>
    </row>
    <row r="470">
      <c r="A470" s="9">
        <v>4.0</v>
      </c>
      <c r="B470" s="9">
        <v>284080.0</v>
      </c>
    </row>
    <row r="471">
      <c r="A471" s="9">
        <v>3.0</v>
      </c>
      <c r="B471" s="9">
        <v>328506.0</v>
      </c>
    </row>
    <row r="472">
      <c r="A472" s="9">
        <v>4.0</v>
      </c>
      <c r="B472" s="9">
        <v>219506.0</v>
      </c>
    </row>
    <row r="473">
      <c r="A473" s="9">
        <v>4.0</v>
      </c>
      <c r="B473" s="9">
        <v>218440.0</v>
      </c>
    </row>
    <row r="474">
      <c r="A474" s="9">
        <v>4.0</v>
      </c>
      <c r="B474" s="9">
        <v>214666.0</v>
      </c>
    </row>
    <row r="475">
      <c r="A475" s="9">
        <v>4.0</v>
      </c>
      <c r="B475" s="9">
        <v>262373.0</v>
      </c>
    </row>
    <row r="476">
      <c r="A476" s="9">
        <v>4.0</v>
      </c>
      <c r="B476" s="9">
        <v>363266.0</v>
      </c>
    </row>
    <row r="477">
      <c r="A477" s="9">
        <v>4.0</v>
      </c>
      <c r="B477" s="9">
        <v>236653.0</v>
      </c>
    </row>
    <row r="478">
      <c r="A478" s="9">
        <v>4.0</v>
      </c>
      <c r="B478" s="9">
        <v>210240.0</v>
      </c>
    </row>
    <row r="479">
      <c r="A479" s="9">
        <v>4.0</v>
      </c>
      <c r="B479" s="9">
        <v>869000.0</v>
      </c>
    </row>
    <row r="480">
      <c r="A480" s="9">
        <v>4.0</v>
      </c>
      <c r="B480" s="9">
        <v>339460.0</v>
      </c>
    </row>
    <row r="481">
      <c r="A481" s="9">
        <v>4.0</v>
      </c>
      <c r="B481" s="9">
        <v>246066.0</v>
      </c>
    </row>
    <row r="482">
      <c r="A482" s="9">
        <v>3.0</v>
      </c>
      <c r="B482" s="9">
        <v>461360.0</v>
      </c>
    </row>
    <row r="483">
      <c r="A483" s="9">
        <v>4.0</v>
      </c>
      <c r="B483" s="9">
        <v>175200.0</v>
      </c>
    </row>
    <row r="484">
      <c r="A484" s="9">
        <v>4.0</v>
      </c>
      <c r="B484" s="9">
        <v>185815.0</v>
      </c>
    </row>
    <row r="485">
      <c r="A485" s="9">
        <v>3.0</v>
      </c>
      <c r="B485" s="9">
        <v>398253.0</v>
      </c>
    </row>
    <row r="486">
      <c r="A486" s="9">
        <v>4.0</v>
      </c>
      <c r="B486" s="9">
        <v>184866.0</v>
      </c>
    </row>
    <row r="487">
      <c r="A487" s="9">
        <v>3.0</v>
      </c>
      <c r="B487" s="9">
        <v>496573.0</v>
      </c>
    </row>
    <row r="488">
      <c r="A488" s="9">
        <v>4.0</v>
      </c>
      <c r="B488" s="9">
        <v>676986.0</v>
      </c>
    </row>
    <row r="489">
      <c r="A489" s="9">
        <v>3.0</v>
      </c>
      <c r="B489" s="9">
        <v>165346.0</v>
      </c>
    </row>
    <row r="490">
      <c r="A490" s="9">
        <v>4.0</v>
      </c>
      <c r="B490" s="9">
        <v>479066.0</v>
      </c>
    </row>
    <row r="491">
      <c r="A491" s="9">
        <v>4.0</v>
      </c>
      <c r="B491" s="9">
        <v>334743.0</v>
      </c>
    </row>
    <row r="492">
      <c r="A492" s="9">
        <v>4.0</v>
      </c>
      <c r="B492" s="9">
        <v>230800.0</v>
      </c>
    </row>
    <row r="493">
      <c r="A493" s="9">
        <v>4.0</v>
      </c>
      <c r="B493" s="9">
        <v>288733.0</v>
      </c>
    </row>
    <row r="494">
      <c r="A494" s="9">
        <v>4.0</v>
      </c>
      <c r="B494" s="9">
        <v>246413.0</v>
      </c>
    </row>
    <row r="495">
      <c r="A495" s="9">
        <v>4.0</v>
      </c>
      <c r="B495" s="9">
        <v>205506.0</v>
      </c>
    </row>
    <row r="496">
      <c r="A496" s="9">
        <v>4.0</v>
      </c>
      <c r="B496" s="9">
        <v>279893.0</v>
      </c>
    </row>
    <row r="497">
      <c r="A497" s="9">
        <v>4.0</v>
      </c>
      <c r="B497" s="9">
        <v>257399.0</v>
      </c>
    </row>
    <row r="498">
      <c r="A498" s="9">
        <v>4.0</v>
      </c>
      <c r="B498" s="9">
        <v>237300.0</v>
      </c>
    </row>
    <row r="499">
      <c r="A499" s="9">
        <v>4.0</v>
      </c>
      <c r="B499" s="9">
        <v>382386.0</v>
      </c>
    </row>
    <row r="500">
      <c r="A500" s="9">
        <v>4.0</v>
      </c>
      <c r="B500" s="9">
        <v>536066.0</v>
      </c>
    </row>
    <row r="501">
      <c r="A501" s="9">
        <v>4.0</v>
      </c>
      <c r="B501" s="9">
        <v>189506.0</v>
      </c>
    </row>
    <row r="502">
      <c r="A502" s="9">
        <v>4.0</v>
      </c>
      <c r="B502" s="9">
        <v>214000.0</v>
      </c>
    </row>
    <row r="503">
      <c r="A503" s="9">
        <v>3.0</v>
      </c>
      <c r="B503" s="9">
        <v>232453.0</v>
      </c>
    </row>
    <row r="504">
      <c r="A504" s="9">
        <v>4.0</v>
      </c>
      <c r="B504" s="9">
        <v>539440.0</v>
      </c>
    </row>
    <row r="505">
      <c r="A505" s="9">
        <v>4.0</v>
      </c>
      <c r="B505" s="9">
        <v>181266.0</v>
      </c>
    </row>
    <row r="506">
      <c r="A506" s="9">
        <v>4.0</v>
      </c>
      <c r="B506" s="9">
        <v>275546.0</v>
      </c>
    </row>
    <row r="507">
      <c r="A507" s="9">
        <v>4.0</v>
      </c>
      <c r="B507" s="9">
        <v>155226.0</v>
      </c>
    </row>
    <row r="508">
      <c r="A508" s="9">
        <v>4.0</v>
      </c>
      <c r="B508" s="9">
        <v>263586.0</v>
      </c>
    </row>
    <row r="509">
      <c r="A509" s="9">
        <v>3.0</v>
      </c>
      <c r="B509" s="9">
        <v>223800.0</v>
      </c>
    </row>
    <row r="510">
      <c r="A510" s="9">
        <v>4.0</v>
      </c>
      <c r="B510" s="9">
        <v>351875.0</v>
      </c>
    </row>
    <row r="511">
      <c r="A511" s="9">
        <v>4.0</v>
      </c>
      <c r="B511" s="9">
        <v>227600.0</v>
      </c>
    </row>
    <row r="512">
      <c r="A512" s="9">
        <v>4.0</v>
      </c>
      <c r="B512" s="9">
        <v>240706.0</v>
      </c>
    </row>
    <row r="513">
      <c r="A513" s="9">
        <v>3.0</v>
      </c>
      <c r="B513" s="9">
        <v>285120.0</v>
      </c>
    </row>
    <row r="514">
      <c r="A514" s="9">
        <v>4.0</v>
      </c>
      <c r="B514" s="9">
        <v>267306.0</v>
      </c>
    </row>
    <row r="515">
      <c r="A515" s="9">
        <v>4.0</v>
      </c>
      <c r="B515" s="9">
        <v>254346.0</v>
      </c>
    </row>
    <row r="516">
      <c r="A516" s="9">
        <v>4.0</v>
      </c>
      <c r="B516" s="9">
        <v>276186.0</v>
      </c>
    </row>
    <row r="517">
      <c r="A517" s="9">
        <v>4.0</v>
      </c>
      <c r="B517" s="9">
        <v>308426.0</v>
      </c>
    </row>
    <row r="518">
      <c r="A518" s="9">
        <v>4.0</v>
      </c>
      <c r="B518" s="9">
        <v>258813.0</v>
      </c>
    </row>
    <row r="519">
      <c r="A519" s="9">
        <v>4.0</v>
      </c>
      <c r="B519" s="9">
        <v>490680.0</v>
      </c>
    </row>
    <row r="520">
      <c r="A520" s="9">
        <v>4.0</v>
      </c>
      <c r="B520" s="9">
        <v>587173.0</v>
      </c>
    </row>
    <row r="521">
      <c r="A521" s="9">
        <v>4.0</v>
      </c>
      <c r="B521" s="9">
        <v>230226.0</v>
      </c>
    </row>
    <row r="522">
      <c r="A522" s="9">
        <v>4.0</v>
      </c>
      <c r="B522" s="9">
        <v>303973.0</v>
      </c>
    </row>
    <row r="523">
      <c r="A523" s="9">
        <v>4.0</v>
      </c>
      <c r="B523" s="9">
        <v>311893.0</v>
      </c>
    </row>
    <row r="524">
      <c r="A524" s="9">
        <v>4.0</v>
      </c>
      <c r="B524" s="9">
        <v>264880.0</v>
      </c>
    </row>
    <row r="525">
      <c r="A525" s="9">
        <v>4.0</v>
      </c>
      <c r="B525" s="9">
        <v>187133.0</v>
      </c>
    </row>
    <row r="526">
      <c r="A526" s="9">
        <v>4.0</v>
      </c>
      <c r="B526" s="9">
        <v>529714.0</v>
      </c>
    </row>
    <row r="527">
      <c r="A527" s="9">
        <v>4.0</v>
      </c>
      <c r="B527" s="9">
        <v>1205466.0</v>
      </c>
    </row>
    <row r="528">
      <c r="A528" s="9">
        <v>3.0</v>
      </c>
      <c r="B528" s="9">
        <v>292853.0</v>
      </c>
    </row>
    <row r="529">
      <c r="A529" s="9">
        <v>4.0</v>
      </c>
      <c r="B529" s="9">
        <v>474487.0</v>
      </c>
    </row>
    <row r="530">
      <c r="A530" s="9">
        <v>3.0</v>
      </c>
      <c r="B530" s="9">
        <v>146175.0</v>
      </c>
    </row>
    <row r="531">
      <c r="A531" s="9">
        <v>4.0</v>
      </c>
      <c r="B531" s="9">
        <v>180040.0</v>
      </c>
    </row>
    <row r="532">
      <c r="A532" s="9">
        <v>4.0</v>
      </c>
      <c r="B532" s="9">
        <v>178333.0</v>
      </c>
    </row>
    <row r="533">
      <c r="A533" s="9">
        <v>4.0</v>
      </c>
      <c r="B533" s="9">
        <v>257533.0</v>
      </c>
    </row>
    <row r="534">
      <c r="A534" s="9">
        <v>4.0</v>
      </c>
      <c r="B534" s="9">
        <v>712373.0</v>
      </c>
    </row>
    <row r="535">
      <c r="A535" s="9">
        <v>4.0</v>
      </c>
      <c r="B535" s="9">
        <v>689607.0</v>
      </c>
    </row>
    <row r="536">
      <c r="A536" s="9">
        <v>4.0</v>
      </c>
      <c r="B536" s="9">
        <v>329706.0</v>
      </c>
    </row>
    <row r="537">
      <c r="A537" s="9">
        <v>4.0</v>
      </c>
      <c r="B537" s="9">
        <v>730093.0</v>
      </c>
    </row>
    <row r="538">
      <c r="A538" s="9">
        <v>4.0</v>
      </c>
      <c r="B538" s="9">
        <v>570986.0</v>
      </c>
    </row>
    <row r="539">
      <c r="A539" s="9">
        <v>5.0</v>
      </c>
      <c r="B539" s="9">
        <v>538047.0</v>
      </c>
    </row>
    <row r="540">
      <c r="A540" s="9">
        <v>3.0</v>
      </c>
      <c r="B540" s="9">
        <v>517125.0</v>
      </c>
    </row>
    <row r="541">
      <c r="A541" s="9">
        <v>4.0</v>
      </c>
      <c r="B541" s="9">
        <v>285053.0</v>
      </c>
    </row>
    <row r="542">
      <c r="A542" s="9">
        <v>4.0</v>
      </c>
      <c r="B542" s="9">
        <v>348600.0</v>
      </c>
    </row>
    <row r="543">
      <c r="A543" s="9">
        <v>4.0</v>
      </c>
      <c r="B543" s="9">
        <v>439800.0</v>
      </c>
    </row>
    <row r="544">
      <c r="A544" s="9">
        <v>3.0</v>
      </c>
      <c r="B544" s="9">
        <v>938093.0</v>
      </c>
    </row>
    <row r="545">
      <c r="A545" s="9">
        <v>4.0</v>
      </c>
      <c r="B545" s="9">
        <v>457250.0</v>
      </c>
    </row>
    <row r="546">
      <c r="A546" s="9">
        <v>4.0</v>
      </c>
      <c r="B546" s="9">
        <v>385367.0</v>
      </c>
    </row>
    <row r="547">
      <c r="A547" s="9">
        <v>4.0</v>
      </c>
      <c r="B547" s="9">
        <v>315373.0</v>
      </c>
    </row>
    <row r="548">
      <c r="A548" s="9">
        <v>4.0</v>
      </c>
      <c r="B548" s="9">
        <v>522706.0</v>
      </c>
    </row>
    <row r="549">
      <c r="A549" s="9">
        <v>4.0</v>
      </c>
      <c r="B549" s="9">
        <v>252493.0</v>
      </c>
    </row>
    <row r="550">
      <c r="A550" s="9">
        <v>4.0</v>
      </c>
      <c r="B550" s="9">
        <v>359693.0</v>
      </c>
    </row>
    <row r="551">
      <c r="A551" s="9">
        <v>4.0</v>
      </c>
      <c r="B551" s="9">
        <v>290680.0</v>
      </c>
    </row>
    <row r="552">
      <c r="A552" s="9">
        <v>4.0</v>
      </c>
      <c r="B552" s="9">
        <v>188720.0</v>
      </c>
    </row>
    <row r="553">
      <c r="A553" s="9">
        <v>3.0</v>
      </c>
      <c r="B553" s="9">
        <v>210613.0</v>
      </c>
    </row>
    <row r="554">
      <c r="A554" s="9">
        <v>4.0</v>
      </c>
      <c r="B554" s="9">
        <v>225933.0</v>
      </c>
    </row>
    <row r="555">
      <c r="A555" s="9">
        <v>3.0</v>
      </c>
      <c r="B555" s="9">
        <v>180946.0</v>
      </c>
    </row>
    <row r="556">
      <c r="A556" s="9">
        <v>3.0</v>
      </c>
      <c r="B556" s="9">
        <v>93840.0</v>
      </c>
    </row>
    <row r="557">
      <c r="A557" s="9">
        <v>3.0</v>
      </c>
      <c r="B557" s="9">
        <v>648680.0</v>
      </c>
    </row>
    <row r="558">
      <c r="A558" s="9">
        <v>4.0</v>
      </c>
      <c r="B558" s="9">
        <v>441800.0</v>
      </c>
    </row>
    <row r="559">
      <c r="A559" s="9">
        <v>4.0</v>
      </c>
      <c r="B559" s="9">
        <v>202426.0</v>
      </c>
    </row>
    <row r="560">
      <c r="A560" s="9">
        <v>4.0</v>
      </c>
      <c r="B560" s="9">
        <v>330773.0</v>
      </c>
    </row>
    <row r="561">
      <c r="A561" s="9">
        <v>3.0</v>
      </c>
      <c r="B561" s="9">
        <v>188293.0</v>
      </c>
    </row>
    <row r="562">
      <c r="A562" s="9">
        <v>4.0</v>
      </c>
      <c r="B562" s="9">
        <v>204720.0</v>
      </c>
    </row>
    <row r="563">
      <c r="A563" s="9">
        <v>4.0</v>
      </c>
      <c r="B563" s="9">
        <v>227786.0</v>
      </c>
    </row>
    <row r="564">
      <c r="A564" s="9">
        <v>4.0</v>
      </c>
      <c r="B564" s="9">
        <v>193933.0</v>
      </c>
    </row>
    <row r="565">
      <c r="A565" s="9">
        <v>4.0</v>
      </c>
      <c r="B565" s="9">
        <v>287733.0</v>
      </c>
    </row>
    <row r="566">
      <c r="A566" s="9">
        <v>3.0</v>
      </c>
      <c r="B566" s="9">
        <v>340200.0</v>
      </c>
    </row>
    <row r="567">
      <c r="A567" s="9">
        <v>4.0</v>
      </c>
      <c r="B567" s="9">
        <v>209573.0</v>
      </c>
    </row>
    <row r="568">
      <c r="A568" s="9">
        <v>4.0</v>
      </c>
      <c r="B568" s="9">
        <v>858533.0</v>
      </c>
    </row>
    <row r="569">
      <c r="A569" s="9">
        <v>5.0</v>
      </c>
      <c r="B569" s="9">
        <v>209106.0</v>
      </c>
    </row>
    <row r="570">
      <c r="A570" s="9">
        <v>5.0</v>
      </c>
      <c r="B570" s="9">
        <v>140506.0</v>
      </c>
    </row>
    <row r="571">
      <c r="A571" s="9">
        <v>4.0</v>
      </c>
      <c r="B571" s="9">
        <v>239156.0</v>
      </c>
    </row>
    <row r="572">
      <c r="A572" s="9">
        <v>4.0</v>
      </c>
      <c r="B572" s="9">
        <v>340320.0</v>
      </c>
    </row>
    <row r="573">
      <c r="A573" s="9">
        <v>3.0</v>
      </c>
      <c r="B573" s="9">
        <v>326554.0</v>
      </c>
    </row>
    <row r="574">
      <c r="A574" s="9">
        <v>3.0</v>
      </c>
      <c r="B574" s="9">
        <v>269066.0</v>
      </c>
    </row>
    <row r="575">
      <c r="A575" s="9">
        <v>3.0</v>
      </c>
      <c r="B575" s="9">
        <v>951120.0</v>
      </c>
    </row>
    <row r="576">
      <c r="A576" s="9">
        <v>3.0</v>
      </c>
      <c r="B576" s="9">
        <v>573440.0</v>
      </c>
    </row>
    <row r="577">
      <c r="A577" s="9">
        <v>3.0</v>
      </c>
      <c r="B577" s="9">
        <v>121933.0</v>
      </c>
    </row>
    <row r="578">
      <c r="A578" s="9">
        <v>3.0</v>
      </c>
      <c r="B578" s="9">
        <v>205640.0</v>
      </c>
    </row>
    <row r="579">
      <c r="A579" s="9">
        <v>4.0</v>
      </c>
      <c r="B579" s="9">
        <v>973800.0</v>
      </c>
    </row>
    <row r="580">
      <c r="A580" s="9">
        <v>4.0</v>
      </c>
      <c r="B580" s="9">
        <v>454000.0</v>
      </c>
    </row>
    <row r="581">
      <c r="A581" s="9">
        <v>4.0</v>
      </c>
      <c r="B581" s="9">
        <v>271760.0</v>
      </c>
    </row>
    <row r="582">
      <c r="A582" s="9">
        <v>4.0</v>
      </c>
      <c r="B582" s="9">
        <v>333266.0</v>
      </c>
    </row>
    <row r="583">
      <c r="A583" s="9">
        <v>3.0</v>
      </c>
      <c r="B583" s="9">
        <v>139466.0</v>
      </c>
    </row>
    <row r="584">
      <c r="A584" s="9">
        <v>4.0</v>
      </c>
      <c r="B584" s="9">
        <v>282543.0</v>
      </c>
    </row>
    <row r="585">
      <c r="A585" s="9">
        <v>4.0</v>
      </c>
      <c r="B585" s="9">
        <v>419933.0</v>
      </c>
    </row>
    <row r="586">
      <c r="A586" s="9">
        <v>4.0</v>
      </c>
      <c r="B586" s="9">
        <v>278680.0</v>
      </c>
    </row>
    <row r="587">
      <c r="A587" s="9">
        <v>4.0</v>
      </c>
      <c r="B587" s="9">
        <v>305666.0</v>
      </c>
    </row>
    <row r="588">
      <c r="A588" s="9">
        <v>4.0</v>
      </c>
      <c r="B588" s="9">
        <v>1081316.0</v>
      </c>
    </row>
    <row r="589">
      <c r="A589" s="9">
        <v>4.0</v>
      </c>
      <c r="B589" s="9">
        <v>354320.0</v>
      </c>
    </row>
    <row r="590">
      <c r="A590" s="9">
        <v>4.0</v>
      </c>
      <c r="B590" s="9">
        <v>429198.0</v>
      </c>
    </row>
    <row r="591">
      <c r="A591" s="9">
        <v>4.0</v>
      </c>
      <c r="B591" s="9">
        <v>128240.0</v>
      </c>
    </row>
    <row r="592">
      <c r="A592" s="9">
        <v>1.0</v>
      </c>
      <c r="B592" s="9">
        <v>200960.0</v>
      </c>
    </row>
    <row r="593">
      <c r="A593" s="9">
        <v>4.0</v>
      </c>
      <c r="B593" s="9">
        <v>559080.0</v>
      </c>
    </row>
    <row r="594">
      <c r="A594" s="9">
        <v>4.0</v>
      </c>
      <c r="B594" s="9">
        <v>256733.0</v>
      </c>
    </row>
    <row r="595">
      <c r="A595" s="9">
        <v>4.0</v>
      </c>
      <c r="B595" s="9">
        <v>155333.0</v>
      </c>
    </row>
    <row r="596">
      <c r="A596" s="9">
        <v>4.0</v>
      </c>
      <c r="B596" s="9">
        <v>244000.0</v>
      </c>
    </row>
    <row r="597">
      <c r="A597" s="9">
        <v>4.0</v>
      </c>
      <c r="B597" s="9">
        <v>690693.0</v>
      </c>
    </row>
    <row r="598">
      <c r="A598" s="9">
        <v>3.0</v>
      </c>
      <c r="B598" s="9">
        <v>195753.0</v>
      </c>
    </row>
    <row r="599">
      <c r="A599" s="9">
        <v>4.0</v>
      </c>
      <c r="B599" s="9">
        <v>266586.0</v>
      </c>
    </row>
    <row r="600">
      <c r="A600" s="9">
        <v>4.0</v>
      </c>
      <c r="B600" s="9">
        <v>289933.0</v>
      </c>
    </row>
    <row r="601">
      <c r="A601" s="9">
        <v>4.0</v>
      </c>
      <c r="B601" s="9">
        <v>354760.0</v>
      </c>
    </row>
    <row r="602">
      <c r="A602" s="9">
        <v>4.0</v>
      </c>
      <c r="B602" s="9">
        <v>259572.0</v>
      </c>
    </row>
    <row r="603">
      <c r="A603" s="9">
        <v>4.0</v>
      </c>
      <c r="B603" s="9">
        <v>492266.0</v>
      </c>
    </row>
    <row r="604">
      <c r="A604" s="9">
        <v>5.0</v>
      </c>
      <c r="B604" s="9">
        <v>284093.0</v>
      </c>
    </row>
    <row r="605">
      <c r="A605" s="9">
        <v>3.0</v>
      </c>
      <c r="B605" s="9">
        <v>384546.0</v>
      </c>
    </row>
    <row r="606">
      <c r="A606" s="9">
        <v>4.0</v>
      </c>
      <c r="B606" s="9">
        <v>269920.0</v>
      </c>
    </row>
    <row r="607">
      <c r="A607" s="9">
        <v>4.0</v>
      </c>
      <c r="B607" s="9">
        <v>249293.0</v>
      </c>
    </row>
    <row r="608">
      <c r="A608" s="9">
        <v>4.0</v>
      </c>
      <c r="B608" s="9">
        <v>228133.0</v>
      </c>
    </row>
    <row r="609">
      <c r="A609" s="9">
        <v>4.0</v>
      </c>
      <c r="B609" s="9">
        <v>304880.0</v>
      </c>
    </row>
    <row r="610">
      <c r="A610" s="9">
        <v>4.0</v>
      </c>
      <c r="B610" s="9">
        <v>196013.0</v>
      </c>
    </row>
    <row r="611">
      <c r="A611" s="9">
        <v>4.0</v>
      </c>
      <c r="B611" s="9">
        <v>334837.0</v>
      </c>
    </row>
    <row r="612">
      <c r="A612" s="9">
        <v>4.0</v>
      </c>
      <c r="B612" s="9">
        <v>1282186.0</v>
      </c>
    </row>
    <row r="613">
      <c r="A613" s="9">
        <v>4.0</v>
      </c>
      <c r="B613" s="9">
        <v>519506.0</v>
      </c>
    </row>
    <row r="614">
      <c r="A614" s="9">
        <v>4.0</v>
      </c>
      <c r="B614" s="9">
        <v>344534.0</v>
      </c>
    </row>
    <row r="615">
      <c r="A615" s="9">
        <v>4.0</v>
      </c>
      <c r="B615" s="9">
        <v>235682.0</v>
      </c>
    </row>
    <row r="616">
      <c r="A616" s="9">
        <v>4.0</v>
      </c>
      <c r="B616" s="9">
        <v>259173.0</v>
      </c>
    </row>
    <row r="617">
      <c r="A617" s="9">
        <v>4.0</v>
      </c>
      <c r="B617" s="9">
        <v>186000.0</v>
      </c>
    </row>
    <row r="618">
      <c r="A618" s="9">
        <v>3.0</v>
      </c>
      <c r="B618" s="9">
        <v>150440.0</v>
      </c>
    </row>
    <row r="619">
      <c r="A619" s="9">
        <v>4.0</v>
      </c>
      <c r="B619" s="9">
        <v>330182.0</v>
      </c>
    </row>
    <row r="620">
      <c r="A620" s="9">
        <v>4.0</v>
      </c>
      <c r="B620" s="9">
        <v>179066.0</v>
      </c>
    </row>
    <row r="621">
      <c r="A621" s="9">
        <v>1.0</v>
      </c>
      <c r="B621" s="9">
        <v>268480.0</v>
      </c>
    </row>
    <row r="622">
      <c r="A622" s="9">
        <v>3.0</v>
      </c>
      <c r="B622" s="9">
        <v>385266.0</v>
      </c>
    </row>
    <row r="623">
      <c r="A623" s="9">
        <v>4.0</v>
      </c>
      <c r="B623" s="9">
        <v>1621440.0</v>
      </c>
    </row>
    <row r="624">
      <c r="A624" s="9">
        <v>4.0</v>
      </c>
      <c r="B624" s="9">
        <v>386186.0</v>
      </c>
    </row>
    <row r="625">
      <c r="A625" s="9">
        <v>5.0</v>
      </c>
      <c r="B625" s="9">
        <v>177333.0</v>
      </c>
    </row>
    <row r="626">
      <c r="A626" s="9">
        <v>4.0</v>
      </c>
      <c r="B626" s="9">
        <v>222813.0</v>
      </c>
    </row>
    <row r="627">
      <c r="A627" s="9">
        <v>4.0</v>
      </c>
      <c r="B627" s="9">
        <v>249813.0</v>
      </c>
    </row>
    <row r="628">
      <c r="A628" s="9">
        <v>4.0</v>
      </c>
      <c r="B628" s="9">
        <v>317738.0</v>
      </c>
    </row>
    <row r="629">
      <c r="A629" s="9">
        <v>4.0</v>
      </c>
      <c r="B629" s="9">
        <v>407370.0</v>
      </c>
    </row>
    <row r="630">
      <c r="A630" s="9">
        <v>4.0</v>
      </c>
      <c r="B630" s="9">
        <v>212066.0</v>
      </c>
    </row>
    <row r="631">
      <c r="A631" s="9">
        <v>3.0</v>
      </c>
      <c r="B631" s="9">
        <v>336000.0</v>
      </c>
    </row>
    <row r="632">
      <c r="A632" s="9">
        <v>4.0</v>
      </c>
      <c r="B632" s="9">
        <v>333093.0</v>
      </c>
    </row>
    <row r="633">
      <c r="A633" s="9">
        <v>4.0</v>
      </c>
      <c r="B633" s="9">
        <v>368746.0</v>
      </c>
    </row>
    <row r="634">
      <c r="A634" s="9">
        <v>3.0</v>
      </c>
      <c r="B634" s="9">
        <v>143800.0</v>
      </c>
    </row>
    <row r="635">
      <c r="A635" s="9">
        <v>4.0</v>
      </c>
      <c r="B635" s="9">
        <v>216440.0</v>
      </c>
    </row>
    <row r="636">
      <c r="A636" s="9">
        <v>4.0</v>
      </c>
      <c r="B636" s="9">
        <v>369200.0</v>
      </c>
    </row>
    <row r="637">
      <c r="A637" s="9">
        <v>4.0</v>
      </c>
      <c r="B637" s="9">
        <v>391186.0</v>
      </c>
    </row>
    <row r="638">
      <c r="A638" s="9">
        <v>4.0</v>
      </c>
      <c r="B638" s="9">
        <v>270053.0</v>
      </c>
    </row>
    <row r="639">
      <c r="A639" s="9">
        <v>4.0</v>
      </c>
      <c r="B639" s="9">
        <v>300360.0</v>
      </c>
    </row>
    <row r="640">
      <c r="A640" s="9">
        <v>4.0</v>
      </c>
      <c r="B640" s="9">
        <v>140733.0</v>
      </c>
    </row>
    <row r="641">
      <c r="A641" s="9">
        <v>4.0</v>
      </c>
      <c r="B641" s="9">
        <v>304853.0</v>
      </c>
    </row>
    <row r="642">
      <c r="A642" s="9">
        <v>4.0</v>
      </c>
      <c r="B642" s="9">
        <v>353026.0</v>
      </c>
    </row>
    <row r="643">
      <c r="A643" s="9">
        <v>4.0</v>
      </c>
      <c r="B643" s="9">
        <v>219306.0</v>
      </c>
    </row>
    <row r="644">
      <c r="A644" s="9">
        <v>3.0</v>
      </c>
      <c r="B644" s="9">
        <v>270000.0</v>
      </c>
    </row>
    <row r="645">
      <c r="A645" s="9">
        <v>4.0</v>
      </c>
      <c r="B645" s="9">
        <v>376066.0</v>
      </c>
    </row>
    <row r="646">
      <c r="A646" s="9">
        <v>4.0</v>
      </c>
      <c r="B646" s="9">
        <v>283492.0</v>
      </c>
    </row>
    <row r="647">
      <c r="A647" s="9">
        <v>4.0</v>
      </c>
      <c r="B647" s="9">
        <v>161093.0</v>
      </c>
    </row>
    <row r="648">
      <c r="A648" s="9">
        <v>4.0</v>
      </c>
      <c r="B648" s="9">
        <v>272440.0</v>
      </c>
    </row>
    <row r="649">
      <c r="A649" s="9">
        <v>4.0</v>
      </c>
      <c r="B649" s="9">
        <v>199306.0</v>
      </c>
    </row>
    <row r="650">
      <c r="A650" s="9">
        <v>4.0</v>
      </c>
      <c r="B650" s="9">
        <v>325800.0</v>
      </c>
    </row>
    <row r="651">
      <c r="A651" s="9">
        <v>3.0</v>
      </c>
      <c r="B651" s="9">
        <v>388733.0</v>
      </c>
    </row>
    <row r="652">
      <c r="A652" s="9">
        <v>4.0</v>
      </c>
      <c r="B652" s="9">
        <v>233693.0</v>
      </c>
    </row>
    <row r="653">
      <c r="A653" s="9">
        <v>4.0</v>
      </c>
      <c r="B653" s="9">
        <v>229706.0</v>
      </c>
    </row>
    <row r="654">
      <c r="A654" s="9">
        <v>3.0</v>
      </c>
      <c r="B654" s="9">
        <v>402493.0</v>
      </c>
    </row>
    <row r="655">
      <c r="A655" s="9">
        <v>4.0</v>
      </c>
      <c r="B655" s="9">
        <v>400243.0</v>
      </c>
    </row>
    <row r="656">
      <c r="A656" s="9">
        <v>4.0</v>
      </c>
      <c r="B656" s="9">
        <v>292773.0</v>
      </c>
    </row>
    <row r="657">
      <c r="A657" s="9">
        <v>4.0</v>
      </c>
      <c r="B657" s="9">
        <v>225826.0</v>
      </c>
    </row>
    <row r="658">
      <c r="A658" s="9">
        <v>1.0</v>
      </c>
      <c r="B658" s="9">
        <v>78106.0</v>
      </c>
    </row>
    <row r="659">
      <c r="A659" s="9">
        <v>4.0</v>
      </c>
      <c r="B659" s="9">
        <v>458173.0</v>
      </c>
    </row>
    <row r="660">
      <c r="A660" s="9">
        <v>4.0</v>
      </c>
      <c r="B660" s="9">
        <v>343866.0</v>
      </c>
    </row>
    <row r="661">
      <c r="A661" s="9">
        <v>4.0</v>
      </c>
      <c r="B661" s="9">
        <v>1943666.0</v>
      </c>
    </row>
    <row r="662">
      <c r="A662" s="9">
        <v>3.0</v>
      </c>
      <c r="B662" s="9">
        <v>543373.0</v>
      </c>
    </row>
    <row r="663">
      <c r="A663" s="9">
        <v>3.0</v>
      </c>
      <c r="B663" s="9">
        <v>454442.0</v>
      </c>
    </row>
    <row r="664">
      <c r="A664" s="9">
        <v>4.0</v>
      </c>
      <c r="B664" s="9">
        <v>571592.0</v>
      </c>
    </row>
    <row r="665">
      <c r="A665" s="9">
        <v>3.0</v>
      </c>
      <c r="B665" s="9">
        <v>187466.0</v>
      </c>
    </row>
    <row r="666">
      <c r="A666" s="9">
        <v>4.0</v>
      </c>
      <c r="B666" s="9">
        <v>455160.0</v>
      </c>
    </row>
    <row r="667">
      <c r="A667" s="9">
        <v>4.0</v>
      </c>
      <c r="B667" s="9">
        <v>199106.0</v>
      </c>
    </row>
    <row r="668">
      <c r="A668" s="9">
        <v>4.0</v>
      </c>
      <c r="B668" s="9">
        <v>494000.0</v>
      </c>
    </row>
    <row r="669">
      <c r="A669" s="9">
        <v>5.0</v>
      </c>
      <c r="B669" s="9">
        <v>196386.0</v>
      </c>
    </row>
    <row r="670">
      <c r="A670" s="9">
        <v>4.0</v>
      </c>
      <c r="B670" s="9">
        <v>197014.0</v>
      </c>
    </row>
    <row r="671">
      <c r="A671" s="9">
        <v>4.0</v>
      </c>
      <c r="B671" s="9">
        <v>286880.0</v>
      </c>
    </row>
    <row r="672">
      <c r="A672" s="9">
        <v>4.0</v>
      </c>
      <c r="B672" s="9">
        <v>280040.0</v>
      </c>
    </row>
    <row r="673">
      <c r="A673" s="9">
        <v>4.0</v>
      </c>
      <c r="B673" s="9">
        <v>267520.0</v>
      </c>
    </row>
    <row r="674">
      <c r="A674" s="9">
        <v>4.0</v>
      </c>
      <c r="B674" s="9">
        <v>386600.0</v>
      </c>
    </row>
    <row r="675">
      <c r="A675" s="9">
        <v>4.0</v>
      </c>
      <c r="B675" s="9">
        <v>250333.0</v>
      </c>
    </row>
    <row r="676">
      <c r="A676" s="9">
        <v>3.0</v>
      </c>
      <c r="B676" s="9">
        <v>252000.0</v>
      </c>
    </row>
    <row r="677">
      <c r="A677" s="9">
        <v>4.0</v>
      </c>
      <c r="B677" s="9">
        <v>314652.0</v>
      </c>
    </row>
    <row r="678">
      <c r="A678" s="9">
        <v>4.0</v>
      </c>
      <c r="B678" s="9">
        <v>270200.0</v>
      </c>
    </row>
    <row r="679">
      <c r="A679" s="9">
        <v>4.0</v>
      </c>
      <c r="B679" s="9">
        <v>380786.0</v>
      </c>
    </row>
    <row r="680">
      <c r="A680" s="9">
        <v>4.0</v>
      </c>
      <c r="B680" s="9">
        <v>238464.0</v>
      </c>
    </row>
    <row r="681">
      <c r="A681" s="9">
        <v>4.0</v>
      </c>
      <c r="B681" s="9">
        <v>219924.0</v>
      </c>
    </row>
    <row r="682">
      <c r="A682" s="9">
        <v>4.0</v>
      </c>
      <c r="B682" s="9">
        <v>385133.0</v>
      </c>
    </row>
    <row r="683">
      <c r="A683" s="9">
        <v>4.0</v>
      </c>
      <c r="B683" s="9">
        <v>339440.0</v>
      </c>
    </row>
    <row r="684">
      <c r="A684" s="9">
        <v>4.0</v>
      </c>
      <c r="B684" s="9">
        <v>255002.0</v>
      </c>
    </row>
    <row r="685">
      <c r="A685" s="9">
        <v>4.0</v>
      </c>
      <c r="B685" s="9">
        <v>248493.0</v>
      </c>
    </row>
    <row r="686">
      <c r="A686" s="9">
        <v>4.0</v>
      </c>
      <c r="B686" s="9">
        <v>178986.0</v>
      </c>
    </row>
    <row r="687">
      <c r="A687" s="9">
        <v>4.0</v>
      </c>
      <c r="B687" s="9">
        <v>316933.0</v>
      </c>
    </row>
    <row r="688">
      <c r="A688" s="9">
        <v>4.0</v>
      </c>
      <c r="B688" s="9">
        <v>248822.0</v>
      </c>
    </row>
    <row r="689">
      <c r="A689" s="9">
        <v>4.0</v>
      </c>
      <c r="B689" s="9">
        <v>303173.0</v>
      </c>
    </row>
    <row r="690">
      <c r="A690" s="9">
        <v>4.0</v>
      </c>
      <c r="B690" s="9">
        <v>235666.0</v>
      </c>
    </row>
    <row r="691">
      <c r="A691" s="9">
        <v>4.0</v>
      </c>
      <c r="B691" s="9">
        <v>240546.0</v>
      </c>
    </row>
    <row r="692">
      <c r="A692" s="9">
        <v>4.0</v>
      </c>
      <c r="B692" s="9">
        <v>247160.0</v>
      </c>
    </row>
    <row r="693">
      <c r="A693" s="9">
        <v>4.0</v>
      </c>
      <c r="B693" s="9">
        <v>196130.0</v>
      </c>
    </row>
    <row r="694">
      <c r="A694" s="9">
        <v>4.0</v>
      </c>
      <c r="B694" s="9">
        <v>242107.0</v>
      </c>
    </row>
    <row r="695">
      <c r="A695" s="9">
        <v>3.0</v>
      </c>
      <c r="B695" s="9">
        <v>224133.0</v>
      </c>
    </row>
    <row r="696">
      <c r="A696" s="9">
        <v>4.0</v>
      </c>
      <c r="B696" s="9">
        <v>590000.0</v>
      </c>
    </row>
    <row r="697">
      <c r="A697" s="9">
        <v>3.0</v>
      </c>
      <c r="B697" s="9">
        <v>151133.0</v>
      </c>
    </row>
    <row r="698">
      <c r="A698" s="9">
        <v>4.0</v>
      </c>
      <c r="B698" s="9">
        <v>336573.0</v>
      </c>
    </row>
    <row r="699">
      <c r="A699" s="9">
        <v>4.0</v>
      </c>
      <c r="B699" s="9">
        <v>269000.0</v>
      </c>
    </row>
    <row r="700">
      <c r="A700" s="9">
        <v>3.0</v>
      </c>
      <c r="B700" s="9">
        <v>277160.0</v>
      </c>
    </row>
    <row r="701">
      <c r="A701" s="9">
        <v>5.0</v>
      </c>
      <c r="B701" s="9">
        <v>118073.0</v>
      </c>
    </row>
    <row r="702">
      <c r="A702" s="9">
        <v>3.0</v>
      </c>
      <c r="B702" s="9">
        <v>306373.0</v>
      </c>
    </row>
    <row r="703">
      <c r="A703" s="9">
        <v>4.0</v>
      </c>
      <c r="B703" s="9">
        <v>598873.0</v>
      </c>
    </row>
    <row r="704">
      <c r="A704" s="9">
        <v>4.0</v>
      </c>
      <c r="B704" s="9">
        <v>293120.0</v>
      </c>
    </row>
    <row r="705">
      <c r="A705" s="9">
        <v>4.0</v>
      </c>
      <c r="B705" s="9">
        <v>419400.0</v>
      </c>
    </row>
    <row r="706">
      <c r="A706" s="9">
        <v>4.0</v>
      </c>
      <c r="B706" s="9">
        <v>113000.0</v>
      </c>
    </row>
    <row r="707">
      <c r="A707" s="9">
        <v>4.0</v>
      </c>
      <c r="B707" s="9">
        <v>291200.0</v>
      </c>
    </row>
    <row r="708">
      <c r="A708" s="9">
        <v>4.0</v>
      </c>
      <c r="B708" s="9">
        <v>285053.0</v>
      </c>
    </row>
    <row r="709">
      <c r="A709" s="9">
        <v>3.0</v>
      </c>
      <c r="B709" s="9">
        <v>205866.0</v>
      </c>
    </row>
    <row r="710">
      <c r="A710" s="9">
        <v>3.0</v>
      </c>
      <c r="B710" s="9">
        <v>562706.0</v>
      </c>
    </row>
    <row r="711">
      <c r="A711" s="9">
        <v>3.0</v>
      </c>
      <c r="B711" s="9">
        <v>216733.0</v>
      </c>
    </row>
    <row r="712">
      <c r="A712" s="9">
        <v>3.0</v>
      </c>
      <c r="B712" s="9">
        <v>187506.0</v>
      </c>
    </row>
    <row r="713">
      <c r="A713" s="9">
        <v>3.0</v>
      </c>
      <c r="B713" s="9">
        <v>173733.0</v>
      </c>
    </row>
    <row r="714">
      <c r="A714" s="9">
        <v>5.0</v>
      </c>
      <c r="B714" s="9">
        <v>353680.0</v>
      </c>
    </row>
    <row r="715">
      <c r="A715" s="9">
        <v>4.0</v>
      </c>
      <c r="B715" s="9">
        <v>153333.0</v>
      </c>
    </row>
    <row r="716">
      <c r="A716" s="9">
        <v>4.0</v>
      </c>
      <c r="B716" s="9">
        <v>444906.0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tr">
        <f>IFERROR(__xludf.DUMMYFUNCTION("QUERY({'chill inducing songs'!A2:Q716},""select Col3,Col4 order by Col3 desc limit 5 label Col3 'Album Release Date', Col4 'Track Duration (ms)'"",0)"),"Album Release Date")</f>
        <v>Album Release Date</v>
      </c>
      <c r="B1" s="9" t="str">
        <f>IFERROR(__xludf.DUMMYFUNCTION("""COMPUTED_VALUE"""),"Track Duration (ms)")</f>
        <v>Track Duration (ms)</v>
      </c>
    </row>
    <row r="2">
      <c r="A2" s="11">
        <f>IFERROR(__xludf.DUMMYFUNCTION("""COMPUTED_VALUE"""),44488.0)</f>
        <v>44488</v>
      </c>
      <c r="B2" s="9">
        <f>IFERROR(__xludf.DUMMYFUNCTION("""COMPUTED_VALUE"""),575440.0)</f>
        <v>575440</v>
      </c>
    </row>
    <row r="3">
      <c r="A3" s="11">
        <f>IFERROR(__xludf.DUMMYFUNCTION("""COMPUTED_VALUE"""),44488.0)</f>
        <v>44488</v>
      </c>
      <c r="B3" s="9">
        <f>IFERROR(__xludf.DUMMYFUNCTION("""COMPUTED_VALUE"""),273240.0)</f>
        <v>273240</v>
      </c>
    </row>
    <row r="4">
      <c r="A4" s="11">
        <f>IFERROR(__xludf.DUMMYFUNCTION("""COMPUTED_VALUE"""),44486.0)</f>
        <v>44486</v>
      </c>
      <c r="B4" s="9">
        <f>IFERROR(__xludf.DUMMYFUNCTION("""COMPUTED_VALUE"""),371600.0)</f>
        <v>371600</v>
      </c>
    </row>
    <row r="5">
      <c r="A5" s="11">
        <f>IFERROR(__xludf.DUMMYFUNCTION("""COMPUTED_VALUE"""),44485.0)</f>
        <v>44485</v>
      </c>
      <c r="B5" s="9">
        <f>IFERROR(__xludf.DUMMYFUNCTION("""COMPUTED_VALUE"""),534626.0)</f>
        <v>534626</v>
      </c>
    </row>
    <row r="6">
      <c r="A6" s="11">
        <f>IFERROR(__xludf.DUMMYFUNCTION("""COMPUTED_VALUE"""),44485.0)</f>
        <v>44485</v>
      </c>
      <c r="B6" s="9">
        <f>IFERROR(__xludf.DUMMYFUNCTION("""COMPUTED_VALUE"""),233986.0)</f>
        <v>233986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tr">
        <f>IFERROR(__xludf.DUMMYFUNCTION("QUERY({'chill inducing songs'!A2:Q716},""select Col9,Col16 label Col9 'Loudness', Col16 'Tempo'"",0)"),"Loudness")</f>
        <v>Loudness</v>
      </c>
      <c r="B1" s="9" t="str">
        <f>IFERROR(__xludf.DUMMYFUNCTION("""COMPUTED_VALUE"""),"Tempo")</f>
        <v>Tempo</v>
      </c>
    </row>
    <row r="2">
      <c r="A2" s="9">
        <f>IFERROR(__xludf.DUMMYFUNCTION("""COMPUTED_VALUE"""),-12.203)</f>
        <v>-12.203</v>
      </c>
      <c r="B2" s="9">
        <f>IFERROR(__xludf.DUMMYFUNCTION("""COMPUTED_VALUE"""),110.58)</f>
        <v>110.58</v>
      </c>
    </row>
    <row r="3">
      <c r="A3" s="9">
        <f>IFERROR(__xludf.DUMMYFUNCTION("""COMPUTED_VALUE"""),-6.023)</f>
        <v>-6.023</v>
      </c>
      <c r="B3" s="9">
        <f>IFERROR(__xludf.DUMMYFUNCTION("""COMPUTED_VALUE"""),102.087)</f>
        <v>102.087</v>
      </c>
    </row>
    <row r="4">
      <c r="A4" s="9">
        <f>IFERROR(__xludf.DUMMYFUNCTION("""COMPUTED_VALUE"""),-24.673)</f>
        <v>-24.673</v>
      </c>
      <c r="B4" s="9">
        <f>IFERROR(__xludf.DUMMYFUNCTION("""COMPUTED_VALUE"""),88.863)</f>
        <v>88.863</v>
      </c>
    </row>
    <row r="5">
      <c r="A5" s="9">
        <f>IFERROR(__xludf.DUMMYFUNCTION("""COMPUTED_VALUE"""),-8.965)</f>
        <v>-8.965</v>
      </c>
      <c r="B5" s="9">
        <f>IFERROR(__xludf.DUMMYFUNCTION("""COMPUTED_VALUE"""),113.118)</f>
        <v>113.118</v>
      </c>
    </row>
    <row r="6">
      <c r="A6" s="9">
        <f>IFERROR(__xludf.DUMMYFUNCTION("""COMPUTED_VALUE"""),-16.409)</f>
        <v>-16.409</v>
      </c>
      <c r="B6" s="9">
        <f>IFERROR(__xludf.DUMMYFUNCTION("""COMPUTED_VALUE"""),142.232)</f>
        <v>142.232</v>
      </c>
    </row>
    <row r="7">
      <c r="A7" s="9">
        <f>IFERROR(__xludf.DUMMYFUNCTION("""COMPUTED_VALUE"""),-10.422)</f>
        <v>-10.422</v>
      </c>
      <c r="B7" s="9">
        <f>IFERROR(__xludf.DUMMYFUNCTION("""COMPUTED_VALUE"""),113.066)</f>
        <v>113.066</v>
      </c>
    </row>
    <row r="8">
      <c r="A8" s="9">
        <f>IFERROR(__xludf.DUMMYFUNCTION("""COMPUTED_VALUE"""),-2.88)</f>
        <v>-2.88</v>
      </c>
      <c r="B8" s="9">
        <f>IFERROR(__xludf.DUMMYFUNCTION("""COMPUTED_VALUE"""),117.089)</f>
        <v>117.089</v>
      </c>
    </row>
    <row r="9">
      <c r="A9" s="9">
        <f>IFERROR(__xludf.DUMMYFUNCTION("""COMPUTED_VALUE"""),-23.43)</f>
        <v>-23.43</v>
      </c>
      <c r="B9" s="9">
        <f>IFERROR(__xludf.DUMMYFUNCTION("""COMPUTED_VALUE"""),102.533)</f>
        <v>102.533</v>
      </c>
    </row>
    <row r="10">
      <c r="A10" s="9">
        <f>IFERROR(__xludf.DUMMYFUNCTION("""COMPUTED_VALUE"""),-16.911)</f>
        <v>-16.911</v>
      </c>
      <c r="B10" s="9">
        <f>IFERROR(__xludf.DUMMYFUNCTION("""COMPUTED_VALUE"""),98.919)</f>
        <v>98.919</v>
      </c>
    </row>
    <row r="11">
      <c r="A11" s="9">
        <f>IFERROR(__xludf.DUMMYFUNCTION("""COMPUTED_VALUE"""),-37.492)</f>
        <v>-37.492</v>
      </c>
      <c r="B11" s="9">
        <f>IFERROR(__xludf.DUMMYFUNCTION("""COMPUTED_VALUE"""),81.798)</f>
        <v>81.798</v>
      </c>
    </row>
    <row r="12">
      <c r="A12" s="9">
        <f>IFERROR(__xludf.DUMMYFUNCTION("""COMPUTED_VALUE"""),-13.522)</f>
        <v>-13.522</v>
      </c>
      <c r="B12" s="9">
        <f>IFERROR(__xludf.DUMMYFUNCTION("""COMPUTED_VALUE"""),77.995)</f>
        <v>77.995</v>
      </c>
    </row>
    <row r="13">
      <c r="A13" s="9">
        <f>IFERROR(__xludf.DUMMYFUNCTION("""COMPUTED_VALUE"""),-19.86)</f>
        <v>-19.86</v>
      </c>
      <c r="B13" s="9">
        <f>IFERROR(__xludf.DUMMYFUNCTION("""COMPUTED_VALUE"""),109.263)</f>
        <v>109.263</v>
      </c>
    </row>
    <row r="14">
      <c r="A14" s="9">
        <f>IFERROR(__xludf.DUMMYFUNCTION("""COMPUTED_VALUE"""),-28.383)</f>
        <v>-28.383</v>
      </c>
      <c r="B14" s="9">
        <f>IFERROR(__xludf.DUMMYFUNCTION("""COMPUTED_VALUE"""),74.394)</f>
        <v>74.394</v>
      </c>
    </row>
    <row r="15">
      <c r="A15" s="9">
        <f>IFERROR(__xludf.DUMMYFUNCTION("""COMPUTED_VALUE"""),-26.523)</f>
        <v>-26.523</v>
      </c>
      <c r="B15" s="9">
        <f>IFERROR(__xludf.DUMMYFUNCTION("""COMPUTED_VALUE"""),181.839)</f>
        <v>181.839</v>
      </c>
    </row>
    <row r="16">
      <c r="A16" s="9">
        <f>IFERROR(__xludf.DUMMYFUNCTION("""COMPUTED_VALUE"""),-6.76)</f>
        <v>-6.76</v>
      </c>
      <c r="B16" s="9">
        <f>IFERROR(__xludf.DUMMYFUNCTION("""COMPUTED_VALUE"""),190.818)</f>
        <v>190.818</v>
      </c>
    </row>
    <row r="17">
      <c r="A17" s="9">
        <f>IFERROR(__xludf.DUMMYFUNCTION("""COMPUTED_VALUE"""),-31.207)</f>
        <v>-31.207</v>
      </c>
      <c r="B17" s="9">
        <f>IFERROR(__xludf.DUMMYFUNCTION("""COMPUTED_VALUE"""),96.341)</f>
        <v>96.341</v>
      </c>
    </row>
    <row r="18">
      <c r="A18" s="9">
        <f>IFERROR(__xludf.DUMMYFUNCTION("""COMPUTED_VALUE"""),-23.881)</f>
        <v>-23.881</v>
      </c>
      <c r="B18" s="9">
        <f>IFERROR(__xludf.DUMMYFUNCTION("""COMPUTED_VALUE"""),173.937)</f>
        <v>173.937</v>
      </c>
    </row>
    <row r="19">
      <c r="A19" s="9">
        <f>IFERROR(__xludf.DUMMYFUNCTION("""COMPUTED_VALUE"""),-5.212)</f>
        <v>-5.212</v>
      </c>
      <c r="B19" s="9">
        <f>IFERROR(__xludf.DUMMYFUNCTION("""COMPUTED_VALUE"""),85.04)</f>
        <v>85.04</v>
      </c>
    </row>
    <row r="20">
      <c r="A20" s="9">
        <f>IFERROR(__xludf.DUMMYFUNCTION("""COMPUTED_VALUE"""),-11.783)</f>
        <v>-11.783</v>
      </c>
      <c r="B20" s="9">
        <f>IFERROR(__xludf.DUMMYFUNCTION("""COMPUTED_VALUE"""),115.197)</f>
        <v>115.197</v>
      </c>
    </row>
    <row r="21">
      <c r="A21" s="9">
        <f>IFERROR(__xludf.DUMMYFUNCTION("""COMPUTED_VALUE"""),-15.623)</f>
        <v>-15.623</v>
      </c>
      <c r="B21" s="9">
        <f>IFERROR(__xludf.DUMMYFUNCTION("""COMPUTED_VALUE"""),116.039)</f>
        <v>116.039</v>
      </c>
    </row>
    <row r="22">
      <c r="A22" s="9">
        <f>IFERROR(__xludf.DUMMYFUNCTION("""COMPUTED_VALUE"""),-6.183)</f>
        <v>-6.183</v>
      </c>
      <c r="B22" s="9">
        <f>IFERROR(__xludf.DUMMYFUNCTION("""COMPUTED_VALUE"""),127.678)</f>
        <v>127.678</v>
      </c>
    </row>
    <row r="23">
      <c r="A23" s="9">
        <f>IFERROR(__xludf.DUMMYFUNCTION("""COMPUTED_VALUE"""),-18.101)</f>
        <v>-18.101</v>
      </c>
      <c r="B23" s="9">
        <f>IFERROR(__xludf.DUMMYFUNCTION("""COMPUTED_VALUE"""),133.014)</f>
        <v>133.014</v>
      </c>
    </row>
    <row r="24">
      <c r="A24" s="9">
        <f>IFERROR(__xludf.DUMMYFUNCTION("""COMPUTED_VALUE"""),-9.352)</f>
        <v>-9.352</v>
      </c>
      <c r="B24" s="9">
        <f>IFERROR(__xludf.DUMMYFUNCTION("""COMPUTED_VALUE"""),77.589)</f>
        <v>77.589</v>
      </c>
    </row>
    <row r="25">
      <c r="A25" s="9">
        <f>IFERROR(__xludf.DUMMYFUNCTION("""COMPUTED_VALUE"""),-12.518)</f>
        <v>-12.518</v>
      </c>
      <c r="B25" s="9">
        <f>IFERROR(__xludf.DUMMYFUNCTION("""COMPUTED_VALUE"""),67.531)</f>
        <v>67.531</v>
      </c>
    </row>
    <row r="26">
      <c r="A26" s="9">
        <f>IFERROR(__xludf.DUMMYFUNCTION("""COMPUTED_VALUE"""),-9.656)</f>
        <v>-9.656</v>
      </c>
      <c r="B26" s="9">
        <f>IFERROR(__xludf.DUMMYFUNCTION("""COMPUTED_VALUE"""),92.84)</f>
        <v>92.84</v>
      </c>
    </row>
    <row r="27">
      <c r="A27" s="9">
        <f>IFERROR(__xludf.DUMMYFUNCTION("""COMPUTED_VALUE"""),-10.792)</f>
        <v>-10.792</v>
      </c>
      <c r="B27" s="9">
        <f>IFERROR(__xludf.DUMMYFUNCTION("""COMPUTED_VALUE"""),176.647)</f>
        <v>176.647</v>
      </c>
    </row>
    <row r="28">
      <c r="A28" s="9">
        <f>IFERROR(__xludf.DUMMYFUNCTION("""COMPUTED_VALUE"""),-20.727)</f>
        <v>-20.727</v>
      </c>
      <c r="B28" s="9">
        <f>IFERROR(__xludf.DUMMYFUNCTION("""COMPUTED_VALUE"""),83.892)</f>
        <v>83.892</v>
      </c>
    </row>
    <row r="29">
      <c r="A29" s="9">
        <f>IFERROR(__xludf.DUMMYFUNCTION("""COMPUTED_VALUE"""),-24.92)</f>
        <v>-24.92</v>
      </c>
      <c r="B29" s="9">
        <f>IFERROR(__xludf.DUMMYFUNCTION("""COMPUTED_VALUE"""),67.341)</f>
        <v>67.341</v>
      </c>
    </row>
    <row r="30">
      <c r="A30" s="9">
        <f>IFERROR(__xludf.DUMMYFUNCTION("""COMPUTED_VALUE"""),-13.108)</f>
        <v>-13.108</v>
      </c>
      <c r="B30" s="9">
        <f>IFERROR(__xludf.DUMMYFUNCTION("""COMPUTED_VALUE"""),158.663)</f>
        <v>158.663</v>
      </c>
    </row>
    <row r="31">
      <c r="A31" s="9">
        <f>IFERROR(__xludf.DUMMYFUNCTION("""COMPUTED_VALUE"""),-24.133)</f>
        <v>-24.133</v>
      </c>
      <c r="B31" s="9">
        <f>IFERROR(__xludf.DUMMYFUNCTION("""COMPUTED_VALUE"""),73.954)</f>
        <v>73.954</v>
      </c>
    </row>
    <row r="32">
      <c r="A32" s="9">
        <f>IFERROR(__xludf.DUMMYFUNCTION("""COMPUTED_VALUE"""),-23.247)</f>
        <v>-23.247</v>
      </c>
      <c r="B32" s="9">
        <f>IFERROR(__xludf.DUMMYFUNCTION("""COMPUTED_VALUE"""),82.015)</f>
        <v>82.015</v>
      </c>
    </row>
    <row r="33">
      <c r="A33" s="9">
        <f>IFERROR(__xludf.DUMMYFUNCTION("""COMPUTED_VALUE"""),-30.172)</f>
        <v>-30.172</v>
      </c>
      <c r="B33" s="9">
        <f>IFERROR(__xludf.DUMMYFUNCTION("""COMPUTED_VALUE"""),87.14)</f>
        <v>87.14</v>
      </c>
    </row>
    <row r="34">
      <c r="A34" s="9">
        <f>IFERROR(__xludf.DUMMYFUNCTION("""COMPUTED_VALUE"""),-14.418)</f>
        <v>-14.418</v>
      </c>
      <c r="B34" s="9">
        <f>IFERROR(__xludf.DUMMYFUNCTION("""COMPUTED_VALUE"""),78.5)</f>
        <v>78.5</v>
      </c>
    </row>
    <row r="35">
      <c r="A35" s="9">
        <f>IFERROR(__xludf.DUMMYFUNCTION("""COMPUTED_VALUE"""),-30.79)</f>
        <v>-30.79</v>
      </c>
      <c r="B35" s="9">
        <f>IFERROR(__xludf.DUMMYFUNCTION("""COMPUTED_VALUE"""),75.105)</f>
        <v>75.105</v>
      </c>
    </row>
    <row r="36">
      <c r="A36" s="9">
        <f>IFERROR(__xludf.DUMMYFUNCTION("""COMPUTED_VALUE"""),-12.999)</f>
        <v>-12.999</v>
      </c>
      <c r="B36" s="9">
        <f>IFERROR(__xludf.DUMMYFUNCTION("""COMPUTED_VALUE"""),79.109)</f>
        <v>79.109</v>
      </c>
    </row>
    <row r="37">
      <c r="A37" s="9">
        <f>IFERROR(__xludf.DUMMYFUNCTION("""COMPUTED_VALUE"""),-15.162)</f>
        <v>-15.162</v>
      </c>
      <c r="B37" s="9">
        <f>IFERROR(__xludf.DUMMYFUNCTION("""COMPUTED_VALUE"""),145.012)</f>
        <v>145.012</v>
      </c>
    </row>
    <row r="38">
      <c r="A38" s="9">
        <f>IFERROR(__xludf.DUMMYFUNCTION("""COMPUTED_VALUE"""),-8.609)</f>
        <v>-8.609</v>
      </c>
      <c r="B38" s="9">
        <f>IFERROR(__xludf.DUMMYFUNCTION("""COMPUTED_VALUE"""),171.032)</f>
        <v>171.032</v>
      </c>
    </row>
    <row r="39">
      <c r="A39" s="9">
        <f>IFERROR(__xludf.DUMMYFUNCTION("""COMPUTED_VALUE"""),-18.373)</f>
        <v>-18.373</v>
      </c>
      <c r="B39" s="9">
        <f>IFERROR(__xludf.DUMMYFUNCTION("""COMPUTED_VALUE"""),137.117)</f>
        <v>137.117</v>
      </c>
    </row>
    <row r="40">
      <c r="A40" s="9">
        <f>IFERROR(__xludf.DUMMYFUNCTION("""COMPUTED_VALUE"""),-28.677)</f>
        <v>-28.677</v>
      </c>
      <c r="B40" s="9">
        <f>IFERROR(__xludf.DUMMYFUNCTION("""COMPUTED_VALUE"""),66.643)</f>
        <v>66.643</v>
      </c>
    </row>
    <row r="41">
      <c r="A41" s="9">
        <f>IFERROR(__xludf.DUMMYFUNCTION("""COMPUTED_VALUE"""),-6.95)</f>
        <v>-6.95</v>
      </c>
      <c r="B41" s="9">
        <f>IFERROR(__xludf.DUMMYFUNCTION("""COMPUTED_VALUE"""),135.737)</f>
        <v>135.737</v>
      </c>
    </row>
    <row r="42">
      <c r="A42" s="9">
        <f>IFERROR(__xludf.DUMMYFUNCTION("""COMPUTED_VALUE"""),-20.452)</f>
        <v>-20.452</v>
      </c>
      <c r="B42" s="9">
        <f>IFERROR(__xludf.DUMMYFUNCTION("""COMPUTED_VALUE"""),140.483)</f>
        <v>140.483</v>
      </c>
    </row>
    <row r="43">
      <c r="A43" s="9">
        <f>IFERROR(__xludf.DUMMYFUNCTION("""COMPUTED_VALUE"""),-17.704)</f>
        <v>-17.704</v>
      </c>
      <c r="B43" s="9">
        <f>IFERROR(__xludf.DUMMYFUNCTION("""COMPUTED_VALUE"""),141.015)</f>
        <v>141.015</v>
      </c>
    </row>
    <row r="44">
      <c r="A44" s="9">
        <f>IFERROR(__xludf.DUMMYFUNCTION("""COMPUTED_VALUE"""),-10.898)</f>
        <v>-10.898</v>
      </c>
      <c r="B44" s="9">
        <f>IFERROR(__xludf.DUMMYFUNCTION("""COMPUTED_VALUE"""),179.062)</f>
        <v>179.062</v>
      </c>
    </row>
    <row r="45">
      <c r="A45" s="9">
        <f>IFERROR(__xludf.DUMMYFUNCTION("""COMPUTED_VALUE"""),-9.831)</f>
        <v>-9.831</v>
      </c>
      <c r="B45" s="9">
        <f>IFERROR(__xludf.DUMMYFUNCTION("""COMPUTED_VALUE"""),58.588)</f>
        <v>58.588</v>
      </c>
    </row>
    <row r="46">
      <c r="A46" s="9">
        <f>IFERROR(__xludf.DUMMYFUNCTION("""COMPUTED_VALUE"""),-28.44)</f>
        <v>-28.44</v>
      </c>
      <c r="B46" s="9">
        <f>IFERROR(__xludf.DUMMYFUNCTION("""COMPUTED_VALUE"""),61.839)</f>
        <v>61.839</v>
      </c>
    </row>
    <row r="47">
      <c r="A47" s="9">
        <f>IFERROR(__xludf.DUMMYFUNCTION("""COMPUTED_VALUE"""),-13.619)</f>
        <v>-13.619</v>
      </c>
      <c r="B47" s="9">
        <f>IFERROR(__xludf.DUMMYFUNCTION("""COMPUTED_VALUE"""),95.123)</f>
        <v>95.123</v>
      </c>
    </row>
    <row r="48">
      <c r="A48" s="9">
        <f>IFERROR(__xludf.DUMMYFUNCTION("""COMPUTED_VALUE"""),-22.216)</f>
        <v>-22.216</v>
      </c>
      <c r="B48" s="9">
        <f>IFERROR(__xludf.DUMMYFUNCTION("""COMPUTED_VALUE"""),156.113)</f>
        <v>156.113</v>
      </c>
    </row>
    <row r="49">
      <c r="A49" s="9">
        <f>IFERROR(__xludf.DUMMYFUNCTION("""COMPUTED_VALUE"""),-18.21)</f>
        <v>-18.21</v>
      </c>
      <c r="B49" s="9">
        <f>IFERROR(__xludf.DUMMYFUNCTION("""COMPUTED_VALUE"""),80.116)</f>
        <v>80.116</v>
      </c>
    </row>
    <row r="50">
      <c r="A50" s="9">
        <f>IFERROR(__xludf.DUMMYFUNCTION("""COMPUTED_VALUE"""),-23.542)</f>
        <v>-23.542</v>
      </c>
      <c r="B50" s="9">
        <f>IFERROR(__xludf.DUMMYFUNCTION("""COMPUTED_VALUE"""),111.04)</f>
        <v>111.04</v>
      </c>
    </row>
    <row r="51">
      <c r="A51" s="9">
        <f>IFERROR(__xludf.DUMMYFUNCTION("""COMPUTED_VALUE"""),-36.369)</f>
        <v>-36.369</v>
      </c>
      <c r="B51" s="9">
        <f>IFERROR(__xludf.DUMMYFUNCTION("""COMPUTED_VALUE"""),83.139)</f>
        <v>83.139</v>
      </c>
    </row>
    <row r="52">
      <c r="A52" s="9">
        <f>IFERROR(__xludf.DUMMYFUNCTION("""COMPUTED_VALUE"""),-29.333)</f>
        <v>-29.333</v>
      </c>
      <c r="B52" s="9">
        <f>IFERROR(__xludf.DUMMYFUNCTION("""COMPUTED_VALUE"""),130.983)</f>
        <v>130.983</v>
      </c>
    </row>
    <row r="53">
      <c r="A53" s="9">
        <f>IFERROR(__xludf.DUMMYFUNCTION("""COMPUTED_VALUE"""),-20.91)</f>
        <v>-20.91</v>
      </c>
      <c r="B53" s="9">
        <f>IFERROR(__xludf.DUMMYFUNCTION("""COMPUTED_VALUE"""),98.701)</f>
        <v>98.701</v>
      </c>
    </row>
    <row r="54">
      <c r="A54" s="9">
        <f>IFERROR(__xludf.DUMMYFUNCTION("""COMPUTED_VALUE"""),-27.059)</f>
        <v>-27.059</v>
      </c>
      <c r="B54" s="9">
        <f>IFERROR(__xludf.DUMMYFUNCTION("""COMPUTED_VALUE"""),147.124)</f>
        <v>147.124</v>
      </c>
    </row>
    <row r="55">
      <c r="A55" s="9">
        <f>IFERROR(__xludf.DUMMYFUNCTION("""COMPUTED_VALUE"""),-20.978)</f>
        <v>-20.978</v>
      </c>
      <c r="B55" s="9">
        <f>IFERROR(__xludf.DUMMYFUNCTION("""COMPUTED_VALUE"""),136.152)</f>
        <v>136.152</v>
      </c>
    </row>
    <row r="56">
      <c r="A56" s="9">
        <f>IFERROR(__xludf.DUMMYFUNCTION("""COMPUTED_VALUE"""),-25.052)</f>
        <v>-25.052</v>
      </c>
      <c r="B56" s="9">
        <f>IFERROR(__xludf.DUMMYFUNCTION("""COMPUTED_VALUE"""),67.908)</f>
        <v>67.908</v>
      </c>
    </row>
    <row r="57">
      <c r="A57" s="9">
        <f>IFERROR(__xludf.DUMMYFUNCTION("""COMPUTED_VALUE"""),-25.112)</f>
        <v>-25.112</v>
      </c>
      <c r="B57" s="9">
        <f>IFERROR(__xludf.DUMMYFUNCTION("""COMPUTED_VALUE"""),83.105)</f>
        <v>83.105</v>
      </c>
    </row>
    <row r="58">
      <c r="A58" s="9">
        <f>IFERROR(__xludf.DUMMYFUNCTION("""COMPUTED_VALUE"""),-19.263)</f>
        <v>-19.263</v>
      </c>
      <c r="B58" s="9">
        <f>IFERROR(__xludf.DUMMYFUNCTION("""COMPUTED_VALUE"""),108.55)</f>
        <v>108.55</v>
      </c>
    </row>
    <row r="59">
      <c r="A59" s="9">
        <f>IFERROR(__xludf.DUMMYFUNCTION("""COMPUTED_VALUE"""),-21.913)</f>
        <v>-21.913</v>
      </c>
      <c r="B59" s="9">
        <f>IFERROR(__xludf.DUMMYFUNCTION("""COMPUTED_VALUE"""),58.853)</f>
        <v>58.853</v>
      </c>
    </row>
    <row r="60">
      <c r="A60" s="9">
        <f>IFERROR(__xludf.DUMMYFUNCTION("""COMPUTED_VALUE"""),-24.352)</f>
        <v>-24.352</v>
      </c>
      <c r="B60" s="9">
        <f>IFERROR(__xludf.DUMMYFUNCTION("""COMPUTED_VALUE"""),123.387)</f>
        <v>123.387</v>
      </c>
    </row>
    <row r="61">
      <c r="A61" s="9">
        <f>IFERROR(__xludf.DUMMYFUNCTION("""COMPUTED_VALUE"""),-13.568)</f>
        <v>-13.568</v>
      </c>
      <c r="B61" s="9">
        <f>IFERROR(__xludf.DUMMYFUNCTION("""COMPUTED_VALUE"""),125.925)</f>
        <v>125.925</v>
      </c>
    </row>
    <row r="62">
      <c r="A62" s="9">
        <f>IFERROR(__xludf.DUMMYFUNCTION("""COMPUTED_VALUE"""),-23.136)</f>
        <v>-23.136</v>
      </c>
      <c r="B62" s="9">
        <f>IFERROR(__xludf.DUMMYFUNCTION("""COMPUTED_VALUE"""),80.49)</f>
        <v>80.49</v>
      </c>
    </row>
    <row r="63">
      <c r="A63" s="9">
        <f>IFERROR(__xludf.DUMMYFUNCTION("""COMPUTED_VALUE"""),-19.88)</f>
        <v>-19.88</v>
      </c>
      <c r="B63" s="9">
        <f>IFERROR(__xludf.DUMMYFUNCTION("""COMPUTED_VALUE"""),105.731)</f>
        <v>105.731</v>
      </c>
    </row>
    <row r="64">
      <c r="A64" s="9">
        <f>IFERROR(__xludf.DUMMYFUNCTION("""COMPUTED_VALUE"""),-21.853)</f>
        <v>-21.853</v>
      </c>
      <c r="B64" s="9">
        <f>IFERROR(__xludf.DUMMYFUNCTION("""COMPUTED_VALUE"""),80.134)</f>
        <v>80.134</v>
      </c>
    </row>
    <row r="65">
      <c r="A65" s="9">
        <f>IFERROR(__xludf.DUMMYFUNCTION("""COMPUTED_VALUE"""),-26.478)</f>
        <v>-26.478</v>
      </c>
      <c r="B65" s="9">
        <f>IFERROR(__xludf.DUMMYFUNCTION("""COMPUTED_VALUE"""),122.693)</f>
        <v>122.693</v>
      </c>
    </row>
    <row r="66">
      <c r="A66" s="9">
        <f>IFERROR(__xludf.DUMMYFUNCTION("""COMPUTED_VALUE"""),-21.013)</f>
        <v>-21.013</v>
      </c>
      <c r="B66" s="9">
        <f>IFERROR(__xludf.DUMMYFUNCTION("""COMPUTED_VALUE"""),128.605)</f>
        <v>128.605</v>
      </c>
    </row>
    <row r="67">
      <c r="A67" s="9">
        <f>IFERROR(__xludf.DUMMYFUNCTION("""COMPUTED_VALUE"""),-17.865)</f>
        <v>-17.865</v>
      </c>
      <c r="B67" s="9">
        <f>IFERROR(__xludf.DUMMYFUNCTION("""COMPUTED_VALUE"""),92.271)</f>
        <v>92.271</v>
      </c>
    </row>
    <row r="68">
      <c r="A68" s="9">
        <f>IFERROR(__xludf.DUMMYFUNCTION("""COMPUTED_VALUE"""),-17.192)</f>
        <v>-17.192</v>
      </c>
      <c r="B68" s="9">
        <f>IFERROR(__xludf.DUMMYFUNCTION("""COMPUTED_VALUE"""),95.936)</f>
        <v>95.936</v>
      </c>
    </row>
    <row r="69">
      <c r="A69" s="9">
        <f>IFERROR(__xludf.DUMMYFUNCTION("""COMPUTED_VALUE"""),-16.155)</f>
        <v>-16.155</v>
      </c>
      <c r="B69" s="9">
        <f>IFERROR(__xludf.DUMMYFUNCTION("""COMPUTED_VALUE"""),174.865)</f>
        <v>174.865</v>
      </c>
    </row>
    <row r="70">
      <c r="A70" s="9">
        <f>IFERROR(__xludf.DUMMYFUNCTION("""COMPUTED_VALUE"""),-30.931)</f>
        <v>-30.931</v>
      </c>
      <c r="B70" s="9">
        <f>IFERROR(__xludf.DUMMYFUNCTION("""COMPUTED_VALUE"""),71.084)</f>
        <v>71.084</v>
      </c>
    </row>
    <row r="71">
      <c r="A71" s="9">
        <f>IFERROR(__xludf.DUMMYFUNCTION("""COMPUTED_VALUE"""),-17.592)</f>
        <v>-17.592</v>
      </c>
      <c r="B71" s="9">
        <f>IFERROR(__xludf.DUMMYFUNCTION("""COMPUTED_VALUE"""),89.917)</f>
        <v>89.917</v>
      </c>
    </row>
    <row r="72">
      <c r="A72" s="9">
        <f>IFERROR(__xludf.DUMMYFUNCTION("""COMPUTED_VALUE"""),-20.455)</f>
        <v>-20.455</v>
      </c>
      <c r="B72" s="9">
        <f>IFERROR(__xludf.DUMMYFUNCTION("""COMPUTED_VALUE"""),93.177)</f>
        <v>93.177</v>
      </c>
    </row>
    <row r="73">
      <c r="A73" s="9">
        <f>IFERROR(__xludf.DUMMYFUNCTION("""COMPUTED_VALUE"""),-15.918)</f>
        <v>-15.918</v>
      </c>
      <c r="B73" s="9">
        <f>IFERROR(__xludf.DUMMYFUNCTION("""COMPUTED_VALUE"""),68.089)</f>
        <v>68.089</v>
      </c>
    </row>
    <row r="74">
      <c r="A74" s="9">
        <f>IFERROR(__xludf.DUMMYFUNCTION("""COMPUTED_VALUE"""),-14.814)</f>
        <v>-14.814</v>
      </c>
      <c r="B74" s="9">
        <f>IFERROR(__xludf.DUMMYFUNCTION("""COMPUTED_VALUE"""),177.68)</f>
        <v>177.68</v>
      </c>
    </row>
    <row r="75">
      <c r="A75" s="9">
        <f>IFERROR(__xludf.DUMMYFUNCTION("""COMPUTED_VALUE"""),-21.281)</f>
        <v>-21.281</v>
      </c>
      <c r="B75" s="9">
        <f>IFERROR(__xludf.DUMMYFUNCTION("""COMPUTED_VALUE"""),80.71)</f>
        <v>80.71</v>
      </c>
    </row>
    <row r="76">
      <c r="A76" s="9">
        <f>IFERROR(__xludf.DUMMYFUNCTION("""COMPUTED_VALUE"""),-20.024)</f>
        <v>-20.024</v>
      </c>
      <c r="B76" s="9">
        <f>IFERROR(__xludf.DUMMYFUNCTION("""COMPUTED_VALUE"""),104.256)</f>
        <v>104.256</v>
      </c>
    </row>
    <row r="77">
      <c r="A77" s="9">
        <f>IFERROR(__xludf.DUMMYFUNCTION("""COMPUTED_VALUE"""),-28.175)</f>
        <v>-28.175</v>
      </c>
      <c r="B77" s="9">
        <f>IFERROR(__xludf.DUMMYFUNCTION("""COMPUTED_VALUE"""),147.149)</f>
        <v>147.149</v>
      </c>
    </row>
    <row r="78">
      <c r="A78" s="9">
        <f>IFERROR(__xludf.DUMMYFUNCTION("""COMPUTED_VALUE"""),-13.031)</f>
        <v>-13.031</v>
      </c>
      <c r="B78" s="9">
        <f>IFERROR(__xludf.DUMMYFUNCTION("""COMPUTED_VALUE"""),94.73)</f>
        <v>94.73</v>
      </c>
    </row>
    <row r="79">
      <c r="A79" s="9">
        <f>IFERROR(__xludf.DUMMYFUNCTION("""COMPUTED_VALUE"""),-18.74)</f>
        <v>-18.74</v>
      </c>
      <c r="B79" s="9">
        <f>IFERROR(__xludf.DUMMYFUNCTION("""COMPUTED_VALUE"""),144.722)</f>
        <v>144.722</v>
      </c>
    </row>
    <row r="80">
      <c r="A80" s="9">
        <f>IFERROR(__xludf.DUMMYFUNCTION("""COMPUTED_VALUE"""),-18.756)</f>
        <v>-18.756</v>
      </c>
      <c r="B80" s="9">
        <f>IFERROR(__xludf.DUMMYFUNCTION("""COMPUTED_VALUE"""),58.303)</f>
        <v>58.303</v>
      </c>
    </row>
    <row r="81">
      <c r="A81" s="9">
        <f>IFERROR(__xludf.DUMMYFUNCTION("""COMPUTED_VALUE"""),-14.835)</f>
        <v>-14.835</v>
      </c>
      <c r="B81" s="9">
        <f>IFERROR(__xludf.DUMMYFUNCTION("""COMPUTED_VALUE"""),118.786)</f>
        <v>118.786</v>
      </c>
    </row>
    <row r="82">
      <c r="A82" s="9">
        <f>IFERROR(__xludf.DUMMYFUNCTION("""COMPUTED_VALUE"""),-5.78)</f>
        <v>-5.78</v>
      </c>
      <c r="B82" s="9">
        <f>IFERROR(__xludf.DUMMYFUNCTION("""COMPUTED_VALUE"""),183.685)</f>
        <v>183.685</v>
      </c>
    </row>
    <row r="83">
      <c r="A83" s="9">
        <f>IFERROR(__xludf.DUMMYFUNCTION("""COMPUTED_VALUE"""),-5.033)</f>
        <v>-5.033</v>
      </c>
      <c r="B83" s="9">
        <f>IFERROR(__xludf.DUMMYFUNCTION("""COMPUTED_VALUE"""),131.993)</f>
        <v>131.993</v>
      </c>
    </row>
    <row r="84">
      <c r="A84" s="9">
        <f>IFERROR(__xludf.DUMMYFUNCTION("""COMPUTED_VALUE"""),-34.141)</f>
        <v>-34.141</v>
      </c>
      <c r="B84" s="9">
        <f>IFERROR(__xludf.DUMMYFUNCTION("""COMPUTED_VALUE"""),132.129)</f>
        <v>132.129</v>
      </c>
    </row>
    <row r="85">
      <c r="A85" s="9">
        <f>IFERROR(__xludf.DUMMYFUNCTION("""COMPUTED_VALUE"""),-25.753)</f>
        <v>-25.753</v>
      </c>
      <c r="B85" s="9">
        <f>IFERROR(__xludf.DUMMYFUNCTION("""COMPUTED_VALUE"""),132.338)</f>
        <v>132.338</v>
      </c>
    </row>
    <row r="86">
      <c r="A86" s="9">
        <f>IFERROR(__xludf.DUMMYFUNCTION("""COMPUTED_VALUE"""),-17.719)</f>
        <v>-17.719</v>
      </c>
      <c r="B86" s="9">
        <f>IFERROR(__xludf.DUMMYFUNCTION("""COMPUTED_VALUE"""),131.842)</f>
        <v>131.842</v>
      </c>
    </row>
    <row r="87">
      <c r="A87" s="9">
        <f>IFERROR(__xludf.DUMMYFUNCTION("""COMPUTED_VALUE"""),-32.73)</f>
        <v>-32.73</v>
      </c>
      <c r="B87" s="9">
        <f>IFERROR(__xludf.DUMMYFUNCTION("""COMPUTED_VALUE"""),77.876)</f>
        <v>77.876</v>
      </c>
    </row>
    <row r="88">
      <c r="A88" s="9">
        <f>IFERROR(__xludf.DUMMYFUNCTION("""COMPUTED_VALUE"""),-22.443)</f>
        <v>-22.443</v>
      </c>
      <c r="B88" s="9">
        <f>IFERROR(__xludf.DUMMYFUNCTION("""COMPUTED_VALUE"""),104.905)</f>
        <v>104.905</v>
      </c>
    </row>
    <row r="89">
      <c r="A89" s="9">
        <f>IFERROR(__xludf.DUMMYFUNCTION("""COMPUTED_VALUE"""),-17.87)</f>
        <v>-17.87</v>
      </c>
      <c r="B89" s="9">
        <f>IFERROR(__xludf.DUMMYFUNCTION("""COMPUTED_VALUE"""),73.967)</f>
        <v>73.967</v>
      </c>
    </row>
    <row r="90">
      <c r="A90" s="9">
        <f>IFERROR(__xludf.DUMMYFUNCTION("""COMPUTED_VALUE"""),-26.074)</f>
        <v>-26.074</v>
      </c>
      <c r="B90" s="9">
        <f>IFERROR(__xludf.DUMMYFUNCTION("""COMPUTED_VALUE"""),139.733)</f>
        <v>139.733</v>
      </c>
    </row>
    <row r="91">
      <c r="A91" s="9">
        <f>IFERROR(__xludf.DUMMYFUNCTION("""COMPUTED_VALUE"""),-29.556)</f>
        <v>-29.556</v>
      </c>
      <c r="B91" s="9">
        <f>IFERROR(__xludf.DUMMYFUNCTION("""COMPUTED_VALUE"""),167.229)</f>
        <v>167.229</v>
      </c>
    </row>
    <row r="92">
      <c r="A92" s="9">
        <f>IFERROR(__xludf.DUMMYFUNCTION("""COMPUTED_VALUE"""),-16.41)</f>
        <v>-16.41</v>
      </c>
      <c r="B92" s="9">
        <f>IFERROR(__xludf.DUMMYFUNCTION("""COMPUTED_VALUE"""),171.01)</f>
        <v>171.01</v>
      </c>
    </row>
    <row r="93">
      <c r="A93" s="9">
        <f>IFERROR(__xludf.DUMMYFUNCTION("""COMPUTED_VALUE"""),-23.736)</f>
        <v>-23.736</v>
      </c>
      <c r="B93" s="9">
        <f>IFERROR(__xludf.DUMMYFUNCTION("""COMPUTED_VALUE"""),85.72)</f>
        <v>85.72</v>
      </c>
    </row>
    <row r="94">
      <c r="A94" s="9">
        <f>IFERROR(__xludf.DUMMYFUNCTION("""COMPUTED_VALUE"""),-16.205)</f>
        <v>-16.205</v>
      </c>
      <c r="B94" s="9">
        <f>IFERROR(__xludf.DUMMYFUNCTION("""COMPUTED_VALUE"""),59.441)</f>
        <v>59.441</v>
      </c>
    </row>
    <row r="95">
      <c r="A95" s="9">
        <f>IFERROR(__xludf.DUMMYFUNCTION("""COMPUTED_VALUE"""),-20.378)</f>
        <v>-20.378</v>
      </c>
      <c r="B95" s="9">
        <f>IFERROR(__xludf.DUMMYFUNCTION("""COMPUTED_VALUE"""),132.691)</f>
        <v>132.691</v>
      </c>
    </row>
    <row r="96">
      <c r="A96" s="9">
        <f>IFERROR(__xludf.DUMMYFUNCTION("""COMPUTED_VALUE"""),-26.117)</f>
        <v>-26.117</v>
      </c>
      <c r="B96" s="9">
        <f>IFERROR(__xludf.DUMMYFUNCTION("""COMPUTED_VALUE"""),75.416)</f>
        <v>75.416</v>
      </c>
    </row>
    <row r="97">
      <c r="A97" s="9">
        <f>IFERROR(__xludf.DUMMYFUNCTION("""COMPUTED_VALUE"""),-33.715)</f>
        <v>-33.715</v>
      </c>
      <c r="B97" s="9">
        <f>IFERROR(__xludf.DUMMYFUNCTION("""COMPUTED_VALUE"""),73.162)</f>
        <v>73.162</v>
      </c>
    </row>
    <row r="98">
      <c r="A98" s="9">
        <f>IFERROR(__xludf.DUMMYFUNCTION("""COMPUTED_VALUE"""),-15.271)</f>
        <v>-15.271</v>
      </c>
      <c r="B98" s="9">
        <f>IFERROR(__xludf.DUMMYFUNCTION("""COMPUTED_VALUE"""),77.903)</f>
        <v>77.903</v>
      </c>
    </row>
    <row r="99">
      <c r="A99" s="9">
        <f>IFERROR(__xludf.DUMMYFUNCTION("""COMPUTED_VALUE"""),-33.366)</f>
        <v>-33.366</v>
      </c>
      <c r="B99" s="9">
        <f>IFERROR(__xludf.DUMMYFUNCTION("""COMPUTED_VALUE"""),132.085)</f>
        <v>132.085</v>
      </c>
    </row>
    <row r="100">
      <c r="A100" s="9">
        <f>IFERROR(__xludf.DUMMYFUNCTION("""COMPUTED_VALUE"""),-26.805)</f>
        <v>-26.805</v>
      </c>
      <c r="B100" s="9">
        <f>IFERROR(__xludf.DUMMYFUNCTION("""COMPUTED_VALUE"""),127.576)</f>
        <v>127.576</v>
      </c>
    </row>
    <row r="101">
      <c r="A101" s="9">
        <f>IFERROR(__xludf.DUMMYFUNCTION("""COMPUTED_VALUE"""),-23.989)</f>
        <v>-23.989</v>
      </c>
      <c r="B101" s="9">
        <f>IFERROR(__xludf.DUMMYFUNCTION("""COMPUTED_VALUE"""),71.808)</f>
        <v>71.808</v>
      </c>
    </row>
    <row r="102">
      <c r="A102" s="9">
        <f>IFERROR(__xludf.DUMMYFUNCTION("""COMPUTED_VALUE"""),-22.407)</f>
        <v>-22.407</v>
      </c>
      <c r="B102" s="9">
        <f>IFERROR(__xludf.DUMMYFUNCTION("""COMPUTED_VALUE"""),82.008)</f>
        <v>82.008</v>
      </c>
    </row>
    <row r="103">
      <c r="A103" s="9">
        <f>IFERROR(__xludf.DUMMYFUNCTION("""COMPUTED_VALUE"""),-25.217)</f>
        <v>-25.217</v>
      </c>
      <c r="B103" s="9">
        <f>IFERROR(__xludf.DUMMYFUNCTION("""COMPUTED_VALUE"""),87.882)</f>
        <v>87.882</v>
      </c>
    </row>
    <row r="104">
      <c r="A104" s="9">
        <f>IFERROR(__xludf.DUMMYFUNCTION("""COMPUTED_VALUE"""),-28.66)</f>
        <v>-28.66</v>
      </c>
      <c r="B104" s="9">
        <f>IFERROR(__xludf.DUMMYFUNCTION("""COMPUTED_VALUE"""),55.154)</f>
        <v>55.154</v>
      </c>
    </row>
    <row r="105">
      <c r="A105" s="9">
        <f>IFERROR(__xludf.DUMMYFUNCTION("""COMPUTED_VALUE"""),-24.541)</f>
        <v>-24.541</v>
      </c>
      <c r="B105" s="9">
        <f>IFERROR(__xludf.DUMMYFUNCTION("""COMPUTED_VALUE"""),61.538)</f>
        <v>61.538</v>
      </c>
    </row>
    <row r="106">
      <c r="A106" s="9">
        <f>IFERROR(__xludf.DUMMYFUNCTION("""COMPUTED_VALUE"""),-20.5)</f>
        <v>-20.5</v>
      </c>
      <c r="B106" s="9">
        <f>IFERROR(__xludf.DUMMYFUNCTION("""COMPUTED_VALUE"""),152.839)</f>
        <v>152.839</v>
      </c>
    </row>
    <row r="107">
      <c r="A107" s="9">
        <f>IFERROR(__xludf.DUMMYFUNCTION("""COMPUTED_VALUE"""),-18.677)</f>
        <v>-18.677</v>
      </c>
      <c r="B107" s="9">
        <f>IFERROR(__xludf.DUMMYFUNCTION("""COMPUTED_VALUE"""),118.305)</f>
        <v>118.305</v>
      </c>
    </row>
    <row r="108">
      <c r="A108" s="9">
        <f>IFERROR(__xludf.DUMMYFUNCTION("""COMPUTED_VALUE"""),-22.071)</f>
        <v>-22.071</v>
      </c>
      <c r="B108" s="9">
        <f>IFERROR(__xludf.DUMMYFUNCTION("""COMPUTED_VALUE"""),107.36)</f>
        <v>107.36</v>
      </c>
    </row>
    <row r="109">
      <c r="A109" s="9">
        <f>IFERROR(__xludf.DUMMYFUNCTION("""COMPUTED_VALUE"""),-26.45)</f>
        <v>-26.45</v>
      </c>
      <c r="B109" s="9">
        <f>IFERROR(__xludf.DUMMYFUNCTION("""COMPUTED_VALUE"""),175.846)</f>
        <v>175.846</v>
      </c>
    </row>
    <row r="110">
      <c r="A110" s="9">
        <f>IFERROR(__xludf.DUMMYFUNCTION("""COMPUTED_VALUE"""),-19.353)</f>
        <v>-19.353</v>
      </c>
      <c r="B110" s="9">
        <f>IFERROR(__xludf.DUMMYFUNCTION("""COMPUTED_VALUE"""),80.019)</f>
        <v>80.019</v>
      </c>
    </row>
    <row r="111">
      <c r="A111" s="9">
        <f>IFERROR(__xludf.DUMMYFUNCTION("""COMPUTED_VALUE"""),-14.968)</f>
        <v>-14.968</v>
      </c>
      <c r="B111" s="9">
        <f>IFERROR(__xludf.DUMMYFUNCTION("""COMPUTED_VALUE"""),130.277)</f>
        <v>130.277</v>
      </c>
    </row>
    <row r="112">
      <c r="A112" s="9">
        <f>IFERROR(__xludf.DUMMYFUNCTION("""COMPUTED_VALUE"""),-9.935)</f>
        <v>-9.935</v>
      </c>
      <c r="B112" s="9">
        <f>IFERROR(__xludf.DUMMYFUNCTION("""COMPUTED_VALUE"""),91.844)</f>
        <v>91.844</v>
      </c>
    </row>
    <row r="113">
      <c r="A113" s="9">
        <f>IFERROR(__xludf.DUMMYFUNCTION("""COMPUTED_VALUE"""),-22.459)</f>
        <v>-22.459</v>
      </c>
      <c r="B113" s="9">
        <f>IFERROR(__xludf.DUMMYFUNCTION("""COMPUTED_VALUE"""),116.178)</f>
        <v>116.178</v>
      </c>
    </row>
    <row r="114">
      <c r="A114" s="9">
        <f>IFERROR(__xludf.DUMMYFUNCTION("""COMPUTED_VALUE"""),-23.757)</f>
        <v>-23.757</v>
      </c>
      <c r="B114" s="9">
        <f>IFERROR(__xludf.DUMMYFUNCTION("""COMPUTED_VALUE"""),56.708)</f>
        <v>56.708</v>
      </c>
    </row>
    <row r="115">
      <c r="A115" s="9">
        <f>IFERROR(__xludf.DUMMYFUNCTION("""COMPUTED_VALUE"""),-21.677)</f>
        <v>-21.677</v>
      </c>
      <c r="B115" s="9">
        <f>IFERROR(__xludf.DUMMYFUNCTION("""COMPUTED_VALUE"""),95.083)</f>
        <v>95.083</v>
      </c>
    </row>
    <row r="116">
      <c r="A116" s="9">
        <f>IFERROR(__xludf.DUMMYFUNCTION("""COMPUTED_VALUE"""),-22.127)</f>
        <v>-22.127</v>
      </c>
      <c r="B116" s="9">
        <f>IFERROR(__xludf.DUMMYFUNCTION("""COMPUTED_VALUE"""),88.582)</f>
        <v>88.582</v>
      </c>
    </row>
    <row r="117">
      <c r="A117" s="9">
        <f>IFERROR(__xludf.DUMMYFUNCTION("""COMPUTED_VALUE"""),-29.86)</f>
        <v>-29.86</v>
      </c>
      <c r="B117" s="9">
        <f>IFERROR(__xludf.DUMMYFUNCTION("""COMPUTED_VALUE"""),65.61)</f>
        <v>65.61</v>
      </c>
    </row>
    <row r="118">
      <c r="A118" s="9">
        <f>IFERROR(__xludf.DUMMYFUNCTION("""COMPUTED_VALUE"""),-23.841)</f>
        <v>-23.841</v>
      </c>
      <c r="B118" s="9">
        <f>IFERROR(__xludf.DUMMYFUNCTION("""COMPUTED_VALUE"""),88.316)</f>
        <v>88.316</v>
      </c>
    </row>
    <row r="119">
      <c r="A119" s="9">
        <f>IFERROR(__xludf.DUMMYFUNCTION("""COMPUTED_VALUE"""),-27.021)</f>
        <v>-27.021</v>
      </c>
      <c r="B119" s="9">
        <f>IFERROR(__xludf.DUMMYFUNCTION("""COMPUTED_VALUE"""),75.664)</f>
        <v>75.664</v>
      </c>
    </row>
    <row r="120">
      <c r="A120" s="9">
        <f>IFERROR(__xludf.DUMMYFUNCTION("""COMPUTED_VALUE"""),-23.632)</f>
        <v>-23.632</v>
      </c>
      <c r="B120" s="9">
        <f>IFERROR(__xludf.DUMMYFUNCTION("""COMPUTED_VALUE"""),105.361)</f>
        <v>105.361</v>
      </c>
    </row>
    <row r="121">
      <c r="A121" s="9">
        <f>IFERROR(__xludf.DUMMYFUNCTION("""COMPUTED_VALUE"""),-10.052)</f>
        <v>-10.052</v>
      </c>
      <c r="B121" s="9">
        <f>IFERROR(__xludf.DUMMYFUNCTION("""COMPUTED_VALUE"""),73.138)</f>
        <v>73.138</v>
      </c>
    </row>
    <row r="122">
      <c r="A122" s="9">
        <f>IFERROR(__xludf.DUMMYFUNCTION("""COMPUTED_VALUE"""),-35.69)</f>
        <v>-35.69</v>
      </c>
      <c r="B122" s="9">
        <f>IFERROR(__xludf.DUMMYFUNCTION("""COMPUTED_VALUE"""),81.324)</f>
        <v>81.324</v>
      </c>
    </row>
    <row r="123">
      <c r="A123" s="9">
        <f>IFERROR(__xludf.DUMMYFUNCTION("""COMPUTED_VALUE"""),-29.008)</f>
        <v>-29.008</v>
      </c>
      <c r="B123" s="9">
        <f>IFERROR(__xludf.DUMMYFUNCTION("""COMPUTED_VALUE"""),80.16)</f>
        <v>80.16</v>
      </c>
    </row>
    <row r="124">
      <c r="A124" s="9">
        <f>IFERROR(__xludf.DUMMYFUNCTION("""COMPUTED_VALUE"""),-26.088)</f>
        <v>-26.088</v>
      </c>
      <c r="B124" s="9">
        <f>IFERROR(__xludf.DUMMYFUNCTION("""COMPUTED_VALUE"""),88.047)</f>
        <v>88.047</v>
      </c>
    </row>
    <row r="125">
      <c r="A125" s="9">
        <f>IFERROR(__xludf.DUMMYFUNCTION("""COMPUTED_VALUE"""),-23.96)</f>
        <v>-23.96</v>
      </c>
      <c r="B125" s="9">
        <f>IFERROR(__xludf.DUMMYFUNCTION("""COMPUTED_VALUE"""),65.598)</f>
        <v>65.598</v>
      </c>
    </row>
    <row r="126">
      <c r="A126" s="9">
        <f>IFERROR(__xludf.DUMMYFUNCTION("""COMPUTED_VALUE"""),-15.892)</f>
        <v>-15.892</v>
      </c>
      <c r="B126" s="9">
        <f>IFERROR(__xludf.DUMMYFUNCTION("""COMPUTED_VALUE"""),139.144)</f>
        <v>139.144</v>
      </c>
    </row>
    <row r="127">
      <c r="A127" s="9">
        <f>IFERROR(__xludf.DUMMYFUNCTION("""COMPUTED_VALUE"""),-13.964)</f>
        <v>-13.964</v>
      </c>
      <c r="B127" s="9">
        <f>IFERROR(__xludf.DUMMYFUNCTION("""COMPUTED_VALUE"""),122.728)</f>
        <v>122.728</v>
      </c>
    </row>
    <row r="128">
      <c r="A128" s="9">
        <f>IFERROR(__xludf.DUMMYFUNCTION("""COMPUTED_VALUE"""),-38.181)</f>
        <v>-38.181</v>
      </c>
      <c r="B128" s="9">
        <f>IFERROR(__xludf.DUMMYFUNCTION("""COMPUTED_VALUE"""),65.111)</f>
        <v>65.111</v>
      </c>
    </row>
    <row r="129">
      <c r="A129" s="9">
        <f>IFERROR(__xludf.DUMMYFUNCTION("""COMPUTED_VALUE"""),-39.307)</f>
        <v>-39.307</v>
      </c>
      <c r="B129" s="9">
        <f>IFERROR(__xludf.DUMMYFUNCTION("""COMPUTED_VALUE"""),176.976)</f>
        <v>176.976</v>
      </c>
    </row>
    <row r="130">
      <c r="A130" s="9">
        <f>IFERROR(__xludf.DUMMYFUNCTION("""COMPUTED_VALUE"""),-11.225)</f>
        <v>-11.225</v>
      </c>
      <c r="B130" s="9">
        <f>IFERROR(__xludf.DUMMYFUNCTION("""COMPUTED_VALUE"""),90.392)</f>
        <v>90.392</v>
      </c>
    </row>
    <row r="131">
      <c r="A131" s="9">
        <f>IFERROR(__xludf.DUMMYFUNCTION("""COMPUTED_VALUE"""),-25.879)</f>
        <v>-25.879</v>
      </c>
      <c r="B131" s="9">
        <f>IFERROR(__xludf.DUMMYFUNCTION("""COMPUTED_VALUE"""),71.947)</f>
        <v>71.947</v>
      </c>
    </row>
    <row r="132">
      <c r="A132" s="9">
        <f>IFERROR(__xludf.DUMMYFUNCTION("""COMPUTED_VALUE"""),-13.378)</f>
        <v>-13.378</v>
      </c>
      <c r="B132" s="9">
        <f>IFERROR(__xludf.DUMMYFUNCTION("""COMPUTED_VALUE"""),106.269)</f>
        <v>106.269</v>
      </c>
    </row>
    <row r="133">
      <c r="A133" s="9">
        <f>IFERROR(__xludf.DUMMYFUNCTION("""COMPUTED_VALUE"""),-36.164)</f>
        <v>-36.164</v>
      </c>
      <c r="B133" s="9">
        <f>IFERROR(__xludf.DUMMYFUNCTION("""COMPUTED_VALUE"""),78.806)</f>
        <v>78.806</v>
      </c>
    </row>
    <row r="134">
      <c r="A134" s="9">
        <f>IFERROR(__xludf.DUMMYFUNCTION("""COMPUTED_VALUE"""),-26.895)</f>
        <v>-26.895</v>
      </c>
      <c r="B134" s="9">
        <f>IFERROR(__xludf.DUMMYFUNCTION("""COMPUTED_VALUE"""),97.234)</f>
        <v>97.234</v>
      </c>
    </row>
    <row r="135">
      <c r="A135" s="9">
        <f>IFERROR(__xludf.DUMMYFUNCTION("""COMPUTED_VALUE"""),-18.319)</f>
        <v>-18.319</v>
      </c>
      <c r="B135" s="9">
        <f>IFERROR(__xludf.DUMMYFUNCTION("""COMPUTED_VALUE"""),147.885)</f>
        <v>147.885</v>
      </c>
    </row>
    <row r="136">
      <c r="A136" s="9">
        <f>IFERROR(__xludf.DUMMYFUNCTION("""COMPUTED_VALUE"""),-17.139)</f>
        <v>-17.139</v>
      </c>
      <c r="B136" s="9">
        <f>IFERROR(__xludf.DUMMYFUNCTION("""COMPUTED_VALUE"""),129.121)</f>
        <v>129.121</v>
      </c>
    </row>
    <row r="137">
      <c r="A137" s="9"/>
      <c r="B137" s="9"/>
    </row>
    <row r="138">
      <c r="A138" s="9">
        <f>IFERROR(__xludf.DUMMYFUNCTION("""COMPUTED_VALUE"""),-18.249)</f>
        <v>-18.249</v>
      </c>
      <c r="B138" s="9">
        <f>IFERROR(__xludf.DUMMYFUNCTION("""COMPUTED_VALUE"""),162.078)</f>
        <v>162.078</v>
      </c>
    </row>
    <row r="139">
      <c r="A139" s="9">
        <f>IFERROR(__xludf.DUMMYFUNCTION("""COMPUTED_VALUE"""),-19.136)</f>
        <v>-19.136</v>
      </c>
      <c r="B139" s="9">
        <f>IFERROR(__xludf.DUMMYFUNCTION("""COMPUTED_VALUE"""),75.282)</f>
        <v>75.282</v>
      </c>
    </row>
    <row r="140">
      <c r="A140" s="9">
        <f>IFERROR(__xludf.DUMMYFUNCTION("""COMPUTED_VALUE"""),-24.894)</f>
        <v>-24.894</v>
      </c>
      <c r="B140" s="9">
        <f>IFERROR(__xludf.DUMMYFUNCTION("""COMPUTED_VALUE"""),73.823)</f>
        <v>73.823</v>
      </c>
    </row>
    <row r="141">
      <c r="A141" s="9">
        <f>IFERROR(__xludf.DUMMYFUNCTION("""COMPUTED_VALUE"""),-29.915)</f>
        <v>-29.915</v>
      </c>
      <c r="B141" s="9">
        <f>IFERROR(__xludf.DUMMYFUNCTION("""COMPUTED_VALUE"""),82.159)</f>
        <v>82.159</v>
      </c>
    </row>
    <row r="142">
      <c r="A142" s="9">
        <f>IFERROR(__xludf.DUMMYFUNCTION("""COMPUTED_VALUE"""),-6.838)</f>
        <v>-6.838</v>
      </c>
      <c r="B142" s="9">
        <f>IFERROR(__xludf.DUMMYFUNCTION("""COMPUTED_VALUE"""),129.964)</f>
        <v>129.964</v>
      </c>
    </row>
    <row r="143">
      <c r="A143" s="9">
        <f>IFERROR(__xludf.DUMMYFUNCTION("""COMPUTED_VALUE"""),-9.038)</f>
        <v>-9.038</v>
      </c>
      <c r="B143" s="9">
        <f>IFERROR(__xludf.DUMMYFUNCTION("""COMPUTED_VALUE"""),119.733)</f>
        <v>119.733</v>
      </c>
    </row>
    <row r="144">
      <c r="A144" s="9">
        <f>IFERROR(__xludf.DUMMYFUNCTION("""COMPUTED_VALUE"""),-25.524)</f>
        <v>-25.524</v>
      </c>
      <c r="B144" s="9">
        <f>IFERROR(__xludf.DUMMYFUNCTION("""COMPUTED_VALUE"""),170.933)</f>
        <v>170.933</v>
      </c>
    </row>
    <row r="145">
      <c r="A145" s="9">
        <f>IFERROR(__xludf.DUMMYFUNCTION("""COMPUTED_VALUE"""),-18.155)</f>
        <v>-18.155</v>
      </c>
      <c r="B145" s="9">
        <f>IFERROR(__xludf.DUMMYFUNCTION("""COMPUTED_VALUE"""),85.236)</f>
        <v>85.236</v>
      </c>
    </row>
    <row r="146">
      <c r="A146" s="9">
        <f>IFERROR(__xludf.DUMMYFUNCTION("""COMPUTED_VALUE"""),-21.192)</f>
        <v>-21.192</v>
      </c>
      <c r="B146" s="9">
        <f>IFERROR(__xludf.DUMMYFUNCTION("""COMPUTED_VALUE"""),75.813)</f>
        <v>75.813</v>
      </c>
    </row>
    <row r="147">
      <c r="A147" s="9">
        <f>IFERROR(__xludf.DUMMYFUNCTION("""COMPUTED_VALUE"""),-10.704)</f>
        <v>-10.704</v>
      </c>
      <c r="B147" s="9">
        <f>IFERROR(__xludf.DUMMYFUNCTION("""COMPUTED_VALUE"""),111.898)</f>
        <v>111.898</v>
      </c>
    </row>
    <row r="148">
      <c r="A148" s="9">
        <f>IFERROR(__xludf.DUMMYFUNCTION("""COMPUTED_VALUE"""),-11.612)</f>
        <v>-11.612</v>
      </c>
      <c r="B148" s="9">
        <f>IFERROR(__xludf.DUMMYFUNCTION("""COMPUTED_VALUE"""),137.111)</f>
        <v>137.111</v>
      </c>
    </row>
    <row r="149">
      <c r="A149" s="9">
        <f>IFERROR(__xludf.DUMMYFUNCTION("""COMPUTED_VALUE"""),-17.94)</f>
        <v>-17.94</v>
      </c>
      <c r="B149" s="9">
        <f>IFERROR(__xludf.DUMMYFUNCTION("""COMPUTED_VALUE"""),83.661)</f>
        <v>83.661</v>
      </c>
    </row>
    <row r="150">
      <c r="A150" s="9">
        <f>IFERROR(__xludf.DUMMYFUNCTION("""COMPUTED_VALUE"""),-17.731)</f>
        <v>-17.731</v>
      </c>
      <c r="B150" s="9">
        <f>IFERROR(__xludf.DUMMYFUNCTION("""COMPUTED_VALUE"""),81.303)</f>
        <v>81.303</v>
      </c>
    </row>
    <row r="151">
      <c r="A151" s="9">
        <f>IFERROR(__xludf.DUMMYFUNCTION("""COMPUTED_VALUE"""),-21.524)</f>
        <v>-21.524</v>
      </c>
      <c r="B151" s="9">
        <f>IFERROR(__xludf.DUMMYFUNCTION("""COMPUTED_VALUE"""),104.311)</f>
        <v>104.311</v>
      </c>
    </row>
    <row r="152">
      <c r="A152" s="9">
        <f>IFERROR(__xludf.DUMMYFUNCTION("""COMPUTED_VALUE"""),-14.301)</f>
        <v>-14.301</v>
      </c>
      <c r="B152" s="9">
        <f>IFERROR(__xludf.DUMMYFUNCTION("""COMPUTED_VALUE"""),171.288)</f>
        <v>171.288</v>
      </c>
    </row>
    <row r="153">
      <c r="A153" s="9">
        <f>IFERROR(__xludf.DUMMYFUNCTION("""COMPUTED_VALUE"""),-20.109)</f>
        <v>-20.109</v>
      </c>
      <c r="B153" s="9">
        <f>IFERROR(__xludf.DUMMYFUNCTION("""COMPUTED_VALUE"""),65.689)</f>
        <v>65.689</v>
      </c>
    </row>
    <row r="154">
      <c r="A154" s="9">
        <f>IFERROR(__xludf.DUMMYFUNCTION("""COMPUTED_VALUE"""),-20.553)</f>
        <v>-20.553</v>
      </c>
      <c r="B154" s="9">
        <f>IFERROR(__xludf.DUMMYFUNCTION("""COMPUTED_VALUE"""),78.577)</f>
        <v>78.577</v>
      </c>
    </row>
    <row r="155">
      <c r="A155" s="9">
        <f>IFERROR(__xludf.DUMMYFUNCTION("""COMPUTED_VALUE"""),-14.503)</f>
        <v>-14.503</v>
      </c>
      <c r="B155" s="9">
        <f>IFERROR(__xludf.DUMMYFUNCTION("""COMPUTED_VALUE"""),84.198)</f>
        <v>84.198</v>
      </c>
    </row>
    <row r="156">
      <c r="A156" s="9">
        <f>IFERROR(__xludf.DUMMYFUNCTION("""COMPUTED_VALUE"""),-3.506)</f>
        <v>-3.506</v>
      </c>
      <c r="B156" s="9">
        <f>IFERROR(__xludf.DUMMYFUNCTION("""COMPUTED_VALUE"""),98.976)</f>
        <v>98.976</v>
      </c>
    </row>
    <row r="157">
      <c r="A157" s="9">
        <f>IFERROR(__xludf.DUMMYFUNCTION("""COMPUTED_VALUE"""),-8.879)</f>
        <v>-8.879</v>
      </c>
      <c r="B157" s="9">
        <f>IFERROR(__xludf.DUMMYFUNCTION("""COMPUTED_VALUE"""),66.78)</f>
        <v>66.78</v>
      </c>
    </row>
    <row r="158">
      <c r="A158" s="9">
        <f>IFERROR(__xludf.DUMMYFUNCTION("""COMPUTED_VALUE"""),-13.264)</f>
        <v>-13.264</v>
      </c>
      <c r="B158" s="9">
        <f>IFERROR(__xludf.DUMMYFUNCTION("""COMPUTED_VALUE"""),141.437)</f>
        <v>141.437</v>
      </c>
    </row>
    <row r="159">
      <c r="A159" s="9">
        <f>IFERROR(__xludf.DUMMYFUNCTION("""COMPUTED_VALUE"""),-13.955)</f>
        <v>-13.955</v>
      </c>
      <c r="B159" s="9">
        <f>IFERROR(__xludf.DUMMYFUNCTION("""COMPUTED_VALUE"""),133.805)</f>
        <v>133.805</v>
      </c>
    </row>
    <row r="160">
      <c r="A160" s="9">
        <f>IFERROR(__xludf.DUMMYFUNCTION("""COMPUTED_VALUE"""),-18.278)</f>
        <v>-18.278</v>
      </c>
      <c r="B160" s="9">
        <f>IFERROR(__xludf.DUMMYFUNCTION("""COMPUTED_VALUE"""),80.611)</f>
        <v>80.611</v>
      </c>
    </row>
    <row r="161">
      <c r="A161" s="9">
        <f>IFERROR(__xludf.DUMMYFUNCTION("""COMPUTED_VALUE"""),-12.058)</f>
        <v>-12.058</v>
      </c>
      <c r="B161" s="9">
        <f>IFERROR(__xludf.DUMMYFUNCTION("""COMPUTED_VALUE"""),110.6)</f>
        <v>110.6</v>
      </c>
    </row>
    <row r="162">
      <c r="A162" s="9">
        <f>IFERROR(__xludf.DUMMYFUNCTION("""COMPUTED_VALUE"""),-19.301)</f>
        <v>-19.301</v>
      </c>
      <c r="B162" s="9">
        <f>IFERROR(__xludf.DUMMYFUNCTION("""COMPUTED_VALUE"""),77.148)</f>
        <v>77.148</v>
      </c>
    </row>
    <row r="163">
      <c r="A163" s="9">
        <f>IFERROR(__xludf.DUMMYFUNCTION("""COMPUTED_VALUE"""),-16.671)</f>
        <v>-16.671</v>
      </c>
      <c r="B163" s="9">
        <f>IFERROR(__xludf.DUMMYFUNCTION("""COMPUTED_VALUE"""),130.91)</f>
        <v>130.91</v>
      </c>
    </row>
    <row r="164">
      <c r="A164" s="9">
        <f>IFERROR(__xludf.DUMMYFUNCTION("""COMPUTED_VALUE"""),-21.472)</f>
        <v>-21.472</v>
      </c>
      <c r="B164" s="9">
        <f>IFERROR(__xludf.DUMMYFUNCTION("""COMPUTED_VALUE"""),98.531)</f>
        <v>98.531</v>
      </c>
    </row>
    <row r="165">
      <c r="A165" s="9">
        <f>IFERROR(__xludf.DUMMYFUNCTION("""COMPUTED_VALUE"""),-4.865)</f>
        <v>-4.865</v>
      </c>
      <c r="B165" s="9">
        <f>IFERROR(__xludf.DUMMYFUNCTION("""COMPUTED_VALUE"""),177.844)</f>
        <v>177.844</v>
      </c>
    </row>
    <row r="166">
      <c r="A166" s="9">
        <f>IFERROR(__xludf.DUMMYFUNCTION("""COMPUTED_VALUE"""),-21.669)</f>
        <v>-21.669</v>
      </c>
      <c r="B166" s="9">
        <f>IFERROR(__xludf.DUMMYFUNCTION("""COMPUTED_VALUE"""),65.602)</f>
        <v>65.602</v>
      </c>
    </row>
    <row r="167">
      <c r="A167" s="9">
        <f>IFERROR(__xludf.DUMMYFUNCTION("""COMPUTED_VALUE"""),-24.519)</f>
        <v>-24.519</v>
      </c>
      <c r="B167" s="9">
        <f>IFERROR(__xludf.DUMMYFUNCTION("""COMPUTED_VALUE"""),97.35)</f>
        <v>97.35</v>
      </c>
    </row>
    <row r="168">
      <c r="A168" s="9">
        <f>IFERROR(__xludf.DUMMYFUNCTION("""COMPUTED_VALUE"""),-8.464)</f>
        <v>-8.464</v>
      </c>
      <c r="B168" s="9">
        <f>IFERROR(__xludf.DUMMYFUNCTION("""COMPUTED_VALUE"""),138.535)</f>
        <v>138.535</v>
      </c>
    </row>
    <row r="169">
      <c r="A169" s="9">
        <f>IFERROR(__xludf.DUMMYFUNCTION("""COMPUTED_VALUE"""),-7.458)</f>
        <v>-7.458</v>
      </c>
      <c r="B169" s="9">
        <f>IFERROR(__xludf.DUMMYFUNCTION("""COMPUTED_VALUE"""),128.498)</f>
        <v>128.498</v>
      </c>
    </row>
    <row r="170">
      <c r="A170" s="9">
        <f>IFERROR(__xludf.DUMMYFUNCTION("""COMPUTED_VALUE"""),-21.578)</f>
        <v>-21.578</v>
      </c>
      <c r="B170" s="9">
        <f>IFERROR(__xludf.DUMMYFUNCTION("""COMPUTED_VALUE"""),133.399)</f>
        <v>133.399</v>
      </c>
    </row>
    <row r="171">
      <c r="A171" s="9">
        <f>IFERROR(__xludf.DUMMYFUNCTION("""COMPUTED_VALUE"""),-20.364)</f>
        <v>-20.364</v>
      </c>
      <c r="B171" s="9">
        <f>IFERROR(__xludf.DUMMYFUNCTION("""COMPUTED_VALUE"""),125.147)</f>
        <v>125.147</v>
      </c>
    </row>
    <row r="172">
      <c r="A172" s="9">
        <f>IFERROR(__xludf.DUMMYFUNCTION("""COMPUTED_VALUE"""),-13.112)</f>
        <v>-13.112</v>
      </c>
      <c r="B172" s="9">
        <f>IFERROR(__xludf.DUMMYFUNCTION("""COMPUTED_VALUE"""),74.493)</f>
        <v>74.493</v>
      </c>
    </row>
    <row r="173">
      <c r="A173" s="9">
        <f>IFERROR(__xludf.DUMMYFUNCTION("""COMPUTED_VALUE"""),-12.535)</f>
        <v>-12.535</v>
      </c>
      <c r="B173" s="9">
        <f>IFERROR(__xludf.DUMMYFUNCTION("""COMPUTED_VALUE"""),82.616)</f>
        <v>82.616</v>
      </c>
    </row>
    <row r="174">
      <c r="A174" s="9">
        <f>IFERROR(__xludf.DUMMYFUNCTION("""COMPUTED_VALUE"""),-16.157)</f>
        <v>-16.157</v>
      </c>
      <c r="B174" s="9">
        <f>IFERROR(__xludf.DUMMYFUNCTION("""COMPUTED_VALUE"""),74.023)</f>
        <v>74.023</v>
      </c>
    </row>
    <row r="175">
      <c r="A175" s="9">
        <f>IFERROR(__xludf.DUMMYFUNCTION("""COMPUTED_VALUE"""),-13.336)</f>
        <v>-13.336</v>
      </c>
      <c r="B175" s="9">
        <f>IFERROR(__xludf.DUMMYFUNCTION("""COMPUTED_VALUE"""),119.534)</f>
        <v>119.534</v>
      </c>
    </row>
    <row r="176">
      <c r="A176" s="9">
        <f>IFERROR(__xludf.DUMMYFUNCTION("""COMPUTED_VALUE"""),-12.584)</f>
        <v>-12.584</v>
      </c>
      <c r="B176" s="9">
        <f>IFERROR(__xludf.DUMMYFUNCTION("""COMPUTED_VALUE"""),144.366)</f>
        <v>144.366</v>
      </c>
    </row>
    <row r="177">
      <c r="A177" s="9">
        <f>IFERROR(__xludf.DUMMYFUNCTION("""COMPUTED_VALUE"""),-10.638)</f>
        <v>-10.638</v>
      </c>
      <c r="B177" s="9">
        <f>IFERROR(__xludf.DUMMYFUNCTION("""COMPUTED_VALUE"""),102.438)</f>
        <v>102.438</v>
      </c>
    </row>
    <row r="178">
      <c r="A178" s="9">
        <f>IFERROR(__xludf.DUMMYFUNCTION("""COMPUTED_VALUE"""),-15.006)</f>
        <v>-15.006</v>
      </c>
      <c r="B178" s="9">
        <f>IFERROR(__xludf.DUMMYFUNCTION("""COMPUTED_VALUE"""),83.193)</f>
        <v>83.193</v>
      </c>
    </row>
    <row r="179">
      <c r="A179" s="9">
        <f>IFERROR(__xludf.DUMMYFUNCTION("""COMPUTED_VALUE"""),-8.475)</f>
        <v>-8.475</v>
      </c>
      <c r="B179" s="9">
        <f>IFERROR(__xludf.DUMMYFUNCTION("""COMPUTED_VALUE"""),116.28)</f>
        <v>116.28</v>
      </c>
    </row>
    <row r="180">
      <c r="A180" s="9">
        <f>IFERROR(__xludf.DUMMYFUNCTION("""COMPUTED_VALUE"""),-7.257)</f>
        <v>-7.257</v>
      </c>
      <c r="B180" s="9">
        <f>IFERROR(__xludf.DUMMYFUNCTION("""COMPUTED_VALUE"""),108.467)</f>
        <v>108.467</v>
      </c>
    </row>
    <row r="181">
      <c r="A181" s="9">
        <f>IFERROR(__xludf.DUMMYFUNCTION("""COMPUTED_VALUE"""),-12.822)</f>
        <v>-12.822</v>
      </c>
      <c r="B181" s="9">
        <f>IFERROR(__xludf.DUMMYFUNCTION("""COMPUTED_VALUE"""),169.891)</f>
        <v>169.891</v>
      </c>
    </row>
    <row r="182">
      <c r="A182" s="9">
        <f>IFERROR(__xludf.DUMMYFUNCTION("""COMPUTED_VALUE"""),-16.645)</f>
        <v>-16.645</v>
      </c>
      <c r="B182" s="9">
        <f>IFERROR(__xludf.DUMMYFUNCTION("""COMPUTED_VALUE"""),63.841)</f>
        <v>63.841</v>
      </c>
    </row>
    <row r="183">
      <c r="A183" s="9">
        <f>IFERROR(__xludf.DUMMYFUNCTION("""COMPUTED_VALUE"""),-14.931)</f>
        <v>-14.931</v>
      </c>
      <c r="B183" s="9">
        <f>IFERROR(__xludf.DUMMYFUNCTION("""COMPUTED_VALUE"""),127.305)</f>
        <v>127.305</v>
      </c>
    </row>
    <row r="184">
      <c r="A184" s="9">
        <f>IFERROR(__xludf.DUMMYFUNCTION("""COMPUTED_VALUE"""),-9.478)</f>
        <v>-9.478</v>
      </c>
      <c r="B184" s="9">
        <f>IFERROR(__xludf.DUMMYFUNCTION("""COMPUTED_VALUE"""),109.372)</f>
        <v>109.372</v>
      </c>
    </row>
    <row r="185">
      <c r="A185" s="9">
        <f>IFERROR(__xludf.DUMMYFUNCTION("""COMPUTED_VALUE"""),-7.313)</f>
        <v>-7.313</v>
      </c>
      <c r="B185" s="9">
        <f>IFERROR(__xludf.DUMMYFUNCTION("""COMPUTED_VALUE"""),101.022)</f>
        <v>101.022</v>
      </c>
    </row>
    <row r="186">
      <c r="A186" s="9">
        <f>IFERROR(__xludf.DUMMYFUNCTION("""COMPUTED_VALUE"""),-13.713)</f>
        <v>-13.713</v>
      </c>
      <c r="B186" s="9">
        <f>IFERROR(__xludf.DUMMYFUNCTION("""COMPUTED_VALUE"""),113.336)</f>
        <v>113.336</v>
      </c>
    </row>
    <row r="187">
      <c r="A187" s="9">
        <f>IFERROR(__xludf.DUMMYFUNCTION("""COMPUTED_VALUE"""),-17.862)</f>
        <v>-17.862</v>
      </c>
      <c r="B187" s="9">
        <f>IFERROR(__xludf.DUMMYFUNCTION("""COMPUTED_VALUE"""),112.795)</f>
        <v>112.795</v>
      </c>
    </row>
    <row r="188">
      <c r="A188" s="9">
        <f>IFERROR(__xludf.DUMMYFUNCTION("""COMPUTED_VALUE"""),-22.22)</f>
        <v>-22.22</v>
      </c>
      <c r="B188" s="9">
        <f>IFERROR(__xludf.DUMMYFUNCTION("""COMPUTED_VALUE"""),80.135)</f>
        <v>80.135</v>
      </c>
    </row>
    <row r="189">
      <c r="A189" s="9">
        <f>IFERROR(__xludf.DUMMYFUNCTION("""COMPUTED_VALUE"""),-17.782)</f>
        <v>-17.782</v>
      </c>
      <c r="B189" s="9">
        <f>IFERROR(__xludf.DUMMYFUNCTION("""COMPUTED_VALUE"""),132.245)</f>
        <v>132.245</v>
      </c>
    </row>
    <row r="190">
      <c r="A190" s="9">
        <f>IFERROR(__xludf.DUMMYFUNCTION("""COMPUTED_VALUE"""),-11.912)</f>
        <v>-11.912</v>
      </c>
      <c r="B190" s="9">
        <f>IFERROR(__xludf.DUMMYFUNCTION("""COMPUTED_VALUE"""),98.096)</f>
        <v>98.096</v>
      </c>
    </row>
    <row r="191">
      <c r="A191" s="9">
        <f>IFERROR(__xludf.DUMMYFUNCTION("""COMPUTED_VALUE"""),-25.943)</f>
        <v>-25.943</v>
      </c>
      <c r="B191" s="9">
        <f>IFERROR(__xludf.DUMMYFUNCTION("""COMPUTED_VALUE"""),73.2)</f>
        <v>73.2</v>
      </c>
    </row>
    <row r="192">
      <c r="A192" s="9">
        <f>IFERROR(__xludf.DUMMYFUNCTION("""COMPUTED_VALUE"""),-22.098)</f>
        <v>-22.098</v>
      </c>
      <c r="B192" s="9">
        <f>IFERROR(__xludf.DUMMYFUNCTION("""COMPUTED_VALUE"""),144.176)</f>
        <v>144.176</v>
      </c>
    </row>
    <row r="193">
      <c r="A193" s="9">
        <f>IFERROR(__xludf.DUMMYFUNCTION("""COMPUTED_VALUE"""),-9.995)</f>
        <v>-9.995</v>
      </c>
      <c r="B193" s="9">
        <f>IFERROR(__xludf.DUMMYFUNCTION("""COMPUTED_VALUE"""),141.454)</f>
        <v>141.454</v>
      </c>
    </row>
    <row r="194">
      <c r="A194" s="9">
        <f>IFERROR(__xludf.DUMMYFUNCTION("""COMPUTED_VALUE"""),-7.815)</f>
        <v>-7.815</v>
      </c>
      <c r="B194" s="9">
        <f>IFERROR(__xludf.DUMMYFUNCTION("""COMPUTED_VALUE"""),152.218)</f>
        <v>152.218</v>
      </c>
    </row>
    <row r="195">
      <c r="A195" s="9">
        <f>IFERROR(__xludf.DUMMYFUNCTION("""COMPUTED_VALUE"""),-12.603)</f>
        <v>-12.603</v>
      </c>
      <c r="B195" s="9">
        <f>IFERROR(__xludf.DUMMYFUNCTION("""COMPUTED_VALUE"""),68.868)</f>
        <v>68.868</v>
      </c>
    </row>
    <row r="196">
      <c r="A196" s="9">
        <f>IFERROR(__xludf.DUMMYFUNCTION("""COMPUTED_VALUE"""),-12.643)</f>
        <v>-12.643</v>
      </c>
      <c r="B196" s="9">
        <f>IFERROR(__xludf.DUMMYFUNCTION("""COMPUTED_VALUE"""),124.007)</f>
        <v>124.007</v>
      </c>
    </row>
    <row r="197">
      <c r="A197" s="9">
        <f>IFERROR(__xludf.DUMMYFUNCTION("""COMPUTED_VALUE"""),-9.433)</f>
        <v>-9.433</v>
      </c>
      <c r="B197" s="9">
        <f>IFERROR(__xludf.DUMMYFUNCTION("""COMPUTED_VALUE"""),182.349)</f>
        <v>182.349</v>
      </c>
    </row>
    <row r="198">
      <c r="A198" s="9">
        <f>IFERROR(__xludf.DUMMYFUNCTION("""COMPUTED_VALUE"""),-6.696)</f>
        <v>-6.696</v>
      </c>
      <c r="B198" s="9">
        <f>IFERROR(__xludf.DUMMYFUNCTION("""COMPUTED_VALUE"""),144.991)</f>
        <v>144.991</v>
      </c>
    </row>
    <row r="199">
      <c r="A199" s="9">
        <f>IFERROR(__xludf.DUMMYFUNCTION("""COMPUTED_VALUE"""),-7.268)</f>
        <v>-7.268</v>
      </c>
      <c r="B199" s="9">
        <f>IFERROR(__xludf.DUMMYFUNCTION("""COMPUTED_VALUE"""),139.99)</f>
        <v>139.99</v>
      </c>
    </row>
    <row r="200">
      <c r="A200" s="9">
        <f>IFERROR(__xludf.DUMMYFUNCTION("""COMPUTED_VALUE"""),-11.941)</f>
        <v>-11.941</v>
      </c>
      <c r="B200" s="9">
        <f>IFERROR(__xludf.DUMMYFUNCTION("""COMPUTED_VALUE"""),137.937)</f>
        <v>137.937</v>
      </c>
    </row>
    <row r="201">
      <c r="A201" s="9">
        <f>IFERROR(__xludf.DUMMYFUNCTION("""COMPUTED_VALUE"""),-7.68)</f>
        <v>-7.68</v>
      </c>
      <c r="B201" s="9">
        <f>IFERROR(__xludf.DUMMYFUNCTION("""COMPUTED_VALUE"""),144.99)</f>
        <v>144.99</v>
      </c>
    </row>
    <row r="202">
      <c r="A202" s="9">
        <f>IFERROR(__xludf.DUMMYFUNCTION("""COMPUTED_VALUE"""),-17.181)</f>
        <v>-17.181</v>
      </c>
      <c r="B202" s="9">
        <f>IFERROR(__xludf.DUMMYFUNCTION("""COMPUTED_VALUE"""),112.818)</f>
        <v>112.818</v>
      </c>
    </row>
    <row r="203">
      <c r="A203" s="9">
        <f>IFERROR(__xludf.DUMMYFUNCTION("""COMPUTED_VALUE"""),-7.965)</f>
        <v>-7.965</v>
      </c>
      <c r="B203" s="9">
        <f>IFERROR(__xludf.DUMMYFUNCTION("""COMPUTED_VALUE"""),71.011)</f>
        <v>71.011</v>
      </c>
    </row>
    <row r="204">
      <c r="A204" s="9">
        <f>IFERROR(__xludf.DUMMYFUNCTION("""COMPUTED_VALUE"""),-9.902)</f>
        <v>-9.902</v>
      </c>
      <c r="B204" s="9">
        <f>IFERROR(__xludf.DUMMYFUNCTION("""COMPUTED_VALUE"""),180.382)</f>
        <v>180.382</v>
      </c>
    </row>
    <row r="205">
      <c r="A205" s="9">
        <f>IFERROR(__xludf.DUMMYFUNCTION("""COMPUTED_VALUE"""),-11.105)</f>
        <v>-11.105</v>
      </c>
      <c r="B205" s="9">
        <f>IFERROR(__xludf.DUMMYFUNCTION("""COMPUTED_VALUE"""),139.871)</f>
        <v>139.871</v>
      </c>
    </row>
    <row r="206">
      <c r="A206" s="9">
        <f>IFERROR(__xludf.DUMMYFUNCTION("""COMPUTED_VALUE"""),-9.245)</f>
        <v>-9.245</v>
      </c>
      <c r="B206" s="9">
        <f>IFERROR(__xludf.DUMMYFUNCTION("""COMPUTED_VALUE"""),135.969)</f>
        <v>135.969</v>
      </c>
    </row>
    <row r="207">
      <c r="A207" s="9">
        <f>IFERROR(__xludf.DUMMYFUNCTION("""COMPUTED_VALUE"""),-7.289)</f>
        <v>-7.289</v>
      </c>
      <c r="B207" s="9">
        <f>IFERROR(__xludf.DUMMYFUNCTION("""COMPUTED_VALUE"""),128.618)</f>
        <v>128.618</v>
      </c>
    </row>
    <row r="208">
      <c r="A208" s="9">
        <f>IFERROR(__xludf.DUMMYFUNCTION("""COMPUTED_VALUE"""),-9.254)</f>
        <v>-9.254</v>
      </c>
      <c r="B208" s="9">
        <f>IFERROR(__xludf.DUMMYFUNCTION("""COMPUTED_VALUE"""),138.015)</f>
        <v>138.015</v>
      </c>
    </row>
    <row r="209">
      <c r="A209" s="9">
        <f>IFERROR(__xludf.DUMMYFUNCTION("""COMPUTED_VALUE"""),-4.093)</f>
        <v>-4.093</v>
      </c>
      <c r="B209" s="9">
        <f>IFERROR(__xludf.DUMMYFUNCTION("""COMPUTED_VALUE"""),122.717)</f>
        <v>122.717</v>
      </c>
    </row>
    <row r="210">
      <c r="A210" s="9">
        <f>IFERROR(__xludf.DUMMYFUNCTION("""COMPUTED_VALUE"""),-8.663)</f>
        <v>-8.663</v>
      </c>
      <c r="B210" s="9">
        <f>IFERROR(__xludf.DUMMYFUNCTION("""COMPUTED_VALUE"""),139.976)</f>
        <v>139.976</v>
      </c>
    </row>
    <row r="211">
      <c r="A211" s="9">
        <f>IFERROR(__xludf.DUMMYFUNCTION("""COMPUTED_VALUE"""),-10.064)</f>
        <v>-10.064</v>
      </c>
      <c r="B211" s="9">
        <f>IFERROR(__xludf.DUMMYFUNCTION("""COMPUTED_VALUE"""),140.02)</f>
        <v>140.02</v>
      </c>
    </row>
    <row r="212">
      <c r="A212" s="9">
        <f>IFERROR(__xludf.DUMMYFUNCTION("""COMPUTED_VALUE"""),-12.599)</f>
        <v>-12.599</v>
      </c>
      <c r="B212" s="9">
        <f>IFERROR(__xludf.DUMMYFUNCTION("""COMPUTED_VALUE"""),135.727)</f>
        <v>135.727</v>
      </c>
    </row>
    <row r="213">
      <c r="A213" s="9">
        <f>IFERROR(__xludf.DUMMYFUNCTION("""COMPUTED_VALUE"""),-4.784)</f>
        <v>-4.784</v>
      </c>
      <c r="B213" s="9">
        <f>IFERROR(__xludf.DUMMYFUNCTION("""COMPUTED_VALUE"""),150.199)</f>
        <v>150.199</v>
      </c>
    </row>
    <row r="214">
      <c r="A214" s="9">
        <f>IFERROR(__xludf.DUMMYFUNCTION("""COMPUTED_VALUE"""),-19.167)</f>
        <v>-19.167</v>
      </c>
      <c r="B214" s="9">
        <f>IFERROR(__xludf.DUMMYFUNCTION("""COMPUTED_VALUE"""),149.698)</f>
        <v>149.698</v>
      </c>
    </row>
    <row r="215">
      <c r="A215" s="9">
        <f>IFERROR(__xludf.DUMMYFUNCTION("""COMPUTED_VALUE"""),-15.631)</f>
        <v>-15.631</v>
      </c>
      <c r="B215" s="9">
        <f>IFERROR(__xludf.DUMMYFUNCTION("""COMPUTED_VALUE"""),75.766)</f>
        <v>75.766</v>
      </c>
    </row>
    <row r="216">
      <c r="A216" s="9">
        <f>IFERROR(__xludf.DUMMYFUNCTION("""COMPUTED_VALUE"""),-18.105)</f>
        <v>-18.105</v>
      </c>
      <c r="B216" s="9">
        <f>IFERROR(__xludf.DUMMYFUNCTION("""COMPUTED_VALUE"""),115.727)</f>
        <v>115.727</v>
      </c>
    </row>
    <row r="217">
      <c r="A217" s="9">
        <f>IFERROR(__xludf.DUMMYFUNCTION("""COMPUTED_VALUE"""),-16.946)</f>
        <v>-16.946</v>
      </c>
      <c r="B217" s="9">
        <f>IFERROR(__xludf.DUMMYFUNCTION("""COMPUTED_VALUE"""),75.179)</f>
        <v>75.179</v>
      </c>
    </row>
    <row r="218">
      <c r="A218" s="9">
        <f>IFERROR(__xludf.DUMMYFUNCTION("""COMPUTED_VALUE"""),-13.673)</f>
        <v>-13.673</v>
      </c>
      <c r="B218" s="9">
        <f>IFERROR(__xludf.DUMMYFUNCTION("""COMPUTED_VALUE"""),123.259)</f>
        <v>123.259</v>
      </c>
    </row>
    <row r="219">
      <c r="A219" s="9">
        <f>IFERROR(__xludf.DUMMYFUNCTION("""COMPUTED_VALUE"""),-13.744)</f>
        <v>-13.744</v>
      </c>
      <c r="B219" s="9">
        <f>IFERROR(__xludf.DUMMYFUNCTION("""COMPUTED_VALUE"""),82.803)</f>
        <v>82.803</v>
      </c>
    </row>
    <row r="220">
      <c r="A220" s="9">
        <f>IFERROR(__xludf.DUMMYFUNCTION("""COMPUTED_VALUE"""),-10.101)</f>
        <v>-10.101</v>
      </c>
      <c r="B220" s="9">
        <f>IFERROR(__xludf.DUMMYFUNCTION("""COMPUTED_VALUE"""),139.988)</f>
        <v>139.988</v>
      </c>
    </row>
    <row r="221">
      <c r="A221" s="9">
        <f>IFERROR(__xludf.DUMMYFUNCTION("""COMPUTED_VALUE"""),-9.049)</f>
        <v>-9.049</v>
      </c>
      <c r="B221" s="9">
        <f>IFERROR(__xludf.DUMMYFUNCTION("""COMPUTED_VALUE"""),94.011)</f>
        <v>94.011</v>
      </c>
    </row>
    <row r="222">
      <c r="A222" s="9">
        <f>IFERROR(__xludf.DUMMYFUNCTION("""COMPUTED_VALUE"""),-10.922)</f>
        <v>-10.922</v>
      </c>
      <c r="B222" s="9">
        <f>IFERROR(__xludf.DUMMYFUNCTION("""COMPUTED_VALUE"""),96.823)</f>
        <v>96.823</v>
      </c>
    </row>
    <row r="223">
      <c r="A223" s="9">
        <f>IFERROR(__xludf.DUMMYFUNCTION("""COMPUTED_VALUE"""),-13.251)</f>
        <v>-13.251</v>
      </c>
      <c r="B223" s="9">
        <f>IFERROR(__xludf.DUMMYFUNCTION("""COMPUTED_VALUE"""),93.699)</f>
        <v>93.699</v>
      </c>
    </row>
    <row r="224">
      <c r="A224" s="9">
        <f>IFERROR(__xludf.DUMMYFUNCTION("""COMPUTED_VALUE"""),-7.224)</f>
        <v>-7.224</v>
      </c>
      <c r="B224" s="9">
        <f>IFERROR(__xludf.DUMMYFUNCTION("""COMPUTED_VALUE"""),146.277)</f>
        <v>146.277</v>
      </c>
    </row>
    <row r="225">
      <c r="A225" s="9">
        <f>IFERROR(__xludf.DUMMYFUNCTION("""COMPUTED_VALUE"""),-13.319)</f>
        <v>-13.319</v>
      </c>
      <c r="B225" s="9">
        <f>IFERROR(__xludf.DUMMYFUNCTION("""COMPUTED_VALUE"""),107.763)</f>
        <v>107.763</v>
      </c>
    </row>
    <row r="226">
      <c r="A226" s="9">
        <f>IFERROR(__xludf.DUMMYFUNCTION("""COMPUTED_VALUE"""),-8.994)</f>
        <v>-8.994</v>
      </c>
      <c r="B226" s="9">
        <f>IFERROR(__xludf.DUMMYFUNCTION("""COMPUTED_VALUE"""),166.915)</f>
        <v>166.915</v>
      </c>
    </row>
    <row r="227">
      <c r="A227" s="9">
        <f>IFERROR(__xludf.DUMMYFUNCTION("""COMPUTED_VALUE"""),-9.206)</f>
        <v>-9.206</v>
      </c>
      <c r="B227" s="9">
        <f>IFERROR(__xludf.DUMMYFUNCTION("""COMPUTED_VALUE"""),130.388)</f>
        <v>130.388</v>
      </c>
    </row>
    <row r="228">
      <c r="A228" s="9">
        <f>IFERROR(__xludf.DUMMYFUNCTION("""COMPUTED_VALUE"""),-5.119)</f>
        <v>-5.119</v>
      </c>
      <c r="B228" s="9">
        <f>IFERROR(__xludf.DUMMYFUNCTION("""COMPUTED_VALUE"""),130.198)</f>
        <v>130.198</v>
      </c>
    </row>
    <row r="229">
      <c r="A229" s="9">
        <f>IFERROR(__xludf.DUMMYFUNCTION("""COMPUTED_VALUE"""),-4.097)</f>
        <v>-4.097</v>
      </c>
      <c r="B229" s="9">
        <f>IFERROR(__xludf.DUMMYFUNCTION("""COMPUTED_VALUE"""),174.323)</f>
        <v>174.323</v>
      </c>
    </row>
    <row r="230">
      <c r="A230" s="9">
        <f>IFERROR(__xludf.DUMMYFUNCTION("""COMPUTED_VALUE"""),-6.901)</f>
        <v>-6.901</v>
      </c>
      <c r="B230" s="9">
        <f>IFERROR(__xludf.DUMMYFUNCTION("""COMPUTED_VALUE"""),116.271)</f>
        <v>116.271</v>
      </c>
    </row>
    <row r="231">
      <c r="A231" s="9">
        <f>IFERROR(__xludf.DUMMYFUNCTION("""COMPUTED_VALUE"""),-16.092)</f>
        <v>-16.092</v>
      </c>
      <c r="B231" s="9">
        <f>IFERROR(__xludf.DUMMYFUNCTION("""COMPUTED_VALUE"""),117.131)</f>
        <v>117.131</v>
      </c>
    </row>
    <row r="232">
      <c r="A232" s="9">
        <f>IFERROR(__xludf.DUMMYFUNCTION("""COMPUTED_VALUE"""),-9.488)</f>
        <v>-9.488</v>
      </c>
      <c r="B232" s="9">
        <f>IFERROR(__xludf.DUMMYFUNCTION("""COMPUTED_VALUE"""),81.094)</f>
        <v>81.094</v>
      </c>
    </row>
    <row r="233">
      <c r="A233" s="9">
        <f>IFERROR(__xludf.DUMMYFUNCTION("""COMPUTED_VALUE"""),-11.917)</f>
        <v>-11.917</v>
      </c>
      <c r="B233" s="9">
        <f>IFERROR(__xludf.DUMMYFUNCTION("""COMPUTED_VALUE"""),103.996)</f>
        <v>103.996</v>
      </c>
    </row>
    <row r="234">
      <c r="A234" s="9">
        <f>IFERROR(__xludf.DUMMYFUNCTION("""COMPUTED_VALUE"""),-6.006)</f>
        <v>-6.006</v>
      </c>
      <c r="B234" s="9">
        <f>IFERROR(__xludf.DUMMYFUNCTION("""COMPUTED_VALUE"""),171.176)</f>
        <v>171.176</v>
      </c>
    </row>
    <row r="235">
      <c r="A235" s="9">
        <f>IFERROR(__xludf.DUMMYFUNCTION("""COMPUTED_VALUE"""),-5.541)</f>
        <v>-5.541</v>
      </c>
      <c r="B235" s="9">
        <f>IFERROR(__xludf.DUMMYFUNCTION("""COMPUTED_VALUE"""),141.283)</f>
        <v>141.283</v>
      </c>
    </row>
    <row r="236">
      <c r="A236" s="9">
        <f>IFERROR(__xludf.DUMMYFUNCTION("""COMPUTED_VALUE"""),-10.572)</f>
        <v>-10.572</v>
      </c>
      <c r="B236" s="9">
        <f>IFERROR(__xludf.DUMMYFUNCTION("""COMPUTED_VALUE"""),103.971)</f>
        <v>103.971</v>
      </c>
    </row>
    <row r="237">
      <c r="A237" s="9">
        <f>IFERROR(__xludf.DUMMYFUNCTION("""COMPUTED_VALUE"""),-15.523)</f>
        <v>-15.523</v>
      </c>
      <c r="B237" s="9">
        <f>IFERROR(__xludf.DUMMYFUNCTION("""COMPUTED_VALUE"""),103.951)</f>
        <v>103.951</v>
      </c>
    </row>
    <row r="238">
      <c r="A238" s="9">
        <f>IFERROR(__xludf.DUMMYFUNCTION("""COMPUTED_VALUE"""),-8.831)</f>
        <v>-8.831</v>
      </c>
      <c r="B238" s="9">
        <f>IFERROR(__xludf.DUMMYFUNCTION("""COMPUTED_VALUE"""),130.271)</f>
        <v>130.271</v>
      </c>
    </row>
    <row r="239">
      <c r="A239" s="9">
        <f>IFERROR(__xludf.DUMMYFUNCTION("""COMPUTED_VALUE"""),-5.887)</f>
        <v>-5.887</v>
      </c>
      <c r="B239" s="9">
        <f>IFERROR(__xludf.DUMMYFUNCTION("""COMPUTED_VALUE"""),130.141)</f>
        <v>130.141</v>
      </c>
    </row>
    <row r="240">
      <c r="A240" s="9">
        <f>IFERROR(__xludf.DUMMYFUNCTION("""COMPUTED_VALUE"""),-19.387)</f>
        <v>-19.387</v>
      </c>
      <c r="B240" s="9">
        <f>IFERROR(__xludf.DUMMYFUNCTION("""COMPUTED_VALUE"""),91.509)</f>
        <v>91.509</v>
      </c>
    </row>
    <row r="241">
      <c r="A241" s="9">
        <f>IFERROR(__xludf.DUMMYFUNCTION("""COMPUTED_VALUE"""),-7.604)</f>
        <v>-7.604</v>
      </c>
      <c r="B241" s="9">
        <f>IFERROR(__xludf.DUMMYFUNCTION("""COMPUTED_VALUE"""),139.627)</f>
        <v>139.627</v>
      </c>
    </row>
    <row r="242">
      <c r="A242" s="9">
        <f>IFERROR(__xludf.DUMMYFUNCTION("""COMPUTED_VALUE"""),-14.891)</f>
        <v>-14.891</v>
      </c>
      <c r="B242" s="9">
        <f>IFERROR(__xludf.DUMMYFUNCTION("""COMPUTED_VALUE"""),88.409)</f>
        <v>88.409</v>
      </c>
    </row>
    <row r="243">
      <c r="A243" s="9">
        <f>IFERROR(__xludf.DUMMYFUNCTION("""COMPUTED_VALUE"""),-15.126)</f>
        <v>-15.126</v>
      </c>
      <c r="B243" s="9">
        <f>IFERROR(__xludf.DUMMYFUNCTION("""COMPUTED_VALUE"""),155.531)</f>
        <v>155.531</v>
      </c>
    </row>
    <row r="244">
      <c r="A244" s="9">
        <f>IFERROR(__xludf.DUMMYFUNCTION("""COMPUTED_VALUE"""),-13.551)</f>
        <v>-13.551</v>
      </c>
      <c r="B244" s="9">
        <f>IFERROR(__xludf.DUMMYFUNCTION("""COMPUTED_VALUE"""),106.761)</f>
        <v>106.761</v>
      </c>
    </row>
    <row r="245">
      <c r="A245" s="9">
        <f>IFERROR(__xludf.DUMMYFUNCTION("""COMPUTED_VALUE"""),-21.545)</f>
        <v>-21.545</v>
      </c>
      <c r="B245" s="9">
        <f>IFERROR(__xludf.DUMMYFUNCTION("""COMPUTED_VALUE"""),99.452)</f>
        <v>99.452</v>
      </c>
    </row>
    <row r="246">
      <c r="A246" s="9">
        <f>IFERROR(__xludf.DUMMYFUNCTION("""COMPUTED_VALUE"""),-11.058)</f>
        <v>-11.058</v>
      </c>
      <c r="B246" s="9">
        <f>IFERROR(__xludf.DUMMYFUNCTION("""COMPUTED_VALUE"""),105.315)</f>
        <v>105.315</v>
      </c>
    </row>
    <row r="247">
      <c r="A247" s="9">
        <f>IFERROR(__xludf.DUMMYFUNCTION("""COMPUTED_VALUE"""),-15.657)</f>
        <v>-15.657</v>
      </c>
      <c r="B247" s="9">
        <f>IFERROR(__xludf.DUMMYFUNCTION("""COMPUTED_VALUE"""),71.433)</f>
        <v>71.433</v>
      </c>
    </row>
    <row r="248">
      <c r="A248" s="9">
        <f>IFERROR(__xludf.DUMMYFUNCTION("""COMPUTED_VALUE"""),-26.211)</f>
        <v>-26.211</v>
      </c>
      <c r="B248" s="9">
        <f>IFERROR(__xludf.DUMMYFUNCTION("""COMPUTED_VALUE"""),114.266)</f>
        <v>114.266</v>
      </c>
    </row>
    <row r="249">
      <c r="A249" s="9">
        <f>IFERROR(__xludf.DUMMYFUNCTION("""COMPUTED_VALUE"""),-4.122)</f>
        <v>-4.122</v>
      </c>
      <c r="B249" s="9">
        <f>IFERROR(__xludf.DUMMYFUNCTION("""COMPUTED_VALUE"""),131.64)</f>
        <v>131.64</v>
      </c>
    </row>
    <row r="250">
      <c r="A250" s="9">
        <f>IFERROR(__xludf.DUMMYFUNCTION("""COMPUTED_VALUE"""),-25.486)</f>
        <v>-25.486</v>
      </c>
      <c r="B250" s="9">
        <f>IFERROR(__xludf.DUMMYFUNCTION("""COMPUTED_VALUE"""),137.577)</f>
        <v>137.577</v>
      </c>
    </row>
    <row r="251">
      <c r="A251" s="9">
        <f>IFERROR(__xludf.DUMMYFUNCTION("""COMPUTED_VALUE"""),-22.945)</f>
        <v>-22.945</v>
      </c>
      <c r="B251" s="9">
        <f>IFERROR(__xludf.DUMMYFUNCTION("""COMPUTED_VALUE"""),95.417)</f>
        <v>95.417</v>
      </c>
    </row>
    <row r="252">
      <c r="A252" s="9">
        <f>IFERROR(__xludf.DUMMYFUNCTION("""COMPUTED_VALUE"""),-10.33)</f>
        <v>-10.33</v>
      </c>
      <c r="B252" s="9">
        <f>IFERROR(__xludf.DUMMYFUNCTION("""COMPUTED_VALUE"""),97.256)</f>
        <v>97.256</v>
      </c>
    </row>
    <row r="253">
      <c r="A253" s="9">
        <f>IFERROR(__xludf.DUMMYFUNCTION("""COMPUTED_VALUE"""),-19.998)</f>
        <v>-19.998</v>
      </c>
      <c r="B253" s="9">
        <f>IFERROR(__xludf.DUMMYFUNCTION("""COMPUTED_VALUE"""),81.475)</f>
        <v>81.475</v>
      </c>
    </row>
    <row r="254">
      <c r="A254" s="9">
        <f>IFERROR(__xludf.DUMMYFUNCTION("""COMPUTED_VALUE"""),-10.208)</f>
        <v>-10.208</v>
      </c>
      <c r="B254" s="9">
        <f>IFERROR(__xludf.DUMMYFUNCTION("""COMPUTED_VALUE"""),169.329)</f>
        <v>169.329</v>
      </c>
    </row>
    <row r="255">
      <c r="A255" s="9">
        <f>IFERROR(__xludf.DUMMYFUNCTION("""COMPUTED_VALUE"""),-9.184)</f>
        <v>-9.184</v>
      </c>
      <c r="B255" s="9">
        <f>IFERROR(__xludf.DUMMYFUNCTION("""COMPUTED_VALUE"""),150.634)</f>
        <v>150.634</v>
      </c>
    </row>
    <row r="256">
      <c r="A256" s="9">
        <f>IFERROR(__xludf.DUMMYFUNCTION("""COMPUTED_VALUE"""),-14.489)</f>
        <v>-14.489</v>
      </c>
      <c r="B256" s="9">
        <f>IFERROR(__xludf.DUMMYFUNCTION("""COMPUTED_VALUE"""),86.714)</f>
        <v>86.714</v>
      </c>
    </row>
    <row r="257">
      <c r="A257" s="9">
        <f>IFERROR(__xludf.DUMMYFUNCTION("""COMPUTED_VALUE"""),-19.813)</f>
        <v>-19.813</v>
      </c>
      <c r="B257" s="9">
        <f>IFERROR(__xludf.DUMMYFUNCTION("""COMPUTED_VALUE"""),88.286)</f>
        <v>88.286</v>
      </c>
    </row>
    <row r="258">
      <c r="A258" s="9">
        <f>IFERROR(__xludf.DUMMYFUNCTION("""COMPUTED_VALUE"""),-6.447)</f>
        <v>-6.447</v>
      </c>
      <c r="B258" s="9">
        <f>IFERROR(__xludf.DUMMYFUNCTION("""COMPUTED_VALUE"""),139.863)</f>
        <v>139.863</v>
      </c>
    </row>
    <row r="259">
      <c r="A259" s="9">
        <f>IFERROR(__xludf.DUMMYFUNCTION("""COMPUTED_VALUE"""),-17.842)</f>
        <v>-17.842</v>
      </c>
      <c r="B259" s="9">
        <f>IFERROR(__xludf.DUMMYFUNCTION("""COMPUTED_VALUE"""),136.616)</f>
        <v>136.616</v>
      </c>
    </row>
    <row r="260">
      <c r="A260" s="9">
        <f>IFERROR(__xludf.DUMMYFUNCTION("""COMPUTED_VALUE"""),-17.462)</f>
        <v>-17.462</v>
      </c>
      <c r="B260" s="9">
        <f>IFERROR(__xludf.DUMMYFUNCTION("""COMPUTED_VALUE"""),109.098)</f>
        <v>109.098</v>
      </c>
    </row>
    <row r="261">
      <c r="A261" s="9">
        <f>IFERROR(__xludf.DUMMYFUNCTION("""COMPUTED_VALUE"""),-17.417)</f>
        <v>-17.417</v>
      </c>
      <c r="B261" s="9">
        <f>IFERROR(__xludf.DUMMYFUNCTION("""COMPUTED_VALUE"""),134.808)</f>
        <v>134.808</v>
      </c>
    </row>
    <row r="262">
      <c r="A262" s="9">
        <f>IFERROR(__xludf.DUMMYFUNCTION("""COMPUTED_VALUE"""),-8.328)</f>
        <v>-8.328</v>
      </c>
      <c r="B262" s="9">
        <f>IFERROR(__xludf.DUMMYFUNCTION("""COMPUTED_VALUE"""),96.043)</f>
        <v>96.043</v>
      </c>
    </row>
    <row r="263">
      <c r="A263" s="9">
        <f>IFERROR(__xludf.DUMMYFUNCTION("""COMPUTED_VALUE"""),-16.376)</f>
        <v>-16.376</v>
      </c>
      <c r="B263" s="9">
        <f>IFERROR(__xludf.DUMMYFUNCTION("""COMPUTED_VALUE"""),175.967)</f>
        <v>175.967</v>
      </c>
    </row>
    <row r="264">
      <c r="A264" s="9">
        <f>IFERROR(__xludf.DUMMYFUNCTION("""COMPUTED_VALUE"""),-12.434)</f>
        <v>-12.434</v>
      </c>
      <c r="B264" s="9">
        <f>IFERROR(__xludf.DUMMYFUNCTION("""COMPUTED_VALUE"""),133.182)</f>
        <v>133.182</v>
      </c>
    </row>
    <row r="265">
      <c r="A265" s="9">
        <f>IFERROR(__xludf.DUMMYFUNCTION("""COMPUTED_VALUE"""),-8.334)</f>
        <v>-8.334</v>
      </c>
      <c r="B265" s="9">
        <f>IFERROR(__xludf.DUMMYFUNCTION("""COMPUTED_VALUE"""),115.73)</f>
        <v>115.73</v>
      </c>
    </row>
    <row r="266">
      <c r="A266" s="9">
        <f>IFERROR(__xludf.DUMMYFUNCTION("""COMPUTED_VALUE"""),-16.831)</f>
        <v>-16.831</v>
      </c>
      <c r="B266" s="9">
        <f>IFERROR(__xludf.DUMMYFUNCTION("""COMPUTED_VALUE"""),81.212)</f>
        <v>81.212</v>
      </c>
    </row>
    <row r="267">
      <c r="A267" s="9">
        <f>IFERROR(__xludf.DUMMYFUNCTION("""COMPUTED_VALUE"""),-21.613)</f>
        <v>-21.613</v>
      </c>
      <c r="B267" s="9">
        <f>IFERROR(__xludf.DUMMYFUNCTION("""COMPUTED_VALUE"""),140.371)</f>
        <v>140.371</v>
      </c>
    </row>
    <row r="268">
      <c r="A268" s="9">
        <f>IFERROR(__xludf.DUMMYFUNCTION("""COMPUTED_VALUE"""),-6.031)</f>
        <v>-6.031</v>
      </c>
      <c r="B268" s="9">
        <f>IFERROR(__xludf.DUMMYFUNCTION("""COMPUTED_VALUE"""),119.973)</f>
        <v>119.973</v>
      </c>
    </row>
    <row r="269">
      <c r="A269" s="9">
        <f>IFERROR(__xludf.DUMMYFUNCTION("""COMPUTED_VALUE"""),-6.999)</f>
        <v>-6.999</v>
      </c>
      <c r="B269" s="9">
        <f>IFERROR(__xludf.DUMMYFUNCTION("""COMPUTED_VALUE"""),89.063)</f>
        <v>89.063</v>
      </c>
    </row>
    <row r="270">
      <c r="A270" s="9">
        <f>IFERROR(__xludf.DUMMYFUNCTION("""COMPUTED_VALUE"""),-17.012)</f>
        <v>-17.012</v>
      </c>
      <c r="B270" s="9">
        <f>IFERROR(__xludf.DUMMYFUNCTION("""COMPUTED_VALUE"""),132.829)</f>
        <v>132.829</v>
      </c>
    </row>
    <row r="271">
      <c r="A271" s="9">
        <f>IFERROR(__xludf.DUMMYFUNCTION("""COMPUTED_VALUE"""),-10.275)</f>
        <v>-10.275</v>
      </c>
      <c r="B271" s="9">
        <f>IFERROR(__xludf.DUMMYFUNCTION("""COMPUTED_VALUE"""),116.054)</f>
        <v>116.054</v>
      </c>
    </row>
    <row r="272">
      <c r="A272" s="9">
        <f>IFERROR(__xludf.DUMMYFUNCTION("""COMPUTED_VALUE"""),-4.795)</f>
        <v>-4.795</v>
      </c>
      <c r="B272" s="9">
        <f>IFERROR(__xludf.DUMMYFUNCTION("""COMPUTED_VALUE"""),118.79)</f>
        <v>118.79</v>
      </c>
    </row>
    <row r="273">
      <c r="A273" s="9">
        <f>IFERROR(__xludf.DUMMYFUNCTION("""COMPUTED_VALUE"""),-30.742)</f>
        <v>-30.742</v>
      </c>
      <c r="B273" s="9">
        <f>IFERROR(__xludf.DUMMYFUNCTION("""COMPUTED_VALUE"""),103.833)</f>
        <v>103.833</v>
      </c>
    </row>
    <row r="274">
      <c r="A274" s="9">
        <f>IFERROR(__xludf.DUMMYFUNCTION("""COMPUTED_VALUE"""),-9.365)</f>
        <v>-9.365</v>
      </c>
      <c r="B274" s="9">
        <f>IFERROR(__xludf.DUMMYFUNCTION("""COMPUTED_VALUE"""),112.588)</f>
        <v>112.588</v>
      </c>
    </row>
    <row r="275">
      <c r="A275" s="9">
        <f>IFERROR(__xludf.DUMMYFUNCTION("""COMPUTED_VALUE"""),-6.195)</f>
        <v>-6.195</v>
      </c>
      <c r="B275" s="9">
        <f>IFERROR(__xludf.DUMMYFUNCTION("""COMPUTED_VALUE"""),124.944)</f>
        <v>124.944</v>
      </c>
    </row>
    <row r="276">
      <c r="A276" s="9">
        <f>IFERROR(__xludf.DUMMYFUNCTION("""COMPUTED_VALUE"""),-6.933)</f>
        <v>-6.933</v>
      </c>
      <c r="B276" s="9">
        <f>IFERROR(__xludf.DUMMYFUNCTION("""COMPUTED_VALUE"""),94.044)</f>
        <v>94.044</v>
      </c>
    </row>
    <row r="277">
      <c r="A277" s="9">
        <f>IFERROR(__xludf.DUMMYFUNCTION("""COMPUTED_VALUE"""),-13.93)</f>
        <v>-13.93</v>
      </c>
      <c r="B277" s="9">
        <f>IFERROR(__xludf.DUMMYFUNCTION("""COMPUTED_VALUE"""),81.712)</f>
        <v>81.712</v>
      </c>
    </row>
    <row r="278">
      <c r="A278" s="9">
        <f>IFERROR(__xludf.DUMMYFUNCTION("""COMPUTED_VALUE"""),-13.397)</f>
        <v>-13.397</v>
      </c>
      <c r="B278" s="9">
        <f>IFERROR(__xludf.DUMMYFUNCTION("""COMPUTED_VALUE"""),128.615)</f>
        <v>128.615</v>
      </c>
    </row>
    <row r="279">
      <c r="A279" s="9">
        <f>IFERROR(__xludf.DUMMYFUNCTION("""COMPUTED_VALUE"""),-6.662)</f>
        <v>-6.662</v>
      </c>
      <c r="B279" s="9">
        <f>IFERROR(__xludf.DUMMYFUNCTION("""COMPUTED_VALUE"""),124.936)</f>
        <v>124.936</v>
      </c>
    </row>
    <row r="280">
      <c r="A280" s="9">
        <f>IFERROR(__xludf.DUMMYFUNCTION("""COMPUTED_VALUE"""),-9.03)</f>
        <v>-9.03</v>
      </c>
      <c r="B280" s="9">
        <f>IFERROR(__xludf.DUMMYFUNCTION("""COMPUTED_VALUE"""),105.369)</f>
        <v>105.369</v>
      </c>
    </row>
    <row r="281">
      <c r="A281" s="9">
        <f>IFERROR(__xludf.DUMMYFUNCTION("""COMPUTED_VALUE"""),-10.476)</f>
        <v>-10.476</v>
      </c>
      <c r="B281" s="9">
        <f>IFERROR(__xludf.DUMMYFUNCTION("""COMPUTED_VALUE"""),173.136)</f>
        <v>173.136</v>
      </c>
    </row>
    <row r="282">
      <c r="A282" s="9">
        <f>IFERROR(__xludf.DUMMYFUNCTION("""COMPUTED_VALUE"""),-8.526)</f>
        <v>-8.526</v>
      </c>
      <c r="B282" s="9">
        <f>IFERROR(__xludf.DUMMYFUNCTION("""COMPUTED_VALUE"""),145.23)</f>
        <v>145.23</v>
      </c>
    </row>
    <row r="283">
      <c r="A283" s="9">
        <f>IFERROR(__xludf.DUMMYFUNCTION("""COMPUTED_VALUE"""),-10.15)</f>
        <v>-10.15</v>
      </c>
      <c r="B283" s="9">
        <f>IFERROR(__xludf.DUMMYFUNCTION("""COMPUTED_VALUE"""),114.443)</f>
        <v>114.443</v>
      </c>
    </row>
    <row r="284">
      <c r="A284" s="9">
        <f>IFERROR(__xludf.DUMMYFUNCTION("""COMPUTED_VALUE"""),-14.27)</f>
        <v>-14.27</v>
      </c>
      <c r="B284" s="9">
        <f>IFERROR(__xludf.DUMMYFUNCTION("""COMPUTED_VALUE"""),109.413)</f>
        <v>109.413</v>
      </c>
    </row>
    <row r="285">
      <c r="A285" s="9">
        <f>IFERROR(__xludf.DUMMYFUNCTION("""COMPUTED_VALUE"""),-9.102)</f>
        <v>-9.102</v>
      </c>
      <c r="B285" s="9">
        <f>IFERROR(__xludf.DUMMYFUNCTION("""COMPUTED_VALUE"""),129.368)</f>
        <v>129.368</v>
      </c>
    </row>
    <row r="286">
      <c r="A286" s="9">
        <f>IFERROR(__xludf.DUMMYFUNCTION("""COMPUTED_VALUE"""),-8.708)</f>
        <v>-8.708</v>
      </c>
      <c r="B286" s="9">
        <f>IFERROR(__xludf.DUMMYFUNCTION("""COMPUTED_VALUE"""),141.242)</f>
        <v>141.242</v>
      </c>
    </row>
    <row r="287">
      <c r="A287" s="9">
        <f>IFERROR(__xludf.DUMMYFUNCTION("""COMPUTED_VALUE"""),-12.672)</f>
        <v>-12.672</v>
      </c>
      <c r="B287" s="9">
        <f>IFERROR(__xludf.DUMMYFUNCTION("""COMPUTED_VALUE"""),157.899)</f>
        <v>157.899</v>
      </c>
    </row>
    <row r="288">
      <c r="A288" s="9">
        <f>IFERROR(__xludf.DUMMYFUNCTION("""COMPUTED_VALUE"""),-3.062)</f>
        <v>-3.062</v>
      </c>
      <c r="B288" s="9">
        <f>IFERROR(__xludf.DUMMYFUNCTION("""COMPUTED_VALUE"""),169.573)</f>
        <v>169.573</v>
      </c>
    </row>
    <row r="289">
      <c r="A289" s="9">
        <f>IFERROR(__xludf.DUMMYFUNCTION("""COMPUTED_VALUE"""),-6.296)</f>
        <v>-6.296</v>
      </c>
      <c r="B289" s="9">
        <f>IFERROR(__xludf.DUMMYFUNCTION("""COMPUTED_VALUE"""),140.265)</f>
        <v>140.265</v>
      </c>
    </row>
    <row r="290">
      <c r="A290" s="9">
        <f>IFERROR(__xludf.DUMMYFUNCTION("""COMPUTED_VALUE"""),-3.014)</f>
        <v>-3.014</v>
      </c>
      <c r="B290" s="9">
        <f>IFERROR(__xludf.DUMMYFUNCTION("""COMPUTED_VALUE"""),141.049)</f>
        <v>141.049</v>
      </c>
    </row>
    <row r="291">
      <c r="A291" s="9">
        <f>IFERROR(__xludf.DUMMYFUNCTION("""COMPUTED_VALUE"""),-10.995)</f>
        <v>-10.995</v>
      </c>
      <c r="B291" s="9">
        <f>IFERROR(__xludf.DUMMYFUNCTION("""COMPUTED_VALUE"""),159.881)</f>
        <v>159.881</v>
      </c>
    </row>
    <row r="292">
      <c r="A292" s="9">
        <f>IFERROR(__xludf.DUMMYFUNCTION("""COMPUTED_VALUE"""),-2.142)</f>
        <v>-2.142</v>
      </c>
      <c r="B292" s="9">
        <f>IFERROR(__xludf.DUMMYFUNCTION("""COMPUTED_VALUE"""),122.155)</f>
        <v>122.155</v>
      </c>
    </row>
    <row r="293">
      <c r="A293" s="9">
        <f>IFERROR(__xludf.DUMMYFUNCTION("""COMPUTED_VALUE"""),-1.823)</f>
        <v>-1.823</v>
      </c>
      <c r="B293" s="9">
        <f>IFERROR(__xludf.DUMMYFUNCTION("""COMPUTED_VALUE"""),149.932)</f>
        <v>149.932</v>
      </c>
    </row>
    <row r="294">
      <c r="A294" s="9">
        <f>IFERROR(__xludf.DUMMYFUNCTION("""COMPUTED_VALUE"""),-4.834)</f>
        <v>-4.834</v>
      </c>
      <c r="B294" s="9">
        <f>IFERROR(__xludf.DUMMYFUNCTION("""COMPUTED_VALUE"""),149.096)</f>
        <v>149.096</v>
      </c>
    </row>
    <row r="295">
      <c r="A295" s="9">
        <f>IFERROR(__xludf.DUMMYFUNCTION("""COMPUTED_VALUE"""),-4.743)</f>
        <v>-4.743</v>
      </c>
      <c r="B295" s="9">
        <f>IFERROR(__xludf.DUMMYFUNCTION("""COMPUTED_VALUE"""),170.058)</f>
        <v>170.058</v>
      </c>
    </row>
    <row r="296">
      <c r="A296" s="9">
        <f>IFERROR(__xludf.DUMMYFUNCTION("""COMPUTED_VALUE"""),-3.099)</f>
        <v>-3.099</v>
      </c>
      <c r="B296" s="9">
        <f>IFERROR(__xludf.DUMMYFUNCTION("""COMPUTED_VALUE"""),179.165)</f>
        <v>179.165</v>
      </c>
    </row>
    <row r="297">
      <c r="A297" s="9">
        <f>IFERROR(__xludf.DUMMYFUNCTION("""COMPUTED_VALUE"""),-4.539)</f>
        <v>-4.539</v>
      </c>
      <c r="B297" s="9">
        <f>IFERROR(__xludf.DUMMYFUNCTION("""COMPUTED_VALUE"""),118.957)</f>
        <v>118.957</v>
      </c>
    </row>
    <row r="298">
      <c r="A298" s="9">
        <f>IFERROR(__xludf.DUMMYFUNCTION("""COMPUTED_VALUE"""),-3.503)</f>
        <v>-3.503</v>
      </c>
      <c r="B298" s="9">
        <f>IFERROR(__xludf.DUMMYFUNCTION("""COMPUTED_VALUE"""),143.898)</f>
        <v>143.898</v>
      </c>
    </row>
    <row r="299">
      <c r="A299" s="9">
        <f>IFERROR(__xludf.DUMMYFUNCTION("""COMPUTED_VALUE"""),-5.325)</f>
        <v>-5.325</v>
      </c>
      <c r="B299" s="9">
        <f>IFERROR(__xludf.DUMMYFUNCTION("""COMPUTED_VALUE"""),110.03)</f>
        <v>110.03</v>
      </c>
    </row>
    <row r="300">
      <c r="A300" s="9">
        <f>IFERROR(__xludf.DUMMYFUNCTION("""COMPUTED_VALUE"""),-4.899)</f>
        <v>-4.899</v>
      </c>
      <c r="B300" s="9">
        <f>IFERROR(__xludf.DUMMYFUNCTION("""COMPUTED_VALUE"""),172.469)</f>
        <v>172.469</v>
      </c>
    </row>
    <row r="301">
      <c r="A301" s="9">
        <f>IFERROR(__xludf.DUMMYFUNCTION("""COMPUTED_VALUE"""),-5.955)</f>
        <v>-5.955</v>
      </c>
      <c r="B301" s="9">
        <f>IFERROR(__xludf.DUMMYFUNCTION("""COMPUTED_VALUE"""),151.277)</f>
        <v>151.277</v>
      </c>
    </row>
    <row r="302">
      <c r="A302" s="9">
        <f>IFERROR(__xludf.DUMMYFUNCTION("""COMPUTED_VALUE"""),-4.866)</f>
        <v>-4.866</v>
      </c>
      <c r="B302" s="9">
        <f>IFERROR(__xludf.DUMMYFUNCTION("""COMPUTED_VALUE"""),102.076)</f>
        <v>102.076</v>
      </c>
    </row>
    <row r="303">
      <c r="A303" s="9">
        <f>IFERROR(__xludf.DUMMYFUNCTION("""COMPUTED_VALUE"""),-2.495)</f>
        <v>-2.495</v>
      </c>
      <c r="B303" s="9">
        <f>IFERROR(__xludf.DUMMYFUNCTION("""COMPUTED_VALUE"""),95.984)</f>
        <v>95.984</v>
      </c>
    </row>
    <row r="304">
      <c r="A304" s="9">
        <f>IFERROR(__xludf.DUMMYFUNCTION("""COMPUTED_VALUE"""),-4.52)</f>
        <v>-4.52</v>
      </c>
      <c r="B304" s="9">
        <f>IFERROR(__xludf.DUMMYFUNCTION("""COMPUTED_VALUE"""),140.083)</f>
        <v>140.083</v>
      </c>
    </row>
    <row r="305">
      <c r="A305" s="9">
        <f>IFERROR(__xludf.DUMMYFUNCTION("""COMPUTED_VALUE"""),-5.456)</f>
        <v>-5.456</v>
      </c>
      <c r="B305" s="9">
        <f>IFERROR(__xludf.DUMMYFUNCTION("""COMPUTED_VALUE"""),139.957)</f>
        <v>139.957</v>
      </c>
    </row>
    <row r="306">
      <c r="A306" s="9">
        <f>IFERROR(__xludf.DUMMYFUNCTION("""COMPUTED_VALUE"""),-4.107)</f>
        <v>-4.107</v>
      </c>
      <c r="B306" s="9">
        <f>IFERROR(__xludf.DUMMYFUNCTION("""COMPUTED_VALUE"""),165.782)</f>
        <v>165.782</v>
      </c>
    </row>
    <row r="307">
      <c r="A307" s="9">
        <f>IFERROR(__xludf.DUMMYFUNCTION("""COMPUTED_VALUE"""),-3.174)</f>
        <v>-3.174</v>
      </c>
      <c r="B307" s="9">
        <f>IFERROR(__xludf.DUMMYFUNCTION("""COMPUTED_VALUE"""),122.001)</f>
        <v>122.001</v>
      </c>
    </row>
    <row r="308">
      <c r="A308" s="9">
        <f>IFERROR(__xludf.DUMMYFUNCTION("""COMPUTED_VALUE"""),-5.321)</f>
        <v>-5.321</v>
      </c>
      <c r="B308" s="9">
        <f>IFERROR(__xludf.DUMMYFUNCTION("""COMPUTED_VALUE"""),131.934)</f>
        <v>131.934</v>
      </c>
    </row>
    <row r="309">
      <c r="A309" s="9">
        <f>IFERROR(__xludf.DUMMYFUNCTION("""COMPUTED_VALUE"""),-4.142)</f>
        <v>-4.142</v>
      </c>
      <c r="B309" s="9">
        <f>IFERROR(__xludf.DUMMYFUNCTION("""COMPUTED_VALUE"""),134.756)</f>
        <v>134.756</v>
      </c>
    </row>
    <row r="310">
      <c r="A310" s="9">
        <f>IFERROR(__xludf.DUMMYFUNCTION("""COMPUTED_VALUE"""),-5.938)</f>
        <v>-5.938</v>
      </c>
      <c r="B310" s="9">
        <f>IFERROR(__xludf.DUMMYFUNCTION("""COMPUTED_VALUE"""),170.057)</f>
        <v>170.057</v>
      </c>
    </row>
    <row r="311">
      <c r="A311" s="9">
        <f>IFERROR(__xludf.DUMMYFUNCTION("""COMPUTED_VALUE"""),-2.233)</f>
        <v>-2.233</v>
      </c>
      <c r="B311" s="9">
        <f>IFERROR(__xludf.DUMMYFUNCTION("""COMPUTED_VALUE"""),94.826)</f>
        <v>94.826</v>
      </c>
    </row>
    <row r="312">
      <c r="A312" s="9">
        <f>IFERROR(__xludf.DUMMYFUNCTION("""COMPUTED_VALUE"""),-5.08)</f>
        <v>-5.08</v>
      </c>
      <c r="B312" s="9">
        <f>IFERROR(__xludf.DUMMYFUNCTION("""COMPUTED_VALUE"""),178.958)</f>
        <v>178.958</v>
      </c>
    </row>
    <row r="313">
      <c r="A313" s="9">
        <f>IFERROR(__xludf.DUMMYFUNCTION("""COMPUTED_VALUE"""),-1.618)</f>
        <v>-1.618</v>
      </c>
      <c r="B313" s="9">
        <f>IFERROR(__xludf.DUMMYFUNCTION("""COMPUTED_VALUE"""),135.012)</f>
        <v>135.012</v>
      </c>
    </row>
    <row r="314">
      <c r="A314" s="9">
        <f>IFERROR(__xludf.DUMMYFUNCTION("""COMPUTED_VALUE"""),-11.328)</f>
        <v>-11.328</v>
      </c>
      <c r="B314" s="9">
        <f>IFERROR(__xludf.DUMMYFUNCTION("""COMPUTED_VALUE"""),154.009)</f>
        <v>154.009</v>
      </c>
    </row>
    <row r="315">
      <c r="A315" s="9">
        <f>IFERROR(__xludf.DUMMYFUNCTION("""COMPUTED_VALUE"""),-8.911)</f>
        <v>-8.911</v>
      </c>
      <c r="B315" s="9">
        <f>IFERROR(__xludf.DUMMYFUNCTION("""COMPUTED_VALUE"""),115.833)</f>
        <v>115.833</v>
      </c>
    </row>
    <row r="316">
      <c r="A316" s="9">
        <f>IFERROR(__xludf.DUMMYFUNCTION("""COMPUTED_VALUE"""),-5.975)</f>
        <v>-5.975</v>
      </c>
      <c r="B316" s="9">
        <f>IFERROR(__xludf.DUMMYFUNCTION("""COMPUTED_VALUE"""),139.607)</f>
        <v>139.607</v>
      </c>
    </row>
    <row r="317">
      <c r="A317" s="9">
        <f>IFERROR(__xludf.DUMMYFUNCTION("""COMPUTED_VALUE"""),-4.599)</f>
        <v>-4.599</v>
      </c>
      <c r="B317" s="9">
        <f>IFERROR(__xludf.DUMMYFUNCTION("""COMPUTED_VALUE"""),91.983)</f>
        <v>91.983</v>
      </c>
    </row>
    <row r="318">
      <c r="A318" s="9">
        <f>IFERROR(__xludf.DUMMYFUNCTION("""COMPUTED_VALUE"""),-4.949)</f>
        <v>-4.949</v>
      </c>
      <c r="B318" s="9">
        <f>IFERROR(__xludf.DUMMYFUNCTION("""COMPUTED_VALUE"""),145.132)</f>
        <v>145.132</v>
      </c>
    </row>
    <row r="319">
      <c r="A319" s="9">
        <f>IFERROR(__xludf.DUMMYFUNCTION("""COMPUTED_VALUE"""),-2.836)</f>
        <v>-2.836</v>
      </c>
      <c r="B319" s="9">
        <f>IFERROR(__xludf.DUMMYFUNCTION("""COMPUTED_VALUE"""),161.986)</f>
        <v>161.986</v>
      </c>
    </row>
    <row r="320">
      <c r="A320" s="9">
        <f>IFERROR(__xludf.DUMMYFUNCTION("""COMPUTED_VALUE"""),-4.945)</f>
        <v>-4.945</v>
      </c>
      <c r="B320" s="9">
        <f>IFERROR(__xludf.DUMMYFUNCTION("""COMPUTED_VALUE"""),79.535)</f>
        <v>79.535</v>
      </c>
    </row>
    <row r="321">
      <c r="A321" s="9">
        <f>IFERROR(__xludf.DUMMYFUNCTION("""COMPUTED_VALUE"""),-5.551)</f>
        <v>-5.551</v>
      </c>
      <c r="B321" s="9">
        <f>IFERROR(__xludf.DUMMYFUNCTION("""COMPUTED_VALUE"""),133.172)</f>
        <v>133.172</v>
      </c>
    </row>
    <row r="322">
      <c r="A322" s="9">
        <f>IFERROR(__xludf.DUMMYFUNCTION("""COMPUTED_VALUE"""),-2.014)</f>
        <v>-2.014</v>
      </c>
      <c r="B322" s="9">
        <f>IFERROR(__xludf.DUMMYFUNCTION("""COMPUTED_VALUE"""),191.125)</f>
        <v>191.125</v>
      </c>
    </row>
    <row r="323">
      <c r="A323" s="9">
        <f>IFERROR(__xludf.DUMMYFUNCTION("""COMPUTED_VALUE"""),-7.039)</f>
        <v>-7.039</v>
      </c>
      <c r="B323" s="9">
        <f>IFERROR(__xludf.DUMMYFUNCTION("""COMPUTED_VALUE"""),121.02)</f>
        <v>121.02</v>
      </c>
    </row>
    <row r="324">
      <c r="A324" s="9">
        <f>IFERROR(__xludf.DUMMYFUNCTION("""COMPUTED_VALUE"""),-3.156)</f>
        <v>-3.156</v>
      </c>
      <c r="B324" s="9">
        <f>IFERROR(__xludf.DUMMYFUNCTION("""COMPUTED_VALUE"""),164.986)</f>
        <v>164.986</v>
      </c>
    </row>
    <row r="325">
      <c r="A325" s="9">
        <f>IFERROR(__xludf.DUMMYFUNCTION("""COMPUTED_VALUE"""),-4.52)</f>
        <v>-4.52</v>
      </c>
      <c r="B325" s="9">
        <f>IFERROR(__xludf.DUMMYFUNCTION("""COMPUTED_VALUE"""),97.523)</f>
        <v>97.523</v>
      </c>
    </row>
    <row r="326">
      <c r="A326" s="9">
        <f>IFERROR(__xludf.DUMMYFUNCTION("""COMPUTED_VALUE"""),-4.376)</f>
        <v>-4.376</v>
      </c>
      <c r="B326" s="9">
        <f>IFERROR(__xludf.DUMMYFUNCTION("""COMPUTED_VALUE"""),177.846)</f>
        <v>177.846</v>
      </c>
    </row>
    <row r="327">
      <c r="A327" s="9">
        <f>IFERROR(__xludf.DUMMYFUNCTION("""COMPUTED_VALUE"""),-5.007)</f>
        <v>-5.007</v>
      </c>
      <c r="B327" s="9">
        <f>IFERROR(__xludf.DUMMYFUNCTION("""COMPUTED_VALUE"""),104.029)</f>
        <v>104.029</v>
      </c>
    </row>
    <row r="328">
      <c r="A328" s="9">
        <f>IFERROR(__xludf.DUMMYFUNCTION("""COMPUTED_VALUE"""),-15.384)</f>
        <v>-15.384</v>
      </c>
      <c r="B328" s="9">
        <f>IFERROR(__xludf.DUMMYFUNCTION("""COMPUTED_VALUE"""),83.648)</f>
        <v>83.648</v>
      </c>
    </row>
    <row r="329">
      <c r="A329" s="9">
        <f>IFERROR(__xludf.DUMMYFUNCTION("""COMPUTED_VALUE"""),-12.949)</f>
        <v>-12.949</v>
      </c>
      <c r="B329" s="9">
        <f>IFERROR(__xludf.DUMMYFUNCTION("""COMPUTED_VALUE"""),154.711)</f>
        <v>154.711</v>
      </c>
    </row>
    <row r="330">
      <c r="A330" s="9">
        <f>IFERROR(__xludf.DUMMYFUNCTION("""COMPUTED_VALUE"""),-6.134)</f>
        <v>-6.134</v>
      </c>
      <c r="B330" s="9">
        <f>IFERROR(__xludf.DUMMYFUNCTION("""COMPUTED_VALUE"""),78.991)</f>
        <v>78.991</v>
      </c>
    </row>
    <row r="331">
      <c r="A331" s="9">
        <f>IFERROR(__xludf.DUMMYFUNCTION("""COMPUTED_VALUE"""),-14.293)</f>
        <v>-14.293</v>
      </c>
      <c r="B331" s="9">
        <f>IFERROR(__xludf.DUMMYFUNCTION("""COMPUTED_VALUE"""),90.732)</f>
        <v>90.732</v>
      </c>
    </row>
    <row r="332">
      <c r="A332" s="9">
        <f>IFERROR(__xludf.DUMMYFUNCTION("""COMPUTED_VALUE"""),-17.439)</f>
        <v>-17.439</v>
      </c>
      <c r="B332" s="9">
        <f>IFERROR(__xludf.DUMMYFUNCTION("""COMPUTED_VALUE"""),173.33)</f>
        <v>173.33</v>
      </c>
    </row>
    <row r="333">
      <c r="A333" s="9">
        <f>IFERROR(__xludf.DUMMYFUNCTION("""COMPUTED_VALUE"""),-18.342)</f>
        <v>-18.342</v>
      </c>
      <c r="B333" s="9">
        <f>IFERROR(__xludf.DUMMYFUNCTION("""COMPUTED_VALUE"""),70.813)</f>
        <v>70.813</v>
      </c>
    </row>
    <row r="334">
      <c r="A334" s="9">
        <f>IFERROR(__xludf.DUMMYFUNCTION("""COMPUTED_VALUE"""),-13.587)</f>
        <v>-13.587</v>
      </c>
      <c r="B334" s="9">
        <f>IFERROR(__xludf.DUMMYFUNCTION("""COMPUTED_VALUE"""),113.869)</f>
        <v>113.869</v>
      </c>
    </row>
    <row r="335">
      <c r="A335" s="9">
        <f>IFERROR(__xludf.DUMMYFUNCTION("""COMPUTED_VALUE"""),-16.395)</f>
        <v>-16.395</v>
      </c>
      <c r="B335" s="9">
        <f>IFERROR(__xludf.DUMMYFUNCTION("""COMPUTED_VALUE"""),97.253)</f>
        <v>97.253</v>
      </c>
    </row>
    <row r="336">
      <c r="A336" s="9">
        <f>IFERROR(__xludf.DUMMYFUNCTION("""COMPUTED_VALUE"""),-7.48)</f>
        <v>-7.48</v>
      </c>
      <c r="B336" s="9">
        <f>IFERROR(__xludf.DUMMYFUNCTION("""COMPUTED_VALUE"""),78.111)</f>
        <v>78.111</v>
      </c>
    </row>
    <row r="337">
      <c r="A337" s="9">
        <f>IFERROR(__xludf.DUMMYFUNCTION("""COMPUTED_VALUE"""),-6.98)</f>
        <v>-6.98</v>
      </c>
      <c r="B337" s="9">
        <f>IFERROR(__xludf.DUMMYFUNCTION("""COMPUTED_VALUE"""),148.493)</f>
        <v>148.493</v>
      </c>
    </row>
    <row r="338">
      <c r="A338" s="9">
        <f>IFERROR(__xludf.DUMMYFUNCTION("""COMPUTED_VALUE"""),-22.989)</f>
        <v>-22.989</v>
      </c>
      <c r="B338" s="9">
        <f>IFERROR(__xludf.DUMMYFUNCTION("""COMPUTED_VALUE"""),104.81)</f>
        <v>104.81</v>
      </c>
    </row>
    <row r="339">
      <c r="A339" s="9">
        <f>IFERROR(__xludf.DUMMYFUNCTION("""COMPUTED_VALUE"""),-12.269)</f>
        <v>-12.269</v>
      </c>
      <c r="B339" s="9">
        <f>IFERROR(__xludf.DUMMYFUNCTION("""COMPUTED_VALUE"""),127.968)</f>
        <v>127.968</v>
      </c>
    </row>
    <row r="340">
      <c r="A340" s="9">
        <f>IFERROR(__xludf.DUMMYFUNCTION("""COMPUTED_VALUE"""),-8.379)</f>
        <v>-8.379</v>
      </c>
      <c r="B340" s="9">
        <f>IFERROR(__xludf.DUMMYFUNCTION("""COMPUTED_VALUE"""),86.664)</f>
        <v>86.664</v>
      </c>
    </row>
    <row r="341">
      <c r="A341" s="9">
        <f>IFERROR(__xludf.DUMMYFUNCTION("""COMPUTED_VALUE"""),-4.998)</f>
        <v>-4.998</v>
      </c>
      <c r="B341" s="9">
        <f>IFERROR(__xludf.DUMMYFUNCTION("""COMPUTED_VALUE"""),130.075)</f>
        <v>130.075</v>
      </c>
    </row>
    <row r="342">
      <c r="A342" s="9">
        <f>IFERROR(__xludf.DUMMYFUNCTION("""COMPUTED_VALUE"""),-16.144)</f>
        <v>-16.144</v>
      </c>
      <c r="B342" s="9">
        <f>IFERROR(__xludf.DUMMYFUNCTION("""COMPUTED_VALUE"""),121.289)</f>
        <v>121.289</v>
      </c>
    </row>
    <row r="343">
      <c r="A343" s="9">
        <f>IFERROR(__xludf.DUMMYFUNCTION("""COMPUTED_VALUE"""),-4.08)</f>
        <v>-4.08</v>
      </c>
      <c r="B343" s="9">
        <f>IFERROR(__xludf.DUMMYFUNCTION("""COMPUTED_VALUE"""),122.035)</f>
        <v>122.035</v>
      </c>
    </row>
    <row r="344">
      <c r="A344" s="9">
        <f>IFERROR(__xludf.DUMMYFUNCTION("""COMPUTED_VALUE"""),-13.207)</f>
        <v>-13.207</v>
      </c>
      <c r="B344" s="9">
        <f>IFERROR(__xludf.DUMMYFUNCTION("""COMPUTED_VALUE"""),137.561)</f>
        <v>137.561</v>
      </c>
    </row>
    <row r="345">
      <c r="A345" s="9">
        <f>IFERROR(__xludf.DUMMYFUNCTION("""COMPUTED_VALUE"""),-19.322)</f>
        <v>-19.322</v>
      </c>
      <c r="B345" s="9">
        <f>IFERROR(__xludf.DUMMYFUNCTION("""COMPUTED_VALUE"""),119.942)</f>
        <v>119.942</v>
      </c>
    </row>
    <row r="346">
      <c r="A346" s="9">
        <f>IFERROR(__xludf.DUMMYFUNCTION("""COMPUTED_VALUE"""),-11.412)</f>
        <v>-11.412</v>
      </c>
      <c r="B346" s="9">
        <f>IFERROR(__xludf.DUMMYFUNCTION("""COMPUTED_VALUE"""),123.943)</f>
        <v>123.943</v>
      </c>
    </row>
    <row r="347">
      <c r="A347" s="9">
        <f>IFERROR(__xludf.DUMMYFUNCTION("""COMPUTED_VALUE"""),-6.856)</f>
        <v>-6.856</v>
      </c>
      <c r="B347" s="9">
        <f>IFERROR(__xludf.DUMMYFUNCTION("""COMPUTED_VALUE"""),129.945)</f>
        <v>129.945</v>
      </c>
    </row>
    <row r="348">
      <c r="A348" s="9">
        <f>IFERROR(__xludf.DUMMYFUNCTION("""COMPUTED_VALUE"""),-7.303)</f>
        <v>-7.303</v>
      </c>
      <c r="B348" s="9">
        <f>IFERROR(__xludf.DUMMYFUNCTION("""COMPUTED_VALUE"""),121.338)</f>
        <v>121.338</v>
      </c>
    </row>
    <row r="349">
      <c r="A349" s="9">
        <f>IFERROR(__xludf.DUMMYFUNCTION("""COMPUTED_VALUE"""),-4.337)</f>
        <v>-4.337</v>
      </c>
      <c r="B349" s="9">
        <f>IFERROR(__xludf.DUMMYFUNCTION("""COMPUTED_VALUE"""),129.827)</f>
        <v>129.827</v>
      </c>
    </row>
    <row r="350">
      <c r="A350" s="9">
        <f>IFERROR(__xludf.DUMMYFUNCTION("""COMPUTED_VALUE"""),-11.849)</f>
        <v>-11.849</v>
      </c>
      <c r="B350" s="9">
        <f>IFERROR(__xludf.DUMMYFUNCTION("""COMPUTED_VALUE"""),97.908)</f>
        <v>97.908</v>
      </c>
    </row>
    <row r="351">
      <c r="A351" s="9">
        <f>IFERROR(__xludf.DUMMYFUNCTION("""COMPUTED_VALUE"""),-9.326)</f>
        <v>-9.326</v>
      </c>
      <c r="B351" s="9">
        <f>IFERROR(__xludf.DUMMYFUNCTION("""COMPUTED_VALUE"""),83.323)</f>
        <v>83.323</v>
      </c>
    </row>
    <row r="352">
      <c r="A352" s="9">
        <f>IFERROR(__xludf.DUMMYFUNCTION("""COMPUTED_VALUE"""),-3.975)</f>
        <v>-3.975</v>
      </c>
      <c r="B352" s="9">
        <f>IFERROR(__xludf.DUMMYFUNCTION("""COMPUTED_VALUE"""),88.58)</f>
        <v>88.58</v>
      </c>
    </row>
    <row r="353">
      <c r="A353" s="9">
        <f>IFERROR(__xludf.DUMMYFUNCTION("""COMPUTED_VALUE"""),-14.739)</f>
        <v>-14.739</v>
      </c>
      <c r="B353" s="9">
        <f>IFERROR(__xludf.DUMMYFUNCTION("""COMPUTED_VALUE"""),204.342)</f>
        <v>204.342</v>
      </c>
    </row>
    <row r="354">
      <c r="A354" s="9">
        <f>IFERROR(__xludf.DUMMYFUNCTION("""COMPUTED_VALUE"""),-7.779)</f>
        <v>-7.779</v>
      </c>
      <c r="B354" s="9">
        <f>IFERROR(__xludf.DUMMYFUNCTION("""COMPUTED_VALUE"""),94.856)</f>
        <v>94.856</v>
      </c>
    </row>
    <row r="355">
      <c r="A355" s="9">
        <f>IFERROR(__xludf.DUMMYFUNCTION("""COMPUTED_VALUE"""),-3.895)</f>
        <v>-3.895</v>
      </c>
      <c r="B355" s="9">
        <f>IFERROR(__xludf.DUMMYFUNCTION("""COMPUTED_VALUE"""),124.885)</f>
        <v>124.885</v>
      </c>
    </row>
    <row r="356">
      <c r="A356" s="9">
        <f>IFERROR(__xludf.DUMMYFUNCTION("""COMPUTED_VALUE"""),-8.62)</f>
        <v>-8.62</v>
      </c>
      <c r="B356" s="9">
        <f>IFERROR(__xludf.DUMMYFUNCTION("""COMPUTED_VALUE"""),126.142)</f>
        <v>126.142</v>
      </c>
    </row>
    <row r="357">
      <c r="A357" s="9">
        <f>IFERROR(__xludf.DUMMYFUNCTION("""COMPUTED_VALUE"""),-4.322)</f>
        <v>-4.322</v>
      </c>
      <c r="B357" s="9">
        <f>IFERROR(__xludf.DUMMYFUNCTION("""COMPUTED_VALUE"""),151.598)</f>
        <v>151.598</v>
      </c>
    </row>
    <row r="358">
      <c r="A358" s="9">
        <f>IFERROR(__xludf.DUMMYFUNCTION("""COMPUTED_VALUE"""),-11.901)</f>
        <v>-11.901</v>
      </c>
      <c r="B358" s="9">
        <f>IFERROR(__xludf.DUMMYFUNCTION("""COMPUTED_VALUE"""),86.193)</f>
        <v>86.193</v>
      </c>
    </row>
    <row r="359">
      <c r="A359" s="9">
        <f>IFERROR(__xludf.DUMMYFUNCTION("""COMPUTED_VALUE"""),-11.735)</f>
        <v>-11.735</v>
      </c>
      <c r="B359" s="9">
        <f>IFERROR(__xludf.DUMMYFUNCTION("""COMPUTED_VALUE"""),141.568)</f>
        <v>141.568</v>
      </c>
    </row>
    <row r="360">
      <c r="A360" s="9">
        <f>IFERROR(__xludf.DUMMYFUNCTION("""COMPUTED_VALUE"""),-10.849)</f>
        <v>-10.849</v>
      </c>
      <c r="B360" s="9">
        <f>IFERROR(__xludf.DUMMYFUNCTION("""COMPUTED_VALUE"""),64.012)</f>
        <v>64.012</v>
      </c>
    </row>
    <row r="361">
      <c r="A361" s="9">
        <f>IFERROR(__xludf.DUMMYFUNCTION("""COMPUTED_VALUE"""),-13.282)</f>
        <v>-13.282</v>
      </c>
      <c r="B361" s="9">
        <f>IFERROR(__xludf.DUMMYFUNCTION("""COMPUTED_VALUE"""),119.991)</f>
        <v>119.991</v>
      </c>
    </row>
    <row r="362">
      <c r="A362" s="9">
        <f>IFERROR(__xludf.DUMMYFUNCTION("""COMPUTED_VALUE"""),-9.323)</f>
        <v>-9.323</v>
      </c>
      <c r="B362" s="9">
        <f>IFERROR(__xludf.DUMMYFUNCTION("""COMPUTED_VALUE"""),144.855)</f>
        <v>144.855</v>
      </c>
    </row>
    <row r="363">
      <c r="A363" s="9">
        <f>IFERROR(__xludf.DUMMYFUNCTION("""COMPUTED_VALUE"""),-5.936)</f>
        <v>-5.936</v>
      </c>
      <c r="B363" s="9">
        <f>IFERROR(__xludf.DUMMYFUNCTION("""COMPUTED_VALUE"""),144.361)</f>
        <v>144.361</v>
      </c>
    </row>
    <row r="364">
      <c r="A364" s="9">
        <f>IFERROR(__xludf.DUMMYFUNCTION("""COMPUTED_VALUE"""),-13.214)</f>
        <v>-13.214</v>
      </c>
      <c r="B364" s="9">
        <f>IFERROR(__xludf.DUMMYFUNCTION("""COMPUTED_VALUE"""),205.319)</f>
        <v>205.319</v>
      </c>
    </row>
    <row r="365">
      <c r="A365" s="9">
        <f>IFERROR(__xludf.DUMMYFUNCTION("""COMPUTED_VALUE"""),-14.578)</f>
        <v>-14.578</v>
      </c>
      <c r="B365" s="9">
        <f>IFERROR(__xludf.DUMMYFUNCTION("""COMPUTED_VALUE"""),133.117)</f>
        <v>133.117</v>
      </c>
    </row>
    <row r="366">
      <c r="A366" s="9">
        <f>IFERROR(__xludf.DUMMYFUNCTION("""COMPUTED_VALUE"""),-5.526)</f>
        <v>-5.526</v>
      </c>
      <c r="B366" s="9">
        <f>IFERROR(__xludf.DUMMYFUNCTION("""COMPUTED_VALUE"""),179.404)</f>
        <v>179.404</v>
      </c>
    </row>
    <row r="367">
      <c r="A367" s="9">
        <f>IFERROR(__xludf.DUMMYFUNCTION("""COMPUTED_VALUE"""),-13.438)</f>
        <v>-13.438</v>
      </c>
      <c r="B367" s="9">
        <f>IFERROR(__xludf.DUMMYFUNCTION("""COMPUTED_VALUE"""),109.989)</f>
        <v>109.989</v>
      </c>
    </row>
    <row r="368">
      <c r="A368" s="9">
        <f>IFERROR(__xludf.DUMMYFUNCTION("""COMPUTED_VALUE"""),-6.825)</f>
        <v>-6.825</v>
      </c>
      <c r="B368" s="9">
        <f>IFERROR(__xludf.DUMMYFUNCTION("""COMPUTED_VALUE"""),99.953)</f>
        <v>99.953</v>
      </c>
    </row>
    <row r="369">
      <c r="A369" s="9">
        <f>IFERROR(__xludf.DUMMYFUNCTION("""COMPUTED_VALUE"""),-3.541)</f>
        <v>-3.541</v>
      </c>
      <c r="B369" s="9">
        <f>IFERROR(__xludf.DUMMYFUNCTION("""COMPUTED_VALUE"""),161.0)</f>
        <v>161</v>
      </c>
    </row>
    <row r="370">
      <c r="A370" s="9">
        <f>IFERROR(__xludf.DUMMYFUNCTION("""COMPUTED_VALUE"""),-8.957)</f>
        <v>-8.957</v>
      </c>
      <c r="B370" s="9">
        <f>IFERROR(__xludf.DUMMYFUNCTION("""COMPUTED_VALUE"""),101.888)</f>
        <v>101.888</v>
      </c>
    </row>
    <row r="371">
      <c r="A371" s="9">
        <f>IFERROR(__xludf.DUMMYFUNCTION("""COMPUTED_VALUE"""),-3.33)</f>
        <v>-3.33</v>
      </c>
      <c r="B371" s="9">
        <f>IFERROR(__xludf.DUMMYFUNCTION("""COMPUTED_VALUE"""),174.894)</f>
        <v>174.894</v>
      </c>
    </row>
    <row r="372">
      <c r="A372" s="9">
        <f>IFERROR(__xludf.DUMMYFUNCTION("""COMPUTED_VALUE"""),-19.478)</f>
        <v>-19.478</v>
      </c>
      <c r="B372" s="9">
        <f>IFERROR(__xludf.DUMMYFUNCTION("""COMPUTED_VALUE"""),120.02)</f>
        <v>120.02</v>
      </c>
    </row>
    <row r="373">
      <c r="A373" s="9">
        <f>IFERROR(__xludf.DUMMYFUNCTION("""COMPUTED_VALUE"""),-8.089)</f>
        <v>-8.089</v>
      </c>
      <c r="B373" s="9">
        <f>IFERROR(__xludf.DUMMYFUNCTION("""COMPUTED_VALUE"""),160.45)</f>
        <v>160.45</v>
      </c>
    </row>
    <row r="374">
      <c r="A374" s="9">
        <f>IFERROR(__xludf.DUMMYFUNCTION("""COMPUTED_VALUE"""),-7.051)</f>
        <v>-7.051</v>
      </c>
      <c r="B374" s="9">
        <f>IFERROR(__xludf.DUMMYFUNCTION("""COMPUTED_VALUE"""),105.503)</f>
        <v>105.503</v>
      </c>
    </row>
    <row r="375">
      <c r="A375" s="9">
        <f>IFERROR(__xludf.DUMMYFUNCTION("""COMPUTED_VALUE"""),-3.18)</f>
        <v>-3.18</v>
      </c>
      <c r="B375" s="9">
        <f>IFERROR(__xludf.DUMMYFUNCTION("""COMPUTED_VALUE"""),131.988)</f>
        <v>131.988</v>
      </c>
    </row>
    <row r="376">
      <c r="A376" s="9">
        <f>IFERROR(__xludf.DUMMYFUNCTION("""COMPUTED_VALUE"""),-3.528)</f>
        <v>-3.528</v>
      </c>
      <c r="B376" s="9">
        <f>IFERROR(__xludf.DUMMYFUNCTION("""COMPUTED_VALUE"""),130.175)</f>
        <v>130.175</v>
      </c>
    </row>
    <row r="377">
      <c r="A377" s="9">
        <f>IFERROR(__xludf.DUMMYFUNCTION("""COMPUTED_VALUE"""),-8.831)</f>
        <v>-8.831</v>
      </c>
      <c r="B377" s="9">
        <f>IFERROR(__xludf.DUMMYFUNCTION("""COMPUTED_VALUE"""),159.977)</f>
        <v>159.977</v>
      </c>
    </row>
    <row r="378">
      <c r="A378" s="9">
        <f>IFERROR(__xludf.DUMMYFUNCTION("""COMPUTED_VALUE"""),-9.209)</f>
        <v>-9.209</v>
      </c>
      <c r="B378" s="9">
        <f>IFERROR(__xludf.DUMMYFUNCTION("""COMPUTED_VALUE"""),119.983)</f>
        <v>119.983</v>
      </c>
    </row>
    <row r="379">
      <c r="A379" s="9">
        <f>IFERROR(__xludf.DUMMYFUNCTION("""COMPUTED_VALUE"""),-9.066)</f>
        <v>-9.066</v>
      </c>
      <c r="B379" s="9">
        <f>IFERROR(__xludf.DUMMYFUNCTION("""COMPUTED_VALUE"""),97.994)</f>
        <v>97.994</v>
      </c>
    </row>
    <row r="380">
      <c r="A380" s="9">
        <f>IFERROR(__xludf.DUMMYFUNCTION("""COMPUTED_VALUE"""),-13.303)</f>
        <v>-13.303</v>
      </c>
      <c r="B380" s="9">
        <f>IFERROR(__xludf.DUMMYFUNCTION("""COMPUTED_VALUE"""),138.472)</f>
        <v>138.472</v>
      </c>
    </row>
    <row r="381">
      <c r="A381" s="9">
        <f>IFERROR(__xludf.DUMMYFUNCTION("""COMPUTED_VALUE"""),-8.338)</f>
        <v>-8.338</v>
      </c>
      <c r="B381" s="9">
        <f>IFERROR(__xludf.DUMMYFUNCTION("""COMPUTED_VALUE"""),121.313)</f>
        <v>121.313</v>
      </c>
    </row>
    <row r="382">
      <c r="A382" s="9">
        <f>IFERROR(__xludf.DUMMYFUNCTION("""COMPUTED_VALUE"""),-7.62)</f>
        <v>-7.62</v>
      </c>
      <c r="B382" s="9">
        <f>IFERROR(__xludf.DUMMYFUNCTION("""COMPUTED_VALUE"""),117.157)</f>
        <v>117.157</v>
      </c>
    </row>
    <row r="383">
      <c r="A383" s="9">
        <f>IFERROR(__xludf.DUMMYFUNCTION("""COMPUTED_VALUE"""),-7.109)</f>
        <v>-7.109</v>
      </c>
      <c r="B383" s="9">
        <f>IFERROR(__xludf.DUMMYFUNCTION("""COMPUTED_VALUE"""),120.018)</f>
        <v>120.018</v>
      </c>
    </row>
    <row r="384">
      <c r="A384" s="9">
        <f>IFERROR(__xludf.DUMMYFUNCTION("""COMPUTED_VALUE"""),-4.908)</f>
        <v>-4.908</v>
      </c>
      <c r="B384" s="9">
        <f>IFERROR(__xludf.DUMMYFUNCTION("""COMPUTED_VALUE"""),104.035)</f>
        <v>104.035</v>
      </c>
    </row>
    <row r="385">
      <c r="A385" s="9">
        <f>IFERROR(__xludf.DUMMYFUNCTION("""COMPUTED_VALUE"""),-5.288)</f>
        <v>-5.288</v>
      </c>
      <c r="B385" s="9">
        <f>IFERROR(__xludf.DUMMYFUNCTION("""COMPUTED_VALUE"""),168.284)</f>
        <v>168.284</v>
      </c>
    </row>
    <row r="386">
      <c r="A386" s="9">
        <f>IFERROR(__xludf.DUMMYFUNCTION("""COMPUTED_VALUE"""),-5.088)</f>
        <v>-5.088</v>
      </c>
      <c r="B386" s="9">
        <f>IFERROR(__xludf.DUMMYFUNCTION("""COMPUTED_VALUE"""),153.986)</f>
        <v>153.986</v>
      </c>
    </row>
    <row r="387">
      <c r="A387" s="9">
        <f>IFERROR(__xludf.DUMMYFUNCTION("""COMPUTED_VALUE"""),-6.065)</f>
        <v>-6.065</v>
      </c>
      <c r="B387" s="9">
        <f>IFERROR(__xludf.DUMMYFUNCTION("""COMPUTED_VALUE"""),130.405)</f>
        <v>130.405</v>
      </c>
    </row>
    <row r="388">
      <c r="A388" s="9">
        <f>IFERROR(__xludf.DUMMYFUNCTION("""COMPUTED_VALUE"""),-31.786)</f>
        <v>-31.786</v>
      </c>
      <c r="B388" s="9">
        <f>IFERROR(__xludf.DUMMYFUNCTION("""COMPUTED_VALUE"""),115.249)</f>
        <v>115.249</v>
      </c>
    </row>
    <row r="389">
      <c r="A389" s="9">
        <f>IFERROR(__xludf.DUMMYFUNCTION("""COMPUTED_VALUE"""),-4.378)</f>
        <v>-4.378</v>
      </c>
      <c r="B389" s="9">
        <f>IFERROR(__xludf.DUMMYFUNCTION("""COMPUTED_VALUE"""),125.994)</f>
        <v>125.994</v>
      </c>
    </row>
    <row r="390">
      <c r="A390" s="9">
        <f>IFERROR(__xludf.DUMMYFUNCTION("""COMPUTED_VALUE"""),-15.71)</f>
        <v>-15.71</v>
      </c>
      <c r="B390" s="9">
        <f>IFERROR(__xludf.DUMMYFUNCTION("""COMPUTED_VALUE"""),112.832)</f>
        <v>112.832</v>
      </c>
    </row>
    <row r="391">
      <c r="A391" s="9">
        <f>IFERROR(__xludf.DUMMYFUNCTION("""COMPUTED_VALUE"""),-8.74)</f>
        <v>-8.74</v>
      </c>
      <c r="B391" s="9">
        <f>IFERROR(__xludf.DUMMYFUNCTION("""COMPUTED_VALUE"""),138.178)</f>
        <v>138.178</v>
      </c>
    </row>
    <row r="392">
      <c r="A392" s="9">
        <f>IFERROR(__xludf.DUMMYFUNCTION("""COMPUTED_VALUE"""),-17.044)</f>
        <v>-17.044</v>
      </c>
      <c r="B392" s="9">
        <f>IFERROR(__xludf.DUMMYFUNCTION("""COMPUTED_VALUE"""),122.49)</f>
        <v>122.49</v>
      </c>
    </row>
    <row r="393">
      <c r="A393" s="9">
        <f>IFERROR(__xludf.DUMMYFUNCTION("""COMPUTED_VALUE"""),-8.301)</f>
        <v>-8.301</v>
      </c>
      <c r="B393" s="9">
        <f>IFERROR(__xludf.DUMMYFUNCTION("""COMPUTED_VALUE"""),139.774)</f>
        <v>139.774</v>
      </c>
    </row>
    <row r="394">
      <c r="A394" s="9">
        <f>IFERROR(__xludf.DUMMYFUNCTION("""COMPUTED_VALUE"""),-13.426)</f>
        <v>-13.426</v>
      </c>
      <c r="B394" s="9">
        <f>IFERROR(__xludf.DUMMYFUNCTION("""COMPUTED_VALUE"""),117.028)</f>
        <v>117.028</v>
      </c>
    </row>
    <row r="395">
      <c r="A395" s="9">
        <f>IFERROR(__xludf.DUMMYFUNCTION("""COMPUTED_VALUE"""),-10.202)</f>
        <v>-10.202</v>
      </c>
      <c r="B395" s="9">
        <f>IFERROR(__xludf.DUMMYFUNCTION("""COMPUTED_VALUE"""),183.17)</f>
        <v>183.17</v>
      </c>
    </row>
    <row r="396">
      <c r="A396" s="9">
        <f>IFERROR(__xludf.DUMMYFUNCTION("""COMPUTED_VALUE"""),-13.814)</f>
        <v>-13.814</v>
      </c>
      <c r="B396" s="9">
        <f>IFERROR(__xludf.DUMMYFUNCTION("""COMPUTED_VALUE"""),116.334)</f>
        <v>116.334</v>
      </c>
    </row>
    <row r="397">
      <c r="A397" s="9">
        <f>IFERROR(__xludf.DUMMYFUNCTION("""COMPUTED_VALUE"""),-20.49)</f>
        <v>-20.49</v>
      </c>
      <c r="B397" s="9">
        <f>IFERROR(__xludf.DUMMYFUNCTION("""COMPUTED_VALUE"""),121.727)</f>
        <v>121.727</v>
      </c>
    </row>
    <row r="398">
      <c r="A398" s="9">
        <f>IFERROR(__xludf.DUMMYFUNCTION("""COMPUTED_VALUE"""),-8.164)</f>
        <v>-8.164</v>
      </c>
      <c r="B398" s="9">
        <f>IFERROR(__xludf.DUMMYFUNCTION("""COMPUTED_VALUE"""),110.805)</f>
        <v>110.805</v>
      </c>
    </row>
    <row r="399">
      <c r="A399" s="9">
        <f>IFERROR(__xludf.DUMMYFUNCTION("""COMPUTED_VALUE"""),-21.067)</f>
        <v>-21.067</v>
      </c>
      <c r="B399" s="9">
        <f>IFERROR(__xludf.DUMMYFUNCTION("""COMPUTED_VALUE"""),80.583)</f>
        <v>80.583</v>
      </c>
    </row>
    <row r="400">
      <c r="A400" s="9">
        <f>IFERROR(__xludf.DUMMYFUNCTION("""COMPUTED_VALUE"""),-5.792)</f>
        <v>-5.792</v>
      </c>
      <c r="B400" s="9">
        <f>IFERROR(__xludf.DUMMYFUNCTION("""COMPUTED_VALUE"""),99.982)</f>
        <v>99.982</v>
      </c>
    </row>
    <row r="401">
      <c r="A401" s="9">
        <f>IFERROR(__xludf.DUMMYFUNCTION("""COMPUTED_VALUE"""),-18.127)</f>
        <v>-18.127</v>
      </c>
      <c r="B401" s="9">
        <f>IFERROR(__xludf.DUMMYFUNCTION("""COMPUTED_VALUE"""),185.53)</f>
        <v>185.53</v>
      </c>
    </row>
    <row r="402">
      <c r="A402" s="9">
        <f>IFERROR(__xludf.DUMMYFUNCTION("""COMPUTED_VALUE"""),-23.777)</f>
        <v>-23.777</v>
      </c>
      <c r="B402" s="9">
        <f>IFERROR(__xludf.DUMMYFUNCTION("""COMPUTED_VALUE"""),133.261)</f>
        <v>133.261</v>
      </c>
    </row>
    <row r="403">
      <c r="A403" s="9">
        <f>IFERROR(__xludf.DUMMYFUNCTION("""COMPUTED_VALUE"""),-7.636)</f>
        <v>-7.636</v>
      </c>
      <c r="B403" s="9">
        <f>IFERROR(__xludf.DUMMYFUNCTION("""COMPUTED_VALUE"""),90.379)</f>
        <v>90.379</v>
      </c>
    </row>
    <row r="404">
      <c r="A404" s="9">
        <f>IFERROR(__xludf.DUMMYFUNCTION("""COMPUTED_VALUE"""),-12.903)</f>
        <v>-12.903</v>
      </c>
      <c r="B404" s="9">
        <f>IFERROR(__xludf.DUMMYFUNCTION("""COMPUTED_VALUE"""),79.806)</f>
        <v>79.806</v>
      </c>
    </row>
    <row r="405">
      <c r="A405" s="9">
        <f>IFERROR(__xludf.DUMMYFUNCTION("""COMPUTED_VALUE"""),-11.428)</f>
        <v>-11.428</v>
      </c>
      <c r="B405" s="9">
        <f>IFERROR(__xludf.DUMMYFUNCTION("""COMPUTED_VALUE"""),101.687)</f>
        <v>101.687</v>
      </c>
    </row>
    <row r="406">
      <c r="A406" s="9">
        <f>IFERROR(__xludf.DUMMYFUNCTION("""COMPUTED_VALUE"""),-3.967)</f>
        <v>-3.967</v>
      </c>
      <c r="B406" s="9">
        <f>IFERROR(__xludf.DUMMYFUNCTION("""COMPUTED_VALUE"""),189.776)</f>
        <v>189.776</v>
      </c>
    </row>
    <row r="407">
      <c r="A407" s="9">
        <f>IFERROR(__xludf.DUMMYFUNCTION("""COMPUTED_VALUE"""),-3.398)</f>
        <v>-3.398</v>
      </c>
      <c r="B407" s="9">
        <f>IFERROR(__xludf.DUMMYFUNCTION("""COMPUTED_VALUE"""),134.018)</f>
        <v>134.018</v>
      </c>
    </row>
    <row r="408">
      <c r="A408" s="9">
        <f>IFERROR(__xludf.DUMMYFUNCTION("""COMPUTED_VALUE"""),-24.104)</f>
        <v>-24.104</v>
      </c>
      <c r="B408" s="9">
        <f>IFERROR(__xludf.DUMMYFUNCTION("""COMPUTED_VALUE"""),91.893)</f>
        <v>91.893</v>
      </c>
    </row>
    <row r="409">
      <c r="A409" s="9">
        <f>IFERROR(__xludf.DUMMYFUNCTION("""COMPUTED_VALUE"""),-3.145)</f>
        <v>-3.145</v>
      </c>
      <c r="B409" s="9">
        <f>IFERROR(__xludf.DUMMYFUNCTION("""COMPUTED_VALUE"""),129.042)</f>
        <v>129.042</v>
      </c>
    </row>
    <row r="410">
      <c r="A410" s="9">
        <f>IFERROR(__xludf.DUMMYFUNCTION("""COMPUTED_VALUE"""),-16.095)</f>
        <v>-16.095</v>
      </c>
      <c r="B410" s="9">
        <f>IFERROR(__xludf.DUMMYFUNCTION("""COMPUTED_VALUE"""),118.499)</f>
        <v>118.499</v>
      </c>
    </row>
    <row r="411">
      <c r="A411" s="9">
        <f>IFERROR(__xludf.DUMMYFUNCTION("""COMPUTED_VALUE"""),-18.492)</f>
        <v>-18.492</v>
      </c>
      <c r="B411" s="9">
        <f>IFERROR(__xludf.DUMMYFUNCTION("""COMPUTED_VALUE"""),142.879)</f>
        <v>142.879</v>
      </c>
    </row>
    <row r="412">
      <c r="A412" s="9">
        <f>IFERROR(__xludf.DUMMYFUNCTION("""COMPUTED_VALUE"""),-14.245)</f>
        <v>-14.245</v>
      </c>
      <c r="B412" s="9">
        <f>IFERROR(__xludf.DUMMYFUNCTION("""COMPUTED_VALUE"""),144.338)</f>
        <v>144.338</v>
      </c>
    </row>
    <row r="413">
      <c r="A413" s="9">
        <f>IFERROR(__xludf.DUMMYFUNCTION("""COMPUTED_VALUE"""),-8.67)</f>
        <v>-8.67</v>
      </c>
      <c r="B413" s="9">
        <f>IFERROR(__xludf.DUMMYFUNCTION("""COMPUTED_VALUE"""),87.476)</f>
        <v>87.476</v>
      </c>
    </row>
    <row r="414">
      <c r="A414" s="9">
        <f>IFERROR(__xludf.DUMMYFUNCTION("""COMPUTED_VALUE"""),-22.589)</f>
        <v>-22.589</v>
      </c>
      <c r="B414" s="9">
        <f>IFERROR(__xludf.DUMMYFUNCTION("""COMPUTED_VALUE"""),77.353)</f>
        <v>77.353</v>
      </c>
    </row>
    <row r="415">
      <c r="A415" s="9">
        <f>IFERROR(__xludf.DUMMYFUNCTION("""COMPUTED_VALUE"""),-5.733)</f>
        <v>-5.733</v>
      </c>
      <c r="B415" s="9">
        <f>IFERROR(__xludf.DUMMYFUNCTION("""COMPUTED_VALUE"""),160.004)</f>
        <v>160.004</v>
      </c>
    </row>
    <row r="416">
      <c r="A416" s="9">
        <f>IFERROR(__xludf.DUMMYFUNCTION("""COMPUTED_VALUE"""),-6.792)</f>
        <v>-6.792</v>
      </c>
      <c r="B416" s="9">
        <f>IFERROR(__xludf.DUMMYFUNCTION("""COMPUTED_VALUE"""),98.109)</f>
        <v>98.109</v>
      </c>
    </row>
    <row r="417">
      <c r="A417" s="9">
        <f>IFERROR(__xludf.DUMMYFUNCTION("""COMPUTED_VALUE"""),-4.165)</f>
        <v>-4.165</v>
      </c>
      <c r="B417" s="9">
        <f>IFERROR(__xludf.DUMMYFUNCTION("""COMPUTED_VALUE"""),75.013)</f>
        <v>75.013</v>
      </c>
    </row>
    <row r="418">
      <c r="A418" s="9">
        <f>IFERROR(__xludf.DUMMYFUNCTION("""COMPUTED_VALUE"""),-9.108)</f>
        <v>-9.108</v>
      </c>
      <c r="B418" s="9">
        <f>IFERROR(__xludf.DUMMYFUNCTION("""COMPUTED_VALUE"""),105.25)</f>
        <v>105.25</v>
      </c>
    </row>
    <row r="419">
      <c r="A419" s="9">
        <f>IFERROR(__xludf.DUMMYFUNCTION("""COMPUTED_VALUE"""),-8.521)</f>
        <v>-8.521</v>
      </c>
      <c r="B419" s="9">
        <f>IFERROR(__xludf.DUMMYFUNCTION("""COMPUTED_VALUE"""),95.028)</f>
        <v>95.028</v>
      </c>
    </row>
    <row r="420">
      <c r="A420" s="9">
        <f>IFERROR(__xludf.DUMMYFUNCTION("""COMPUTED_VALUE"""),-5.277)</f>
        <v>-5.277</v>
      </c>
      <c r="B420" s="9">
        <f>IFERROR(__xludf.DUMMYFUNCTION("""COMPUTED_VALUE"""),156.271)</f>
        <v>156.271</v>
      </c>
    </row>
    <row r="421">
      <c r="A421" s="9">
        <f>IFERROR(__xludf.DUMMYFUNCTION("""COMPUTED_VALUE"""),-15.333)</f>
        <v>-15.333</v>
      </c>
      <c r="B421" s="9">
        <f>IFERROR(__xludf.DUMMYFUNCTION("""COMPUTED_VALUE"""),57.307)</f>
        <v>57.307</v>
      </c>
    </row>
    <row r="422">
      <c r="A422" s="9">
        <f>IFERROR(__xludf.DUMMYFUNCTION("""COMPUTED_VALUE"""),-10.184)</f>
        <v>-10.184</v>
      </c>
      <c r="B422" s="9">
        <f>IFERROR(__xludf.DUMMYFUNCTION("""COMPUTED_VALUE"""),135.223)</f>
        <v>135.223</v>
      </c>
    </row>
    <row r="423">
      <c r="A423" s="9">
        <f>IFERROR(__xludf.DUMMYFUNCTION("""COMPUTED_VALUE"""),-8.081)</f>
        <v>-8.081</v>
      </c>
      <c r="B423" s="9">
        <f>IFERROR(__xludf.DUMMYFUNCTION("""COMPUTED_VALUE"""),57.902)</f>
        <v>57.902</v>
      </c>
    </row>
    <row r="424">
      <c r="A424" s="9">
        <f>IFERROR(__xludf.DUMMYFUNCTION("""COMPUTED_VALUE"""),-18.141)</f>
        <v>-18.141</v>
      </c>
      <c r="B424" s="9">
        <f>IFERROR(__xludf.DUMMYFUNCTION("""COMPUTED_VALUE"""),91.537)</f>
        <v>91.537</v>
      </c>
    </row>
    <row r="425">
      <c r="A425" s="9">
        <f>IFERROR(__xludf.DUMMYFUNCTION("""COMPUTED_VALUE"""),-11.411)</f>
        <v>-11.411</v>
      </c>
      <c r="B425" s="9">
        <f>IFERROR(__xludf.DUMMYFUNCTION("""COMPUTED_VALUE"""),80.211)</f>
        <v>80.211</v>
      </c>
    </row>
    <row r="426">
      <c r="A426" s="9">
        <f>IFERROR(__xludf.DUMMYFUNCTION("""COMPUTED_VALUE"""),-15.443)</f>
        <v>-15.443</v>
      </c>
      <c r="B426" s="9">
        <f>IFERROR(__xludf.DUMMYFUNCTION("""COMPUTED_VALUE"""),148.499)</f>
        <v>148.499</v>
      </c>
    </row>
    <row r="427">
      <c r="A427" s="9">
        <f>IFERROR(__xludf.DUMMYFUNCTION("""COMPUTED_VALUE"""),-9.19)</f>
        <v>-9.19</v>
      </c>
      <c r="B427" s="9">
        <f>IFERROR(__xludf.DUMMYFUNCTION("""COMPUTED_VALUE"""),126.078)</f>
        <v>126.078</v>
      </c>
    </row>
    <row r="428">
      <c r="A428" s="9">
        <f>IFERROR(__xludf.DUMMYFUNCTION("""COMPUTED_VALUE"""),-5.871)</f>
        <v>-5.871</v>
      </c>
      <c r="B428" s="9">
        <f>IFERROR(__xludf.DUMMYFUNCTION("""COMPUTED_VALUE"""),140.71)</f>
        <v>140.71</v>
      </c>
    </row>
    <row r="429">
      <c r="A429" s="9">
        <f>IFERROR(__xludf.DUMMYFUNCTION("""COMPUTED_VALUE"""),-3.905)</f>
        <v>-3.905</v>
      </c>
      <c r="B429" s="9">
        <f>IFERROR(__xludf.DUMMYFUNCTION("""COMPUTED_VALUE"""),122.394)</f>
        <v>122.394</v>
      </c>
    </row>
    <row r="430">
      <c r="A430" s="9">
        <f>IFERROR(__xludf.DUMMYFUNCTION("""COMPUTED_VALUE"""),-11.138)</f>
        <v>-11.138</v>
      </c>
      <c r="B430" s="9">
        <f>IFERROR(__xludf.DUMMYFUNCTION("""COMPUTED_VALUE"""),125.319)</f>
        <v>125.319</v>
      </c>
    </row>
    <row r="431">
      <c r="A431" s="9">
        <f>IFERROR(__xludf.DUMMYFUNCTION("""COMPUTED_VALUE"""),-12.934)</f>
        <v>-12.934</v>
      </c>
      <c r="B431" s="9">
        <f>IFERROR(__xludf.DUMMYFUNCTION("""COMPUTED_VALUE"""),123.964)</f>
        <v>123.964</v>
      </c>
    </row>
    <row r="432">
      <c r="A432" s="9">
        <f>IFERROR(__xludf.DUMMYFUNCTION("""COMPUTED_VALUE"""),-13.767)</f>
        <v>-13.767</v>
      </c>
      <c r="B432" s="9">
        <f>IFERROR(__xludf.DUMMYFUNCTION("""COMPUTED_VALUE"""),126.455)</f>
        <v>126.455</v>
      </c>
    </row>
    <row r="433">
      <c r="A433" s="9">
        <f>IFERROR(__xludf.DUMMYFUNCTION("""COMPUTED_VALUE"""),-6.472)</f>
        <v>-6.472</v>
      </c>
      <c r="B433" s="9">
        <f>IFERROR(__xludf.DUMMYFUNCTION("""COMPUTED_VALUE"""),108.808)</f>
        <v>108.808</v>
      </c>
    </row>
    <row r="434">
      <c r="A434" s="9">
        <f>IFERROR(__xludf.DUMMYFUNCTION("""COMPUTED_VALUE"""),-8.443)</f>
        <v>-8.443</v>
      </c>
      <c r="B434" s="9">
        <f>IFERROR(__xludf.DUMMYFUNCTION("""COMPUTED_VALUE"""),126.009)</f>
        <v>126.009</v>
      </c>
    </row>
    <row r="435">
      <c r="A435" s="9">
        <f>IFERROR(__xludf.DUMMYFUNCTION("""COMPUTED_VALUE"""),-9.085)</f>
        <v>-9.085</v>
      </c>
      <c r="B435" s="9">
        <f>IFERROR(__xludf.DUMMYFUNCTION("""COMPUTED_VALUE"""),120.057)</f>
        <v>120.057</v>
      </c>
    </row>
    <row r="436">
      <c r="A436" s="9">
        <f>IFERROR(__xludf.DUMMYFUNCTION("""COMPUTED_VALUE"""),-7.931)</f>
        <v>-7.931</v>
      </c>
      <c r="B436" s="9">
        <f>IFERROR(__xludf.DUMMYFUNCTION("""COMPUTED_VALUE"""),83.361)</f>
        <v>83.361</v>
      </c>
    </row>
    <row r="437">
      <c r="A437" s="9">
        <f>IFERROR(__xludf.DUMMYFUNCTION("""COMPUTED_VALUE"""),-30.928)</f>
        <v>-30.928</v>
      </c>
      <c r="B437" s="9">
        <f>IFERROR(__xludf.DUMMYFUNCTION("""COMPUTED_VALUE"""),163.665)</f>
        <v>163.665</v>
      </c>
    </row>
    <row r="438">
      <c r="A438" s="9">
        <f>IFERROR(__xludf.DUMMYFUNCTION("""COMPUTED_VALUE"""),-22.627)</f>
        <v>-22.627</v>
      </c>
      <c r="B438" s="9">
        <f>IFERROR(__xludf.DUMMYFUNCTION("""COMPUTED_VALUE"""),100.827)</f>
        <v>100.827</v>
      </c>
    </row>
    <row r="439">
      <c r="A439" s="9">
        <f>IFERROR(__xludf.DUMMYFUNCTION("""COMPUTED_VALUE"""),-5.507)</f>
        <v>-5.507</v>
      </c>
      <c r="B439" s="9">
        <f>IFERROR(__xludf.DUMMYFUNCTION("""COMPUTED_VALUE"""),140.383)</f>
        <v>140.383</v>
      </c>
    </row>
    <row r="440">
      <c r="A440" s="9">
        <f>IFERROR(__xludf.DUMMYFUNCTION("""COMPUTED_VALUE"""),-15.661)</f>
        <v>-15.661</v>
      </c>
      <c r="B440" s="9">
        <f>IFERROR(__xludf.DUMMYFUNCTION("""COMPUTED_VALUE"""),91.003)</f>
        <v>91.003</v>
      </c>
    </row>
    <row r="441">
      <c r="A441" s="9">
        <f>IFERROR(__xludf.DUMMYFUNCTION("""COMPUTED_VALUE"""),-8.849)</f>
        <v>-8.849</v>
      </c>
      <c r="B441" s="9">
        <f>IFERROR(__xludf.DUMMYFUNCTION("""COMPUTED_VALUE"""),127.96)</f>
        <v>127.96</v>
      </c>
    </row>
    <row r="442">
      <c r="A442" s="9">
        <f>IFERROR(__xludf.DUMMYFUNCTION("""COMPUTED_VALUE"""),-4.594)</f>
        <v>-4.594</v>
      </c>
      <c r="B442" s="9">
        <f>IFERROR(__xludf.DUMMYFUNCTION("""COMPUTED_VALUE"""),124.75)</f>
        <v>124.75</v>
      </c>
    </row>
    <row r="443">
      <c r="A443" s="9">
        <f>IFERROR(__xludf.DUMMYFUNCTION("""COMPUTED_VALUE"""),-36.462)</f>
        <v>-36.462</v>
      </c>
      <c r="B443" s="9">
        <f>IFERROR(__xludf.DUMMYFUNCTION("""COMPUTED_VALUE"""),70.299)</f>
        <v>70.299</v>
      </c>
    </row>
    <row r="444">
      <c r="A444" s="9">
        <f>IFERROR(__xludf.DUMMYFUNCTION("""COMPUTED_VALUE"""),-16.458)</f>
        <v>-16.458</v>
      </c>
      <c r="B444" s="9">
        <f>IFERROR(__xludf.DUMMYFUNCTION("""COMPUTED_VALUE"""),72.048)</f>
        <v>72.048</v>
      </c>
    </row>
    <row r="445">
      <c r="A445" s="9">
        <f>IFERROR(__xludf.DUMMYFUNCTION("""COMPUTED_VALUE"""),-5.584)</f>
        <v>-5.584</v>
      </c>
      <c r="B445" s="9">
        <f>IFERROR(__xludf.DUMMYFUNCTION("""COMPUTED_VALUE"""),127.875)</f>
        <v>127.875</v>
      </c>
    </row>
    <row r="446">
      <c r="A446" s="9">
        <f>IFERROR(__xludf.DUMMYFUNCTION("""COMPUTED_VALUE"""),-11.855)</f>
        <v>-11.855</v>
      </c>
      <c r="B446" s="9">
        <f>IFERROR(__xludf.DUMMYFUNCTION("""COMPUTED_VALUE"""),105.404)</f>
        <v>105.404</v>
      </c>
    </row>
    <row r="447">
      <c r="A447" s="9">
        <f>IFERROR(__xludf.DUMMYFUNCTION("""COMPUTED_VALUE"""),-8.251)</f>
        <v>-8.251</v>
      </c>
      <c r="B447" s="9">
        <f>IFERROR(__xludf.DUMMYFUNCTION("""COMPUTED_VALUE"""),135.187)</f>
        <v>135.187</v>
      </c>
    </row>
    <row r="448">
      <c r="A448" s="9">
        <f>IFERROR(__xludf.DUMMYFUNCTION("""COMPUTED_VALUE"""),-4.296)</f>
        <v>-4.296</v>
      </c>
      <c r="B448" s="9">
        <f>IFERROR(__xludf.DUMMYFUNCTION("""COMPUTED_VALUE"""),113.082)</f>
        <v>113.082</v>
      </c>
    </row>
    <row r="449">
      <c r="A449" s="9">
        <f>IFERROR(__xludf.DUMMYFUNCTION("""COMPUTED_VALUE"""),-15.269)</f>
        <v>-15.269</v>
      </c>
      <c r="B449" s="9">
        <f>IFERROR(__xludf.DUMMYFUNCTION("""COMPUTED_VALUE"""),110.586)</f>
        <v>110.586</v>
      </c>
    </row>
    <row r="450">
      <c r="A450" s="9">
        <f>IFERROR(__xludf.DUMMYFUNCTION("""COMPUTED_VALUE"""),-16.485)</f>
        <v>-16.485</v>
      </c>
      <c r="B450" s="9">
        <f>IFERROR(__xludf.DUMMYFUNCTION("""COMPUTED_VALUE"""),130.503)</f>
        <v>130.503</v>
      </c>
    </row>
    <row r="451">
      <c r="A451" s="9">
        <f>IFERROR(__xludf.DUMMYFUNCTION("""COMPUTED_VALUE"""),-4.566)</f>
        <v>-4.566</v>
      </c>
      <c r="B451" s="9">
        <f>IFERROR(__xludf.DUMMYFUNCTION("""COMPUTED_VALUE"""),124.768)</f>
        <v>124.768</v>
      </c>
    </row>
    <row r="452">
      <c r="A452" s="9">
        <f>IFERROR(__xludf.DUMMYFUNCTION("""COMPUTED_VALUE"""),-10.553)</f>
        <v>-10.553</v>
      </c>
      <c r="B452" s="9">
        <f>IFERROR(__xludf.DUMMYFUNCTION("""COMPUTED_VALUE"""),120.277)</f>
        <v>120.277</v>
      </c>
    </row>
    <row r="453">
      <c r="A453" s="9">
        <f>IFERROR(__xludf.DUMMYFUNCTION("""COMPUTED_VALUE"""),-12.288)</f>
        <v>-12.288</v>
      </c>
      <c r="B453" s="9">
        <f>IFERROR(__xludf.DUMMYFUNCTION("""COMPUTED_VALUE"""),73.958)</f>
        <v>73.958</v>
      </c>
    </row>
    <row r="454">
      <c r="A454" s="9">
        <f>IFERROR(__xludf.DUMMYFUNCTION("""COMPUTED_VALUE"""),-7.664)</f>
        <v>-7.664</v>
      </c>
      <c r="B454" s="9">
        <f>IFERROR(__xludf.DUMMYFUNCTION("""COMPUTED_VALUE"""),123.167)</f>
        <v>123.167</v>
      </c>
    </row>
    <row r="455">
      <c r="A455" s="9">
        <f>IFERROR(__xludf.DUMMYFUNCTION("""COMPUTED_VALUE"""),-14.244)</f>
        <v>-14.244</v>
      </c>
      <c r="B455" s="9">
        <f>IFERROR(__xludf.DUMMYFUNCTION("""COMPUTED_VALUE"""),83.45)</f>
        <v>83.45</v>
      </c>
    </row>
    <row r="456">
      <c r="A456" s="9">
        <f>IFERROR(__xludf.DUMMYFUNCTION("""COMPUTED_VALUE"""),-8.81)</f>
        <v>-8.81</v>
      </c>
      <c r="B456" s="9">
        <f>IFERROR(__xludf.DUMMYFUNCTION("""COMPUTED_VALUE"""),151.553)</f>
        <v>151.553</v>
      </c>
    </row>
    <row r="457">
      <c r="A457" s="9">
        <f>IFERROR(__xludf.DUMMYFUNCTION("""COMPUTED_VALUE"""),-10.054)</f>
        <v>-10.054</v>
      </c>
      <c r="B457" s="9">
        <f>IFERROR(__xludf.DUMMYFUNCTION("""COMPUTED_VALUE"""),177.765)</f>
        <v>177.765</v>
      </c>
    </row>
    <row r="458">
      <c r="A458" s="9">
        <f>IFERROR(__xludf.DUMMYFUNCTION("""COMPUTED_VALUE"""),-10.298)</f>
        <v>-10.298</v>
      </c>
      <c r="B458" s="9">
        <f>IFERROR(__xludf.DUMMYFUNCTION("""COMPUTED_VALUE"""),100.456)</f>
        <v>100.456</v>
      </c>
    </row>
    <row r="459">
      <c r="A459" s="9">
        <f>IFERROR(__xludf.DUMMYFUNCTION("""COMPUTED_VALUE"""),-15.424)</f>
        <v>-15.424</v>
      </c>
      <c r="B459" s="9">
        <f>IFERROR(__xludf.DUMMYFUNCTION("""COMPUTED_VALUE"""),127.73)</f>
        <v>127.73</v>
      </c>
    </row>
    <row r="460">
      <c r="A460" s="9">
        <f>IFERROR(__xludf.DUMMYFUNCTION("""COMPUTED_VALUE"""),-23.58)</f>
        <v>-23.58</v>
      </c>
      <c r="B460" s="9">
        <f>IFERROR(__xludf.DUMMYFUNCTION("""COMPUTED_VALUE"""),78.822)</f>
        <v>78.822</v>
      </c>
    </row>
    <row r="461">
      <c r="A461" s="9">
        <f>IFERROR(__xludf.DUMMYFUNCTION("""COMPUTED_VALUE"""),-15.14)</f>
        <v>-15.14</v>
      </c>
      <c r="B461" s="9">
        <f>IFERROR(__xludf.DUMMYFUNCTION("""COMPUTED_VALUE"""),147.055)</f>
        <v>147.055</v>
      </c>
    </row>
    <row r="462">
      <c r="A462" s="9">
        <f>IFERROR(__xludf.DUMMYFUNCTION("""COMPUTED_VALUE"""),-12.662)</f>
        <v>-12.662</v>
      </c>
      <c r="B462" s="9">
        <f>IFERROR(__xludf.DUMMYFUNCTION("""COMPUTED_VALUE"""),86.242)</f>
        <v>86.242</v>
      </c>
    </row>
    <row r="463">
      <c r="A463" s="9">
        <f>IFERROR(__xludf.DUMMYFUNCTION("""COMPUTED_VALUE"""),-5.669)</f>
        <v>-5.669</v>
      </c>
      <c r="B463" s="9">
        <f>IFERROR(__xludf.DUMMYFUNCTION("""COMPUTED_VALUE"""),91.812)</f>
        <v>91.812</v>
      </c>
    </row>
    <row r="464">
      <c r="A464" s="9">
        <f>IFERROR(__xludf.DUMMYFUNCTION("""COMPUTED_VALUE"""),-36.112)</f>
        <v>-36.112</v>
      </c>
      <c r="B464" s="9">
        <f>IFERROR(__xludf.DUMMYFUNCTION("""COMPUTED_VALUE"""),87.225)</f>
        <v>87.225</v>
      </c>
    </row>
    <row r="465">
      <c r="A465" s="9">
        <f>IFERROR(__xludf.DUMMYFUNCTION("""COMPUTED_VALUE"""),-4.44)</f>
        <v>-4.44</v>
      </c>
      <c r="B465" s="9">
        <f>IFERROR(__xludf.DUMMYFUNCTION("""COMPUTED_VALUE"""),97.012)</f>
        <v>97.012</v>
      </c>
    </row>
    <row r="466">
      <c r="A466" s="9">
        <f>IFERROR(__xludf.DUMMYFUNCTION("""COMPUTED_VALUE"""),-14.361)</f>
        <v>-14.361</v>
      </c>
      <c r="B466" s="9">
        <f>IFERROR(__xludf.DUMMYFUNCTION("""COMPUTED_VALUE"""),93.699)</f>
        <v>93.699</v>
      </c>
    </row>
    <row r="467">
      <c r="A467" s="9">
        <f>IFERROR(__xludf.DUMMYFUNCTION("""COMPUTED_VALUE"""),-10.695)</f>
        <v>-10.695</v>
      </c>
      <c r="B467" s="9">
        <f>IFERROR(__xludf.DUMMYFUNCTION("""COMPUTED_VALUE"""),161.937)</f>
        <v>161.937</v>
      </c>
    </row>
    <row r="468">
      <c r="A468" s="9">
        <f>IFERROR(__xludf.DUMMYFUNCTION("""COMPUTED_VALUE"""),-12.577)</f>
        <v>-12.577</v>
      </c>
      <c r="B468" s="9">
        <f>IFERROR(__xludf.DUMMYFUNCTION("""COMPUTED_VALUE"""),171.143)</f>
        <v>171.143</v>
      </c>
    </row>
    <row r="469">
      <c r="A469" s="9">
        <f>IFERROR(__xludf.DUMMYFUNCTION("""COMPUTED_VALUE"""),-18.676)</f>
        <v>-18.676</v>
      </c>
      <c r="B469" s="9">
        <f>IFERROR(__xludf.DUMMYFUNCTION("""COMPUTED_VALUE"""),169.613)</f>
        <v>169.613</v>
      </c>
    </row>
    <row r="470">
      <c r="A470" s="9">
        <f>IFERROR(__xludf.DUMMYFUNCTION("""COMPUTED_VALUE"""),-9.683)</f>
        <v>-9.683</v>
      </c>
      <c r="B470" s="9">
        <f>IFERROR(__xludf.DUMMYFUNCTION("""COMPUTED_VALUE"""),168.111)</f>
        <v>168.111</v>
      </c>
    </row>
    <row r="471">
      <c r="A471" s="9">
        <f>IFERROR(__xludf.DUMMYFUNCTION("""COMPUTED_VALUE"""),-7.194)</f>
        <v>-7.194</v>
      </c>
      <c r="B471" s="9">
        <f>IFERROR(__xludf.DUMMYFUNCTION("""COMPUTED_VALUE"""),95.979)</f>
        <v>95.979</v>
      </c>
    </row>
    <row r="472">
      <c r="A472" s="9">
        <f>IFERROR(__xludf.DUMMYFUNCTION("""COMPUTED_VALUE"""),-4.624)</f>
        <v>-4.624</v>
      </c>
      <c r="B472" s="9">
        <f>IFERROR(__xludf.DUMMYFUNCTION("""COMPUTED_VALUE"""),119.996)</f>
        <v>119.996</v>
      </c>
    </row>
    <row r="473">
      <c r="A473" s="9">
        <f>IFERROR(__xludf.DUMMYFUNCTION("""COMPUTED_VALUE"""),-6.512)</f>
        <v>-6.512</v>
      </c>
      <c r="B473" s="9">
        <f>IFERROR(__xludf.DUMMYFUNCTION("""COMPUTED_VALUE"""),153.724)</f>
        <v>153.724</v>
      </c>
    </row>
    <row r="474">
      <c r="A474" s="9">
        <f>IFERROR(__xludf.DUMMYFUNCTION("""COMPUTED_VALUE"""),-12.658)</f>
        <v>-12.658</v>
      </c>
      <c r="B474" s="9">
        <f>IFERROR(__xludf.DUMMYFUNCTION("""COMPUTED_VALUE"""),82.188)</f>
        <v>82.188</v>
      </c>
    </row>
    <row r="475">
      <c r="A475" s="9">
        <f>IFERROR(__xludf.DUMMYFUNCTION("""COMPUTED_VALUE"""),-7.606)</f>
        <v>-7.606</v>
      </c>
      <c r="B475" s="9">
        <f>IFERROR(__xludf.DUMMYFUNCTION("""COMPUTED_VALUE"""),124.031)</f>
        <v>124.031</v>
      </c>
    </row>
    <row r="476">
      <c r="A476" s="9">
        <f>IFERROR(__xludf.DUMMYFUNCTION("""COMPUTED_VALUE"""),-5.809)</f>
        <v>-5.809</v>
      </c>
      <c r="B476" s="9">
        <f>IFERROR(__xludf.DUMMYFUNCTION("""COMPUTED_VALUE"""),150.899)</f>
        <v>150.899</v>
      </c>
    </row>
    <row r="477">
      <c r="A477" s="9">
        <f>IFERROR(__xludf.DUMMYFUNCTION("""COMPUTED_VALUE"""),-8.363)</f>
        <v>-8.363</v>
      </c>
      <c r="B477" s="9">
        <f>IFERROR(__xludf.DUMMYFUNCTION("""COMPUTED_VALUE"""),136.015)</f>
        <v>136.015</v>
      </c>
    </row>
    <row r="478">
      <c r="A478" s="9">
        <f>IFERROR(__xludf.DUMMYFUNCTION("""COMPUTED_VALUE"""),-7.762)</f>
        <v>-7.762</v>
      </c>
      <c r="B478" s="9">
        <f>IFERROR(__xludf.DUMMYFUNCTION("""COMPUTED_VALUE"""),141.619)</f>
        <v>141.619</v>
      </c>
    </row>
    <row r="479">
      <c r="A479" s="9">
        <f>IFERROR(__xludf.DUMMYFUNCTION("""COMPUTED_VALUE"""),-17.302)</f>
        <v>-17.302</v>
      </c>
      <c r="B479" s="9">
        <f>IFERROR(__xludf.DUMMYFUNCTION("""COMPUTED_VALUE"""),106.177)</f>
        <v>106.177</v>
      </c>
    </row>
    <row r="480">
      <c r="A480" s="9">
        <f>IFERROR(__xludf.DUMMYFUNCTION("""COMPUTED_VALUE"""),-9.941)</f>
        <v>-9.941</v>
      </c>
      <c r="B480" s="9">
        <f>IFERROR(__xludf.DUMMYFUNCTION("""COMPUTED_VALUE"""),99.979)</f>
        <v>99.979</v>
      </c>
    </row>
    <row r="481">
      <c r="A481" s="9">
        <f>IFERROR(__xludf.DUMMYFUNCTION("""COMPUTED_VALUE"""),-17.314)</f>
        <v>-17.314</v>
      </c>
      <c r="B481" s="9">
        <f>IFERROR(__xludf.DUMMYFUNCTION("""COMPUTED_VALUE"""),79.025)</f>
        <v>79.025</v>
      </c>
    </row>
    <row r="482">
      <c r="A482" s="9">
        <f>IFERROR(__xludf.DUMMYFUNCTION("""COMPUTED_VALUE"""),-15.782)</f>
        <v>-15.782</v>
      </c>
      <c r="B482" s="9">
        <f>IFERROR(__xludf.DUMMYFUNCTION("""COMPUTED_VALUE"""),180.557)</f>
        <v>180.557</v>
      </c>
    </row>
    <row r="483">
      <c r="A483" s="9">
        <f>IFERROR(__xludf.DUMMYFUNCTION("""COMPUTED_VALUE"""),-3.015)</f>
        <v>-3.015</v>
      </c>
      <c r="B483" s="9">
        <f>IFERROR(__xludf.DUMMYFUNCTION("""COMPUTED_VALUE"""),89.938)</f>
        <v>89.938</v>
      </c>
    </row>
    <row r="484">
      <c r="A484" s="9">
        <f>IFERROR(__xludf.DUMMYFUNCTION("""COMPUTED_VALUE"""),-16.438)</f>
        <v>-16.438</v>
      </c>
      <c r="B484" s="9">
        <f>IFERROR(__xludf.DUMMYFUNCTION("""COMPUTED_VALUE"""),84.985)</f>
        <v>84.985</v>
      </c>
    </row>
    <row r="485">
      <c r="A485" s="9">
        <f>IFERROR(__xludf.DUMMYFUNCTION("""COMPUTED_VALUE"""),-5.483)</f>
        <v>-5.483</v>
      </c>
      <c r="B485" s="9">
        <f>IFERROR(__xludf.DUMMYFUNCTION("""COMPUTED_VALUE"""),129.945)</f>
        <v>129.945</v>
      </c>
    </row>
    <row r="486">
      <c r="A486" s="9">
        <f>IFERROR(__xludf.DUMMYFUNCTION("""COMPUTED_VALUE"""),-24.274)</f>
        <v>-24.274</v>
      </c>
      <c r="B486" s="9">
        <f>IFERROR(__xludf.DUMMYFUNCTION("""COMPUTED_VALUE"""),87.503)</f>
        <v>87.503</v>
      </c>
    </row>
    <row r="487">
      <c r="A487" s="9">
        <f>IFERROR(__xludf.DUMMYFUNCTION("""COMPUTED_VALUE"""),-16.421)</f>
        <v>-16.421</v>
      </c>
      <c r="B487" s="9">
        <f>IFERROR(__xludf.DUMMYFUNCTION("""COMPUTED_VALUE"""),115.069)</f>
        <v>115.069</v>
      </c>
    </row>
    <row r="488">
      <c r="A488" s="9">
        <f>IFERROR(__xludf.DUMMYFUNCTION("""COMPUTED_VALUE"""),-11.748)</f>
        <v>-11.748</v>
      </c>
      <c r="B488" s="9">
        <f>IFERROR(__xludf.DUMMYFUNCTION("""COMPUTED_VALUE"""),111.995)</f>
        <v>111.995</v>
      </c>
    </row>
    <row r="489">
      <c r="A489" s="9">
        <f>IFERROR(__xludf.DUMMYFUNCTION("""COMPUTED_VALUE"""),-21.32)</f>
        <v>-21.32</v>
      </c>
      <c r="B489" s="9">
        <f>IFERROR(__xludf.DUMMYFUNCTION("""COMPUTED_VALUE"""),96.24)</f>
        <v>96.24</v>
      </c>
    </row>
    <row r="490">
      <c r="A490" s="9">
        <f>IFERROR(__xludf.DUMMYFUNCTION("""COMPUTED_VALUE"""),-9.051)</f>
        <v>-9.051</v>
      </c>
      <c r="B490" s="9">
        <f>IFERROR(__xludf.DUMMYFUNCTION("""COMPUTED_VALUE"""),78.049)</f>
        <v>78.049</v>
      </c>
    </row>
    <row r="491">
      <c r="A491" s="9">
        <f>IFERROR(__xludf.DUMMYFUNCTION("""COMPUTED_VALUE"""),-15.73)</f>
        <v>-15.73</v>
      </c>
      <c r="B491" s="9">
        <f>IFERROR(__xludf.DUMMYFUNCTION("""COMPUTED_VALUE"""),122.861)</f>
        <v>122.861</v>
      </c>
    </row>
    <row r="492">
      <c r="A492" s="9">
        <f>IFERROR(__xludf.DUMMYFUNCTION("""COMPUTED_VALUE"""),-6.812)</f>
        <v>-6.812</v>
      </c>
      <c r="B492" s="9">
        <f>IFERROR(__xludf.DUMMYFUNCTION("""COMPUTED_VALUE"""),129.139)</f>
        <v>129.139</v>
      </c>
    </row>
    <row r="493">
      <c r="A493" s="9">
        <f>IFERROR(__xludf.DUMMYFUNCTION("""COMPUTED_VALUE"""),-8.298)</f>
        <v>-8.298</v>
      </c>
      <c r="B493" s="9">
        <f>IFERROR(__xludf.DUMMYFUNCTION("""COMPUTED_VALUE"""),72.64)</f>
        <v>72.64</v>
      </c>
    </row>
    <row r="494">
      <c r="A494" s="9">
        <f>IFERROR(__xludf.DUMMYFUNCTION("""COMPUTED_VALUE"""),-5.293)</f>
        <v>-5.293</v>
      </c>
      <c r="B494" s="9">
        <f>IFERROR(__xludf.DUMMYFUNCTION("""COMPUTED_VALUE"""),106.282)</f>
        <v>106.282</v>
      </c>
    </row>
    <row r="495">
      <c r="A495" s="9">
        <f>IFERROR(__xludf.DUMMYFUNCTION("""COMPUTED_VALUE"""),-5.158)</f>
        <v>-5.158</v>
      </c>
      <c r="B495" s="9">
        <f>IFERROR(__xludf.DUMMYFUNCTION("""COMPUTED_VALUE"""),123.871)</f>
        <v>123.871</v>
      </c>
    </row>
    <row r="496">
      <c r="A496" s="9">
        <f>IFERROR(__xludf.DUMMYFUNCTION("""COMPUTED_VALUE"""),-5.802)</f>
        <v>-5.802</v>
      </c>
      <c r="B496" s="9">
        <f>IFERROR(__xludf.DUMMYFUNCTION("""COMPUTED_VALUE"""),83.046)</f>
        <v>83.046</v>
      </c>
    </row>
    <row r="497">
      <c r="A497" s="9">
        <f>IFERROR(__xludf.DUMMYFUNCTION("""COMPUTED_VALUE"""),-4.814)</f>
        <v>-4.814</v>
      </c>
      <c r="B497" s="9">
        <f>IFERROR(__xludf.DUMMYFUNCTION("""COMPUTED_VALUE"""),81.291)</f>
        <v>81.291</v>
      </c>
    </row>
    <row r="498">
      <c r="A498" s="9">
        <f>IFERROR(__xludf.DUMMYFUNCTION("""COMPUTED_VALUE"""),-5.829)</f>
        <v>-5.829</v>
      </c>
      <c r="B498" s="9">
        <f>IFERROR(__xludf.DUMMYFUNCTION("""COMPUTED_VALUE"""),119.992)</f>
        <v>119.992</v>
      </c>
    </row>
    <row r="499">
      <c r="A499" s="9">
        <f>IFERROR(__xludf.DUMMYFUNCTION("""COMPUTED_VALUE"""),-6.896)</f>
        <v>-6.896</v>
      </c>
      <c r="B499" s="9">
        <f>IFERROR(__xludf.DUMMYFUNCTION("""COMPUTED_VALUE"""),129.972)</f>
        <v>129.972</v>
      </c>
    </row>
    <row r="500">
      <c r="A500" s="9">
        <f>IFERROR(__xludf.DUMMYFUNCTION("""COMPUTED_VALUE"""),-9.316)</f>
        <v>-9.316</v>
      </c>
      <c r="B500" s="9">
        <f>IFERROR(__xludf.DUMMYFUNCTION("""COMPUTED_VALUE"""),79.759)</f>
        <v>79.759</v>
      </c>
    </row>
    <row r="501">
      <c r="A501" s="9">
        <f>IFERROR(__xludf.DUMMYFUNCTION("""COMPUTED_VALUE"""),-17.217)</f>
        <v>-17.217</v>
      </c>
      <c r="B501" s="9">
        <f>IFERROR(__xludf.DUMMYFUNCTION("""COMPUTED_VALUE"""),174.117)</f>
        <v>174.117</v>
      </c>
    </row>
    <row r="502">
      <c r="A502" s="9">
        <f>IFERROR(__xludf.DUMMYFUNCTION("""COMPUTED_VALUE"""),-18.752)</f>
        <v>-18.752</v>
      </c>
      <c r="B502" s="9">
        <f>IFERROR(__xludf.DUMMYFUNCTION("""COMPUTED_VALUE"""),128.304)</f>
        <v>128.304</v>
      </c>
    </row>
    <row r="503">
      <c r="A503" s="9">
        <f>IFERROR(__xludf.DUMMYFUNCTION("""COMPUTED_VALUE"""),-14.726)</f>
        <v>-14.726</v>
      </c>
      <c r="B503" s="9">
        <f>IFERROR(__xludf.DUMMYFUNCTION("""COMPUTED_VALUE"""),203.937)</f>
        <v>203.937</v>
      </c>
    </row>
    <row r="504">
      <c r="A504" s="9">
        <f>IFERROR(__xludf.DUMMYFUNCTION("""COMPUTED_VALUE"""),-22.772)</f>
        <v>-22.772</v>
      </c>
      <c r="B504" s="9">
        <f>IFERROR(__xludf.DUMMYFUNCTION("""COMPUTED_VALUE"""),92.164)</f>
        <v>92.164</v>
      </c>
    </row>
    <row r="505">
      <c r="A505" s="9">
        <f>IFERROR(__xludf.DUMMYFUNCTION("""COMPUTED_VALUE"""),-7.013)</f>
        <v>-7.013</v>
      </c>
      <c r="B505" s="9">
        <f>IFERROR(__xludf.DUMMYFUNCTION("""COMPUTED_VALUE"""),91.751)</f>
        <v>91.751</v>
      </c>
    </row>
    <row r="506">
      <c r="A506" s="9">
        <f>IFERROR(__xludf.DUMMYFUNCTION("""COMPUTED_VALUE"""),-16.996)</f>
        <v>-16.996</v>
      </c>
      <c r="B506" s="9">
        <f>IFERROR(__xludf.DUMMYFUNCTION("""COMPUTED_VALUE"""),126.622)</f>
        <v>126.622</v>
      </c>
    </row>
    <row r="507">
      <c r="A507" s="9">
        <f>IFERROR(__xludf.DUMMYFUNCTION("""COMPUTED_VALUE"""),-9.198)</f>
        <v>-9.198</v>
      </c>
      <c r="B507" s="9">
        <f>IFERROR(__xludf.DUMMYFUNCTION("""COMPUTED_VALUE"""),124.631)</f>
        <v>124.631</v>
      </c>
    </row>
    <row r="508">
      <c r="A508" s="9">
        <f>IFERROR(__xludf.DUMMYFUNCTION("""COMPUTED_VALUE"""),-8.824)</f>
        <v>-8.824</v>
      </c>
      <c r="B508" s="9">
        <f>IFERROR(__xludf.DUMMYFUNCTION("""COMPUTED_VALUE"""),121.476)</f>
        <v>121.476</v>
      </c>
    </row>
    <row r="509">
      <c r="A509" s="9">
        <f>IFERROR(__xludf.DUMMYFUNCTION("""COMPUTED_VALUE"""),-9.043)</f>
        <v>-9.043</v>
      </c>
      <c r="B509" s="9">
        <f>IFERROR(__xludf.DUMMYFUNCTION("""COMPUTED_VALUE"""),111.889)</f>
        <v>111.889</v>
      </c>
    </row>
    <row r="510">
      <c r="A510" s="9">
        <f>IFERROR(__xludf.DUMMYFUNCTION("""COMPUTED_VALUE"""),-8.125)</f>
        <v>-8.125</v>
      </c>
      <c r="B510" s="9">
        <f>IFERROR(__xludf.DUMMYFUNCTION("""COMPUTED_VALUE"""),151.437)</f>
        <v>151.437</v>
      </c>
    </row>
    <row r="511">
      <c r="A511" s="9">
        <f>IFERROR(__xludf.DUMMYFUNCTION("""COMPUTED_VALUE"""),-13.155)</f>
        <v>-13.155</v>
      </c>
      <c r="B511" s="9">
        <f>IFERROR(__xludf.DUMMYFUNCTION("""COMPUTED_VALUE"""),171.282)</f>
        <v>171.282</v>
      </c>
    </row>
    <row r="512">
      <c r="A512" s="9">
        <f>IFERROR(__xludf.DUMMYFUNCTION("""COMPUTED_VALUE"""),-10.164)</f>
        <v>-10.164</v>
      </c>
      <c r="B512" s="9">
        <f>IFERROR(__xludf.DUMMYFUNCTION("""COMPUTED_VALUE"""),111.893)</f>
        <v>111.893</v>
      </c>
    </row>
    <row r="513">
      <c r="A513" s="9">
        <f>IFERROR(__xludf.DUMMYFUNCTION("""COMPUTED_VALUE"""),-7.445)</f>
        <v>-7.445</v>
      </c>
      <c r="B513" s="9">
        <f>IFERROR(__xludf.DUMMYFUNCTION("""COMPUTED_VALUE"""),139.028)</f>
        <v>139.028</v>
      </c>
    </row>
    <row r="514">
      <c r="A514" s="9">
        <f>IFERROR(__xludf.DUMMYFUNCTION("""COMPUTED_VALUE"""),-4.899)</f>
        <v>-4.899</v>
      </c>
      <c r="B514" s="9">
        <f>IFERROR(__xludf.DUMMYFUNCTION("""COMPUTED_VALUE"""),84.989)</f>
        <v>84.989</v>
      </c>
    </row>
    <row r="515">
      <c r="A515" s="9">
        <f>IFERROR(__xludf.DUMMYFUNCTION("""COMPUTED_VALUE"""),-15.755)</f>
        <v>-15.755</v>
      </c>
      <c r="B515" s="9">
        <f>IFERROR(__xludf.DUMMYFUNCTION("""COMPUTED_VALUE"""),79.986)</f>
        <v>79.986</v>
      </c>
    </row>
    <row r="516">
      <c r="A516" s="9">
        <f>IFERROR(__xludf.DUMMYFUNCTION("""COMPUTED_VALUE"""),-8.793)</f>
        <v>-8.793</v>
      </c>
      <c r="B516" s="9">
        <f>IFERROR(__xludf.DUMMYFUNCTION("""COMPUTED_VALUE"""),181.305)</f>
        <v>181.305</v>
      </c>
    </row>
    <row r="517">
      <c r="A517" s="9">
        <f>IFERROR(__xludf.DUMMYFUNCTION("""COMPUTED_VALUE"""),-8.475)</f>
        <v>-8.475</v>
      </c>
      <c r="B517" s="9">
        <f>IFERROR(__xludf.DUMMYFUNCTION("""COMPUTED_VALUE"""),114.436)</f>
        <v>114.436</v>
      </c>
    </row>
    <row r="518">
      <c r="A518" s="9">
        <f>IFERROR(__xludf.DUMMYFUNCTION("""COMPUTED_VALUE"""),-9.813)</f>
        <v>-9.813</v>
      </c>
      <c r="B518" s="9">
        <f>IFERROR(__xludf.DUMMYFUNCTION("""COMPUTED_VALUE"""),133.369)</f>
        <v>133.369</v>
      </c>
    </row>
    <row r="519">
      <c r="A519" s="9">
        <f>IFERROR(__xludf.DUMMYFUNCTION("""COMPUTED_VALUE"""),-9.837)</f>
        <v>-9.837</v>
      </c>
      <c r="B519" s="9">
        <f>IFERROR(__xludf.DUMMYFUNCTION("""COMPUTED_VALUE"""),119.693)</f>
        <v>119.693</v>
      </c>
    </row>
    <row r="520">
      <c r="A520" s="9">
        <f>IFERROR(__xludf.DUMMYFUNCTION("""COMPUTED_VALUE"""),-9.567)</f>
        <v>-9.567</v>
      </c>
      <c r="B520" s="9">
        <f>IFERROR(__xludf.DUMMYFUNCTION("""COMPUTED_VALUE"""),104.381)</f>
        <v>104.381</v>
      </c>
    </row>
    <row r="521">
      <c r="A521" s="9">
        <f>IFERROR(__xludf.DUMMYFUNCTION("""COMPUTED_VALUE"""),-5.74)</f>
        <v>-5.74</v>
      </c>
      <c r="B521" s="9">
        <f>IFERROR(__xludf.DUMMYFUNCTION("""COMPUTED_VALUE"""),97.085)</f>
        <v>97.085</v>
      </c>
    </row>
    <row r="522">
      <c r="A522" s="9">
        <f>IFERROR(__xludf.DUMMYFUNCTION("""COMPUTED_VALUE"""),-11.836)</f>
        <v>-11.836</v>
      </c>
      <c r="B522" s="9">
        <f>IFERROR(__xludf.DUMMYFUNCTION("""COMPUTED_VALUE"""),76.083)</f>
        <v>76.083</v>
      </c>
    </row>
    <row r="523">
      <c r="A523" s="9">
        <f>IFERROR(__xludf.DUMMYFUNCTION("""COMPUTED_VALUE"""),-13.893)</f>
        <v>-13.893</v>
      </c>
      <c r="B523" s="9">
        <f>IFERROR(__xludf.DUMMYFUNCTION("""COMPUTED_VALUE"""),146.68)</f>
        <v>146.68</v>
      </c>
    </row>
    <row r="524">
      <c r="A524" s="9">
        <f>IFERROR(__xludf.DUMMYFUNCTION("""COMPUTED_VALUE"""),-4.574)</f>
        <v>-4.574</v>
      </c>
      <c r="B524" s="9">
        <f>IFERROR(__xludf.DUMMYFUNCTION("""COMPUTED_VALUE"""),138.09)</f>
        <v>138.09</v>
      </c>
    </row>
    <row r="525">
      <c r="A525" s="9">
        <f>IFERROR(__xludf.DUMMYFUNCTION("""COMPUTED_VALUE"""),-4.453)</f>
        <v>-4.453</v>
      </c>
      <c r="B525" s="9">
        <f>IFERROR(__xludf.DUMMYFUNCTION("""COMPUTED_VALUE"""),135.155)</f>
        <v>135.155</v>
      </c>
    </row>
    <row r="526">
      <c r="A526" s="9">
        <f>IFERROR(__xludf.DUMMYFUNCTION("""COMPUTED_VALUE"""),-8.068)</f>
        <v>-8.068</v>
      </c>
      <c r="B526" s="9">
        <f>IFERROR(__xludf.DUMMYFUNCTION("""COMPUTED_VALUE"""),139.992)</f>
        <v>139.992</v>
      </c>
    </row>
    <row r="527">
      <c r="A527" s="9">
        <f>IFERROR(__xludf.DUMMYFUNCTION("""COMPUTED_VALUE"""),-7.557)</f>
        <v>-7.557</v>
      </c>
      <c r="B527" s="9">
        <f>IFERROR(__xludf.DUMMYFUNCTION("""COMPUTED_VALUE"""),136.529)</f>
        <v>136.529</v>
      </c>
    </row>
    <row r="528">
      <c r="A528" s="9">
        <f>IFERROR(__xludf.DUMMYFUNCTION("""COMPUTED_VALUE"""),-14.683)</f>
        <v>-14.683</v>
      </c>
      <c r="B528" s="9">
        <f>IFERROR(__xludf.DUMMYFUNCTION("""COMPUTED_VALUE"""),144.251)</f>
        <v>144.251</v>
      </c>
    </row>
    <row r="529">
      <c r="A529" s="9">
        <f>IFERROR(__xludf.DUMMYFUNCTION("""COMPUTED_VALUE"""),-15.003)</f>
        <v>-15.003</v>
      </c>
      <c r="B529" s="9">
        <f>IFERROR(__xludf.DUMMYFUNCTION("""COMPUTED_VALUE"""),139.039)</f>
        <v>139.039</v>
      </c>
    </row>
    <row r="530">
      <c r="A530" s="9">
        <f>IFERROR(__xludf.DUMMYFUNCTION("""COMPUTED_VALUE"""),-11.952)</f>
        <v>-11.952</v>
      </c>
      <c r="B530" s="9">
        <f>IFERROR(__xludf.DUMMYFUNCTION("""COMPUTED_VALUE"""),133.837)</f>
        <v>133.837</v>
      </c>
    </row>
    <row r="531">
      <c r="A531" s="9">
        <f>IFERROR(__xludf.DUMMYFUNCTION("""COMPUTED_VALUE"""),-14.261)</f>
        <v>-14.261</v>
      </c>
      <c r="B531" s="9">
        <f>IFERROR(__xludf.DUMMYFUNCTION("""COMPUTED_VALUE"""),112.777)</f>
        <v>112.777</v>
      </c>
    </row>
    <row r="532">
      <c r="A532" s="9">
        <f>IFERROR(__xludf.DUMMYFUNCTION("""COMPUTED_VALUE"""),-9.027)</f>
        <v>-9.027</v>
      </c>
      <c r="B532" s="9">
        <f>IFERROR(__xludf.DUMMYFUNCTION("""COMPUTED_VALUE"""),98.605)</f>
        <v>98.605</v>
      </c>
    </row>
    <row r="533">
      <c r="A533" s="9">
        <f>IFERROR(__xludf.DUMMYFUNCTION("""COMPUTED_VALUE"""),-6.36)</f>
        <v>-6.36</v>
      </c>
      <c r="B533" s="9">
        <f>IFERROR(__xludf.DUMMYFUNCTION("""COMPUTED_VALUE"""),171.091)</f>
        <v>171.091</v>
      </c>
    </row>
    <row r="534">
      <c r="A534" s="9">
        <f>IFERROR(__xludf.DUMMYFUNCTION("""COMPUTED_VALUE"""),-10.962)</f>
        <v>-10.962</v>
      </c>
      <c r="B534" s="9">
        <f>IFERROR(__xludf.DUMMYFUNCTION("""COMPUTED_VALUE"""),138.246)</f>
        <v>138.246</v>
      </c>
    </row>
    <row r="535">
      <c r="A535" s="9">
        <f>IFERROR(__xludf.DUMMYFUNCTION("""COMPUTED_VALUE"""),-11.262)</f>
        <v>-11.262</v>
      </c>
      <c r="B535" s="9">
        <f>IFERROR(__xludf.DUMMYFUNCTION("""COMPUTED_VALUE"""),76.98)</f>
        <v>76.98</v>
      </c>
    </row>
    <row r="536">
      <c r="A536" s="9">
        <f>IFERROR(__xludf.DUMMYFUNCTION("""COMPUTED_VALUE"""),-5.945)</f>
        <v>-5.945</v>
      </c>
      <c r="B536" s="9">
        <f>IFERROR(__xludf.DUMMYFUNCTION("""COMPUTED_VALUE"""),84.979)</f>
        <v>84.979</v>
      </c>
    </row>
    <row r="537">
      <c r="A537" s="9">
        <f>IFERROR(__xludf.DUMMYFUNCTION("""COMPUTED_VALUE"""),-7.896)</f>
        <v>-7.896</v>
      </c>
      <c r="B537" s="9">
        <f>IFERROR(__xludf.DUMMYFUNCTION("""COMPUTED_VALUE"""),131.947)</f>
        <v>131.947</v>
      </c>
    </row>
    <row r="538">
      <c r="A538" s="9">
        <f>IFERROR(__xludf.DUMMYFUNCTION("""COMPUTED_VALUE"""),-9.802)</f>
        <v>-9.802</v>
      </c>
      <c r="B538" s="9">
        <f>IFERROR(__xludf.DUMMYFUNCTION("""COMPUTED_VALUE"""),86.414)</f>
        <v>86.414</v>
      </c>
    </row>
    <row r="539">
      <c r="A539" s="9">
        <f>IFERROR(__xludf.DUMMYFUNCTION("""COMPUTED_VALUE"""),-14.25)</f>
        <v>-14.25</v>
      </c>
      <c r="B539" s="9">
        <f>IFERROR(__xludf.DUMMYFUNCTION("""COMPUTED_VALUE"""),123.859)</f>
        <v>123.859</v>
      </c>
    </row>
    <row r="540">
      <c r="A540" s="9">
        <f>IFERROR(__xludf.DUMMYFUNCTION("""COMPUTED_VALUE"""),-8.538)</f>
        <v>-8.538</v>
      </c>
      <c r="B540" s="9">
        <f>IFERROR(__xludf.DUMMYFUNCTION("""COMPUTED_VALUE"""),80.576)</f>
        <v>80.576</v>
      </c>
    </row>
    <row r="541">
      <c r="A541" s="9">
        <f>IFERROR(__xludf.DUMMYFUNCTION("""COMPUTED_VALUE"""),-12.452)</f>
        <v>-12.452</v>
      </c>
      <c r="B541" s="9">
        <f>IFERROR(__xludf.DUMMYFUNCTION("""COMPUTED_VALUE"""),121.165)</f>
        <v>121.165</v>
      </c>
    </row>
    <row r="542">
      <c r="A542" s="9">
        <f>IFERROR(__xludf.DUMMYFUNCTION("""COMPUTED_VALUE"""),-5.341)</f>
        <v>-5.341</v>
      </c>
      <c r="B542" s="9">
        <f>IFERROR(__xludf.DUMMYFUNCTION("""COMPUTED_VALUE"""),132.36)</f>
        <v>132.36</v>
      </c>
    </row>
    <row r="543">
      <c r="A543" s="9">
        <f>IFERROR(__xludf.DUMMYFUNCTION("""COMPUTED_VALUE"""),-9.888)</f>
        <v>-9.888</v>
      </c>
      <c r="B543" s="9">
        <f>IFERROR(__xludf.DUMMYFUNCTION("""COMPUTED_VALUE"""),101.113)</f>
        <v>101.113</v>
      </c>
    </row>
    <row r="544">
      <c r="A544" s="9">
        <f>IFERROR(__xludf.DUMMYFUNCTION("""COMPUTED_VALUE"""),-9.415)</f>
        <v>-9.415</v>
      </c>
      <c r="B544" s="9">
        <f>IFERROR(__xludf.DUMMYFUNCTION("""COMPUTED_VALUE"""),137.218)</f>
        <v>137.218</v>
      </c>
    </row>
    <row r="545">
      <c r="A545" s="9">
        <f>IFERROR(__xludf.DUMMYFUNCTION("""COMPUTED_VALUE"""),-11.625)</f>
        <v>-11.625</v>
      </c>
      <c r="B545" s="9">
        <f>IFERROR(__xludf.DUMMYFUNCTION("""COMPUTED_VALUE"""),123.904)</f>
        <v>123.904</v>
      </c>
    </row>
    <row r="546">
      <c r="A546" s="9">
        <f>IFERROR(__xludf.DUMMYFUNCTION("""COMPUTED_VALUE"""),-8.99)</f>
        <v>-8.99</v>
      </c>
      <c r="B546" s="9">
        <f>IFERROR(__xludf.DUMMYFUNCTION("""COMPUTED_VALUE"""),161.865)</f>
        <v>161.865</v>
      </c>
    </row>
    <row r="547">
      <c r="A547" s="9">
        <f>IFERROR(__xludf.DUMMYFUNCTION("""COMPUTED_VALUE"""),-6.977)</f>
        <v>-6.977</v>
      </c>
      <c r="B547" s="9">
        <f>IFERROR(__xludf.DUMMYFUNCTION("""COMPUTED_VALUE"""),139.448)</f>
        <v>139.448</v>
      </c>
    </row>
    <row r="548">
      <c r="A548" s="9">
        <f>IFERROR(__xludf.DUMMYFUNCTION("""COMPUTED_VALUE"""),-10.827)</f>
        <v>-10.827</v>
      </c>
      <c r="B548" s="9">
        <f>IFERROR(__xludf.DUMMYFUNCTION("""COMPUTED_VALUE"""),143.197)</f>
        <v>143.197</v>
      </c>
    </row>
    <row r="549">
      <c r="A549" s="9">
        <f>IFERROR(__xludf.DUMMYFUNCTION("""COMPUTED_VALUE"""),-10.759)</f>
        <v>-10.759</v>
      </c>
      <c r="B549" s="9">
        <f>IFERROR(__xludf.DUMMYFUNCTION("""COMPUTED_VALUE"""),128.993)</f>
        <v>128.993</v>
      </c>
    </row>
    <row r="550">
      <c r="A550" s="9">
        <f>IFERROR(__xludf.DUMMYFUNCTION("""COMPUTED_VALUE"""),-4.292)</f>
        <v>-4.292</v>
      </c>
      <c r="B550" s="9">
        <f>IFERROR(__xludf.DUMMYFUNCTION("""COMPUTED_VALUE"""),135.287)</f>
        <v>135.287</v>
      </c>
    </row>
    <row r="551">
      <c r="A551" s="9">
        <f>IFERROR(__xludf.DUMMYFUNCTION("""COMPUTED_VALUE"""),-12.018)</f>
        <v>-12.018</v>
      </c>
      <c r="B551" s="9">
        <f>IFERROR(__xludf.DUMMYFUNCTION("""COMPUTED_VALUE"""),149.965)</f>
        <v>149.965</v>
      </c>
    </row>
    <row r="552">
      <c r="A552" s="9">
        <f>IFERROR(__xludf.DUMMYFUNCTION("""COMPUTED_VALUE"""),-10.417)</f>
        <v>-10.417</v>
      </c>
      <c r="B552" s="9">
        <f>IFERROR(__xludf.DUMMYFUNCTION("""COMPUTED_VALUE"""),184.202)</f>
        <v>184.202</v>
      </c>
    </row>
    <row r="553">
      <c r="A553" s="9">
        <f>IFERROR(__xludf.DUMMYFUNCTION("""COMPUTED_VALUE"""),-20.493)</f>
        <v>-20.493</v>
      </c>
      <c r="B553" s="9">
        <f>IFERROR(__xludf.DUMMYFUNCTION("""COMPUTED_VALUE"""),125.103)</f>
        <v>125.103</v>
      </c>
    </row>
    <row r="554">
      <c r="A554" s="9">
        <f>IFERROR(__xludf.DUMMYFUNCTION("""COMPUTED_VALUE"""),-14.687)</f>
        <v>-14.687</v>
      </c>
      <c r="B554" s="9">
        <f>IFERROR(__xludf.DUMMYFUNCTION("""COMPUTED_VALUE"""),57.431)</f>
        <v>57.431</v>
      </c>
    </row>
    <row r="555">
      <c r="A555" s="9">
        <f>IFERROR(__xludf.DUMMYFUNCTION("""COMPUTED_VALUE"""),-23.073)</f>
        <v>-23.073</v>
      </c>
      <c r="B555" s="9">
        <f>IFERROR(__xludf.DUMMYFUNCTION("""COMPUTED_VALUE"""),91.438)</f>
        <v>91.438</v>
      </c>
    </row>
    <row r="556">
      <c r="A556" s="9">
        <f>IFERROR(__xludf.DUMMYFUNCTION("""COMPUTED_VALUE"""),-31.365)</f>
        <v>-31.365</v>
      </c>
      <c r="B556" s="9">
        <f>IFERROR(__xludf.DUMMYFUNCTION("""COMPUTED_VALUE"""),81.526)</f>
        <v>81.526</v>
      </c>
    </row>
    <row r="557">
      <c r="A557" s="9">
        <f>IFERROR(__xludf.DUMMYFUNCTION("""COMPUTED_VALUE"""),-8.877)</f>
        <v>-8.877</v>
      </c>
      <c r="B557" s="9">
        <f>IFERROR(__xludf.DUMMYFUNCTION("""COMPUTED_VALUE"""),66.114)</f>
        <v>66.114</v>
      </c>
    </row>
    <row r="558">
      <c r="A558" s="9">
        <f>IFERROR(__xludf.DUMMYFUNCTION("""COMPUTED_VALUE"""),-14.873)</f>
        <v>-14.873</v>
      </c>
      <c r="B558" s="9">
        <f>IFERROR(__xludf.DUMMYFUNCTION("""COMPUTED_VALUE"""),123.941)</f>
        <v>123.941</v>
      </c>
    </row>
    <row r="559">
      <c r="A559" s="9">
        <f>IFERROR(__xludf.DUMMYFUNCTION("""COMPUTED_VALUE"""),-6.881)</f>
        <v>-6.881</v>
      </c>
      <c r="B559" s="9">
        <f>IFERROR(__xludf.DUMMYFUNCTION("""COMPUTED_VALUE"""),151.969)</f>
        <v>151.969</v>
      </c>
    </row>
    <row r="560">
      <c r="A560" s="9">
        <f>IFERROR(__xludf.DUMMYFUNCTION("""COMPUTED_VALUE"""),-8.8)</f>
        <v>-8.8</v>
      </c>
      <c r="B560" s="9">
        <f>IFERROR(__xludf.DUMMYFUNCTION("""COMPUTED_VALUE"""),76.997)</f>
        <v>76.997</v>
      </c>
    </row>
    <row r="561">
      <c r="A561" s="9">
        <f>IFERROR(__xludf.DUMMYFUNCTION("""COMPUTED_VALUE"""),-22.873)</f>
        <v>-22.873</v>
      </c>
      <c r="B561" s="9">
        <f>IFERROR(__xludf.DUMMYFUNCTION("""COMPUTED_VALUE"""),94.337)</f>
        <v>94.337</v>
      </c>
    </row>
    <row r="562">
      <c r="A562" s="9">
        <f>IFERROR(__xludf.DUMMYFUNCTION("""COMPUTED_VALUE"""),-28.981)</f>
        <v>-28.981</v>
      </c>
      <c r="B562" s="9">
        <f>IFERROR(__xludf.DUMMYFUNCTION("""COMPUTED_VALUE"""),82.26)</f>
        <v>82.26</v>
      </c>
    </row>
    <row r="563">
      <c r="A563" s="9">
        <f>IFERROR(__xludf.DUMMYFUNCTION("""COMPUTED_VALUE"""),-24.114)</f>
        <v>-24.114</v>
      </c>
      <c r="B563" s="9">
        <f>IFERROR(__xludf.DUMMYFUNCTION("""COMPUTED_VALUE"""),81.164)</f>
        <v>81.164</v>
      </c>
    </row>
    <row r="564">
      <c r="A564" s="9">
        <f>IFERROR(__xludf.DUMMYFUNCTION("""COMPUTED_VALUE"""),-23.715)</f>
        <v>-23.715</v>
      </c>
      <c r="B564" s="9">
        <f>IFERROR(__xludf.DUMMYFUNCTION("""COMPUTED_VALUE"""),90.004)</f>
        <v>90.004</v>
      </c>
    </row>
    <row r="565">
      <c r="A565" s="9">
        <f>IFERROR(__xludf.DUMMYFUNCTION("""COMPUTED_VALUE"""),-10.338)</f>
        <v>-10.338</v>
      </c>
      <c r="B565" s="9">
        <f>IFERROR(__xludf.DUMMYFUNCTION("""COMPUTED_VALUE"""),138.022)</f>
        <v>138.022</v>
      </c>
    </row>
    <row r="566">
      <c r="A566" s="9">
        <f>IFERROR(__xludf.DUMMYFUNCTION("""COMPUTED_VALUE"""),-6.537)</f>
        <v>-6.537</v>
      </c>
      <c r="B566" s="9">
        <f>IFERROR(__xludf.DUMMYFUNCTION("""COMPUTED_VALUE"""),139.256)</f>
        <v>139.256</v>
      </c>
    </row>
    <row r="567">
      <c r="A567" s="9">
        <f>IFERROR(__xludf.DUMMYFUNCTION("""COMPUTED_VALUE"""),-7.689)</f>
        <v>-7.689</v>
      </c>
      <c r="B567" s="9">
        <f>IFERROR(__xludf.DUMMYFUNCTION("""COMPUTED_VALUE"""),140.112)</f>
        <v>140.112</v>
      </c>
    </row>
    <row r="568">
      <c r="A568" s="9">
        <f>IFERROR(__xludf.DUMMYFUNCTION("""COMPUTED_VALUE"""),-10.124)</f>
        <v>-10.124</v>
      </c>
      <c r="B568" s="9">
        <f>IFERROR(__xludf.DUMMYFUNCTION("""COMPUTED_VALUE"""),124.984)</f>
        <v>124.984</v>
      </c>
    </row>
    <row r="569">
      <c r="A569" s="9">
        <f>IFERROR(__xludf.DUMMYFUNCTION("""COMPUTED_VALUE"""),-17.576)</f>
        <v>-17.576</v>
      </c>
      <c r="B569" s="9">
        <f>IFERROR(__xludf.DUMMYFUNCTION("""COMPUTED_VALUE"""),79.649)</f>
        <v>79.649</v>
      </c>
    </row>
    <row r="570">
      <c r="A570" s="9">
        <f>IFERROR(__xludf.DUMMYFUNCTION("""COMPUTED_VALUE"""),-13.97)</f>
        <v>-13.97</v>
      </c>
      <c r="B570" s="9">
        <f>IFERROR(__xludf.DUMMYFUNCTION("""COMPUTED_VALUE"""),130.643)</f>
        <v>130.643</v>
      </c>
    </row>
    <row r="571">
      <c r="A571" s="9">
        <f>IFERROR(__xludf.DUMMYFUNCTION("""COMPUTED_VALUE"""),-7.011)</f>
        <v>-7.011</v>
      </c>
      <c r="B571" s="9">
        <f>IFERROR(__xludf.DUMMYFUNCTION("""COMPUTED_VALUE"""),119.015)</f>
        <v>119.015</v>
      </c>
    </row>
    <row r="572">
      <c r="A572" s="9">
        <f>IFERROR(__xludf.DUMMYFUNCTION("""COMPUTED_VALUE"""),-5.888)</f>
        <v>-5.888</v>
      </c>
      <c r="B572" s="9">
        <f>IFERROR(__xludf.DUMMYFUNCTION("""COMPUTED_VALUE"""),155.032)</f>
        <v>155.032</v>
      </c>
    </row>
    <row r="573">
      <c r="A573" s="9">
        <f>IFERROR(__xludf.DUMMYFUNCTION("""COMPUTED_VALUE"""),-15.211)</f>
        <v>-15.211</v>
      </c>
      <c r="B573" s="9">
        <f>IFERROR(__xludf.DUMMYFUNCTION("""COMPUTED_VALUE"""),110.342)</f>
        <v>110.342</v>
      </c>
    </row>
    <row r="574">
      <c r="A574" s="9">
        <f>IFERROR(__xludf.DUMMYFUNCTION("""COMPUTED_VALUE"""),-19.96)</f>
        <v>-19.96</v>
      </c>
      <c r="B574" s="9">
        <f>IFERROR(__xludf.DUMMYFUNCTION("""COMPUTED_VALUE"""),96.356)</f>
        <v>96.356</v>
      </c>
    </row>
    <row r="575">
      <c r="A575" s="9">
        <f>IFERROR(__xludf.DUMMYFUNCTION("""COMPUTED_VALUE"""),-25.179)</f>
        <v>-25.179</v>
      </c>
      <c r="B575" s="9">
        <f>IFERROR(__xludf.DUMMYFUNCTION("""COMPUTED_VALUE"""),83.107)</f>
        <v>83.107</v>
      </c>
    </row>
    <row r="576">
      <c r="A576" s="9">
        <f>IFERROR(__xludf.DUMMYFUNCTION("""COMPUTED_VALUE"""),-17.744)</f>
        <v>-17.744</v>
      </c>
      <c r="B576" s="9">
        <f>IFERROR(__xludf.DUMMYFUNCTION("""COMPUTED_VALUE"""),73.114)</f>
        <v>73.114</v>
      </c>
    </row>
    <row r="577">
      <c r="A577" s="9">
        <f>IFERROR(__xludf.DUMMYFUNCTION("""COMPUTED_VALUE"""),-36.547)</f>
        <v>-36.547</v>
      </c>
      <c r="B577" s="9">
        <f>IFERROR(__xludf.DUMMYFUNCTION("""COMPUTED_VALUE"""),176.236)</f>
        <v>176.236</v>
      </c>
    </row>
    <row r="578">
      <c r="A578" s="9">
        <f>IFERROR(__xludf.DUMMYFUNCTION("""COMPUTED_VALUE"""),-23.752)</f>
        <v>-23.752</v>
      </c>
      <c r="B578" s="9">
        <f>IFERROR(__xludf.DUMMYFUNCTION("""COMPUTED_VALUE"""),129.692)</f>
        <v>129.692</v>
      </c>
    </row>
    <row r="579">
      <c r="A579" s="9">
        <f>IFERROR(__xludf.DUMMYFUNCTION("""COMPUTED_VALUE"""),-17.763)</f>
        <v>-17.763</v>
      </c>
      <c r="B579" s="9">
        <f>IFERROR(__xludf.DUMMYFUNCTION("""COMPUTED_VALUE"""),89.428)</f>
        <v>89.428</v>
      </c>
    </row>
    <row r="580">
      <c r="A580" s="9">
        <f>IFERROR(__xludf.DUMMYFUNCTION("""COMPUTED_VALUE"""),-33.501)</f>
        <v>-33.501</v>
      </c>
      <c r="B580" s="9">
        <f>IFERROR(__xludf.DUMMYFUNCTION("""COMPUTED_VALUE"""),79.268)</f>
        <v>79.268</v>
      </c>
    </row>
    <row r="581">
      <c r="A581" s="9">
        <f>IFERROR(__xludf.DUMMYFUNCTION("""COMPUTED_VALUE"""),-21.505)</f>
        <v>-21.505</v>
      </c>
      <c r="B581" s="9">
        <f>IFERROR(__xludf.DUMMYFUNCTION("""COMPUTED_VALUE"""),103.08)</f>
        <v>103.08</v>
      </c>
    </row>
    <row r="582">
      <c r="A582" s="9">
        <f>IFERROR(__xludf.DUMMYFUNCTION("""COMPUTED_VALUE"""),-14.483)</f>
        <v>-14.483</v>
      </c>
      <c r="B582" s="9">
        <f>IFERROR(__xludf.DUMMYFUNCTION("""COMPUTED_VALUE"""),138.477)</f>
        <v>138.477</v>
      </c>
    </row>
    <row r="583">
      <c r="A583" s="9">
        <f>IFERROR(__xludf.DUMMYFUNCTION("""COMPUTED_VALUE"""),-6.077)</f>
        <v>-6.077</v>
      </c>
      <c r="B583" s="9">
        <f>IFERROR(__xludf.DUMMYFUNCTION("""COMPUTED_VALUE"""),105.971)</f>
        <v>105.971</v>
      </c>
    </row>
    <row r="584">
      <c r="A584" s="9">
        <f>IFERROR(__xludf.DUMMYFUNCTION("""COMPUTED_VALUE"""),-20.126)</f>
        <v>-20.126</v>
      </c>
      <c r="B584" s="9">
        <f>IFERROR(__xludf.DUMMYFUNCTION("""COMPUTED_VALUE"""),81.201)</f>
        <v>81.201</v>
      </c>
    </row>
    <row r="585">
      <c r="A585" s="9">
        <f>IFERROR(__xludf.DUMMYFUNCTION("""COMPUTED_VALUE"""),-8.465)</f>
        <v>-8.465</v>
      </c>
      <c r="B585" s="9">
        <f>IFERROR(__xludf.DUMMYFUNCTION("""COMPUTED_VALUE"""),91.122)</f>
        <v>91.122</v>
      </c>
    </row>
    <row r="586">
      <c r="A586" s="9">
        <f>IFERROR(__xludf.DUMMYFUNCTION("""COMPUTED_VALUE"""),-6.042)</f>
        <v>-6.042</v>
      </c>
      <c r="B586" s="9">
        <f>IFERROR(__xludf.DUMMYFUNCTION("""COMPUTED_VALUE"""),122.093)</f>
        <v>122.093</v>
      </c>
    </row>
    <row r="587">
      <c r="A587" s="9">
        <f>IFERROR(__xludf.DUMMYFUNCTION("""COMPUTED_VALUE"""),-6.266)</f>
        <v>-6.266</v>
      </c>
      <c r="B587" s="9">
        <f>IFERROR(__xludf.DUMMYFUNCTION("""COMPUTED_VALUE"""),146.161)</f>
        <v>146.161</v>
      </c>
    </row>
    <row r="588">
      <c r="A588" s="9">
        <f>IFERROR(__xludf.DUMMYFUNCTION("""COMPUTED_VALUE"""),-6.15)</f>
        <v>-6.15</v>
      </c>
      <c r="B588" s="9">
        <f>IFERROR(__xludf.DUMMYFUNCTION("""COMPUTED_VALUE"""),76.293)</f>
        <v>76.293</v>
      </c>
    </row>
    <row r="589">
      <c r="A589" s="9">
        <f>IFERROR(__xludf.DUMMYFUNCTION("""COMPUTED_VALUE"""),-9.961)</f>
        <v>-9.961</v>
      </c>
      <c r="B589" s="9">
        <f>IFERROR(__xludf.DUMMYFUNCTION("""COMPUTED_VALUE"""),143.883)</f>
        <v>143.883</v>
      </c>
    </row>
    <row r="590">
      <c r="A590" s="9">
        <f>IFERROR(__xludf.DUMMYFUNCTION("""COMPUTED_VALUE"""),-3.739)</f>
        <v>-3.739</v>
      </c>
      <c r="B590" s="9">
        <f>IFERROR(__xludf.DUMMYFUNCTION("""COMPUTED_VALUE"""),167.949)</f>
        <v>167.949</v>
      </c>
    </row>
    <row r="591">
      <c r="A591" s="9">
        <f>IFERROR(__xludf.DUMMYFUNCTION("""COMPUTED_VALUE"""),-12.559)</f>
        <v>-12.559</v>
      </c>
      <c r="B591" s="9">
        <f>IFERROR(__xludf.DUMMYFUNCTION("""COMPUTED_VALUE"""),88.009)</f>
        <v>88.009</v>
      </c>
    </row>
    <row r="592">
      <c r="A592" s="9">
        <f>IFERROR(__xludf.DUMMYFUNCTION("""COMPUTED_VALUE"""),-22.481)</f>
        <v>-22.481</v>
      </c>
      <c r="B592" s="9">
        <f>IFERROR(__xludf.DUMMYFUNCTION("""COMPUTED_VALUE"""),169.544)</f>
        <v>169.544</v>
      </c>
    </row>
    <row r="593">
      <c r="A593" s="9">
        <f>IFERROR(__xludf.DUMMYFUNCTION("""COMPUTED_VALUE"""),-18.104)</f>
        <v>-18.104</v>
      </c>
      <c r="B593" s="9">
        <f>IFERROR(__xludf.DUMMYFUNCTION("""COMPUTED_VALUE"""),124.955)</f>
        <v>124.955</v>
      </c>
    </row>
    <row r="594">
      <c r="A594" s="9">
        <f>IFERROR(__xludf.DUMMYFUNCTION("""COMPUTED_VALUE"""),-33.474)</f>
        <v>-33.474</v>
      </c>
      <c r="B594" s="9">
        <f>IFERROR(__xludf.DUMMYFUNCTION("""COMPUTED_VALUE"""),83.289)</f>
        <v>83.289</v>
      </c>
    </row>
    <row r="595">
      <c r="A595" s="9">
        <f>IFERROR(__xludf.DUMMYFUNCTION("""COMPUTED_VALUE"""),-8.208)</f>
        <v>-8.208</v>
      </c>
      <c r="B595" s="9">
        <f>IFERROR(__xludf.DUMMYFUNCTION("""COMPUTED_VALUE"""),137.054)</f>
        <v>137.054</v>
      </c>
    </row>
    <row r="596">
      <c r="A596" s="9">
        <f>IFERROR(__xludf.DUMMYFUNCTION("""COMPUTED_VALUE"""),-29.102)</f>
        <v>-29.102</v>
      </c>
      <c r="B596" s="9">
        <f>IFERROR(__xludf.DUMMYFUNCTION("""COMPUTED_VALUE"""),137.554)</f>
        <v>137.554</v>
      </c>
    </row>
    <row r="597">
      <c r="A597" s="9">
        <f>IFERROR(__xludf.DUMMYFUNCTION("""COMPUTED_VALUE"""),-16.705)</f>
        <v>-16.705</v>
      </c>
      <c r="B597" s="9">
        <f>IFERROR(__xludf.DUMMYFUNCTION("""COMPUTED_VALUE"""),78.322)</f>
        <v>78.322</v>
      </c>
    </row>
    <row r="598">
      <c r="A598" s="9">
        <f>IFERROR(__xludf.DUMMYFUNCTION("""COMPUTED_VALUE"""),-16.972)</f>
        <v>-16.972</v>
      </c>
      <c r="B598" s="9">
        <f>IFERROR(__xludf.DUMMYFUNCTION("""COMPUTED_VALUE"""),113.144)</f>
        <v>113.144</v>
      </c>
    </row>
    <row r="599">
      <c r="A599" s="9">
        <f>IFERROR(__xludf.DUMMYFUNCTION("""COMPUTED_VALUE"""),-7.773)</f>
        <v>-7.773</v>
      </c>
      <c r="B599" s="9">
        <f>IFERROR(__xludf.DUMMYFUNCTION("""COMPUTED_VALUE"""),119.664)</f>
        <v>119.664</v>
      </c>
    </row>
    <row r="600">
      <c r="A600" s="9">
        <f>IFERROR(__xludf.DUMMYFUNCTION("""COMPUTED_VALUE"""),-5.303)</f>
        <v>-5.303</v>
      </c>
      <c r="B600" s="9">
        <f>IFERROR(__xludf.DUMMYFUNCTION("""COMPUTED_VALUE"""),114.959)</f>
        <v>114.959</v>
      </c>
    </row>
    <row r="601">
      <c r="A601" s="9">
        <f>IFERROR(__xludf.DUMMYFUNCTION("""COMPUTED_VALUE"""),-11.155)</f>
        <v>-11.155</v>
      </c>
      <c r="B601" s="9">
        <f>IFERROR(__xludf.DUMMYFUNCTION("""COMPUTED_VALUE"""),154.001)</f>
        <v>154.001</v>
      </c>
    </row>
    <row r="602">
      <c r="A602" s="9">
        <f>IFERROR(__xludf.DUMMYFUNCTION("""COMPUTED_VALUE"""),-8.553)</f>
        <v>-8.553</v>
      </c>
      <c r="B602" s="9">
        <f>IFERROR(__xludf.DUMMYFUNCTION("""COMPUTED_VALUE"""),150.849)</f>
        <v>150.849</v>
      </c>
    </row>
    <row r="603">
      <c r="A603" s="9">
        <f>IFERROR(__xludf.DUMMYFUNCTION("""COMPUTED_VALUE"""),-8.345)</f>
        <v>-8.345</v>
      </c>
      <c r="B603" s="9">
        <f>IFERROR(__xludf.DUMMYFUNCTION("""COMPUTED_VALUE"""),95.304)</f>
        <v>95.304</v>
      </c>
    </row>
    <row r="604">
      <c r="A604" s="9">
        <f>IFERROR(__xludf.DUMMYFUNCTION("""COMPUTED_VALUE"""),-6.994)</f>
        <v>-6.994</v>
      </c>
      <c r="B604" s="9">
        <f>IFERROR(__xludf.DUMMYFUNCTION("""COMPUTED_VALUE"""),160.049)</f>
        <v>160.049</v>
      </c>
    </row>
    <row r="605">
      <c r="A605" s="9">
        <f>IFERROR(__xludf.DUMMYFUNCTION("""COMPUTED_VALUE"""),-9.908)</f>
        <v>-9.908</v>
      </c>
      <c r="B605" s="9">
        <f>IFERROR(__xludf.DUMMYFUNCTION("""COMPUTED_VALUE"""),79.414)</f>
        <v>79.414</v>
      </c>
    </row>
    <row r="606">
      <c r="A606" s="9">
        <f>IFERROR(__xludf.DUMMYFUNCTION("""COMPUTED_VALUE"""),-4.199)</f>
        <v>-4.199</v>
      </c>
      <c r="B606" s="9">
        <f>IFERROR(__xludf.DUMMYFUNCTION("""COMPUTED_VALUE"""),146.347)</f>
        <v>146.347</v>
      </c>
    </row>
    <row r="607">
      <c r="A607" s="9">
        <f>IFERROR(__xludf.DUMMYFUNCTION("""COMPUTED_VALUE"""),-3.757)</f>
        <v>-3.757</v>
      </c>
      <c r="B607" s="9">
        <f>IFERROR(__xludf.DUMMYFUNCTION("""COMPUTED_VALUE"""),122.511)</f>
        <v>122.511</v>
      </c>
    </row>
    <row r="608">
      <c r="A608" s="9">
        <f>IFERROR(__xludf.DUMMYFUNCTION("""COMPUTED_VALUE"""),-11.788)</f>
        <v>-11.788</v>
      </c>
      <c r="B608" s="9">
        <f>IFERROR(__xludf.DUMMYFUNCTION("""COMPUTED_VALUE"""),152.126)</f>
        <v>152.126</v>
      </c>
    </row>
    <row r="609">
      <c r="A609" s="9">
        <f>IFERROR(__xludf.DUMMYFUNCTION("""COMPUTED_VALUE"""),-8.648)</f>
        <v>-8.648</v>
      </c>
      <c r="B609" s="9">
        <f>IFERROR(__xludf.DUMMYFUNCTION("""COMPUTED_VALUE"""),77.437)</f>
        <v>77.437</v>
      </c>
    </row>
    <row r="610">
      <c r="A610" s="9">
        <f>IFERROR(__xludf.DUMMYFUNCTION("""COMPUTED_VALUE"""),-7.23)</f>
        <v>-7.23</v>
      </c>
      <c r="B610" s="9">
        <f>IFERROR(__xludf.DUMMYFUNCTION("""COMPUTED_VALUE"""),145.025)</f>
        <v>145.025</v>
      </c>
    </row>
    <row r="611">
      <c r="A611" s="9">
        <f>IFERROR(__xludf.DUMMYFUNCTION("""COMPUTED_VALUE"""),-20.871)</f>
        <v>-20.871</v>
      </c>
      <c r="B611" s="9">
        <f>IFERROR(__xludf.DUMMYFUNCTION("""COMPUTED_VALUE"""),70.727)</f>
        <v>70.727</v>
      </c>
    </row>
    <row r="612">
      <c r="A612" s="9">
        <f>IFERROR(__xludf.DUMMYFUNCTION("""COMPUTED_VALUE"""),-21.798)</f>
        <v>-21.798</v>
      </c>
      <c r="B612" s="9">
        <f>IFERROR(__xludf.DUMMYFUNCTION("""COMPUTED_VALUE"""),73.559)</f>
        <v>73.559</v>
      </c>
    </row>
    <row r="613">
      <c r="A613" s="9">
        <f>IFERROR(__xludf.DUMMYFUNCTION("""COMPUTED_VALUE"""),-24.057)</f>
        <v>-24.057</v>
      </c>
      <c r="B613" s="9">
        <f>IFERROR(__xludf.DUMMYFUNCTION("""COMPUTED_VALUE"""),146.901)</f>
        <v>146.901</v>
      </c>
    </row>
    <row r="614">
      <c r="A614" s="9">
        <f>IFERROR(__xludf.DUMMYFUNCTION("""COMPUTED_VALUE"""),-14.179)</f>
        <v>-14.179</v>
      </c>
      <c r="B614" s="9">
        <f>IFERROR(__xludf.DUMMYFUNCTION("""COMPUTED_VALUE"""),141.304)</f>
        <v>141.304</v>
      </c>
    </row>
    <row r="615">
      <c r="A615" s="9">
        <f>IFERROR(__xludf.DUMMYFUNCTION("""COMPUTED_VALUE"""),-9.143)</f>
        <v>-9.143</v>
      </c>
      <c r="B615" s="9">
        <f>IFERROR(__xludf.DUMMYFUNCTION("""COMPUTED_VALUE"""),137.008)</f>
        <v>137.008</v>
      </c>
    </row>
    <row r="616">
      <c r="A616" s="9">
        <f>IFERROR(__xludf.DUMMYFUNCTION("""COMPUTED_VALUE"""),-14.358)</f>
        <v>-14.358</v>
      </c>
      <c r="B616" s="9">
        <f>IFERROR(__xludf.DUMMYFUNCTION("""COMPUTED_VALUE"""),94.765)</f>
        <v>94.765</v>
      </c>
    </row>
    <row r="617">
      <c r="A617" s="9">
        <f>IFERROR(__xludf.DUMMYFUNCTION("""COMPUTED_VALUE"""),-32.624)</f>
        <v>-32.624</v>
      </c>
      <c r="B617" s="9">
        <f>IFERROR(__xludf.DUMMYFUNCTION("""COMPUTED_VALUE"""),63.07)</f>
        <v>63.07</v>
      </c>
    </row>
    <row r="618">
      <c r="A618" s="9">
        <f>IFERROR(__xludf.DUMMYFUNCTION("""COMPUTED_VALUE"""),-38.222)</f>
        <v>-38.222</v>
      </c>
      <c r="B618" s="9">
        <f>IFERROR(__xludf.DUMMYFUNCTION("""COMPUTED_VALUE"""),72.32)</f>
        <v>72.32</v>
      </c>
    </row>
    <row r="619">
      <c r="A619" s="9">
        <f>IFERROR(__xludf.DUMMYFUNCTION("""COMPUTED_VALUE"""),-24.156)</f>
        <v>-24.156</v>
      </c>
      <c r="B619" s="9">
        <f>IFERROR(__xludf.DUMMYFUNCTION("""COMPUTED_VALUE"""),127.023)</f>
        <v>127.023</v>
      </c>
    </row>
    <row r="620">
      <c r="A620" s="9">
        <f>IFERROR(__xludf.DUMMYFUNCTION("""COMPUTED_VALUE"""),-29.691)</f>
        <v>-29.691</v>
      </c>
      <c r="B620" s="9">
        <f>IFERROR(__xludf.DUMMYFUNCTION("""COMPUTED_VALUE"""),92.608)</f>
        <v>92.608</v>
      </c>
    </row>
    <row r="621">
      <c r="A621" s="9">
        <f>IFERROR(__xludf.DUMMYFUNCTION("""COMPUTED_VALUE"""),-16.724)</f>
        <v>-16.724</v>
      </c>
      <c r="B621" s="9">
        <f>IFERROR(__xludf.DUMMYFUNCTION("""COMPUTED_VALUE"""),88.467)</f>
        <v>88.467</v>
      </c>
    </row>
    <row r="622">
      <c r="A622" s="9">
        <f>IFERROR(__xludf.DUMMYFUNCTION("""COMPUTED_VALUE"""),-25.384)</f>
        <v>-25.384</v>
      </c>
      <c r="B622" s="9">
        <f>IFERROR(__xludf.DUMMYFUNCTION("""COMPUTED_VALUE"""),131.85)</f>
        <v>131.85</v>
      </c>
    </row>
    <row r="623">
      <c r="A623" s="9">
        <f>IFERROR(__xludf.DUMMYFUNCTION("""COMPUTED_VALUE"""),-15.459)</f>
        <v>-15.459</v>
      </c>
      <c r="B623" s="9">
        <f>IFERROR(__xludf.DUMMYFUNCTION("""COMPUTED_VALUE"""),82.241)</f>
        <v>82.241</v>
      </c>
    </row>
    <row r="624">
      <c r="A624" s="9">
        <f>IFERROR(__xludf.DUMMYFUNCTION("""COMPUTED_VALUE"""),-25.586)</f>
        <v>-25.586</v>
      </c>
      <c r="B624" s="9">
        <f>IFERROR(__xludf.DUMMYFUNCTION("""COMPUTED_VALUE"""),140.149)</f>
        <v>140.149</v>
      </c>
    </row>
    <row r="625">
      <c r="A625" s="9">
        <f>IFERROR(__xludf.DUMMYFUNCTION("""COMPUTED_VALUE"""),-10.418)</f>
        <v>-10.418</v>
      </c>
      <c r="B625" s="9">
        <f>IFERROR(__xludf.DUMMYFUNCTION("""COMPUTED_VALUE"""),85.093)</f>
        <v>85.093</v>
      </c>
    </row>
    <row r="626">
      <c r="A626" s="9">
        <f>IFERROR(__xludf.DUMMYFUNCTION("""COMPUTED_VALUE"""),-7.89)</f>
        <v>-7.89</v>
      </c>
      <c r="B626" s="9">
        <f>IFERROR(__xludf.DUMMYFUNCTION("""COMPUTED_VALUE"""),136.302)</f>
        <v>136.302</v>
      </c>
    </row>
    <row r="627">
      <c r="A627" s="9">
        <f>IFERROR(__xludf.DUMMYFUNCTION("""COMPUTED_VALUE"""),-1.383)</f>
        <v>-1.383</v>
      </c>
      <c r="B627" s="9">
        <f>IFERROR(__xludf.DUMMYFUNCTION("""COMPUTED_VALUE"""),126.031)</f>
        <v>126.031</v>
      </c>
    </row>
    <row r="628">
      <c r="A628" s="9">
        <f>IFERROR(__xludf.DUMMYFUNCTION("""COMPUTED_VALUE"""),-7.586)</f>
        <v>-7.586</v>
      </c>
      <c r="B628" s="9">
        <f>IFERROR(__xludf.DUMMYFUNCTION("""COMPUTED_VALUE"""),124.952)</f>
        <v>124.952</v>
      </c>
    </row>
    <row r="629">
      <c r="A629" s="9">
        <f>IFERROR(__xludf.DUMMYFUNCTION("""COMPUTED_VALUE"""),-9.482)</f>
        <v>-9.482</v>
      </c>
      <c r="B629" s="9">
        <f>IFERROR(__xludf.DUMMYFUNCTION("""COMPUTED_VALUE"""),117.989)</f>
        <v>117.989</v>
      </c>
    </row>
    <row r="630">
      <c r="A630" s="9">
        <f>IFERROR(__xludf.DUMMYFUNCTION("""COMPUTED_VALUE"""),-9.345)</f>
        <v>-9.345</v>
      </c>
      <c r="B630" s="9">
        <f>IFERROR(__xludf.DUMMYFUNCTION("""COMPUTED_VALUE"""),128.022)</f>
        <v>128.022</v>
      </c>
    </row>
    <row r="631">
      <c r="A631" s="9">
        <f>IFERROR(__xludf.DUMMYFUNCTION("""COMPUTED_VALUE"""),-9.898)</f>
        <v>-9.898</v>
      </c>
      <c r="B631" s="9">
        <f>IFERROR(__xludf.DUMMYFUNCTION("""COMPUTED_VALUE"""),147.76)</f>
        <v>147.76</v>
      </c>
    </row>
    <row r="632">
      <c r="A632" s="9">
        <f>IFERROR(__xludf.DUMMYFUNCTION("""COMPUTED_VALUE"""),-7.845)</f>
        <v>-7.845</v>
      </c>
      <c r="B632" s="9">
        <f>IFERROR(__xludf.DUMMYFUNCTION("""COMPUTED_VALUE"""),119.265)</f>
        <v>119.265</v>
      </c>
    </row>
    <row r="633">
      <c r="A633" s="9">
        <f>IFERROR(__xludf.DUMMYFUNCTION("""COMPUTED_VALUE"""),-9.453)</f>
        <v>-9.453</v>
      </c>
      <c r="B633" s="9">
        <f>IFERROR(__xludf.DUMMYFUNCTION("""COMPUTED_VALUE"""),119.31)</f>
        <v>119.31</v>
      </c>
    </row>
    <row r="634">
      <c r="A634" s="9">
        <f>IFERROR(__xludf.DUMMYFUNCTION("""COMPUTED_VALUE"""),-12.232)</f>
        <v>-12.232</v>
      </c>
      <c r="B634" s="9">
        <f>IFERROR(__xludf.DUMMYFUNCTION("""COMPUTED_VALUE"""),126.02)</f>
        <v>126.02</v>
      </c>
    </row>
    <row r="635">
      <c r="A635" s="9">
        <f>IFERROR(__xludf.DUMMYFUNCTION("""COMPUTED_VALUE"""),-21.929)</f>
        <v>-21.929</v>
      </c>
      <c r="B635" s="9">
        <f>IFERROR(__xludf.DUMMYFUNCTION("""COMPUTED_VALUE"""),84.272)</f>
        <v>84.272</v>
      </c>
    </row>
    <row r="636">
      <c r="A636" s="9">
        <f>IFERROR(__xludf.DUMMYFUNCTION("""COMPUTED_VALUE"""),-25.372)</f>
        <v>-25.372</v>
      </c>
      <c r="B636" s="9">
        <f>IFERROR(__xludf.DUMMYFUNCTION("""COMPUTED_VALUE"""),78.748)</f>
        <v>78.748</v>
      </c>
    </row>
    <row r="637">
      <c r="A637" s="9">
        <f>IFERROR(__xludf.DUMMYFUNCTION("""COMPUTED_VALUE"""),-12.024)</f>
        <v>-12.024</v>
      </c>
      <c r="B637" s="9">
        <f>IFERROR(__xludf.DUMMYFUNCTION("""COMPUTED_VALUE"""),105.602)</f>
        <v>105.602</v>
      </c>
    </row>
    <row r="638">
      <c r="A638" s="9">
        <f>IFERROR(__xludf.DUMMYFUNCTION("""COMPUTED_VALUE"""),-5.34)</f>
        <v>-5.34</v>
      </c>
      <c r="B638" s="9">
        <f>IFERROR(__xludf.DUMMYFUNCTION("""COMPUTED_VALUE"""),170.654)</f>
        <v>170.654</v>
      </c>
    </row>
    <row r="639">
      <c r="A639" s="9">
        <f>IFERROR(__xludf.DUMMYFUNCTION("""COMPUTED_VALUE"""),-5.647)</f>
        <v>-5.647</v>
      </c>
      <c r="B639" s="9">
        <f>IFERROR(__xludf.DUMMYFUNCTION("""COMPUTED_VALUE"""),134.464)</f>
        <v>134.464</v>
      </c>
    </row>
    <row r="640">
      <c r="A640" s="9">
        <f>IFERROR(__xludf.DUMMYFUNCTION("""COMPUTED_VALUE"""),-15.378)</f>
        <v>-15.378</v>
      </c>
      <c r="B640" s="9">
        <f>IFERROR(__xludf.DUMMYFUNCTION("""COMPUTED_VALUE"""),100.084)</f>
        <v>100.084</v>
      </c>
    </row>
    <row r="641">
      <c r="A641" s="9">
        <f>IFERROR(__xludf.DUMMYFUNCTION("""COMPUTED_VALUE"""),-10.043)</f>
        <v>-10.043</v>
      </c>
      <c r="B641" s="9">
        <f>IFERROR(__xludf.DUMMYFUNCTION("""COMPUTED_VALUE"""),139.879)</f>
        <v>139.879</v>
      </c>
    </row>
    <row r="642">
      <c r="A642" s="9">
        <f>IFERROR(__xludf.DUMMYFUNCTION("""COMPUTED_VALUE"""),-5.558)</f>
        <v>-5.558</v>
      </c>
      <c r="B642" s="9">
        <f>IFERROR(__xludf.DUMMYFUNCTION("""COMPUTED_VALUE"""),140.795)</f>
        <v>140.795</v>
      </c>
    </row>
    <row r="643">
      <c r="A643" s="9">
        <f>IFERROR(__xludf.DUMMYFUNCTION("""COMPUTED_VALUE"""),-10.28)</f>
        <v>-10.28</v>
      </c>
      <c r="B643" s="9">
        <f>IFERROR(__xludf.DUMMYFUNCTION("""COMPUTED_VALUE"""),98.233)</f>
        <v>98.233</v>
      </c>
    </row>
    <row r="644">
      <c r="A644" s="9">
        <f>IFERROR(__xludf.DUMMYFUNCTION("""COMPUTED_VALUE"""),-25.591)</f>
        <v>-25.591</v>
      </c>
      <c r="B644" s="9">
        <f>IFERROR(__xludf.DUMMYFUNCTION("""COMPUTED_VALUE"""),60.228)</f>
        <v>60.228</v>
      </c>
    </row>
    <row r="645">
      <c r="A645" s="9">
        <f>IFERROR(__xludf.DUMMYFUNCTION("""COMPUTED_VALUE"""),-13.018)</f>
        <v>-13.018</v>
      </c>
      <c r="B645" s="9">
        <f>IFERROR(__xludf.DUMMYFUNCTION("""COMPUTED_VALUE"""),112.367)</f>
        <v>112.367</v>
      </c>
    </row>
    <row r="646">
      <c r="A646" s="9">
        <f>IFERROR(__xludf.DUMMYFUNCTION("""COMPUTED_VALUE"""),-14.183)</f>
        <v>-14.183</v>
      </c>
      <c r="B646" s="9">
        <f>IFERROR(__xludf.DUMMYFUNCTION("""COMPUTED_VALUE"""),109.696)</f>
        <v>109.696</v>
      </c>
    </row>
    <row r="647">
      <c r="A647" s="9">
        <f>IFERROR(__xludf.DUMMYFUNCTION("""COMPUTED_VALUE"""),-6.249)</f>
        <v>-6.249</v>
      </c>
      <c r="B647" s="9">
        <f>IFERROR(__xludf.DUMMYFUNCTION("""COMPUTED_VALUE"""),95.157)</f>
        <v>95.157</v>
      </c>
    </row>
    <row r="648">
      <c r="A648" s="9">
        <f>IFERROR(__xludf.DUMMYFUNCTION("""COMPUTED_VALUE"""),-12.671)</f>
        <v>-12.671</v>
      </c>
      <c r="B648" s="9">
        <f>IFERROR(__xludf.DUMMYFUNCTION("""COMPUTED_VALUE"""),142.494)</f>
        <v>142.494</v>
      </c>
    </row>
    <row r="649">
      <c r="A649" s="9">
        <f>IFERROR(__xludf.DUMMYFUNCTION("""COMPUTED_VALUE"""),-17.771)</f>
        <v>-17.771</v>
      </c>
      <c r="B649" s="9">
        <f>IFERROR(__xludf.DUMMYFUNCTION("""COMPUTED_VALUE"""),106.682)</f>
        <v>106.682</v>
      </c>
    </row>
    <row r="650">
      <c r="A650" s="9">
        <f>IFERROR(__xludf.DUMMYFUNCTION("""COMPUTED_VALUE"""),-22.346)</f>
        <v>-22.346</v>
      </c>
      <c r="B650" s="9">
        <f>IFERROR(__xludf.DUMMYFUNCTION("""COMPUTED_VALUE"""),127.363)</f>
        <v>127.363</v>
      </c>
    </row>
    <row r="651">
      <c r="A651" s="9">
        <f>IFERROR(__xludf.DUMMYFUNCTION("""COMPUTED_VALUE"""),-9.793)</f>
        <v>-9.793</v>
      </c>
      <c r="B651" s="9">
        <f>IFERROR(__xludf.DUMMYFUNCTION("""COMPUTED_VALUE"""),142.37)</f>
        <v>142.37</v>
      </c>
    </row>
    <row r="652">
      <c r="A652" s="9">
        <f>IFERROR(__xludf.DUMMYFUNCTION("""COMPUTED_VALUE"""),-11.375)</f>
        <v>-11.375</v>
      </c>
      <c r="B652" s="9">
        <f>IFERROR(__xludf.DUMMYFUNCTION("""COMPUTED_VALUE"""),102.767)</f>
        <v>102.767</v>
      </c>
    </row>
    <row r="653">
      <c r="A653" s="9">
        <f>IFERROR(__xludf.DUMMYFUNCTION("""COMPUTED_VALUE"""),-8.357)</f>
        <v>-8.357</v>
      </c>
      <c r="B653" s="9">
        <f>IFERROR(__xludf.DUMMYFUNCTION("""COMPUTED_VALUE"""),95.516)</f>
        <v>95.516</v>
      </c>
    </row>
    <row r="654">
      <c r="A654" s="9">
        <f>IFERROR(__xludf.DUMMYFUNCTION("""COMPUTED_VALUE"""),-19.239)</f>
        <v>-19.239</v>
      </c>
      <c r="B654" s="9">
        <f>IFERROR(__xludf.DUMMYFUNCTION("""COMPUTED_VALUE"""),128.975)</f>
        <v>128.975</v>
      </c>
    </row>
    <row r="655">
      <c r="A655" s="9">
        <f>IFERROR(__xludf.DUMMYFUNCTION("""COMPUTED_VALUE"""),-11.424)</f>
        <v>-11.424</v>
      </c>
      <c r="B655" s="9">
        <f>IFERROR(__xludf.DUMMYFUNCTION("""COMPUTED_VALUE"""),123.022)</f>
        <v>123.022</v>
      </c>
    </row>
    <row r="656">
      <c r="A656" s="9">
        <f>IFERROR(__xludf.DUMMYFUNCTION("""COMPUTED_VALUE"""),-12.291)</f>
        <v>-12.291</v>
      </c>
      <c r="B656" s="9">
        <f>IFERROR(__xludf.DUMMYFUNCTION("""COMPUTED_VALUE"""),76.942)</f>
        <v>76.942</v>
      </c>
    </row>
    <row r="657">
      <c r="A657" s="9">
        <f>IFERROR(__xludf.DUMMYFUNCTION("""COMPUTED_VALUE"""),-6.125)</f>
        <v>-6.125</v>
      </c>
      <c r="B657" s="9">
        <f>IFERROR(__xludf.DUMMYFUNCTION("""COMPUTED_VALUE"""),121.632)</f>
        <v>121.632</v>
      </c>
    </row>
    <row r="658">
      <c r="A658" s="9">
        <f>IFERROR(__xludf.DUMMYFUNCTION("""COMPUTED_VALUE"""),-21.236)</f>
        <v>-21.236</v>
      </c>
      <c r="B658" s="9">
        <f>IFERROR(__xludf.DUMMYFUNCTION("""COMPUTED_VALUE"""),80.675)</f>
        <v>80.675</v>
      </c>
    </row>
    <row r="659">
      <c r="A659" s="9">
        <f>IFERROR(__xludf.DUMMYFUNCTION("""COMPUTED_VALUE"""),-21.259)</f>
        <v>-21.259</v>
      </c>
      <c r="B659" s="9">
        <f>IFERROR(__xludf.DUMMYFUNCTION("""COMPUTED_VALUE"""),76.854)</f>
        <v>76.854</v>
      </c>
    </row>
    <row r="660">
      <c r="A660" s="9">
        <f>IFERROR(__xludf.DUMMYFUNCTION("""COMPUTED_VALUE"""),-18.408)</f>
        <v>-18.408</v>
      </c>
      <c r="B660" s="9">
        <f>IFERROR(__xludf.DUMMYFUNCTION("""COMPUTED_VALUE"""),100.069)</f>
        <v>100.069</v>
      </c>
    </row>
    <row r="661">
      <c r="A661" s="9">
        <f>IFERROR(__xludf.DUMMYFUNCTION("""COMPUTED_VALUE"""),-5.981)</f>
        <v>-5.981</v>
      </c>
      <c r="B661" s="9">
        <f>IFERROR(__xludf.DUMMYFUNCTION("""COMPUTED_VALUE"""),111.219)</f>
        <v>111.219</v>
      </c>
    </row>
    <row r="662">
      <c r="A662" s="9">
        <f>IFERROR(__xludf.DUMMYFUNCTION("""COMPUTED_VALUE"""),-21.093)</f>
        <v>-21.093</v>
      </c>
      <c r="B662" s="9">
        <f>IFERROR(__xludf.DUMMYFUNCTION("""COMPUTED_VALUE"""),115.618)</f>
        <v>115.618</v>
      </c>
    </row>
    <row r="663">
      <c r="A663" s="9">
        <f>IFERROR(__xludf.DUMMYFUNCTION("""COMPUTED_VALUE"""),-8.223)</f>
        <v>-8.223</v>
      </c>
      <c r="B663" s="9">
        <f>IFERROR(__xludf.DUMMYFUNCTION("""COMPUTED_VALUE"""),152.887)</f>
        <v>152.887</v>
      </c>
    </row>
    <row r="664">
      <c r="A664" s="9">
        <f>IFERROR(__xludf.DUMMYFUNCTION("""COMPUTED_VALUE"""),-5.515)</f>
        <v>-5.515</v>
      </c>
      <c r="B664" s="9">
        <f>IFERROR(__xludf.DUMMYFUNCTION("""COMPUTED_VALUE"""),98.984)</f>
        <v>98.984</v>
      </c>
    </row>
    <row r="665">
      <c r="A665" s="9">
        <f>IFERROR(__xludf.DUMMYFUNCTION("""COMPUTED_VALUE"""),-22.028)</f>
        <v>-22.028</v>
      </c>
      <c r="B665" s="9">
        <f>IFERROR(__xludf.DUMMYFUNCTION("""COMPUTED_VALUE"""),69.897)</f>
        <v>69.897</v>
      </c>
    </row>
    <row r="666">
      <c r="A666" s="9">
        <f>IFERROR(__xludf.DUMMYFUNCTION("""COMPUTED_VALUE"""),-23.594)</f>
        <v>-23.594</v>
      </c>
      <c r="B666" s="9">
        <f>IFERROR(__xludf.DUMMYFUNCTION("""COMPUTED_VALUE"""),75.568)</f>
        <v>75.568</v>
      </c>
    </row>
    <row r="667">
      <c r="A667" s="9">
        <f>IFERROR(__xludf.DUMMYFUNCTION("""COMPUTED_VALUE"""),-12.8)</f>
        <v>-12.8</v>
      </c>
      <c r="B667" s="9">
        <f>IFERROR(__xludf.DUMMYFUNCTION("""COMPUTED_VALUE"""),140.927)</f>
        <v>140.927</v>
      </c>
    </row>
    <row r="668">
      <c r="A668" s="9">
        <f>IFERROR(__xludf.DUMMYFUNCTION("""COMPUTED_VALUE"""),-22.414)</f>
        <v>-22.414</v>
      </c>
      <c r="B668" s="9">
        <f>IFERROR(__xludf.DUMMYFUNCTION("""COMPUTED_VALUE"""),84.62)</f>
        <v>84.62</v>
      </c>
    </row>
    <row r="669">
      <c r="A669" s="9">
        <f>IFERROR(__xludf.DUMMYFUNCTION("""COMPUTED_VALUE"""),-25.117)</f>
        <v>-25.117</v>
      </c>
      <c r="B669" s="9">
        <f>IFERROR(__xludf.DUMMYFUNCTION("""COMPUTED_VALUE"""),127.941)</f>
        <v>127.941</v>
      </c>
    </row>
    <row r="670">
      <c r="A670" s="9">
        <f>IFERROR(__xludf.DUMMYFUNCTION("""COMPUTED_VALUE"""),-10.724)</f>
        <v>-10.724</v>
      </c>
      <c r="B670" s="9">
        <f>IFERROR(__xludf.DUMMYFUNCTION("""COMPUTED_VALUE"""),140.865)</f>
        <v>140.865</v>
      </c>
    </row>
    <row r="671">
      <c r="A671" s="9">
        <f>IFERROR(__xludf.DUMMYFUNCTION("""COMPUTED_VALUE"""),-7.723)</f>
        <v>-7.723</v>
      </c>
      <c r="B671" s="9">
        <f>IFERROR(__xludf.DUMMYFUNCTION("""COMPUTED_VALUE"""),112.52)</f>
        <v>112.52</v>
      </c>
    </row>
    <row r="672">
      <c r="A672" s="9">
        <f>IFERROR(__xludf.DUMMYFUNCTION("""COMPUTED_VALUE"""),-7.016)</f>
        <v>-7.016</v>
      </c>
      <c r="B672" s="9">
        <f>IFERROR(__xludf.DUMMYFUNCTION("""COMPUTED_VALUE"""),119.917)</f>
        <v>119.917</v>
      </c>
    </row>
    <row r="673">
      <c r="A673" s="9">
        <f>IFERROR(__xludf.DUMMYFUNCTION("""COMPUTED_VALUE"""),-1.802)</f>
        <v>-1.802</v>
      </c>
      <c r="B673" s="9">
        <f>IFERROR(__xludf.DUMMYFUNCTION("""COMPUTED_VALUE"""),86.844)</f>
        <v>86.844</v>
      </c>
    </row>
    <row r="674">
      <c r="A674" s="9">
        <f>IFERROR(__xludf.DUMMYFUNCTION("""COMPUTED_VALUE"""),-19.759)</f>
        <v>-19.759</v>
      </c>
      <c r="B674" s="9">
        <f>IFERROR(__xludf.DUMMYFUNCTION("""COMPUTED_VALUE"""),86.013)</f>
        <v>86.013</v>
      </c>
    </row>
    <row r="675">
      <c r="A675" s="9">
        <f>IFERROR(__xludf.DUMMYFUNCTION("""COMPUTED_VALUE"""),-15.469)</f>
        <v>-15.469</v>
      </c>
      <c r="B675" s="9">
        <f>IFERROR(__xludf.DUMMYFUNCTION("""COMPUTED_VALUE"""),125.761)</f>
        <v>125.761</v>
      </c>
    </row>
    <row r="676">
      <c r="A676" s="9">
        <f>IFERROR(__xludf.DUMMYFUNCTION("""COMPUTED_VALUE"""),-4.747)</f>
        <v>-4.747</v>
      </c>
      <c r="B676" s="9">
        <f>IFERROR(__xludf.DUMMYFUNCTION("""COMPUTED_VALUE"""),115.008)</f>
        <v>115.008</v>
      </c>
    </row>
    <row r="677">
      <c r="A677" s="9">
        <f>IFERROR(__xludf.DUMMYFUNCTION("""COMPUTED_VALUE"""),-10.811)</f>
        <v>-10.811</v>
      </c>
      <c r="B677" s="9">
        <f>IFERROR(__xludf.DUMMYFUNCTION("""COMPUTED_VALUE"""),140.003)</f>
        <v>140.003</v>
      </c>
    </row>
    <row r="678">
      <c r="A678" s="9">
        <f>IFERROR(__xludf.DUMMYFUNCTION("""COMPUTED_VALUE"""),-4.82)</f>
        <v>-4.82</v>
      </c>
      <c r="B678" s="9">
        <f>IFERROR(__xludf.DUMMYFUNCTION("""COMPUTED_VALUE"""),163.068)</f>
        <v>163.068</v>
      </c>
    </row>
    <row r="679">
      <c r="A679" s="9">
        <f>IFERROR(__xludf.DUMMYFUNCTION("""COMPUTED_VALUE"""),-4.315)</f>
        <v>-4.315</v>
      </c>
      <c r="B679" s="9">
        <f>IFERROR(__xludf.DUMMYFUNCTION("""COMPUTED_VALUE"""),80.576)</f>
        <v>80.576</v>
      </c>
    </row>
    <row r="680">
      <c r="A680" s="9">
        <f>IFERROR(__xludf.DUMMYFUNCTION("""COMPUTED_VALUE"""),-3.446)</f>
        <v>-3.446</v>
      </c>
      <c r="B680" s="9">
        <f>IFERROR(__xludf.DUMMYFUNCTION("""COMPUTED_VALUE"""),147.001)</f>
        <v>147.001</v>
      </c>
    </row>
    <row r="681">
      <c r="A681" s="9">
        <f>IFERROR(__xludf.DUMMYFUNCTION("""COMPUTED_VALUE"""),-3.724)</f>
        <v>-3.724</v>
      </c>
      <c r="B681" s="9">
        <f>IFERROR(__xludf.DUMMYFUNCTION("""COMPUTED_VALUE"""),141.051)</f>
        <v>141.051</v>
      </c>
    </row>
    <row r="682">
      <c r="A682" s="9">
        <f>IFERROR(__xludf.DUMMYFUNCTION("""COMPUTED_VALUE"""),-3.665)</f>
        <v>-3.665</v>
      </c>
      <c r="B682" s="9">
        <f>IFERROR(__xludf.DUMMYFUNCTION("""COMPUTED_VALUE"""),82.004)</f>
        <v>82.004</v>
      </c>
    </row>
    <row r="683">
      <c r="A683" s="9">
        <f>IFERROR(__xludf.DUMMYFUNCTION("""COMPUTED_VALUE"""),-5.27)</f>
        <v>-5.27</v>
      </c>
      <c r="B683" s="9">
        <f>IFERROR(__xludf.DUMMYFUNCTION("""COMPUTED_VALUE"""),78.948)</f>
        <v>78.948</v>
      </c>
    </row>
    <row r="684">
      <c r="A684" s="9">
        <f>IFERROR(__xludf.DUMMYFUNCTION("""COMPUTED_VALUE"""),-10.303)</f>
        <v>-10.303</v>
      </c>
      <c r="B684" s="9">
        <f>IFERROR(__xludf.DUMMYFUNCTION("""COMPUTED_VALUE"""),92.987)</f>
        <v>92.987</v>
      </c>
    </row>
    <row r="685">
      <c r="A685" s="9">
        <f>IFERROR(__xludf.DUMMYFUNCTION("""COMPUTED_VALUE"""),-10.733)</f>
        <v>-10.733</v>
      </c>
      <c r="B685" s="9">
        <f>IFERROR(__xludf.DUMMYFUNCTION("""COMPUTED_VALUE"""),154.778)</f>
        <v>154.778</v>
      </c>
    </row>
    <row r="686">
      <c r="A686" s="9">
        <f>IFERROR(__xludf.DUMMYFUNCTION("""COMPUTED_VALUE"""),-9.574)</f>
        <v>-9.574</v>
      </c>
      <c r="B686" s="9">
        <f>IFERROR(__xludf.DUMMYFUNCTION("""COMPUTED_VALUE"""),144.034)</f>
        <v>144.034</v>
      </c>
    </row>
    <row r="687">
      <c r="A687" s="9">
        <f>IFERROR(__xludf.DUMMYFUNCTION("""COMPUTED_VALUE"""),-3.374)</f>
        <v>-3.374</v>
      </c>
      <c r="B687" s="9">
        <f>IFERROR(__xludf.DUMMYFUNCTION("""COMPUTED_VALUE"""),125.921)</f>
        <v>125.921</v>
      </c>
    </row>
    <row r="688">
      <c r="A688" s="9">
        <f>IFERROR(__xludf.DUMMYFUNCTION("""COMPUTED_VALUE"""),-3.58)</f>
        <v>-3.58</v>
      </c>
      <c r="B688" s="9">
        <f>IFERROR(__xludf.DUMMYFUNCTION("""COMPUTED_VALUE"""),89.036)</f>
        <v>89.036</v>
      </c>
    </row>
    <row r="689">
      <c r="A689" s="9">
        <f>IFERROR(__xludf.DUMMYFUNCTION("""COMPUTED_VALUE"""),-9.403)</f>
        <v>-9.403</v>
      </c>
      <c r="B689" s="9">
        <f>IFERROR(__xludf.DUMMYFUNCTION("""COMPUTED_VALUE"""),76.997)</f>
        <v>76.997</v>
      </c>
    </row>
    <row r="690">
      <c r="A690" s="9">
        <f>IFERROR(__xludf.DUMMYFUNCTION("""COMPUTED_VALUE"""),-3.187)</f>
        <v>-3.187</v>
      </c>
      <c r="B690" s="9">
        <f>IFERROR(__xludf.DUMMYFUNCTION("""COMPUTED_VALUE"""),146.001)</f>
        <v>146.001</v>
      </c>
    </row>
    <row r="691">
      <c r="A691" s="9">
        <f>IFERROR(__xludf.DUMMYFUNCTION("""COMPUTED_VALUE"""),-2.34)</f>
        <v>-2.34</v>
      </c>
      <c r="B691" s="9">
        <f>IFERROR(__xludf.DUMMYFUNCTION("""COMPUTED_VALUE"""),154.089)</f>
        <v>154.089</v>
      </c>
    </row>
    <row r="692">
      <c r="A692" s="9">
        <f>IFERROR(__xludf.DUMMYFUNCTION("""COMPUTED_VALUE"""),-8.418)</f>
        <v>-8.418</v>
      </c>
      <c r="B692" s="9">
        <f>IFERROR(__xludf.DUMMYFUNCTION("""COMPUTED_VALUE"""),117.97)</f>
        <v>117.97</v>
      </c>
    </row>
    <row r="693">
      <c r="A693" s="9">
        <f>IFERROR(__xludf.DUMMYFUNCTION("""COMPUTED_VALUE"""),-4.981)</f>
        <v>-4.981</v>
      </c>
      <c r="B693" s="9">
        <f>IFERROR(__xludf.DUMMYFUNCTION("""COMPUTED_VALUE"""),99.882)</f>
        <v>99.882</v>
      </c>
    </row>
    <row r="694">
      <c r="A694" s="9">
        <f>IFERROR(__xludf.DUMMYFUNCTION("""COMPUTED_VALUE"""),-12.447)</f>
        <v>-12.447</v>
      </c>
      <c r="B694" s="9">
        <f>IFERROR(__xludf.DUMMYFUNCTION("""COMPUTED_VALUE"""),96.017)</f>
        <v>96.017</v>
      </c>
    </row>
    <row r="695">
      <c r="A695" s="9">
        <f>IFERROR(__xludf.DUMMYFUNCTION("""COMPUTED_VALUE"""),-12.095)</f>
        <v>-12.095</v>
      </c>
      <c r="B695" s="9">
        <f>IFERROR(__xludf.DUMMYFUNCTION("""COMPUTED_VALUE"""),106.669)</f>
        <v>106.669</v>
      </c>
    </row>
    <row r="696">
      <c r="A696" s="9">
        <f>IFERROR(__xludf.DUMMYFUNCTION("""COMPUTED_VALUE"""),-7.618)</f>
        <v>-7.618</v>
      </c>
      <c r="B696" s="9">
        <f>IFERROR(__xludf.DUMMYFUNCTION("""COMPUTED_VALUE"""),171.514)</f>
        <v>171.514</v>
      </c>
    </row>
    <row r="697">
      <c r="A697" s="9">
        <f>IFERROR(__xludf.DUMMYFUNCTION("""COMPUTED_VALUE"""),-27.74)</f>
        <v>-27.74</v>
      </c>
      <c r="B697" s="9">
        <f>IFERROR(__xludf.DUMMYFUNCTION("""COMPUTED_VALUE"""),103.357)</f>
        <v>103.357</v>
      </c>
    </row>
    <row r="698">
      <c r="A698" s="9">
        <f>IFERROR(__xludf.DUMMYFUNCTION("""COMPUTED_VALUE"""),-17.851)</f>
        <v>-17.851</v>
      </c>
      <c r="B698" s="9">
        <f>IFERROR(__xludf.DUMMYFUNCTION("""COMPUTED_VALUE"""),109.652)</f>
        <v>109.652</v>
      </c>
    </row>
    <row r="699">
      <c r="A699" s="9">
        <f>IFERROR(__xludf.DUMMYFUNCTION("""COMPUTED_VALUE"""),-3.442)</f>
        <v>-3.442</v>
      </c>
      <c r="B699" s="9">
        <f>IFERROR(__xludf.DUMMYFUNCTION("""COMPUTED_VALUE"""),91.455)</f>
        <v>91.455</v>
      </c>
    </row>
    <row r="700">
      <c r="A700" s="9">
        <f>IFERROR(__xludf.DUMMYFUNCTION("""COMPUTED_VALUE"""),-15.177)</f>
        <v>-15.177</v>
      </c>
      <c r="B700" s="9">
        <f>IFERROR(__xludf.DUMMYFUNCTION("""COMPUTED_VALUE"""),94.632)</f>
        <v>94.632</v>
      </c>
    </row>
    <row r="701">
      <c r="A701" s="9">
        <f>IFERROR(__xludf.DUMMYFUNCTION("""COMPUTED_VALUE"""),-19.713)</f>
        <v>-19.713</v>
      </c>
      <c r="B701" s="9">
        <f>IFERROR(__xludf.DUMMYFUNCTION("""COMPUTED_VALUE"""),70.695)</f>
        <v>70.695</v>
      </c>
    </row>
    <row r="702">
      <c r="A702" s="9">
        <f>IFERROR(__xludf.DUMMYFUNCTION("""COMPUTED_VALUE"""),-19.68)</f>
        <v>-19.68</v>
      </c>
      <c r="B702" s="9">
        <f>IFERROR(__xludf.DUMMYFUNCTION("""COMPUTED_VALUE"""),137.199)</f>
        <v>137.199</v>
      </c>
    </row>
    <row r="703">
      <c r="A703" s="9">
        <f>IFERROR(__xludf.DUMMYFUNCTION("""COMPUTED_VALUE"""),-24.554)</f>
        <v>-24.554</v>
      </c>
      <c r="B703" s="9">
        <f>IFERROR(__xludf.DUMMYFUNCTION("""COMPUTED_VALUE"""),109.482)</f>
        <v>109.482</v>
      </c>
    </row>
    <row r="704">
      <c r="A704" s="9">
        <f>IFERROR(__xludf.DUMMYFUNCTION("""COMPUTED_VALUE"""),-13.888)</f>
        <v>-13.888</v>
      </c>
      <c r="B704" s="9">
        <f>IFERROR(__xludf.DUMMYFUNCTION("""COMPUTED_VALUE"""),79.764)</f>
        <v>79.764</v>
      </c>
    </row>
    <row r="705">
      <c r="A705" s="9">
        <f>IFERROR(__xludf.DUMMYFUNCTION("""COMPUTED_VALUE"""),-9.456)</f>
        <v>-9.456</v>
      </c>
      <c r="B705" s="9">
        <f>IFERROR(__xludf.DUMMYFUNCTION("""COMPUTED_VALUE"""),79.095)</f>
        <v>79.095</v>
      </c>
    </row>
    <row r="706">
      <c r="A706" s="9">
        <f>IFERROR(__xludf.DUMMYFUNCTION("""COMPUTED_VALUE"""),-9.093)</f>
        <v>-9.093</v>
      </c>
      <c r="B706" s="9">
        <f>IFERROR(__xludf.DUMMYFUNCTION("""COMPUTED_VALUE"""),75.232)</f>
        <v>75.232</v>
      </c>
    </row>
    <row r="707">
      <c r="A707" s="9">
        <f>IFERROR(__xludf.DUMMYFUNCTION("""COMPUTED_VALUE"""),-9.271)</f>
        <v>-9.271</v>
      </c>
      <c r="B707" s="9">
        <f>IFERROR(__xludf.DUMMYFUNCTION("""COMPUTED_VALUE"""),117.925)</f>
        <v>117.925</v>
      </c>
    </row>
    <row r="708">
      <c r="A708" s="9">
        <f>IFERROR(__xludf.DUMMYFUNCTION("""COMPUTED_VALUE"""),-12.452)</f>
        <v>-12.452</v>
      </c>
      <c r="B708" s="9">
        <f>IFERROR(__xludf.DUMMYFUNCTION("""COMPUTED_VALUE"""),121.165)</f>
        <v>121.165</v>
      </c>
    </row>
    <row r="709">
      <c r="A709" s="9">
        <f>IFERROR(__xludf.DUMMYFUNCTION("""COMPUTED_VALUE"""),-36.856)</f>
        <v>-36.856</v>
      </c>
      <c r="B709" s="9">
        <f>IFERROR(__xludf.DUMMYFUNCTION("""COMPUTED_VALUE"""),72.765)</f>
        <v>72.765</v>
      </c>
    </row>
    <row r="710">
      <c r="A710" s="9">
        <f>IFERROR(__xludf.DUMMYFUNCTION("""COMPUTED_VALUE"""),-8.399)</f>
        <v>-8.399</v>
      </c>
      <c r="B710" s="9">
        <f>IFERROR(__xludf.DUMMYFUNCTION("""COMPUTED_VALUE"""),172.812)</f>
        <v>172.812</v>
      </c>
    </row>
    <row r="711">
      <c r="A711" s="9">
        <f>IFERROR(__xludf.DUMMYFUNCTION("""COMPUTED_VALUE"""),-12.611)</f>
        <v>-12.611</v>
      </c>
      <c r="B711" s="9">
        <f>IFERROR(__xludf.DUMMYFUNCTION("""COMPUTED_VALUE"""),93.931)</f>
        <v>93.931</v>
      </c>
    </row>
    <row r="712">
      <c r="A712" s="9">
        <f>IFERROR(__xludf.DUMMYFUNCTION("""COMPUTED_VALUE"""),-14.253)</f>
        <v>-14.253</v>
      </c>
      <c r="B712" s="9">
        <f>IFERROR(__xludf.DUMMYFUNCTION("""COMPUTED_VALUE"""),74.891)</f>
        <v>74.891</v>
      </c>
    </row>
    <row r="713">
      <c r="A713" s="9">
        <f>IFERROR(__xludf.DUMMYFUNCTION("""COMPUTED_VALUE"""),-20.575)</f>
        <v>-20.575</v>
      </c>
      <c r="B713" s="9">
        <f>IFERROR(__xludf.DUMMYFUNCTION("""COMPUTED_VALUE"""),141.378)</f>
        <v>141.378</v>
      </c>
    </row>
    <row r="714">
      <c r="A714" s="9">
        <f>IFERROR(__xludf.DUMMYFUNCTION("""COMPUTED_VALUE"""),-8.165)</f>
        <v>-8.165</v>
      </c>
      <c r="B714" s="9">
        <f>IFERROR(__xludf.DUMMYFUNCTION("""COMPUTED_VALUE"""),116.003)</f>
        <v>116.003</v>
      </c>
    </row>
    <row r="715">
      <c r="A715" s="9">
        <f>IFERROR(__xludf.DUMMYFUNCTION("""COMPUTED_VALUE"""),-10.867)</f>
        <v>-10.867</v>
      </c>
      <c r="B715" s="9">
        <f>IFERROR(__xludf.DUMMYFUNCTION("""COMPUTED_VALUE"""),134.934)</f>
        <v>134.934</v>
      </c>
    </row>
    <row r="716">
      <c r="A716" s="9">
        <f>IFERROR(__xludf.DUMMYFUNCTION("""COMPUTED_VALUE"""),-5.948)</f>
        <v>-5.948</v>
      </c>
      <c r="B716" s="9">
        <f>IFERROR(__xludf.DUMMYFUNCTION("""COMPUTED_VALUE"""),144.996)</f>
        <v>144.996</v>
      </c>
    </row>
  </sheetData>
  <drawing r:id="rId1"/>
</worksheet>
</file>