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ef5c38c1b04b5f19/ANLT-540/Indiv Assignment files/"/>
    </mc:Choice>
  </mc:AlternateContent>
  <xr:revisionPtr revIDLastSave="36" documentId="8_{3A55512E-0023-44D6-AEEF-F5F12B5FA37B}" xr6:coauthVersionLast="45" xr6:coauthVersionMax="45" xr10:uidLastSave="{86EB7F5A-161A-4093-B21B-E4C592B6E6CD}"/>
  <bookViews>
    <workbookView xWindow="-195" yWindow="-195" windowWidth="29190" windowHeight="16590" activeTab="2" xr2:uid="{00000000-000D-0000-FFFF-FFFF00000000}"/>
  </bookViews>
  <sheets>
    <sheet name="Run Report" sheetId="1" r:id="rId1"/>
    <sheet name="New Machine Info by Model" sheetId="2" r:id="rId2"/>
    <sheet name="Actual Machine Info" sheetId="5" r:id="rId3"/>
    <sheet name="Plant Machine Status &amp; Utilizat" sheetId="3" r:id="rId4"/>
    <sheet name="Shipping Information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9" i="5" l="1"/>
  <c r="R62" i="5" s="1"/>
  <c r="R38" i="5"/>
  <c r="R41" i="5" s="1"/>
  <c r="O59" i="5"/>
  <c r="O62" i="5" s="1"/>
  <c r="O38" i="5"/>
  <c r="O41" i="5"/>
  <c r="C38" i="5"/>
  <c r="U59" i="5"/>
  <c r="L17" i="5"/>
  <c r="L20" i="5"/>
  <c r="I17" i="5"/>
  <c r="I20" i="5" s="1"/>
  <c r="F59" i="5"/>
  <c r="F62" i="5" s="1"/>
  <c r="F17" i="5"/>
  <c r="F20" i="5" s="1"/>
  <c r="C41" i="5"/>
  <c r="C17" i="5"/>
  <c r="C20" i="5" s="1"/>
  <c r="C62" i="5"/>
  <c r="C16" i="5"/>
  <c r="F16" i="5"/>
  <c r="I16" i="5"/>
  <c r="L16" i="5"/>
  <c r="O16" i="5"/>
  <c r="R16" i="5"/>
  <c r="U16" i="5"/>
  <c r="C19" i="5"/>
  <c r="F19" i="5"/>
  <c r="I19" i="5"/>
  <c r="L19" i="5"/>
  <c r="O19" i="5"/>
  <c r="R19" i="5"/>
  <c r="U19" i="5"/>
  <c r="U20" i="5"/>
  <c r="R20" i="5"/>
  <c r="O20" i="5"/>
  <c r="U62" i="5"/>
  <c r="L62" i="5"/>
  <c r="I62" i="5"/>
  <c r="U41" i="5"/>
  <c r="L41" i="5"/>
  <c r="I41" i="5"/>
  <c r="F41" i="5"/>
  <c r="C61" i="5"/>
  <c r="F61" i="5"/>
  <c r="I61" i="5"/>
  <c r="L61" i="5"/>
  <c r="O61" i="5"/>
  <c r="R61" i="5"/>
  <c r="U61" i="5"/>
  <c r="C40" i="5"/>
  <c r="F40" i="5"/>
  <c r="I40" i="5"/>
  <c r="L40" i="5"/>
  <c r="O40" i="5"/>
  <c r="R40" i="5"/>
  <c r="U40" i="5"/>
  <c r="L58" i="5"/>
  <c r="I58" i="5"/>
  <c r="C58" i="5"/>
  <c r="U37" i="5"/>
  <c r="O37" i="5"/>
  <c r="L37" i="5"/>
  <c r="I37" i="5"/>
  <c r="F37" i="5"/>
  <c r="L51" i="5"/>
  <c r="I51" i="5"/>
  <c r="L55" i="5"/>
  <c r="L53" i="5"/>
  <c r="I55" i="5"/>
  <c r="C55" i="5"/>
  <c r="L48" i="5"/>
  <c r="L47" i="5"/>
  <c r="L46" i="5"/>
  <c r="I48" i="5"/>
  <c r="I47" i="5"/>
  <c r="I46" i="5"/>
  <c r="C48" i="5"/>
  <c r="C47" i="5"/>
  <c r="C46" i="5"/>
  <c r="AD51" i="5"/>
  <c r="L34" i="5"/>
  <c r="L32" i="5"/>
  <c r="L30" i="5"/>
  <c r="L27" i="5"/>
  <c r="L26" i="5"/>
  <c r="L25" i="5"/>
  <c r="I34" i="5"/>
  <c r="I30" i="5"/>
  <c r="I27" i="5"/>
  <c r="I26" i="5"/>
  <c r="I25" i="5"/>
  <c r="F34" i="5"/>
  <c r="F26" i="5"/>
  <c r="F25" i="5"/>
  <c r="X34" i="5"/>
  <c r="X33" i="5"/>
  <c r="X32" i="5"/>
  <c r="X31" i="5"/>
  <c r="X28" i="5"/>
  <c r="X27" i="5"/>
  <c r="X26" i="5"/>
  <c r="X25" i="5"/>
  <c r="AA32" i="5"/>
  <c r="AA28" i="5"/>
  <c r="AD32" i="5"/>
  <c r="AD31" i="5"/>
  <c r="AD30" i="5"/>
  <c r="AD29" i="5"/>
  <c r="AD28" i="5"/>
  <c r="U34" i="5"/>
  <c r="U32" i="5"/>
  <c r="U31" i="5"/>
  <c r="U29" i="5"/>
  <c r="U27" i="5"/>
  <c r="U26" i="5"/>
  <c r="U25" i="5"/>
  <c r="U10" i="5"/>
  <c r="U8" i="5"/>
  <c r="R10" i="5"/>
  <c r="R8" i="5"/>
  <c r="O8" i="5"/>
  <c r="U13" i="5"/>
  <c r="R13" i="5"/>
  <c r="O13" i="5"/>
  <c r="U11" i="5"/>
  <c r="L11" i="5"/>
  <c r="L13" i="5"/>
  <c r="U6" i="5"/>
  <c r="U5" i="5"/>
  <c r="U4" i="5"/>
  <c r="R6" i="5"/>
  <c r="R5" i="5"/>
  <c r="R4" i="5"/>
  <c r="O6" i="5"/>
  <c r="O5" i="5"/>
  <c r="O4" i="5"/>
  <c r="AD10" i="5"/>
  <c r="AD8" i="5"/>
  <c r="AD7" i="5"/>
  <c r="AA10" i="5"/>
  <c r="AA8" i="5"/>
  <c r="AA7" i="5"/>
  <c r="X12" i="5"/>
  <c r="X10" i="5"/>
  <c r="X7" i="5"/>
  <c r="AD55" i="5"/>
  <c r="AD53" i="5"/>
  <c r="AD52" i="5"/>
  <c r="AD50" i="5"/>
  <c r="AD49" i="5"/>
  <c r="AD48" i="5"/>
  <c r="AD47" i="5"/>
  <c r="AD46" i="5"/>
  <c r="AD13" i="5"/>
  <c r="AD11" i="5"/>
  <c r="AD9" i="5"/>
  <c r="AD6" i="5"/>
  <c r="AD5" i="5"/>
  <c r="AD4" i="5"/>
  <c r="AA13" i="5"/>
  <c r="AA11" i="5"/>
  <c r="AA6" i="5"/>
  <c r="AA5" i="5"/>
  <c r="AA4" i="5"/>
  <c r="X13" i="5"/>
  <c r="X11" i="5"/>
  <c r="X6" i="5"/>
  <c r="X5" i="5"/>
  <c r="X4" i="5"/>
  <c r="L9" i="5"/>
  <c r="L6" i="5"/>
  <c r="L5" i="5"/>
  <c r="L4" i="5"/>
  <c r="AD61" i="5"/>
  <c r="AA61" i="5"/>
  <c r="X61" i="5"/>
  <c r="AD40" i="5"/>
  <c r="AA40" i="5"/>
  <c r="X40" i="5"/>
  <c r="AD19" i="5"/>
  <c r="AA19" i="5"/>
  <c r="X19" i="5"/>
  <c r="AA16" i="5" l="1"/>
  <c r="AA20" i="5" s="1"/>
  <c r="AD16" i="5"/>
  <c r="AD20" i="5" s="1"/>
  <c r="X16" i="5"/>
  <c r="X20" i="5" s="1"/>
  <c r="AD58" i="5"/>
  <c r="AD62" i="5" s="1"/>
  <c r="AL56" i="5"/>
  <c r="AL35" i="5"/>
  <c r="AL14" i="5"/>
  <c r="AN56" i="5"/>
  <c r="AN35" i="5"/>
  <c r="AN14" i="5"/>
  <c r="AN55" i="5"/>
  <c r="AN54" i="5"/>
  <c r="AN53" i="5"/>
  <c r="AN52" i="5"/>
  <c r="AN51" i="5"/>
  <c r="AN50" i="5"/>
  <c r="AN49" i="5"/>
  <c r="AN48" i="5"/>
  <c r="AN47" i="5"/>
  <c r="AN46" i="5"/>
  <c r="AN34" i="5"/>
  <c r="AN33" i="5"/>
  <c r="AN32" i="5"/>
  <c r="AN31" i="5"/>
  <c r="AN30" i="5"/>
  <c r="AN29" i="5"/>
  <c r="AN28" i="5"/>
  <c r="AN27" i="5"/>
  <c r="AN26" i="5"/>
  <c r="AN25" i="5"/>
  <c r="AN5" i="5"/>
  <c r="AN6" i="5"/>
  <c r="AN7" i="5"/>
  <c r="AN8" i="5"/>
  <c r="AN9" i="5"/>
  <c r="AN10" i="5"/>
  <c r="AN11" i="5"/>
  <c r="AN12" i="5"/>
  <c r="AN13" i="5"/>
  <c r="AN4" i="5"/>
  <c r="AJ7" i="5"/>
  <c r="AJ8" i="5"/>
  <c r="AJ10" i="5"/>
  <c r="AJ12" i="5"/>
  <c r="C4" i="5"/>
  <c r="AI51" i="5"/>
  <c r="AJ51" i="5" s="1"/>
  <c r="AA47" i="5"/>
  <c r="AA48" i="5"/>
  <c r="AA49" i="5"/>
  <c r="AA50" i="5"/>
  <c r="AA52" i="5"/>
  <c r="AA53" i="5"/>
  <c r="AA55" i="5"/>
  <c r="X47" i="5"/>
  <c r="X48" i="5"/>
  <c r="X49" i="5"/>
  <c r="X52" i="5"/>
  <c r="X53" i="5"/>
  <c r="X54" i="5"/>
  <c r="AF54" i="5" s="1"/>
  <c r="AH54" i="5" s="1"/>
  <c r="AI54" i="5" s="1"/>
  <c r="AJ54" i="5" s="1"/>
  <c r="X55" i="5"/>
  <c r="U47" i="5"/>
  <c r="U48" i="5"/>
  <c r="U50" i="5"/>
  <c r="U52" i="5"/>
  <c r="U53" i="5"/>
  <c r="U55" i="5"/>
  <c r="R47" i="5"/>
  <c r="R48" i="5"/>
  <c r="R50" i="5"/>
  <c r="R52" i="5"/>
  <c r="R55" i="5"/>
  <c r="O47" i="5"/>
  <c r="O48" i="5"/>
  <c r="O50" i="5"/>
  <c r="O55" i="5"/>
  <c r="AA46" i="5"/>
  <c r="X46" i="5"/>
  <c r="U46" i="5"/>
  <c r="R46" i="5"/>
  <c r="O46" i="5"/>
  <c r="F55" i="5"/>
  <c r="F47" i="5"/>
  <c r="F46" i="5"/>
  <c r="AD26" i="5"/>
  <c r="AD27" i="5"/>
  <c r="AF30" i="5"/>
  <c r="AH30" i="5" s="1"/>
  <c r="AI30" i="5" s="1"/>
  <c r="AJ30" i="5" s="1"/>
  <c r="AD34" i="5"/>
  <c r="AA26" i="5"/>
  <c r="AA27" i="5"/>
  <c r="AA29" i="5"/>
  <c r="AA31" i="5"/>
  <c r="AA34" i="5"/>
  <c r="AF33" i="5"/>
  <c r="AH33" i="5" s="1"/>
  <c r="AI33" i="5" s="1"/>
  <c r="AJ33" i="5" s="1"/>
  <c r="AD25" i="5"/>
  <c r="AA25" i="5"/>
  <c r="R26" i="5"/>
  <c r="R27" i="5"/>
  <c r="R29" i="5"/>
  <c r="R31" i="5"/>
  <c r="R34" i="5"/>
  <c r="R25" i="5"/>
  <c r="O26" i="5"/>
  <c r="O27" i="5"/>
  <c r="O29" i="5"/>
  <c r="O34" i="5"/>
  <c r="O25" i="5"/>
  <c r="C34" i="5"/>
  <c r="C26" i="5"/>
  <c r="C27" i="5"/>
  <c r="C25" i="5"/>
  <c r="AF11" i="5"/>
  <c r="AH11" i="5" s="1"/>
  <c r="AI11" i="5" s="1"/>
  <c r="AJ11" i="5" s="1"/>
  <c r="I5" i="5"/>
  <c r="I6" i="5"/>
  <c r="I9" i="5"/>
  <c r="I13" i="5"/>
  <c r="I4" i="5"/>
  <c r="F5" i="5"/>
  <c r="F13" i="5"/>
  <c r="F4" i="5"/>
  <c r="C13" i="5"/>
  <c r="C6" i="5"/>
  <c r="C5" i="5"/>
  <c r="M14" i="3"/>
  <c r="M12" i="3"/>
  <c r="M10" i="3"/>
  <c r="M7" i="3"/>
  <c r="M6" i="3"/>
  <c r="M5" i="3"/>
  <c r="H14" i="3"/>
  <c r="H13" i="3"/>
  <c r="H12" i="3"/>
  <c r="H11" i="3"/>
  <c r="H10" i="3"/>
  <c r="H9" i="3"/>
  <c r="H8" i="3"/>
  <c r="H7" i="3"/>
  <c r="H6" i="3"/>
  <c r="H5" i="3"/>
  <c r="C13" i="3"/>
  <c r="C12" i="3"/>
  <c r="C11" i="3"/>
  <c r="C14" i="3"/>
  <c r="C9" i="3"/>
  <c r="C8" i="3"/>
  <c r="C7" i="3"/>
  <c r="C6" i="3"/>
  <c r="C5" i="3"/>
  <c r="AF29" i="5" l="1"/>
  <c r="AH29" i="5" s="1"/>
  <c r="AI29" i="5" s="1"/>
  <c r="AJ29" i="5" s="1"/>
  <c r="O58" i="5"/>
  <c r="R58" i="5"/>
  <c r="U58" i="5"/>
  <c r="X58" i="5"/>
  <c r="X37" i="5"/>
  <c r="AA58" i="5"/>
  <c r="AA37" i="5"/>
  <c r="F58" i="5"/>
  <c r="C37" i="5"/>
  <c r="R37" i="5"/>
  <c r="AD37" i="5"/>
  <c r="AD41" i="5" s="1"/>
  <c r="AF28" i="5"/>
  <c r="AH28" i="5" s="1"/>
  <c r="AI28" i="5" s="1"/>
  <c r="AJ28" i="5" s="1"/>
  <c r="AF9" i="5"/>
  <c r="AH9" i="5" s="1"/>
  <c r="AI9" i="5" s="1"/>
  <c r="AJ9" i="5" s="1"/>
  <c r="AF31" i="5"/>
  <c r="AH31" i="5" s="1"/>
  <c r="AI31" i="5" s="1"/>
  <c r="AJ31" i="5" s="1"/>
  <c r="AF6" i="5"/>
  <c r="AH6" i="5" s="1"/>
  <c r="AI6" i="5" s="1"/>
  <c r="AJ6" i="5" s="1"/>
  <c r="AF13" i="5"/>
  <c r="AH13" i="5" s="1"/>
  <c r="AI13" i="5" s="1"/>
  <c r="AJ13" i="5" s="1"/>
  <c r="AF25" i="5"/>
  <c r="AH25" i="5" s="1"/>
  <c r="AI25" i="5" s="1"/>
  <c r="AF46" i="5"/>
  <c r="AH46" i="5" s="1"/>
  <c r="AI46" i="5" s="1"/>
  <c r="AF4" i="5"/>
  <c r="AH4" i="5" s="1"/>
  <c r="AI4" i="5" s="1"/>
  <c r="AF27" i="5"/>
  <c r="AH27" i="5" s="1"/>
  <c r="AI27" i="5" s="1"/>
  <c r="AJ27" i="5" s="1"/>
  <c r="AF47" i="5"/>
  <c r="AH47" i="5" s="1"/>
  <c r="AI47" i="5" s="1"/>
  <c r="AJ47" i="5" s="1"/>
  <c r="AF50" i="5"/>
  <c r="AH50" i="5" s="1"/>
  <c r="AI50" i="5" s="1"/>
  <c r="AJ50" i="5" s="1"/>
  <c r="AF26" i="5"/>
  <c r="AH26" i="5" s="1"/>
  <c r="AI26" i="5" s="1"/>
  <c r="AJ26" i="5" s="1"/>
  <c r="AF48" i="5"/>
  <c r="AH48" i="5" s="1"/>
  <c r="AI48" i="5" s="1"/>
  <c r="AJ48" i="5" s="1"/>
  <c r="AF34" i="5"/>
  <c r="AH34" i="5" s="1"/>
  <c r="AI34" i="5" s="1"/>
  <c r="AJ34" i="5" s="1"/>
  <c r="AF49" i="5"/>
  <c r="AH49" i="5" s="1"/>
  <c r="AI49" i="5" s="1"/>
  <c r="AJ49" i="5" s="1"/>
  <c r="AF55" i="5"/>
  <c r="AH55" i="5" s="1"/>
  <c r="AI55" i="5" s="1"/>
  <c r="AJ55" i="5" s="1"/>
  <c r="AF32" i="5"/>
  <c r="AH32" i="5" s="1"/>
  <c r="AI32" i="5" s="1"/>
  <c r="AJ32" i="5" s="1"/>
  <c r="AF53" i="5"/>
  <c r="AH53" i="5" s="1"/>
  <c r="AI53" i="5" s="1"/>
  <c r="AJ53" i="5" s="1"/>
  <c r="AF52" i="5"/>
  <c r="AH52" i="5" s="1"/>
  <c r="AI52" i="5" s="1"/>
  <c r="AJ52" i="5" s="1"/>
  <c r="AF5" i="5"/>
  <c r="AH5" i="5" s="1"/>
  <c r="AI5" i="5" s="1"/>
  <c r="AJ5" i="5" s="1"/>
  <c r="AA59" i="5" l="1"/>
  <c r="AA62" i="5" s="1"/>
  <c r="AA38" i="5"/>
  <c r="AA41" i="5" s="1"/>
  <c r="X59" i="5"/>
  <c r="X62" i="5" s="1"/>
  <c r="X38" i="5"/>
  <c r="X41" i="5" s="1"/>
  <c r="AI56" i="5"/>
  <c r="AJ46" i="5"/>
  <c r="AJ56" i="5" s="1"/>
  <c r="AI35" i="5"/>
  <c r="AJ25" i="5"/>
  <c r="AJ35" i="5" s="1"/>
  <c r="AI14" i="5"/>
  <c r="AJ4" i="5"/>
  <c r="AJ14" i="5" s="1"/>
</calcChain>
</file>

<file path=xl/sharedStrings.xml><?xml version="1.0" encoding="utf-8"?>
<sst xmlns="http://schemas.openxmlformats.org/spreadsheetml/2006/main" count="639" uniqueCount="77">
  <si>
    <t>Manufacturing Overview</t>
  </si>
  <si>
    <t xml:space="preserve">Model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</si>
  <si>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</si>
  <si>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</si>
  <si>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</si>
  <si>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</si>
  <si>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</si>
  <si>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</si>
  <si>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</si>
  <si>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</si>
  <si>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</si>
  <si>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</si>
  <si>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</si>
  <si>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</si>
  <si>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Mexico Plant Run Report (Units produced per month)</t>
  </si>
  <si>
    <t>Australia Plant Run Report (Units produced per month)</t>
  </si>
  <si>
    <t>Poland Plant Run Report (Units produced per month)</t>
  </si>
  <si>
    <t>Model 1</t>
  </si>
  <si>
    <t>Machine 1</t>
  </si>
  <si>
    <t>Machine 2</t>
  </si>
  <si>
    <t>Machine 3</t>
  </si>
  <si>
    <t>Machine 4</t>
  </si>
  <si>
    <t>Machine 5</t>
  </si>
  <si>
    <t>Machine 6</t>
  </si>
  <si>
    <t>Machine 7</t>
  </si>
  <si>
    <t>Machine 8</t>
  </si>
  <si>
    <t>Machine 9</t>
  </si>
  <si>
    <t>Machine 10</t>
  </si>
  <si>
    <t>Req?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</si>
  <si>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</si>
  <si>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</si>
  <si>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</si>
  <si>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</si>
  <si>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</si>
  <si>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</si>
  <si>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</si>
  <si>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</si>
  <si>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</si>
  <si>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x</t>
  </si>
  <si>
    <t>Setup Time Between Model Runs</t>
  </si>
  <si>
    <t>Machine Price Tag</t>
  </si>
  <si>
    <t>Brand New Machine Run Info by Model</t>
  </si>
  <si>
    <t>Machine Slow Down Per Year</t>
  </si>
  <si>
    <t>Machine Status and Utilizatin by Plant</t>
  </si>
  <si>
    <t>Mexico</t>
  </si>
  <si>
    <t>Avg Age</t>
  </si>
  <si>
    <t>Utilization</t>
  </si>
  <si>
    <t>Australia</t>
  </si>
  <si>
    <t>Poland</t>
  </si>
  <si>
    <t>Region</t>
  </si>
  <si>
    <t>Asia</t>
  </si>
  <si>
    <t>Americas</t>
  </si>
  <si>
    <t>Europe</t>
  </si>
  <si>
    <t>Manufacturing Sites</t>
  </si>
  <si>
    <t>Shipping Cost Per Unit</t>
  </si>
  <si>
    <t>Shipping Information</t>
  </si>
  <si>
    <t>Shipping Time Per Box, 1 Box = 10 Units, in weeks</t>
  </si>
  <si>
    <t xml:space="preserve"> </t>
  </si>
  <si>
    <t>Number of Operators</t>
  </si>
  <si>
    <t>Labor Cost per Hour</t>
  </si>
  <si>
    <t>Units/hr</t>
  </si>
  <si>
    <t>Efficiency</t>
  </si>
  <si>
    <t>Total Production</t>
  </si>
  <si>
    <t>Hours required for Production</t>
  </si>
  <si>
    <t>Hours Worked / Week</t>
  </si>
  <si>
    <t>Current # of Machines</t>
  </si>
  <si>
    <t>Utilization %</t>
  </si>
  <si>
    <t>Current # of Operators</t>
  </si>
  <si>
    <t>Total Labor Cost</t>
  </si>
  <si>
    <t>Total Units Produced</t>
  </si>
  <si>
    <t>Cost per Unit</t>
  </si>
  <si>
    <t>Total Cost</t>
  </si>
  <si>
    <t>Labor Cost per Unit</t>
  </si>
  <si>
    <t>Other Manufacturing Cost per Unit</t>
  </si>
  <si>
    <t>Total other cost per unit</t>
  </si>
  <si>
    <t>Total Cost per unit</t>
  </si>
  <si>
    <t>Shipping to Europe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</si>
</sst>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9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9" fontId="0" fillId="0" borderId="0" xfId="0" applyNumberFormat="1" applyAlignment="1">
      <alignment horizontal="center" vertical="top"/>
    </xf>
    <xf numFmtId="5" fontId="0" fillId="0" borderId="0" xfId="0" applyNumberFormat="1"/>
    <xf numFmtId="165" fontId="0" fillId="0" borderId="0" xfId="0" applyNumberFormat="1"/>
    <xf numFmtId="165" fontId="0" fillId="0" borderId="2" xfId="0" applyNumberFormat="1" applyBorder="1"/>
    <xf numFmtId="1" fontId="0" fillId="0" borderId="0" xfId="0" applyNumberFormat="1"/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1" fontId="0" fillId="0" borderId="0" xfId="0" applyNumberFormat="1" applyFill="1"/>
    <xf numFmtId="165" fontId="0" fillId="0" borderId="0" xfId="0" applyNumberFormat="1" applyFill="1"/>
    <xf numFmtId="1" fontId="0" fillId="2" borderId="0" xfId="0" applyNumberFormat="1" applyFill="1"/>
    <xf numFmtId="165" fontId="0" fillId="2" borderId="0" xfId="0" applyNumberFormat="1" applyFill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2" borderId="6" xfId="0" applyFill="1" applyBorder="1"/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 vertical="top"/>
    </xf>
    <xf numFmtId="5" fontId="0" fillId="2" borderId="7" xfId="0" applyNumberFormat="1" applyFill="1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5" fontId="0" fillId="0" borderId="7" xfId="0" applyNumberFormat="1" applyFill="1" applyBorder="1"/>
    <xf numFmtId="0" fontId="0" fillId="0" borderId="6" xfId="0" applyFill="1" applyBorder="1"/>
    <xf numFmtId="5" fontId="0" fillId="0" borderId="5" xfId="0" applyNumberFormat="1" applyBorder="1"/>
    <xf numFmtId="0" fontId="0" fillId="0" borderId="8" xfId="0" applyFill="1" applyBorder="1"/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 vertical="top"/>
    </xf>
    <xf numFmtId="5" fontId="0" fillId="0" borderId="10" xfId="0" applyNumberFormat="1" applyBorder="1"/>
    <xf numFmtId="0" fontId="0" fillId="3" borderId="3" xfId="0" applyFill="1" applyBorder="1" applyAlignment="1">
      <alignment horizontal="center"/>
    </xf>
    <xf numFmtId="0" fontId="0" fillId="0" borderId="8" xfId="0" applyBorder="1"/>
    <xf numFmtId="44" fontId="0" fillId="0" borderId="0" xfId="0" applyNumberFormat="1"/>
    <xf numFmtId="0" fontId="0" fillId="0" borderId="0" xfId="0" applyFill="1" applyBorder="1"/>
    <xf numFmtId="166" fontId="0" fillId="0" borderId="0" xfId="0" applyNumberFormat="1"/>
    <xf numFmtId="44" fontId="0" fillId="0" borderId="2" xfId="0" applyNumberFormat="1" applyBorder="1"/>
    <xf numFmtId="166" fontId="0" fillId="0" borderId="2" xfId="0" applyNumberFormat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4" fontId="0" fillId="5" borderId="0" xfId="0" applyNumberFormat="1" applyFill="1"/>
    <xf numFmtId="166" fontId="0" fillId="0" borderId="0" xfId="0" applyNumberFormat="1" applyFill="1"/>
    <xf numFmtId="166" fontId="0" fillId="5" borderId="0" xfId="0" applyNumberFormat="1" applyFill="1"/>
    <xf numFmtId="166" fontId="0" fillId="6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9" fontId="0" fillId="0" borderId="2" xfId="0" applyNumberFormat="1" applyBorder="1" applyAlignment="1">
      <alignment horizontal="center" vertical="top" wrapText="1"/>
    </xf>
    <xf numFmtId="9" fontId="0" fillId="0" borderId="0" xfId="0" applyNumberFormat="1" applyBorder="1" applyAlignment="1">
      <alignment horizontal="center" vertical="top" wrapText="1"/>
    </xf>
    <xf numFmtId="5" fontId="0" fillId="0" borderId="5" xfId="0" applyNumberFormat="1" applyBorder="1" applyAlignment="1">
      <alignment horizontal="center" vertical="top" wrapText="1"/>
    </xf>
    <xf numFmtId="5" fontId="0" fillId="0" borderId="7" xfId="0" applyNumberFormat="1" applyBorder="1" applyAlignment="1">
      <alignment horizontal="center" vertical="top" wrapText="1"/>
    </xf>
    <xf numFmtId="1" fontId="0" fillId="0" borderId="0" xfId="0" applyNumberFormat="1" applyAlignment="1">
      <alignment horizontal="center" vertical="top" wrapText="1"/>
    </xf>
    <xf numFmtId="41" fontId="0" fillId="0" borderId="0" xfId="0" applyNumberFormat="1" applyAlignment="1">
      <alignment horizontal="center" vertical="top" wrapText="1"/>
    </xf>
    <xf numFmtId="165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 textRotation="9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workbookViewId="0">
      <selection activeCell="R16" sqref="R16"/>
    </sheetView>
  </sheetViews>
  <sheetFormatPr defaultRowHeight="15" x14ac:dyDescent="0.25"/>
  <sheetData>
    <row r="1" spans="1:13" x14ac:dyDescent="0.25">
      <c r="A1" t="s">
        <v>0</v>
      </c>
    </row>
    <row r="3" spans="1:13" x14ac:dyDescent="0.25">
      <c r="A3" t="s">
        <v>14</v>
      </c>
    </row>
    <row r="5" spans="1:13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</row>
    <row r="6" spans="1:13" x14ac:dyDescent="0.25">
      <c r="A6">
        <v>2</v>
      </c>
      <c r="B6">
        <v>32738</v>
      </c>
      <c r="C6">
        <v>42266</v>
      </c>
      <c r="D6">
        <v>38526</v>
      </c>
      <c r="E6">
        <v>34820</v>
      </c>
      <c r="F6">
        <v>35512</v>
      </c>
      <c r="G6">
        <v>39920</v>
      </c>
      <c r="H6">
        <v>44720</v>
      </c>
      <c r="I6">
        <v>37806</v>
      </c>
      <c r="J6">
        <v>45016</v>
      </c>
      <c r="K6">
        <v>44460</v>
      </c>
      <c r="L6">
        <v>36268</v>
      </c>
      <c r="M6">
        <v>40436</v>
      </c>
    </row>
    <row r="7" spans="1:13" x14ac:dyDescent="0.25">
      <c r="A7">
        <v>5</v>
      </c>
      <c r="B7">
        <v>31292</v>
      </c>
      <c r="C7">
        <v>25532</v>
      </c>
      <c r="D7">
        <v>35082</v>
      </c>
      <c r="E7">
        <v>19954</v>
      </c>
      <c r="F7">
        <v>11240</v>
      </c>
      <c r="G7">
        <v>22830</v>
      </c>
      <c r="H7">
        <v>30302</v>
      </c>
      <c r="I7">
        <v>38942</v>
      </c>
      <c r="J7">
        <v>25866</v>
      </c>
      <c r="K7">
        <v>14460</v>
      </c>
      <c r="L7">
        <v>9960</v>
      </c>
      <c r="M7">
        <v>36140</v>
      </c>
    </row>
    <row r="8" spans="1:13" x14ac:dyDescent="0.25">
      <c r="A8">
        <v>6</v>
      </c>
      <c r="B8">
        <v>9366</v>
      </c>
      <c r="C8">
        <v>7108</v>
      </c>
      <c r="D8">
        <v>9516</v>
      </c>
      <c r="E8">
        <v>7242</v>
      </c>
      <c r="F8">
        <v>7532</v>
      </c>
      <c r="G8">
        <v>8126</v>
      </c>
      <c r="H8">
        <v>6130</v>
      </c>
      <c r="I8">
        <v>8530</v>
      </c>
      <c r="J8">
        <v>7616</v>
      </c>
      <c r="K8">
        <v>7676</v>
      </c>
      <c r="L8">
        <v>8910</v>
      </c>
      <c r="M8">
        <v>9378</v>
      </c>
    </row>
    <row r="9" spans="1:13" x14ac:dyDescent="0.25">
      <c r="A9">
        <v>7</v>
      </c>
      <c r="B9">
        <v>75600</v>
      </c>
      <c r="C9">
        <v>42608</v>
      </c>
      <c r="D9">
        <v>119978</v>
      </c>
      <c r="E9">
        <v>115150</v>
      </c>
      <c r="F9">
        <v>68452</v>
      </c>
      <c r="G9">
        <v>100104</v>
      </c>
      <c r="H9">
        <v>78990</v>
      </c>
      <c r="I9">
        <v>103116</v>
      </c>
      <c r="J9">
        <v>118812</v>
      </c>
      <c r="K9">
        <v>82526</v>
      </c>
      <c r="L9">
        <v>84302</v>
      </c>
      <c r="M9">
        <v>103652</v>
      </c>
    </row>
    <row r="10" spans="1:13" x14ac:dyDescent="0.25">
      <c r="A10">
        <v>8</v>
      </c>
      <c r="B10">
        <v>3626</v>
      </c>
      <c r="C10">
        <v>3424</v>
      </c>
      <c r="D10">
        <v>3256</v>
      </c>
      <c r="E10">
        <v>2518</v>
      </c>
      <c r="F10">
        <v>2636</v>
      </c>
      <c r="G10">
        <v>2390</v>
      </c>
      <c r="H10">
        <v>3970</v>
      </c>
      <c r="I10">
        <v>2682</v>
      </c>
      <c r="J10">
        <v>2572</v>
      </c>
      <c r="K10">
        <v>3076</v>
      </c>
      <c r="L10">
        <v>3644</v>
      </c>
      <c r="M10">
        <v>3344</v>
      </c>
    </row>
    <row r="11" spans="1:13" x14ac:dyDescent="0.25">
      <c r="A11">
        <v>9</v>
      </c>
      <c r="B11">
        <v>22262</v>
      </c>
      <c r="C11">
        <v>28026</v>
      </c>
      <c r="D11">
        <v>34944</v>
      </c>
      <c r="E11">
        <v>21338</v>
      </c>
      <c r="F11">
        <v>26590</v>
      </c>
      <c r="G11">
        <v>20742</v>
      </c>
      <c r="H11">
        <v>36454</v>
      </c>
      <c r="I11">
        <v>22184</v>
      </c>
      <c r="J11">
        <v>35842</v>
      </c>
      <c r="K11">
        <v>31646</v>
      </c>
      <c r="L11">
        <v>22214</v>
      </c>
      <c r="M11">
        <v>25358</v>
      </c>
    </row>
    <row r="14" spans="1:13" x14ac:dyDescent="0.25">
      <c r="A14" t="s">
        <v>15</v>
      </c>
    </row>
    <row r="16" spans="1:13" x14ac:dyDescent="0.25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</row>
    <row r="17" spans="1:13" x14ac:dyDescent="0.25">
      <c r="A17">
        <v>1</v>
      </c>
      <c r="B17">
        <v>21762</v>
      </c>
      <c r="C17">
        <v>35102</v>
      </c>
      <c r="D17">
        <v>39520</v>
      </c>
      <c r="E17">
        <v>36182</v>
      </c>
      <c r="F17">
        <v>30552</v>
      </c>
      <c r="G17">
        <v>33062</v>
      </c>
      <c r="H17">
        <v>24790</v>
      </c>
      <c r="I17">
        <v>32346</v>
      </c>
      <c r="J17">
        <v>24726</v>
      </c>
      <c r="K17">
        <v>38988</v>
      </c>
      <c r="L17">
        <v>28294</v>
      </c>
      <c r="M17">
        <v>37894</v>
      </c>
    </row>
    <row r="18" spans="1:13" x14ac:dyDescent="0.25">
      <c r="A18">
        <v>5</v>
      </c>
      <c r="B18">
        <v>28142</v>
      </c>
      <c r="C18">
        <v>23502</v>
      </c>
      <c r="D18">
        <v>7540</v>
      </c>
      <c r="E18">
        <v>17038</v>
      </c>
      <c r="F18">
        <v>23100</v>
      </c>
      <c r="G18">
        <v>15378</v>
      </c>
      <c r="H18">
        <v>5804</v>
      </c>
      <c r="I18">
        <v>39036</v>
      </c>
      <c r="J18">
        <v>34460</v>
      </c>
      <c r="K18">
        <v>28822</v>
      </c>
      <c r="L18">
        <v>23064</v>
      </c>
      <c r="M18">
        <v>16114</v>
      </c>
    </row>
    <row r="19" spans="1:13" x14ac:dyDescent="0.25">
      <c r="A19">
        <v>6</v>
      </c>
      <c r="B19">
        <v>9332</v>
      </c>
      <c r="C19">
        <v>8444</v>
      </c>
      <c r="D19">
        <v>6422</v>
      </c>
      <c r="E19">
        <v>8984</v>
      </c>
      <c r="F19">
        <v>9198</v>
      </c>
      <c r="G19">
        <v>7684</v>
      </c>
      <c r="H19">
        <v>9138</v>
      </c>
      <c r="I19">
        <v>6026</v>
      </c>
      <c r="J19">
        <v>9976</v>
      </c>
      <c r="K19">
        <v>8648</v>
      </c>
      <c r="L19">
        <v>9390</v>
      </c>
      <c r="M19">
        <v>6048</v>
      </c>
    </row>
    <row r="20" spans="1:13" x14ac:dyDescent="0.25">
      <c r="A20">
        <v>8</v>
      </c>
      <c r="B20">
        <v>2002</v>
      </c>
      <c r="C20">
        <v>2092</v>
      </c>
      <c r="D20">
        <v>2522</v>
      </c>
      <c r="E20">
        <v>2176</v>
      </c>
      <c r="F20">
        <v>3234</v>
      </c>
      <c r="G20">
        <v>3518</v>
      </c>
      <c r="H20">
        <v>3702</v>
      </c>
      <c r="I20">
        <v>2134</v>
      </c>
      <c r="J20">
        <v>2548</v>
      </c>
      <c r="K20">
        <v>3128</v>
      </c>
      <c r="L20">
        <v>3494</v>
      </c>
      <c r="M20">
        <v>2366</v>
      </c>
    </row>
    <row r="21" spans="1:13" x14ac:dyDescent="0.25">
      <c r="A21">
        <v>9</v>
      </c>
      <c r="B21">
        <v>22722</v>
      </c>
      <c r="C21">
        <v>27806</v>
      </c>
      <c r="D21">
        <v>31806</v>
      </c>
      <c r="E21">
        <v>32734</v>
      </c>
      <c r="F21">
        <v>20224</v>
      </c>
      <c r="G21">
        <v>29706</v>
      </c>
      <c r="H21">
        <v>32456</v>
      </c>
      <c r="I21">
        <v>26002</v>
      </c>
      <c r="J21">
        <v>29516</v>
      </c>
      <c r="K21">
        <v>30464</v>
      </c>
      <c r="L21">
        <v>22906</v>
      </c>
      <c r="M21">
        <v>21276</v>
      </c>
    </row>
    <row r="22" spans="1:13" x14ac:dyDescent="0.25">
      <c r="A22">
        <v>10</v>
      </c>
      <c r="B22">
        <v>37228</v>
      </c>
      <c r="C22">
        <v>25548</v>
      </c>
      <c r="D22">
        <v>29168</v>
      </c>
      <c r="E22">
        <v>30624</v>
      </c>
      <c r="F22">
        <v>28078</v>
      </c>
      <c r="G22">
        <v>36384</v>
      </c>
      <c r="H22">
        <v>22402</v>
      </c>
      <c r="I22">
        <v>27690</v>
      </c>
      <c r="J22">
        <v>34752</v>
      </c>
      <c r="K22">
        <v>27598</v>
      </c>
      <c r="L22">
        <v>30068</v>
      </c>
      <c r="M22">
        <v>30254</v>
      </c>
    </row>
    <row r="25" spans="1:13" x14ac:dyDescent="0.25">
      <c r="A25" t="s">
        <v>16</v>
      </c>
    </row>
    <row r="27" spans="1:13" x14ac:dyDescent="0.25">
      <c r="A27" t="s">
        <v>1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 t="s">
        <v>13</v>
      </c>
    </row>
    <row r="28" spans="1:13" x14ac:dyDescent="0.25">
      <c r="A28">
        <v>1</v>
      </c>
      <c r="B28">
        <v>27942</v>
      </c>
      <c r="C28">
        <v>38442</v>
      </c>
      <c r="D28">
        <v>36310</v>
      </c>
      <c r="E28">
        <v>34168</v>
      </c>
      <c r="F28">
        <v>25452</v>
      </c>
      <c r="G28">
        <v>25858</v>
      </c>
      <c r="H28">
        <v>29270</v>
      </c>
      <c r="I28">
        <v>30926</v>
      </c>
      <c r="J28">
        <v>32032</v>
      </c>
      <c r="K28">
        <v>24282</v>
      </c>
      <c r="L28">
        <v>20828</v>
      </c>
      <c r="M28">
        <v>27524</v>
      </c>
    </row>
    <row r="29" spans="1:13" x14ac:dyDescent="0.25">
      <c r="A29">
        <v>2</v>
      </c>
      <c r="B29">
        <v>44004</v>
      </c>
      <c r="C29">
        <v>32170</v>
      </c>
      <c r="D29">
        <v>36352</v>
      </c>
      <c r="E29">
        <v>30478</v>
      </c>
      <c r="F29">
        <v>45416</v>
      </c>
      <c r="G29">
        <v>47190</v>
      </c>
      <c r="H29">
        <v>40026</v>
      </c>
      <c r="I29">
        <v>31046</v>
      </c>
      <c r="J29">
        <v>39828</v>
      </c>
      <c r="K29">
        <v>45680</v>
      </c>
      <c r="L29">
        <v>46486</v>
      </c>
      <c r="M29">
        <v>31174</v>
      </c>
    </row>
    <row r="30" spans="1:13" x14ac:dyDescent="0.25">
      <c r="A30">
        <v>3</v>
      </c>
      <c r="B30">
        <v>134316</v>
      </c>
      <c r="C30">
        <v>137916</v>
      </c>
      <c r="D30">
        <v>137886</v>
      </c>
      <c r="E30">
        <v>134976</v>
      </c>
      <c r="F30">
        <v>138966</v>
      </c>
      <c r="G30">
        <v>148722</v>
      </c>
      <c r="H30">
        <v>104184</v>
      </c>
      <c r="I30">
        <v>122994</v>
      </c>
      <c r="J30">
        <v>131646</v>
      </c>
      <c r="K30">
        <v>127428</v>
      </c>
      <c r="L30">
        <v>123192</v>
      </c>
      <c r="M30">
        <v>121566</v>
      </c>
    </row>
    <row r="31" spans="1:13" x14ac:dyDescent="0.25">
      <c r="A31">
        <v>4</v>
      </c>
      <c r="B31">
        <v>219858</v>
      </c>
      <c r="C31">
        <v>277134</v>
      </c>
      <c r="D31">
        <v>207642</v>
      </c>
      <c r="E31">
        <v>284106</v>
      </c>
      <c r="F31">
        <v>183354</v>
      </c>
      <c r="G31">
        <v>284658</v>
      </c>
      <c r="H31">
        <v>242304</v>
      </c>
      <c r="I31">
        <v>238956</v>
      </c>
      <c r="J31">
        <v>260946</v>
      </c>
      <c r="K31">
        <v>234330</v>
      </c>
      <c r="L31">
        <v>193140</v>
      </c>
      <c r="M31">
        <v>180804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V28"/>
  <sheetViews>
    <sheetView workbookViewId="0">
      <selection activeCell="X8" sqref="X8"/>
    </sheetView>
  </sheetViews>
  <sheetFormatPr defaultRowHeight="15" x14ac:dyDescent="0.25"/>
  <cols>
    <col min="1" max="1" width="12.28515625" customWidth="1"/>
    <col min="2" max="2" width="17.85546875" style="1" customWidth="1"/>
    <col min="3" max="3" width="12.140625" style="1" customWidth="1"/>
    <col min="4" max="4" width="2.85546875" style="1" customWidth="1"/>
    <col min="5" max="5" width="13.42578125" style="1" customWidth="1"/>
    <col min="6" max="6" width="10.7109375" style="1" customWidth="1"/>
    <col min="7" max="7" width="2.7109375" style="1" customWidth="1"/>
    <col min="8" max="8" width="5.42578125" style="1" customWidth="1"/>
    <col min="9" max="9" width="8.5703125" style="1" customWidth="1"/>
    <col min="10" max="10" width="2.5703125" style="1" customWidth="1"/>
    <col min="11" max="11" width="5.42578125" style="1" customWidth="1"/>
    <col min="12" max="12" width="8.5703125" style="1" customWidth="1"/>
    <col min="13" max="13" width="2.85546875" style="1" customWidth="1"/>
    <col min="14" max="14" width="5.42578125" style="1" customWidth="1"/>
    <col min="15" max="15" width="8.5703125" style="1" customWidth="1"/>
    <col min="16" max="16" width="2.7109375" style="1" customWidth="1"/>
    <col min="17" max="17" width="5.42578125" style="1" customWidth="1"/>
    <col min="18" max="18" width="8.5703125" style="1" customWidth="1"/>
    <col min="19" max="19" width="2.85546875" style="1" customWidth="1"/>
    <col min="20" max="20" width="5.42578125" style="1" customWidth="1"/>
    <col min="21" max="21" width="8.42578125" style="1" customWidth="1"/>
    <col min="22" max="22" width="2.5703125" style="1" customWidth="1"/>
    <col min="23" max="23" width="5.42578125" style="1" customWidth="1"/>
    <col min="24" max="24" width="8.5703125" style="1" customWidth="1"/>
    <col min="25" max="25" width="2.85546875" style="1" customWidth="1"/>
    <col min="26" max="26" width="5.42578125" style="1" customWidth="1"/>
    <col min="27" max="27" width="8.5703125" style="1" customWidth="1"/>
    <col min="28" max="28" width="3" style="1" customWidth="1"/>
    <col min="29" max="29" width="5.42578125" style="1" customWidth="1"/>
    <col min="30" max="30" width="8.5703125" style="1" customWidth="1"/>
    <col min="31" max="48" width="9.140625" style="13"/>
  </cols>
  <sheetData>
    <row r="1" spans="1:48" x14ac:dyDescent="0.25">
      <c r="A1" t="s">
        <v>41</v>
      </c>
    </row>
    <row r="3" spans="1:48" x14ac:dyDescent="0.25">
      <c r="B3" s="64" t="s">
        <v>17</v>
      </c>
      <c r="C3" s="64"/>
      <c r="E3" s="64" t="s">
        <v>29</v>
      </c>
      <c r="F3" s="64"/>
      <c r="H3" s="64" t="s">
        <v>30</v>
      </c>
      <c r="I3" s="64"/>
      <c r="K3" s="64" t="s">
        <v>31</v>
      </c>
      <c r="L3" s="64"/>
      <c r="N3" s="64" t="s">
        <v>32</v>
      </c>
      <c r="O3" s="64"/>
      <c r="Q3" s="64" t="s">
        <v>33</v>
      </c>
      <c r="R3" s="64"/>
      <c r="T3" s="64" t="s">
        <v>34</v>
      </c>
      <c r="U3" s="64"/>
      <c r="W3" s="64" t="s">
        <v>35</v>
      </c>
      <c r="X3" s="64"/>
      <c r="Z3" s="64" t="s">
        <v>36</v>
      </c>
      <c r="AA3" s="64"/>
      <c r="AC3" s="64" t="s">
        <v>37</v>
      </c>
      <c r="AD3" s="64"/>
    </row>
    <row r="4" spans="1:48" x14ac:dyDescent="0.25">
      <c r="B4" s="1" t="s">
        <v>28</v>
      </c>
      <c r="C4" s="1" t="s">
        <v>60</v>
      </c>
      <c r="E4" s="1" t="s">
        <v>28</v>
      </c>
      <c r="F4" s="1" t="s">
        <v>60</v>
      </c>
      <c r="H4" s="1" t="s">
        <v>28</v>
      </c>
      <c r="I4" s="1" t="s">
        <v>60</v>
      </c>
      <c r="K4" s="1" t="s">
        <v>28</v>
      </c>
      <c r="L4" s="1" t="s">
        <v>60</v>
      </c>
      <c r="N4" s="1" t="s">
        <v>28</v>
      </c>
      <c r="O4" s="1" t="s">
        <v>60</v>
      </c>
      <c r="Q4" s="1" t="s">
        <v>28</v>
      </c>
      <c r="R4" s="1" t="s">
        <v>60</v>
      </c>
      <c r="T4" s="1" t="s">
        <v>28</v>
      </c>
      <c r="U4" s="1" t="s">
        <v>60</v>
      </c>
      <c r="W4" s="1" t="s">
        <v>28</v>
      </c>
      <c r="X4" s="1" t="s">
        <v>60</v>
      </c>
      <c r="Z4" s="1" t="s">
        <v>28</v>
      </c>
      <c r="AA4" s="1" t="s">
        <v>60</v>
      </c>
      <c r="AC4" s="1" t="s">
        <v>28</v>
      </c>
      <c r="AD4" s="1" t="s">
        <v>60</v>
      </c>
    </row>
    <row r="5" spans="1:48" s="10" customFormat="1" x14ac:dyDescent="0.25">
      <c r="A5" s="10" t="s">
        <v>18</v>
      </c>
      <c r="B5" s="11" t="s">
        <v>38</v>
      </c>
      <c r="C5" s="11">
        <v>102</v>
      </c>
      <c r="D5" s="12"/>
      <c r="E5" s="11" t="s">
        <v>38</v>
      </c>
      <c r="F5" s="11">
        <v>124</v>
      </c>
      <c r="G5" s="12"/>
      <c r="H5" s="11" t="s">
        <v>38</v>
      </c>
      <c r="I5" s="11">
        <v>158</v>
      </c>
      <c r="J5" s="12"/>
      <c r="K5" s="11" t="s">
        <v>38</v>
      </c>
      <c r="L5" s="11">
        <v>113</v>
      </c>
      <c r="M5" s="12"/>
      <c r="N5" s="11" t="s">
        <v>38</v>
      </c>
      <c r="O5" s="11">
        <v>158</v>
      </c>
      <c r="P5" s="12"/>
      <c r="Q5" s="11" t="s">
        <v>38</v>
      </c>
      <c r="R5" s="11">
        <v>112</v>
      </c>
      <c r="S5" s="12"/>
      <c r="T5" s="11" t="s">
        <v>38</v>
      </c>
      <c r="U5" s="11">
        <v>150</v>
      </c>
      <c r="V5" s="12"/>
      <c r="W5" s="11" t="s">
        <v>38</v>
      </c>
      <c r="X5" s="11">
        <v>114</v>
      </c>
      <c r="Y5" s="12"/>
      <c r="Z5" s="11" t="s">
        <v>38</v>
      </c>
      <c r="AA5" s="11">
        <v>123</v>
      </c>
      <c r="AB5" s="12"/>
      <c r="AC5" s="11" t="s">
        <v>38</v>
      </c>
      <c r="AD5" s="11">
        <v>131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25">
      <c r="A6" t="s">
        <v>19</v>
      </c>
      <c r="B6" s="9" t="s">
        <v>38</v>
      </c>
      <c r="C6" s="9">
        <v>22</v>
      </c>
      <c r="E6" s="9" t="s">
        <v>38</v>
      </c>
      <c r="F6" s="9">
        <v>16</v>
      </c>
      <c r="H6" s="9" t="s">
        <v>38</v>
      </c>
      <c r="I6" s="9">
        <v>13</v>
      </c>
      <c r="K6" s="9" t="s">
        <v>38</v>
      </c>
      <c r="L6" s="9">
        <v>16</v>
      </c>
      <c r="N6" s="9" t="s">
        <v>38</v>
      </c>
      <c r="O6" s="9">
        <v>14</v>
      </c>
      <c r="Q6" s="9" t="s">
        <v>38</v>
      </c>
      <c r="R6" s="9">
        <v>12</v>
      </c>
      <c r="T6" s="9" t="s">
        <v>38</v>
      </c>
      <c r="U6" s="9">
        <v>10</v>
      </c>
      <c r="W6" s="9" t="s">
        <v>38</v>
      </c>
      <c r="X6" s="9">
        <v>17</v>
      </c>
      <c r="Z6" s="9" t="s">
        <v>38</v>
      </c>
      <c r="AA6" s="9">
        <v>16</v>
      </c>
      <c r="AC6" s="9" t="s">
        <v>38</v>
      </c>
      <c r="AD6" s="9">
        <v>11</v>
      </c>
    </row>
    <row r="7" spans="1:48" s="10" customFormat="1" x14ac:dyDescent="0.25">
      <c r="A7" s="10" t="s">
        <v>20</v>
      </c>
      <c r="B7" s="11" t="s">
        <v>38</v>
      </c>
      <c r="C7" s="11">
        <v>106</v>
      </c>
      <c r="D7" s="12"/>
      <c r="E7" s="11"/>
      <c r="F7" s="11"/>
      <c r="G7" s="12"/>
      <c r="H7" s="11" t="s">
        <v>38</v>
      </c>
      <c r="I7" s="11">
        <v>148</v>
      </c>
      <c r="J7" s="12"/>
      <c r="K7" s="11" t="s">
        <v>38</v>
      </c>
      <c r="L7" s="11">
        <v>184</v>
      </c>
      <c r="M7" s="12"/>
      <c r="N7" s="11" t="s">
        <v>38</v>
      </c>
      <c r="O7" s="11">
        <v>103</v>
      </c>
      <c r="P7" s="12"/>
      <c r="Q7" s="11" t="s">
        <v>38</v>
      </c>
      <c r="R7" s="11">
        <v>170</v>
      </c>
      <c r="S7" s="12"/>
      <c r="T7" s="11" t="s">
        <v>38</v>
      </c>
      <c r="U7" s="11">
        <v>114</v>
      </c>
      <c r="V7" s="12"/>
      <c r="W7" s="11" t="s">
        <v>38</v>
      </c>
      <c r="X7" s="11">
        <v>172</v>
      </c>
      <c r="Y7" s="12"/>
      <c r="Z7" s="11" t="s">
        <v>38</v>
      </c>
      <c r="AA7" s="11">
        <v>92</v>
      </c>
      <c r="AB7" s="12"/>
      <c r="AC7" s="11" t="s">
        <v>38</v>
      </c>
      <c r="AD7" s="11">
        <v>163</v>
      </c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x14ac:dyDescent="0.25">
      <c r="A8" t="s">
        <v>21</v>
      </c>
      <c r="B8" s="9"/>
      <c r="C8" s="9"/>
      <c r="E8" s="9"/>
      <c r="F8" s="9"/>
      <c r="H8" s="9"/>
      <c r="I8" s="9"/>
      <c r="K8" s="9"/>
      <c r="L8" s="9"/>
      <c r="N8" s="9"/>
      <c r="O8" s="9"/>
      <c r="Q8" s="9"/>
      <c r="R8" s="9"/>
      <c r="T8" s="9"/>
      <c r="U8" s="9"/>
      <c r="W8" s="9" t="s">
        <v>38</v>
      </c>
      <c r="X8" s="9">
        <v>110</v>
      </c>
      <c r="Z8" s="9" t="s">
        <v>38</v>
      </c>
      <c r="AA8" s="9">
        <v>109</v>
      </c>
      <c r="AC8" s="9" t="s">
        <v>38</v>
      </c>
      <c r="AD8" s="9">
        <v>102</v>
      </c>
    </row>
    <row r="9" spans="1:48" s="10" customFormat="1" x14ac:dyDescent="0.25">
      <c r="A9" s="10" t="s">
        <v>22</v>
      </c>
      <c r="B9" s="11"/>
      <c r="C9" s="11"/>
      <c r="D9" s="12"/>
      <c r="E9" s="11"/>
      <c r="F9" s="11"/>
      <c r="G9" s="12"/>
      <c r="H9" s="11"/>
      <c r="I9" s="11"/>
      <c r="J9" s="12"/>
      <c r="K9" s="11"/>
      <c r="L9" s="11"/>
      <c r="M9" s="12"/>
      <c r="N9" s="11" t="s">
        <v>38</v>
      </c>
      <c r="O9" s="11">
        <v>59</v>
      </c>
      <c r="P9" s="12"/>
      <c r="Q9" s="11" t="s">
        <v>38</v>
      </c>
      <c r="R9" s="11">
        <v>87</v>
      </c>
      <c r="S9" s="12"/>
      <c r="T9" s="11" t="s">
        <v>38</v>
      </c>
      <c r="U9" s="11">
        <v>53</v>
      </c>
      <c r="V9" s="12"/>
      <c r="W9" s="11"/>
      <c r="X9" s="11"/>
      <c r="Y9" s="12"/>
      <c r="Z9" s="11" t="s">
        <v>38</v>
      </c>
      <c r="AA9" s="11">
        <v>90</v>
      </c>
      <c r="AB9" s="12"/>
      <c r="AC9" s="11" t="s">
        <v>38</v>
      </c>
      <c r="AD9" s="11">
        <v>50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x14ac:dyDescent="0.25">
      <c r="A10" t="s">
        <v>23</v>
      </c>
      <c r="B10" s="9"/>
      <c r="C10" s="9"/>
      <c r="E10" s="9"/>
      <c r="F10" s="9"/>
      <c r="H10" s="9" t="s">
        <v>38</v>
      </c>
      <c r="I10" s="9">
        <v>21</v>
      </c>
      <c r="K10" s="9" t="s">
        <v>38</v>
      </c>
      <c r="L10" s="9">
        <v>43</v>
      </c>
      <c r="N10" s="9"/>
      <c r="O10" s="9"/>
      <c r="Q10" s="9"/>
      <c r="R10" s="9"/>
      <c r="T10" s="9"/>
      <c r="U10" s="9"/>
      <c r="W10" s="9"/>
      <c r="X10" s="9"/>
      <c r="Z10" s="9"/>
      <c r="AA10" s="9"/>
      <c r="AC10" s="9" t="s">
        <v>38</v>
      </c>
      <c r="AD10" s="9">
        <v>28</v>
      </c>
    </row>
    <row r="11" spans="1:48" s="10" customFormat="1" x14ac:dyDescent="0.25">
      <c r="A11" s="10" t="s">
        <v>24</v>
      </c>
      <c r="B11" s="11"/>
      <c r="C11" s="11"/>
      <c r="D11" s="12"/>
      <c r="E11" s="11"/>
      <c r="F11" s="11"/>
      <c r="G11" s="12"/>
      <c r="H11" s="11"/>
      <c r="I11" s="11"/>
      <c r="J11" s="12"/>
      <c r="K11" s="11"/>
      <c r="L11" s="11"/>
      <c r="M11" s="12"/>
      <c r="N11" s="11"/>
      <c r="O11" s="11"/>
      <c r="P11" s="12"/>
      <c r="Q11" s="11" t="s">
        <v>38</v>
      </c>
      <c r="R11" s="11">
        <v>95</v>
      </c>
      <c r="S11" s="12"/>
      <c r="T11" s="11" t="s">
        <v>38</v>
      </c>
      <c r="U11" s="11">
        <v>63</v>
      </c>
      <c r="V11" s="12"/>
      <c r="W11" s="11" t="s">
        <v>38</v>
      </c>
      <c r="X11" s="11">
        <v>84</v>
      </c>
      <c r="Y11" s="12"/>
      <c r="Z11" s="11" t="s">
        <v>38</v>
      </c>
      <c r="AA11" s="11">
        <v>47</v>
      </c>
      <c r="AB11" s="12"/>
      <c r="AC11" s="11" t="s">
        <v>38</v>
      </c>
      <c r="AD11" s="11">
        <v>27</v>
      </c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x14ac:dyDescent="0.25">
      <c r="A12" t="s">
        <v>25</v>
      </c>
      <c r="B12" s="9"/>
      <c r="C12" s="9"/>
      <c r="E12" s="9"/>
      <c r="F12" s="9"/>
      <c r="H12" s="9"/>
      <c r="I12" s="9"/>
      <c r="K12" s="9" t="s">
        <v>38</v>
      </c>
      <c r="L12" s="9">
        <v>66</v>
      </c>
      <c r="N12" s="9"/>
      <c r="O12" s="9"/>
      <c r="Q12" s="9"/>
      <c r="R12" s="9"/>
      <c r="T12" s="9" t="s">
        <v>38</v>
      </c>
      <c r="U12" s="9">
        <v>89</v>
      </c>
      <c r="W12" s="9" t="s">
        <v>38</v>
      </c>
      <c r="X12" s="9">
        <v>37</v>
      </c>
      <c r="Z12" s="9" t="s">
        <v>38</v>
      </c>
      <c r="AA12" s="9">
        <v>44</v>
      </c>
      <c r="AC12" s="9" t="s">
        <v>38</v>
      </c>
      <c r="AD12" s="9">
        <v>90</v>
      </c>
    </row>
    <row r="13" spans="1:48" s="10" customFormat="1" x14ac:dyDescent="0.25">
      <c r="A13" s="10" t="s">
        <v>26</v>
      </c>
      <c r="B13" s="11"/>
      <c r="C13" s="11"/>
      <c r="D13" s="12"/>
      <c r="E13" s="11"/>
      <c r="F13" s="11"/>
      <c r="G13" s="12"/>
      <c r="H13" s="11"/>
      <c r="I13" s="11"/>
      <c r="J13" s="12"/>
      <c r="K13" s="11"/>
      <c r="L13" s="11"/>
      <c r="M13" s="12"/>
      <c r="N13" s="11"/>
      <c r="O13" s="11"/>
      <c r="P13" s="12"/>
      <c r="Q13" s="11"/>
      <c r="R13" s="11"/>
      <c r="S13" s="12"/>
      <c r="T13" s="11"/>
      <c r="U13" s="11"/>
      <c r="V13" s="12"/>
      <c r="W13" s="11" t="s">
        <v>38</v>
      </c>
      <c r="X13" s="11">
        <v>56</v>
      </c>
      <c r="Y13" s="12"/>
      <c r="Z13" s="11"/>
      <c r="AA13" s="11"/>
      <c r="AB13" s="12"/>
      <c r="AC13" s="11"/>
      <c r="AD13" s="11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x14ac:dyDescent="0.25">
      <c r="A14" t="s">
        <v>27</v>
      </c>
      <c r="B14" s="9" t="s">
        <v>38</v>
      </c>
      <c r="C14" s="9">
        <v>260</v>
      </c>
      <c r="E14" s="9" t="s">
        <v>38</v>
      </c>
      <c r="F14" s="9">
        <v>228</v>
      </c>
      <c r="H14" s="9" t="s">
        <v>38</v>
      </c>
      <c r="I14" s="9">
        <v>292</v>
      </c>
      <c r="K14" s="9" t="s">
        <v>38</v>
      </c>
      <c r="L14" s="9">
        <v>170</v>
      </c>
      <c r="N14" s="9" t="s">
        <v>38</v>
      </c>
      <c r="O14" s="9">
        <v>283</v>
      </c>
      <c r="Q14" s="9" t="s">
        <v>38</v>
      </c>
      <c r="R14" s="9">
        <v>229</v>
      </c>
      <c r="T14" s="9" t="s">
        <v>38</v>
      </c>
      <c r="U14" s="9">
        <v>185</v>
      </c>
      <c r="W14" s="9" t="s">
        <v>38</v>
      </c>
      <c r="X14" s="9">
        <v>196</v>
      </c>
      <c r="Z14" s="9" t="s">
        <v>38</v>
      </c>
      <c r="AA14" s="9">
        <v>173</v>
      </c>
      <c r="AC14" s="9" t="s">
        <v>38</v>
      </c>
      <c r="AD14" s="9">
        <v>296</v>
      </c>
    </row>
    <row r="18" spans="1:6" ht="45" x14ac:dyDescent="0.25">
      <c r="A18" s="15"/>
      <c r="B18" s="16" t="s">
        <v>39</v>
      </c>
      <c r="C18" s="16" t="s">
        <v>40</v>
      </c>
      <c r="D18" s="16"/>
      <c r="E18" s="16" t="s">
        <v>42</v>
      </c>
      <c r="F18" s="16" t="s">
        <v>58</v>
      </c>
    </row>
    <row r="19" spans="1:6" x14ac:dyDescent="0.25">
      <c r="A19" t="s">
        <v>18</v>
      </c>
      <c r="B19" s="1">
        <v>30</v>
      </c>
      <c r="C19" s="7">
        <v>798056</v>
      </c>
      <c r="D19" s="7"/>
      <c r="E19" s="8">
        <v>9.9534608340907174E-2</v>
      </c>
      <c r="F19" s="1">
        <v>6</v>
      </c>
    </row>
    <row r="20" spans="1:6" x14ac:dyDescent="0.25">
      <c r="A20" t="s">
        <v>19</v>
      </c>
      <c r="B20" s="1">
        <v>59</v>
      </c>
      <c r="C20" s="7">
        <v>823756</v>
      </c>
      <c r="D20" s="7"/>
      <c r="E20" s="8">
        <v>3.808690863136769E-2</v>
      </c>
      <c r="F20" s="1">
        <v>9</v>
      </c>
    </row>
    <row r="21" spans="1:6" x14ac:dyDescent="0.25">
      <c r="A21" t="s">
        <v>20</v>
      </c>
      <c r="B21" s="1">
        <v>66</v>
      </c>
      <c r="C21" s="7">
        <v>300340</v>
      </c>
      <c r="D21" s="7"/>
      <c r="E21" s="8">
        <v>0.11667402839151117</v>
      </c>
      <c r="F21" s="1">
        <v>10</v>
      </c>
    </row>
    <row r="22" spans="1:6" x14ac:dyDescent="0.25">
      <c r="A22" t="s">
        <v>21</v>
      </c>
      <c r="B22" s="1">
        <v>42</v>
      </c>
      <c r="C22" s="7">
        <v>670992</v>
      </c>
      <c r="D22" s="7"/>
      <c r="E22" s="8">
        <v>7.7482504413511094E-2</v>
      </c>
      <c r="F22" s="1">
        <v>8</v>
      </c>
    </row>
    <row r="23" spans="1:6" x14ac:dyDescent="0.25">
      <c r="A23" t="s">
        <v>22</v>
      </c>
      <c r="B23" s="1">
        <v>42</v>
      </c>
      <c r="C23" s="7">
        <v>808399</v>
      </c>
      <c r="D23" s="7"/>
      <c r="E23" s="8">
        <v>6.4786004245020554E-2</v>
      </c>
      <c r="F23" s="1">
        <v>10</v>
      </c>
    </row>
    <row r="24" spans="1:6" x14ac:dyDescent="0.25">
      <c r="A24" t="s">
        <v>23</v>
      </c>
      <c r="B24" s="1">
        <v>74</v>
      </c>
      <c r="C24" s="7">
        <v>308045</v>
      </c>
      <c r="D24" s="7"/>
      <c r="E24" s="8">
        <v>6.5296146027729153E-3</v>
      </c>
      <c r="F24" s="1">
        <v>7</v>
      </c>
    </row>
    <row r="25" spans="1:6" x14ac:dyDescent="0.25">
      <c r="A25" t="s">
        <v>24</v>
      </c>
      <c r="B25" s="1">
        <v>22</v>
      </c>
      <c r="C25" s="7">
        <v>754927</v>
      </c>
      <c r="D25" s="7"/>
      <c r="E25" s="8">
        <v>7.0941558846497915E-2</v>
      </c>
      <c r="F25" s="1">
        <v>1</v>
      </c>
    </row>
    <row r="26" spans="1:6" x14ac:dyDescent="0.25">
      <c r="A26" t="s">
        <v>25</v>
      </c>
      <c r="B26" s="1">
        <v>17</v>
      </c>
      <c r="C26" s="7">
        <v>501028</v>
      </c>
      <c r="D26" s="7"/>
      <c r="E26" s="8">
        <v>0.10371107585159779</v>
      </c>
      <c r="F26" s="1">
        <v>7</v>
      </c>
    </row>
    <row r="27" spans="1:6" x14ac:dyDescent="0.25">
      <c r="A27" t="s">
        <v>26</v>
      </c>
      <c r="B27" s="1">
        <v>66</v>
      </c>
      <c r="C27" s="7">
        <v>625457</v>
      </c>
      <c r="D27" s="7"/>
      <c r="E27" s="8">
        <v>2.9111987563238365E-2</v>
      </c>
      <c r="F27" s="1">
        <v>6</v>
      </c>
    </row>
    <row r="28" spans="1:6" x14ac:dyDescent="0.25">
      <c r="A28" t="s">
        <v>27</v>
      </c>
      <c r="B28" s="1">
        <v>63</v>
      </c>
      <c r="C28" s="7">
        <v>832652</v>
      </c>
      <c r="D28" s="7"/>
      <c r="E28" s="8">
        <v>6.1024380750585971E-2</v>
      </c>
      <c r="F28" s="1">
        <v>2</v>
      </c>
    </row>
  </sheetData>
  <mergeCells count="10">
    <mergeCell ref="T3:U3"/>
    <mergeCell ref="W3:X3"/>
    <mergeCell ref="Z3:AA3"/>
    <mergeCell ref="AC3:AD3"/>
    <mergeCell ref="B3:C3"/>
    <mergeCell ref="E3:F3"/>
    <mergeCell ref="H3:I3"/>
    <mergeCell ref="K3:L3"/>
    <mergeCell ref="N3:O3"/>
    <mergeCell ref="Q3:R3"/>
  </mergeCells>
  <pageMargins left="0.25" right="0.25" top="0.75" bottom="0.75" header="0.3" footer="0.3"/>
  <pageSetup scale="77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F369-1AC5-4F53-8CAA-F84A799B889A}">
  <sheetPr>
    <pageSetUpPr fitToPage="1"/>
  </sheetPr>
  <dimension ref="A1:AN62"/>
  <sheetViews>
    <sheetView tabSelected="1" topLeftCell="P37" workbookViewId="0">
      <selection activeCell="AH46" sqref="AH46:AH55"/>
    </sheetView>
  </sheetViews>
  <sheetFormatPr defaultRowHeight="15" x14ac:dyDescent="0.25"/>
  <cols>
    <col min="1" max="1" width="32.85546875" customWidth="1"/>
    <col min="4" max="4" width="2.5703125" style="13" customWidth="1"/>
    <col min="7" max="7" width="2.5703125" style="13" customWidth="1"/>
    <col min="10" max="10" width="2.85546875" style="13" customWidth="1"/>
    <col min="13" max="13" width="2.85546875" style="13" customWidth="1"/>
    <col min="16" max="16" width="2" style="13" customWidth="1"/>
    <col min="19" max="19" width="2.42578125" style="13" customWidth="1"/>
    <col min="22" max="22" width="2.28515625" style="13" customWidth="1"/>
    <col min="24" max="24" width="12.5703125" bestFit="1" customWidth="1"/>
    <col min="25" max="25" width="2.7109375" style="13" customWidth="1"/>
    <col min="28" max="28" width="2.140625" style="13" customWidth="1"/>
    <col min="31" max="31" width="11" bestFit="1" customWidth="1"/>
    <col min="32" max="32" width="15" style="6" customWidth="1"/>
    <col min="33" max="33" width="10" style="22" customWidth="1"/>
    <col min="34" max="34" width="13.28515625" style="6" customWidth="1"/>
    <col min="35" max="35" width="13" style="6" customWidth="1"/>
    <col min="36" max="36" width="15.140625" style="23" bestFit="1" customWidth="1"/>
    <col min="38" max="38" width="11.85546875" style="26" customWidth="1"/>
    <col min="40" max="40" width="14.85546875" style="24" bestFit="1" customWidth="1"/>
  </cols>
  <sheetData>
    <row r="1" spans="1:40" ht="18.75" x14ac:dyDescent="0.3">
      <c r="A1" s="21" t="s">
        <v>48</v>
      </c>
      <c r="AE1" s="21" t="s">
        <v>48</v>
      </c>
    </row>
    <row r="2" spans="1:40" ht="15" customHeight="1" x14ac:dyDescent="0.25">
      <c r="B2" s="64" t="s">
        <v>17</v>
      </c>
      <c r="C2" s="64"/>
      <c r="D2" s="20"/>
      <c r="E2" s="64" t="s">
        <v>29</v>
      </c>
      <c r="F2" s="64"/>
      <c r="G2" s="20"/>
      <c r="H2" s="64" t="s">
        <v>30</v>
      </c>
      <c r="I2" s="64"/>
      <c r="J2" s="20"/>
      <c r="K2" s="64" t="s">
        <v>31</v>
      </c>
      <c r="L2" s="64"/>
      <c r="M2" s="20"/>
      <c r="N2" s="65" t="s">
        <v>32</v>
      </c>
      <c r="O2" s="65"/>
      <c r="P2" s="20"/>
      <c r="Q2" s="65" t="s">
        <v>33</v>
      </c>
      <c r="R2" s="65"/>
      <c r="S2" s="20"/>
      <c r="T2" s="65" t="s">
        <v>34</v>
      </c>
      <c r="U2" s="65"/>
      <c r="V2" s="20"/>
      <c r="W2" s="65" t="s">
        <v>35</v>
      </c>
      <c r="X2" s="65"/>
      <c r="Y2" s="20"/>
      <c r="Z2" s="65" t="s">
        <v>36</v>
      </c>
      <c r="AA2" s="65"/>
      <c r="AB2" s="20"/>
      <c r="AC2" s="65" t="s">
        <v>37</v>
      </c>
      <c r="AD2" s="65"/>
      <c r="AE2" s="34"/>
      <c r="AF2" s="66" t="s">
        <v>63</v>
      </c>
      <c r="AG2" s="68" t="s">
        <v>66</v>
      </c>
      <c r="AH2" s="66" t="s">
        <v>65</v>
      </c>
      <c r="AI2" s="66" t="s">
        <v>67</v>
      </c>
      <c r="AJ2" s="70" t="s">
        <v>68</v>
      </c>
      <c r="AL2" s="72" t="s">
        <v>69</v>
      </c>
      <c r="AM2" s="73" t="s">
        <v>70</v>
      </c>
      <c r="AN2" s="74" t="s">
        <v>71</v>
      </c>
    </row>
    <row r="3" spans="1:40" x14ac:dyDescent="0.25">
      <c r="B3" s="1" t="s">
        <v>28</v>
      </c>
      <c r="C3" s="1" t="s">
        <v>60</v>
      </c>
      <c r="D3" s="20"/>
      <c r="E3" s="1" t="s">
        <v>28</v>
      </c>
      <c r="F3" s="1" t="s">
        <v>60</v>
      </c>
      <c r="G3" s="20"/>
      <c r="H3" s="1" t="s">
        <v>28</v>
      </c>
      <c r="I3" s="1" t="s">
        <v>60</v>
      </c>
      <c r="J3" s="20"/>
      <c r="K3" s="1" t="s">
        <v>28</v>
      </c>
      <c r="L3" s="1" t="s">
        <v>60</v>
      </c>
      <c r="M3" s="20"/>
      <c r="N3" s="17" t="s">
        <v>28</v>
      </c>
      <c r="O3" s="17" t="s">
        <v>60</v>
      </c>
      <c r="P3" s="20"/>
      <c r="Q3" s="17" t="s">
        <v>28</v>
      </c>
      <c r="R3" s="17" t="s">
        <v>60</v>
      </c>
      <c r="S3" s="20"/>
      <c r="T3" s="17" t="s">
        <v>28</v>
      </c>
      <c r="U3" s="17" t="s">
        <v>60</v>
      </c>
      <c r="V3" s="20"/>
      <c r="W3" s="17" t="s">
        <v>28</v>
      </c>
      <c r="X3" s="17" t="s">
        <v>60</v>
      </c>
      <c r="Y3" s="20"/>
      <c r="Z3" s="17" t="s">
        <v>28</v>
      </c>
      <c r="AA3" s="17" t="s">
        <v>60</v>
      </c>
      <c r="AB3" s="20"/>
      <c r="AC3" s="17" t="s">
        <v>28</v>
      </c>
      <c r="AD3" s="17" t="s">
        <v>60</v>
      </c>
      <c r="AE3" s="35"/>
      <c r="AF3" s="67"/>
      <c r="AG3" s="69"/>
      <c r="AH3" s="67"/>
      <c r="AI3" s="67"/>
      <c r="AJ3" s="71"/>
      <c r="AL3" s="72"/>
      <c r="AM3" s="73"/>
      <c r="AN3" s="74"/>
    </row>
    <row r="4" spans="1:40" x14ac:dyDescent="0.25">
      <c r="A4" s="10" t="s">
        <v>18</v>
      </c>
      <c r="B4" s="11" t="s">
        <v>38</v>
      </c>
      <c r="C4" s="11">
        <f>FLOOR('New Machine Info by Model'!C5*'Plant Machine Status &amp; Utilizat'!M5, 1)</f>
        <v>51</v>
      </c>
      <c r="D4" s="20"/>
      <c r="E4" s="11" t="s">
        <v>38</v>
      </c>
      <c r="F4" s="11">
        <f>FLOOR('New Machine Info by Model'!F5*'Plant Machine Status &amp; Utilizat'!M5, 1)</f>
        <v>62</v>
      </c>
      <c r="G4" s="20"/>
      <c r="H4" s="11" t="s">
        <v>38</v>
      </c>
      <c r="I4" s="11">
        <f>FLOOR('New Machine Info by Model'!I5*'Plant Machine Status &amp; Utilizat'!M5, 1)</f>
        <v>79</v>
      </c>
      <c r="J4" s="20"/>
      <c r="K4" s="11" t="s">
        <v>38</v>
      </c>
      <c r="L4" s="11">
        <f>FLOOR('New Machine Info by Model'!L5*'Plant Machine Status &amp; Utilizat'!$M$5, 1)</f>
        <v>56</v>
      </c>
      <c r="M4" s="20"/>
      <c r="N4" s="18" t="s">
        <v>38</v>
      </c>
      <c r="O4" s="18">
        <f>FLOOR('New Machine Info by Model'!O5*'Plant Machine Status &amp; Utilizat'!$M$5, 1)</f>
        <v>79</v>
      </c>
      <c r="P4" s="20"/>
      <c r="Q4" s="18" t="s">
        <v>38</v>
      </c>
      <c r="R4" s="18">
        <f>FLOOR('New Machine Info by Model'!R5*'Plant Machine Status &amp; Utilizat'!$M$5, 1)</f>
        <v>56</v>
      </c>
      <c r="S4" s="20"/>
      <c r="T4" s="18" t="s">
        <v>38</v>
      </c>
      <c r="U4" s="18">
        <f>FLOOR('New Machine Info by Model'!U5*'Plant Machine Status &amp; Utilizat'!$M$5, 1)</f>
        <v>75</v>
      </c>
      <c r="V4" s="20"/>
      <c r="W4" s="18" t="s">
        <v>38</v>
      </c>
      <c r="X4" s="18">
        <f>FLOOR('New Machine Info by Model'!X5*'Plant Machine Status &amp; Utilizat'!$M$5, 1)</f>
        <v>57</v>
      </c>
      <c r="Y4" s="20"/>
      <c r="Z4" s="18" t="s">
        <v>38</v>
      </c>
      <c r="AA4" s="18">
        <f>FLOOR('New Machine Info by Model'!AA5*'Plant Machine Status &amp; Utilizat'!$M$5, 1)</f>
        <v>61</v>
      </c>
      <c r="AB4" s="20"/>
      <c r="AC4" s="18" t="s">
        <v>38</v>
      </c>
      <c r="AD4" s="18">
        <f>FLOOR('New Machine Info by Model'!AD5*'Plant Machine Status &amp; Utilizat'!$M$5, 1)</f>
        <v>65</v>
      </c>
      <c r="AE4" s="36" t="s">
        <v>18</v>
      </c>
      <c r="AF4" s="37">
        <f>CEILING($C$14/C4+$F$14/F4+$I$14/I4+$L$14/L4,1)</f>
        <v>84425</v>
      </c>
      <c r="AG4" s="38">
        <v>1</v>
      </c>
      <c r="AH4" s="37">
        <f>CEILING(AF4/($C$15*52)/AG4,1)</f>
        <v>24</v>
      </c>
      <c r="AI4" s="37">
        <f>AH4*'New Machine Info by Model'!F19</f>
        <v>144</v>
      </c>
      <c r="AJ4" s="39">
        <f>C$15*52*AI4*'Plant Machine Status &amp; Utilizat'!$K$18</f>
        <v>6504825.5999999996</v>
      </c>
      <c r="AK4" s="10" t="s">
        <v>17</v>
      </c>
      <c r="AL4" s="31">
        <v>353034</v>
      </c>
      <c r="AM4" s="10">
        <v>25.64</v>
      </c>
      <c r="AN4" s="32">
        <f>AL4*AM4</f>
        <v>9051791.7599999998</v>
      </c>
    </row>
    <row r="5" spans="1:40" x14ac:dyDescent="0.25">
      <c r="A5" t="s">
        <v>19</v>
      </c>
      <c r="B5" s="9" t="s">
        <v>38</v>
      </c>
      <c r="C5" s="19">
        <f>FLOOR('New Machine Info by Model'!C6*'Plant Machine Status &amp; Utilizat'!M6, 1)</f>
        <v>18</v>
      </c>
      <c r="D5" s="20"/>
      <c r="E5" s="19" t="s">
        <v>38</v>
      </c>
      <c r="F5" s="19">
        <f>FLOOR('New Machine Info by Model'!F6*'Plant Machine Status &amp; Utilizat'!M6, 1)</f>
        <v>13</v>
      </c>
      <c r="G5" s="20"/>
      <c r="H5" s="19" t="s">
        <v>38</v>
      </c>
      <c r="I5" s="19">
        <f>FLOOR('New Machine Info by Model'!I6*'Plant Machine Status &amp; Utilizat'!M6, 1)</f>
        <v>10</v>
      </c>
      <c r="J5" s="20"/>
      <c r="K5" s="19" t="s">
        <v>38</v>
      </c>
      <c r="L5" s="19">
        <f>FLOOR('New Machine Info by Model'!L6*'Plant Machine Status &amp; Utilizat'!$M$6, 1)</f>
        <v>13</v>
      </c>
      <c r="M5" s="20"/>
      <c r="N5" s="18" t="s">
        <v>38</v>
      </c>
      <c r="O5" s="18">
        <f>FLOOR('New Machine Info by Model'!O6*'Plant Machine Status &amp; Utilizat'!$M$6, 1)</f>
        <v>11</v>
      </c>
      <c r="P5" s="20"/>
      <c r="Q5" s="18" t="s">
        <v>38</v>
      </c>
      <c r="R5" s="18">
        <f>FLOOR('New Machine Info by Model'!R6*'Plant Machine Status &amp; Utilizat'!$M$6, 1)</f>
        <v>10</v>
      </c>
      <c r="S5" s="20"/>
      <c r="T5" s="18" t="s">
        <v>38</v>
      </c>
      <c r="U5" s="18">
        <f>FLOOR('New Machine Info by Model'!U6*'Plant Machine Status &amp; Utilizat'!$M$6, 1)</f>
        <v>8</v>
      </c>
      <c r="V5" s="20"/>
      <c r="W5" s="18" t="s">
        <v>38</v>
      </c>
      <c r="X5" s="18">
        <f>FLOOR('New Machine Info by Model'!X6*'Plant Machine Status &amp; Utilizat'!$M$6, 1)</f>
        <v>14</v>
      </c>
      <c r="Y5" s="20"/>
      <c r="Z5" s="18" t="s">
        <v>38</v>
      </c>
      <c r="AA5" s="18">
        <f>FLOOR('New Machine Info by Model'!AA6*'Plant Machine Status &amp; Utilizat'!$M$6, 1)</f>
        <v>13</v>
      </c>
      <c r="AB5" s="20"/>
      <c r="AC5" s="18" t="s">
        <v>38</v>
      </c>
      <c r="AD5" s="18">
        <f>FLOOR('New Machine Info by Model'!AD6*'Plant Machine Status &amp; Utilizat'!$M$6, 1)</f>
        <v>9</v>
      </c>
      <c r="AE5" s="35" t="s">
        <v>19</v>
      </c>
      <c r="AF5" s="40">
        <f>CEILING($C$14/C5+$F$14/F5+$I$14/I5+$L$14/L5,1)</f>
        <v>428076</v>
      </c>
      <c r="AG5" s="41">
        <v>1</v>
      </c>
      <c r="AH5" s="42">
        <f>CEILING(AF5/($C$15*52)/AG5,1)</f>
        <v>118</v>
      </c>
      <c r="AI5" s="42">
        <f>AH5*'New Machine Info by Model'!F20</f>
        <v>1062</v>
      </c>
      <c r="AJ5" s="43">
        <f>C$15*52*AI5*'Plant Machine Status &amp; Utilizat'!$K$18</f>
        <v>47973088.799999997</v>
      </c>
      <c r="AK5" s="13" t="s">
        <v>29</v>
      </c>
      <c r="AL5" s="29">
        <v>469850</v>
      </c>
      <c r="AM5" s="13">
        <v>30.63</v>
      </c>
      <c r="AN5" s="30">
        <f t="shared" ref="AN5:AN13" si="0">AL5*AM5</f>
        <v>14391505.5</v>
      </c>
    </row>
    <row r="6" spans="1:40" x14ac:dyDescent="0.25">
      <c r="A6" s="10" t="s">
        <v>20</v>
      </c>
      <c r="B6" s="11" t="s">
        <v>38</v>
      </c>
      <c r="C6" s="11">
        <f>FLOOR('New Machine Info by Model'!C7*'Plant Machine Status &amp; Utilizat'!M7, 1)</f>
        <v>29</v>
      </c>
      <c r="D6" s="20"/>
      <c r="E6" s="11"/>
      <c r="F6" s="11"/>
      <c r="G6" s="20"/>
      <c r="H6" s="11" t="s">
        <v>38</v>
      </c>
      <c r="I6" s="11">
        <f>FLOOR('New Machine Info by Model'!I7*'Plant Machine Status &amp; Utilizat'!M7, 1)</f>
        <v>41</v>
      </c>
      <c r="J6" s="20"/>
      <c r="K6" s="11" t="s">
        <v>38</v>
      </c>
      <c r="L6" s="11">
        <f>FLOOR('New Machine Info by Model'!L7*'Plant Machine Status &amp; Utilizat'!$M$7, 1)</f>
        <v>51</v>
      </c>
      <c r="M6" s="20"/>
      <c r="N6" s="18" t="s">
        <v>38</v>
      </c>
      <c r="O6" s="18">
        <f>FLOOR('New Machine Info by Model'!O7*'Plant Machine Status &amp; Utilizat'!$M$7, 1)</f>
        <v>28</v>
      </c>
      <c r="P6" s="20"/>
      <c r="Q6" s="18" t="s">
        <v>38</v>
      </c>
      <c r="R6" s="18">
        <f>FLOOR('New Machine Info by Model'!R7*'Plant Machine Status &amp; Utilizat'!$M$7, 1)</f>
        <v>47</v>
      </c>
      <c r="S6" s="20"/>
      <c r="T6" s="18" t="s">
        <v>38</v>
      </c>
      <c r="U6" s="18">
        <f>FLOOR('New Machine Info by Model'!U7*'Plant Machine Status &amp; Utilizat'!$M$7, 1)</f>
        <v>31</v>
      </c>
      <c r="V6" s="20"/>
      <c r="W6" s="18" t="s">
        <v>38</v>
      </c>
      <c r="X6" s="18">
        <f>FLOOR('New Machine Info by Model'!X7*'Plant Machine Status &amp; Utilizat'!$M$7, 1)</f>
        <v>48</v>
      </c>
      <c r="Y6" s="20"/>
      <c r="Z6" s="18" t="s">
        <v>38</v>
      </c>
      <c r="AA6" s="18">
        <f>FLOOR('New Machine Info by Model'!AA7*'Plant Machine Status &amp; Utilizat'!$M$7, 1)</f>
        <v>25</v>
      </c>
      <c r="AB6" s="20"/>
      <c r="AC6" s="18" t="s">
        <v>38</v>
      </c>
      <c r="AD6" s="18">
        <f>FLOOR('New Machine Info by Model'!AD7*'Plant Machine Status &amp; Utilizat'!$M$7, 1)</f>
        <v>45</v>
      </c>
      <c r="AE6" s="36" t="s">
        <v>20</v>
      </c>
      <c r="AF6" s="37">
        <f>CEILING($C$14/C6+$I$14/I6+$L$14/L6,1)</f>
        <v>105359</v>
      </c>
      <c r="AG6" s="38">
        <v>0.96</v>
      </c>
      <c r="AH6" s="37">
        <f>CEILING(AF6/($C$15*52)/AG6,1)</f>
        <v>31</v>
      </c>
      <c r="AI6" s="37">
        <f>AH6*'New Machine Info by Model'!F21</f>
        <v>310</v>
      </c>
      <c r="AJ6" s="39">
        <f>C$15*52*AI6*'Plant Machine Status &amp; Utilizat'!$K$18</f>
        <v>14003444</v>
      </c>
      <c r="AK6" s="10" t="s">
        <v>30</v>
      </c>
      <c r="AL6" s="31">
        <v>1563792</v>
      </c>
      <c r="AM6" s="10">
        <v>37.700000000000003</v>
      </c>
      <c r="AN6" s="32">
        <f t="shared" si="0"/>
        <v>58954958.400000006</v>
      </c>
    </row>
    <row r="7" spans="1:40" x14ac:dyDescent="0.25">
      <c r="A7" t="s">
        <v>21</v>
      </c>
      <c r="B7" s="9"/>
      <c r="C7" s="19"/>
      <c r="D7" s="20"/>
      <c r="E7" s="19"/>
      <c r="F7" s="19"/>
      <c r="G7" s="20"/>
      <c r="H7" s="19"/>
      <c r="I7" s="19"/>
      <c r="J7" s="20"/>
      <c r="K7" s="19"/>
      <c r="L7" s="19"/>
      <c r="M7" s="20"/>
      <c r="N7" s="18"/>
      <c r="O7" s="18"/>
      <c r="P7" s="20"/>
      <c r="Q7" s="18"/>
      <c r="R7" s="18"/>
      <c r="S7" s="20"/>
      <c r="T7" s="18"/>
      <c r="U7" s="18"/>
      <c r="V7" s="20"/>
      <c r="W7" s="18" t="s">
        <v>38</v>
      </c>
      <c r="X7" s="57">
        <f>'New Machine Info by Model'!X8</f>
        <v>110</v>
      </c>
      <c r="Y7" s="20"/>
      <c r="Z7" s="18" t="s">
        <v>38</v>
      </c>
      <c r="AA7" s="57">
        <f>'New Machine Info by Model'!AA8</f>
        <v>109</v>
      </c>
      <c r="AB7" s="20"/>
      <c r="AC7" s="18" t="s">
        <v>38</v>
      </c>
      <c r="AD7" s="57">
        <f>'New Machine Info by Model'!AD8</f>
        <v>102</v>
      </c>
      <c r="AE7" s="35" t="s">
        <v>21</v>
      </c>
      <c r="AF7" s="40"/>
      <c r="AG7" s="41"/>
      <c r="AH7" s="42">
        <v>0</v>
      </c>
      <c r="AI7" s="42">
        <v>0</v>
      </c>
      <c r="AJ7" s="43">
        <f>C$15*52*AI7*'Plant Machine Status &amp; Utilizat'!$K$18</f>
        <v>0</v>
      </c>
      <c r="AK7" s="13" t="s">
        <v>31</v>
      </c>
      <c r="AL7" s="29">
        <v>2807232</v>
      </c>
      <c r="AM7" s="13">
        <v>56.74</v>
      </c>
      <c r="AN7" s="30">
        <f t="shared" si="0"/>
        <v>159282343.68000001</v>
      </c>
    </row>
    <row r="8" spans="1:40" x14ac:dyDescent="0.25">
      <c r="A8" s="10" t="s">
        <v>22</v>
      </c>
      <c r="B8" s="11"/>
      <c r="C8" s="11"/>
      <c r="D8" s="20"/>
      <c r="E8" s="11"/>
      <c r="F8" s="11"/>
      <c r="G8" s="20"/>
      <c r="H8" s="11"/>
      <c r="I8" s="11"/>
      <c r="J8" s="20"/>
      <c r="K8" s="11"/>
      <c r="L8" s="11"/>
      <c r="M8" s="20"/>
      <c r="N8" s="18" t="s">
        <v>38</v>
      </c>
      <c r="O8" s="57">
        <f>'New Machine Info by Model'!O9</f>
        <v>59</v>
      </c>
      <c r="P8" s="20"/>
      <c r="Q8" s="18" t="s">
        <v>38</v>
      </c>
      <c r="R8" s="57">
        <f>'New Machine Info by Model'!R9</f>
        <v>87</v>
      </c>
      <c r="S8" s="20"/>
      <c r="T8" s="18" t="s">
        <v>38</v>
      </c>
      <c r="U8" s="57">
        <f>'New Machine Info by Model'!U9</f>
        <v>53</v>
      </c>
      <c r="V8" s="20"/>
      <c r="W8" s="18"/>
      <c r="X8" s="18"/>
      <c r="Y8" s="20"/>
      <c r="Z8" s="18" t="s">
        <v>38</v>
      </c>
      <c r="AA8" s="57">
        <f>'New Machine Info by Model'!AA9</f>
        <v>90</v>
      </c>
      <c r="AB8" s="20"/>
      <c r="AC8" s="18" t="s">
        <v>38</v>
      </c>
      <c r="AD8" s="57">
        <f>'New Machine Info by Model'!AD9</f>
        <v>50</v>
      </c>
      <c r="AE8" s="36" t="s">
        <v>22</v>
      </c>
      <c r="AF8" s="37"/>
      <c r="AG8" s="38"/>
      <c r="AH8" s="37">
        <v>0</v>
      </c>
      <c r="AI8" s="37">
        <v>0</v>
      </c>
      <c r="AJ8" s="39">
        <f>C$15*52*AI8*'Plant Machine Status &amp; Utilizat'!$K$18</f>
        <v>0</v>
      </c>
      <c r="AK8" s="10" t="s">
        <v>32</v>
      </c>
      <c r="AL8" s="31">
        <v>0</v>
      </c>
      <c r="AM8" s="10">
        <v>55.08</v>
      </c>
      <c r="AN8" s="32">
        <f t="shared" si="0"/>
        <v>0</v>
      </c>
    </row>
    <row r="9" spans="1:40" x14ac:dyDescent="0.25">
      <c r="A9" t="s">
        <v>23</v>
      </c>
      <c r="B9" s="9"/>
      <c r="C9" s="19"/>
      <c r="D9" s="20"/>
      <c r="E9" s="19"/>
      <c r="F9" s="19"/>
      <c r="G9" s="20"/>
      <c r="H9" s="19" t="s">
        <v>38</v>
      </c>
      <c r="I9" s="19">
        <f>FLOOR('New Machine Info by Model'!I10*'Plant Machine Status &amp; Utilizat'!M10, 1)</f>
        <v>20</v>
      </c>
      <c r="J9" s="20"/>
      <c r="K9" s="19" t="s">
        <v>38</v>
      </c>
      <c r="L9" s="19">
        <f>FLOOR('New Machine Info by Model'!L10*'Plant Machine Status &amp; Utilizat'!$M$10, 1)</f>
        <v>41</v>
      </c>
      <c r="M9" s="20"/>
      <c r="N9" s="18"/>
      <c r="O9" s="18"/>
      <c r="P9" s="20"/>
      <c r="Q9" s="18"/>
      <c r="R9" s="18"/>
      <c r="S9" s="20"/>
      <c r="T9" s="18"/>
      <c r="U9" s="18"/>
      <c r="V9" s="20"/>
      <c r="W9" s="18"/>
      <c r="X9" s="18"/>
      <c r="Y9" s="20"/>
      <c r="Z9" s="18"/>
      <c r="AA9" s="18"/>
      <c r="AB9" s="20"/>
      <c r="AC9" s="18" t="s">
        <v>38</v>
      </c>
      <c r="AD9" s="18">
        <f>FLOOR('New Machine Info by Model'!AD10*'Plant Machine Status &amp; Utilizat'!$M$10, 1)</f>
        <v>26</v>
      </c>
      <c r="AE9" s="35" t="s">
        <v>23</v>
      </c>
      <c r="AF9" s="40">
        <f>CEILING($I$14/I9+$L$14/L9,1)</f>
        <v>146659</v>
      </c>
      <c r="AG9" s="41">
        <v>0.95</v>
      </c>
      <c r="AH9" s="42">
        <f>CEILING(AF9/($C$15*52)/AG9,1)</f>
        <v>43</v>
      </c>
      <c r="AI9" s="42">
        <f>AH9*'New Machine Info by Model'!F24</f>
        <v>301</v>
      </c>
      <c r="AJ9" s="43">
        <f>C$15*52*AI9*'Plant Machine Status &amp; Utilizat'!$K$18</f>
        <v>13596892.4</v>
      </c>
      <c r="AK9" s="13" t="s">
        <v>33</v>
      </c>
      <c r="AL9" s="29">
        <v>0</v>
      </c>
      <c r="AM9" s="13">
        <v>46.67</v>
      </c>
      <c r="AN9" s="30">
        <f t="shared" si="0"/>
        <v>0</v>
      </c>
    </row>
    <row r="10" spans="1:40" x14ac:dyDescent="0.25">
      <c r="A10" s="10" t="s">
        <v>24</v>
      </c>
      <c r="B10" s="11"/>
      <c r="C10" s="11"/>
      <c r="D10" s="20"/>
      <c r="E10" s="11"/>
      <c r="F10" s="11"/>
      <c r="G10" s="20"/>
      <c r="H10" s="11"/>
      <c r="I10" s="11"/>
      <c r="J10" s="20"/>
      <c r="K10" s="11"/>
      <c r="L10" s="11"/>
      <c r="M10" s="20"/>
      <c r="N10" s="18"/>
      <c r="O10" s="18"/>
      <c r="P10" s="20"/>
      <c r="Q10" s="18" t="s">
        <v>38</v>
      </c>
      <c r="R10" s="57">
        <f>'New Machine Info by Model'!R11</f>
        <v>95</v>
      </c>
      <c r="S10" s="20"/>
      <c r="T10" s="18" t="s">
        <v>38</v>
      </c>
      <c r="U10" s="57">
        <f>'New Machine Info by Model'!U11</f>
        <v>63</v>
      </c>
      <c r="V10" s="20"/>
      <c r="W10" s="18" t="s">
        <v>38</v>
      </c>
      <c r="X10" s="57">
        <f>'New Machine Info by Model'!X11</f>
        <v>84</v>
      </c>
      <c r="Y10" s="20"/>
      <c r="Z10" s="18" t="s">
        <v>38</v>
      </c>
      <c r="AA10" s="57">
        <f>'New Machine Info by Model'!AA11</f>
        <v>47</v>
      </c>
      <c r="AB10" s="20"/>
      <c r="AC10" s="18" t="s">
        <v>38</v>
      </c>
      <c r="AD10" s="57">
        <f>'New Machine Info by Model'!AD11</f>
        <v>27</v>
      </c>
      <c r="AE10" s="36" t="s">
        <v>24</v>
      </c>
      <c r="AF10" s="37"/>
      <c r="AG10" s="38"/>
      <c r="AH10" s="37">
        <v>0</v>
      </c>
      <c r="AI10" s="37">
        <v>0</v>
      </c>
      <c r="AJ10" s="39">
        <f>C$15*52*AI10*'Plant Machine Status &amp; Utilizat'!$K$18</f>
        <v>0</v>
      </c>
      <c r="AK10" s="10" t="s">
        <v>34</v>
      </c>
      <c r="AL10" s="31">
        <v>0</v>
      </c>
      <c r="AM10" s="10">
        <v>58.37</v>
      </c>
      <c r="AN10" s="32">
        <f t="shared" si="0"/>
        <v>0</v>
      </c>
    </row>
    <row r="11" spans="1:40" x14ac:dyDescent="0.25">
      <c r="A11" t="s">
        <v>25</v>
      </c>
      <c r="B11" s="9"/>
      <c r="C11" s="19"/>
      <c r="D11" s="20"/>
      <c r="E11" s="19"/>
      <c r="F11" s="19"/>
      <c r="G11" s="20"/>
      <c r="H11" s="19"/>
      <c r="I11" s="19"/>
      <c r="J11" s="20"/>
      <c r="K11" s="19" t="s">
        <v>38</v>
      </c>
      <c r="L11" s="19">
        <f>FLOOR('New Machine Info by Model'!L12*'Plant Machine Status &amp; Utilizat'!$M$12, 1)</f>
        <v>33</v>
      </c>
      <c r="M11" s="20"/>
      <c r="N11" s="18"/>
      <c r="O11" s="18"/>
      <c r="P11" s="20"/>
      <c r="Q11" s="18"/>
      <c r="R11" s="18"/>
      <c r="S11" s="20"/>
      <c r="T11" s="18" t="s">
        <v>38</v>
      </c>
      <c r="U11" s="18">
        <f>FLOOR('New Machine Info by Model'!U12*'Plant Machine Status &amp; Utilizat'!$M$12, 1)</f>
        <v>44</v>
      </c>
      <c r="V11" s="20"/>
      <c r="W11" s="18" t="s">
        <v>38</v>
      </c>
      <c r="X11" s="18">
        <f>FLOOR('New Machine Info by Model'!X12*'Plant Machine Status &amp; Utilizat'!$M$12, 1)</f>
        <v>18</v>
      </c>
      <c r="Y11" s="20"/>
      <c r="Z11" s="18" t="s">
        <v>38</v>
      </c>
      <c r="AA11" s="18">
        <f>FLOOR('New Machine Info by Model'!AA12*'Plant Machine Status &amp; Utilizat'!$M$12, 1)</f>
        <v>22</v>
      </c>
      <c r="AB11" s="20"/>
      <c r="AC11" s="18" t="s">
        <v>38</v>
      </c>
      <c r="AD11" s="18">
        <f>FLOOR('New Machine Info by Model'!AD12*'Plant Machine Status &amp; Utilizat'!$M$12, 1)</f>
        <v>45</v>
      </c>
      <c r="AE11" s="35" t="s">
        <v>25</v>
      </c>
      <c r="AF11" s="40">
        <f>CEILING($L$14/L11,1)</f>
        <v>85068</v>
      </c>
      <c r="AG11" s="41">
        <v>0.8</v>
      </c>
      <c r="AH11" s="42">
        <f t="shared" ref="AH11:AH13" si="1">CEILING(AF11/($C$15*52)/AG11,1)</f>
        <v>30</v>
      </c>
      <c r="AI11" s="42">
        <f>AH11*'New Machine Info by Model'!F26</f>
        <v>210</v>
      </c>
      <c r="AJ11" s="43">
        <f>C$15*52*AI11*'Plant Machine Status &amp; Utilizat'!$K$18</f>
        <v>9486204</v>
      </c>
      <c r="AK11" s="13" t="s">
        <v>35</v>
      </c>
      <c r="AL11" s="29">
        <v>0</v>
      </c>
      <c r="AM11" s="13">
        <v>77.569999999999993</v>
      </c>
      <c r="AN11" s="30">
        <f t="shared" si="0"/>
        <v>0</v>
      </c>
    </row>
    <row r="12" spans="1:40" x14ac:dyDescent="0.25">
      <c r="A12" s="10" t="s">
        <v>26</v>
      </c>
      <c r="B12" s="11"/>
      <c r="C12" s="11"/>
      <c r="D12" s="20"/>
      <c r="E12" s="11"/>
      <c r="F12" s="11"/>
      <c r="G12" s="20"/>
      <c r="H12" s="11"/>
      <c r="I12" s="11"/>
      <c r="J12" s="20"/>
      <c r="K12" s="11"/>
      <c r="L12" s="11"/>
      <c r="M12" s="20"/>
      <c r="N12" s="18"/>
      <c r="O12" s="18"/>
      <c r="P12" s="20"/>
      <c r="Q12" s="18"/>
      <c r="R12" s="18"/>
      <c r="S12" s="20"/>
      <c r="T12" s="18"/>
      <c r="U12" s="18"/>
      <c r="V12" s="20"/>
      <c r="W12" s="18" t="s">
        <v>38</v>
      </c>
      <c r="X12" s="57">
        <f>'New Machine Info by Model'!X13</f>
        <v>56</v>
      </c>
      <c r="Y12" s="20"/>
      <c r="Z12" s="18"/>
      <c r="AA12" s="18"/>
      <c r="AB12" s="20"/>
      <c r="AC12" s="18"/>
      <c r="AD12" s="18"/>
      <c r="AE12" s="36" t="s">
        <v>26</v>
      </c>
      <c r="AF12" s="37"/>
      <c r="AG12" s="38"/>
      <c r="AH12" s="37">
        <v>0</v>
      </c>
      <c r="AI12" s="37">
        <v>0</v>
      </c>
      <c r="AJ12" s="39">
        <f>C$15*52*AI12*'Plant Machine Status &amp; Utilizat'!$K$18</f>
        <v>0</v>
      </c>
      <c r="AK12" s="10" t="s">
        <v>36</v>
      </c>
      <c r="AL12" s="31">
        <v>0</v>
      </c>
      <c r="AM12" s="10">
        <v>69.66</v>
      </c>
      <c r="AN12" s="32">
        <f t="shared" si="0"/>
        <v>0</v>
      </c>
    </row>
    <row r="13" spans="1:40" x14ac:dyDescent="0.25">
      <c r="A13" t="s">
        <v>27</v>
      </c>
      <c r="B13" s="9" t="s">
        <v>38</v>
      </c>
      <c r="C13" s="19">
        <f>FLOOR('New Machine Info by Model'!C14*'Plant Machine Status &amp; Utilizat'!M14, 1)</f>
        <v>197</v>
      </c>
      <c r="D13" s="20"/>
      <c r="E13" s="19" t="s">
        <v>38</v>
      </c>
      <c r="F13" s="19">
        <f>FLOOR('New Machine Info by Model'!F14*'Plant Machine Status &amp; Utilizat'!M14, 1)</f>
        <v>173</v>
      </c>
      <c r="G13" s="20"/>
      <c r="H13" s="19" t="s">
        <v>38</v>
      </c>
      <c r="I13" s="19">
        <f>FLOOR('New Machine Info by Model'!I14*'Plant Machine Status &amp; Utilizat'!M14, 1)</f>
        <v>221</v>
      </c>
      <c r="J13" s="20"/>
      <c r="K13" s="19" t="s">
        <v>38</v>
      </c>
      <c r="L13" s="19">
        <f>FLOOR('New Machine Info by Model'!L14*'Plant Machine Status &amp; Utilizat'!$M$14, 1)</f>
        <v>129</v>
      </c>
      <c r="M13" s="20"/>
      <c r="N13" s="18" t="s">
        <v>38</v>
      </c>
      <c r="O13" s="18">
        <f>FLOOR('New Machine Info by Model'!O14*'Plant Machine Status &amp; Utilizat'!$M$14, 1)</f>
        <v>215</v>
      </c>
      <c r="P13" s="20"/>
      <c r="Q13" s="18" t="s">
        <v>38</v>
      </c>
      <c r="R13" s="18">
        <f>FLOOR('New Machine Info by Model'!R14*'Plant Machine Status &amp; Utilizat'!$M$14, 1)</f>
        <v>174</v>
      </c>
      <c r="S13" s="20"/>
      <c r="T13" s="18" t="s">
        <v>38</v>
      </c>
      <c r="U13" s="18">
        <f>FLOOR('New Machine Info by Model'!U14*'Plant Machine Status &amp; Utilizat'!$M$14, 1)</f>
        <v>140</v>
      </c>
      <c r="V13" s="20"/>
      <c r="W13" s="18" t="s">
        <v>38</v>
      </c>
      <c r="X13" s="18">
        <f>FLOOR('New Machine Info by Model'!X14*'Plant Machine Status &amp; Utilizat'!$M$14, 1)</f>
        <v>148</v>
      </c>
      <c r="Y13" s="20"/>
      <c r="Z13" s="18" t="s">
        <v>38</v>
      </c>
      <c r="AA13" s="18">
        <f>FLOOR('New Machine Info by Model'!AA14*'Plant Machine Status &amp; Utilizat'!$M$14, 1)</f>
        <v>131</v>
      </c>
      <c r="AB13" s="20"/>
      <c r="AC13" s="18" t="s">
        <v>38</v>
      </c>
      <c r="AD13" s="18">
        <f>FLOOR('New Machine Info by Model'!AD14*'Plant Machine Status &amp; Utilizat'!$M$14, 1)</f>
        <v>224</v>
      </c>
      <c r="AE13" s="35" t="s">
        <v>27</v>
      </c>
      <c r="AF13" s="40">
        <f>CEILING($C$14/C13+$F$14/F13+$I$14/I13+$L$14/L13,1)</f>
        <v>33346</v>
      </c>
      <c r="AG13" s="41">
        <v>0.95</v>
      </c>
      <c r="AH13" s="42">
        <f t="shared" si="1"/>
        <v>10</v>
      </c>
      <c r="AI13" s="42">
        <f>AH13*'New Machine Info by Model'!F28</f>
        <v>20</v>
      </c>
      <c r="AJ13" s="43">
        <f>C$15*52*AI13*'Plant Machine Status &amp; Utilizat'!$K$18</f>
        <v>903448</v>
      </c>
      <c r="AK13" s="13" t="s">
        <v>37</v>
      </c>
      <c r="AL13" s="29">
        <v>0</v>
      </c>
      <c r="AM13" s="13">
        <v>73.98</v>
      </c>
      <c r="AN13" s="30">
        <f t="shared" si="0"/>
        <v>0</v>
      </c>
    </row>
    <row r="14" spans="1:40" x14ac:dyDescent="0.25">
      <c r="A14" s="13" t="s">
        <v>62</v>
      </c>
      <c r="C14">
        <v>353034</v>
      </c>
      <c r="F14">
        <v>469850</v>
      </c>
      <c r="I14">
        <v>1563792</v>
      </c>
      <c r="L14">
        <v>2807232</v>
      </c>
      <c r="AE14" s="44"/>
      <c r="AF14" s="40"/>
      <c r="AG14" s="41"/>
      <c r="AH14" s="40"/>
      <c r="AI14" s="28">
        <f>SUM(AI4:AI13)</f>
        <v>2047</v>
      </c>
      <c r="AJ14" s="45">
        <f>SUM(AJ4:AJ13)</f>
        <v>92467902.800000012</v>
      </c>
      <c r="AL14" s="27">
        <f>SUM(AL4:AL13)</f>
        <v>5193908</v>
      </c>
      <c r="AN14" s="25">
        <f>SUM(AN4:AN13)</f>
        <v>241680599.34</v>
      </c>
    </row>
    <row r="15" spans="1:40" x14ac:dyDescent="0.25">
      <c r="A15" s="13" t="s">
        <v>64</v>
      </c>
      <c r="C15">
        <v>70</v>
      </c>
      <c r="AE15" s="46"/>
      <c r="AF15" s="47"/>
      <c r="AG15" s="48"/>
      <c r="AH15" s="47"/>
      <c r="AI15" s="47"/>
      <c r="AJ15" s="49"/>
    </row>
    <row r="16" spans="1:40" x14ac:dyDescent="0.25">
      <c r="A16" s="53" t="s">
        <v>72</v>
      </c>
      <c r="C16" s="54">
        <f>((1/C4)*('New Machine Info by Model'!$F19)*('Plant Machine Status &amp; Utilizat'!$K$18))+((1/C5)*('New Machine Info by Model'!$F20)*('Plant Machine Status &amp; Utilizat'!$K$18))+((1/C6)*('New Machine Info by Model'!$F21)*('Plant Machine Status &amp; Utilizat'!$K$18))+((1/C13)*('New Machine Info by Model'!$F28)*('Plant Machine Status &amp; Utilizat'!$K$18))</f>
        <v>12.070300192543323</v>
      </c>
      <c r="D16" s="61"/>
      <c r="E16" s="54"/>
      <c r="F16" s="54">
        <f>((1/F4)*('New Machine Info by Model'!$F19)*('Plant Machine Status &amp; Utilizat'!$K$18))+((1/F5)*('New Machine Info by Model'!$F20)*('Plant Machine Status &amp; Utilizat'!$K$18))+((1/F13)*('New Machine Info by Model'!$F28)*('Plant Machine Status &amp; Utilizat'!$K$18))</f>
        <v>9.9359744115664306</v>
      </c>
      <c r="G16" s="61"/>
      <c r="H16" s="54"/>
      <c r="I16" s="54">
        <f>((1/I4)*('New Machine Info by Model'!$F19)*('Plant Machine Status &amp; Utilizat'!$K$18))+((1/I5)*('New Machine Info by Model'!$F20)*('Plant Machine Status &amp; Utilizat'!$K$18))+((1/I6)*('New Machine Info by Model'!$F21)*('Plant Machine Status &amp; Utilizat'!$K$18))+((1/I9)*('New Machine Info by Model'!$F24)*('Plant Machine Status &amp; Utilizat'!$K$18))+((1/I13)*('New Machine Info by Model'!$F28)*('Plant Machine Status &amp; Utilizat'!$K$18))</f>
        <v>19.594168606169998</v>
      </c>
      <c r="J16" s="61"/>
      <c r="K16" s="54"/>
      <c r="L16" s="54">
        <f>((1/L4)*('New Machine Info by Model'!$F19)*('Plant Machine Status &amp; Utilizat'!$K$18))+((1/L5)*('New Machine Info by Model'!$F20)*('Plant Machine Status &amp; Utilizat'!$K$18))+((1/L6)*('New Machine Info by Model'!$F21)*('Plant Machine Status &amp; Utilizat'!$K$18))+((1/L9)*('New Machine Info by Model'!$F24)*('Plant Machine Status &amp; Utilizat'!$K$18))+((1/L11)*('New Machine Info by Model'!$F26)*('Plant Machine Status &amp; Utilizat'!$K$18))+((1/L13)*('New Machine Info by Model'!$F28)*('Plant Machine Status &amp; Utilizat'!$K$18))</f>
        <v>17.298122483018968</v>
      </c>
      <c r="M16" s="61"/>
      <c r="N16" s="54"/>
      <c r="O16" s="54">
        <f>((1/O4)*('New Machine Info by Model'!$F19)*('Plant Machine Status &amp; Utilizat'!$K$18))+((1/O5)*('New Machine Info by Model'!$F20)*('Plant Machine Status &amp; Utilizat'!$K$18))+((1/O6)*('New Machine Info by Model'!$F21)*('Plant Machine Status &amp; Utilizat'!$K$18))+((1/O8)*('New Machine Info by Model'!$F23)*('Plant Machine Status &amp; Utilizat'!$K$18))+((1/O13)*('New Machine Info by Model'!$F28)*('Plant Machine Status &amp; Utilizat'!$K$18))</f>
        <v>17.74714255732243</v>
      </c>
      <c r="P16" s="61"/>
      <c r="Q16" s="54"/>
      <c r="R16" s="54">
        <f>((1/R4)*('New Machine Info by Model'!$F19)*('Plant Machine Status &amp; Utilizat'!$K$18))+((1/R5)*('New Machine Info by Model'!$F20)*('Plant Machine Status &amp; Utilizat'!$K$18))+((1/R6)*('New Machine Info by Model'!$F21)*('Plant Machine Status &amp; Utilizat'!$K$18))+((1/R8)*('New Machine Info by Model'!$F23)*('Plant Machine Status &amp; Utilizat'!$K$18))+((1/R10)*('New Machine Info by Model'!$F25)*('Plant Machine Status &amp; Utilizat'!$K$18))+((1/R13)*('New Machine Info by Model'!$F28)*('Plant Machine Status &amp; Utilizat'!$K$18))</f>
        <v>16.838780427775234</v>
      </c>
      <c r="S16" s="61"/>
      <c r="T16" s="54"/>
      <c r="U16" s="54">
        <f>((1/U4)*('New Machine Info by Model'!$F19)*('Plant Machine Status &amp; Utilizat'!$K$18))+((1/U5)*('New Machine Info by Model'!$F20)*('Plant Machine Status &amp; Utilizat'!$K$18))+((1/U6)*('New Machine Info by Model'!$F21)*('Plant Machine Status &amp; Utilizat'!$K$18))+((1/U8)*('New Machine Info by Model'!$F23)*('Plant Machine Status &amp; Utilizat'!$K$18))+((1/U10)*('New Machine Info by Model'!$F25)*('Plant Machine Status &amp; Utilizat'!$K$18))+((1/U11)*('New Machine Info by Model'!$F26)*('Plant Machine Status &amp; Utilizat'!$K$18))+((1/U13)*('New Machine Info by Model'!$F28)*('Plant Machine Status &amp; Utilizat'!$K$18))</f>
        <v>23.647373263501898</v>
      </c>
      <c r="V16" s="61"/>
      <c r="W16" s="54"/>
      <c r="X16" s="52">
        <f>((1/X4)*('New Machine Info by Model'!$F$19)*('Plant Machine Status &amp; Utilizat'!$K$18))+((1/X5)*('New Machine Info by Model'!$F$20)*('Plant Machine Status &amp; Utilizat'!$K$18))+((1/X6)*('New Machine Info by Model'!$F$21)*('Plant Machine Status &amp; Utilizat'!$K$18))+((1/X7)*('New Machine Info by Model'!$F$22)*('Plant Machine Status &amp; Utilizat'!$K$18))+((1/X10)*('New Machine Info by Model'!$F$25)*('Plant Machine Status &amp; Utilizat'!$K$18))+((1/X11)*('New Machine Info by Model'!$F$26)*('Plant Machine Status &amp; Utilizat'!$K$18))+((1/X12)*('New Machine Info by Model'!$F$27)*('Plant Machine Status &amp; Utilizat'!$K$18))+((1/X13)*('New Machine Info by Model'!$F$28)*('Plant Machine Status &amp; Utilizat'!$K$18))</f>
        <v>19.243329819737713</v>
      </c>
      <c r="AA16" s="52">
        <f>((1/AA4)*('New Machine Info by Model'!$F$19)*('Plant Machine Status &amp; Utilizat'!$K$18))+((1/AA5)*('New Machine Info by Model'!$F$20)*('Plant Machine Status &amp; Utilizat'!$K$18))+((1/AA6)*('New Machine Info by Model'!$F$21)*('Plant Machine Status &amp; Utilizat'!$K$18))+((1/AA7)*('New Machine Info by Model'!$F$22)*('Plant Machine Status &amp; Utilizat'!$K$18))+((1/AA8)*('New Machine Info by Model'!$F$23)*('Plant Machine Status &amp; Utilizat'!$K$18))+((1/AA10)*('New Machine Info by Model'!$F$25)*('Plant Machine Status &amp; Utilizat'!$K$18))+((1/AA11)*('New Machine Info by Model'!$F$26)*('Plant Machine Status &amp; Utilizat'!$K$18))+((1/AA13)*('New Machine Info by Model'!$F$28)*('Plant Machine Status &amp; Utilizat'!$K$18))</f>
        <v>21.468053341888481</v>
      </c>
      <c r="AD16" s="52">
        <f>((1/AD4)*('New Machine Info by Model'!$F$19)*('Plant Machine Status &amp; Utilizat'!$K$18))+((1/AD5)*('New Machine Info by Model'!$F$20)*('Plant Machine Status &amp; Utilizat'!$K$18))+((1/AD6)*('New Machine Info by Model'!$F$21)*('Plant Machine Status &amp; Utilizat'!$K$18))+((1/AD7)*('New Machine Info by Model'!$F$22)*('Plant Machine Status &amp; Utilizat'!$K$18))+((1/AD8)*('New Machine Info by Model'!$F$23)*('Plant Machine Status &amp; Utilizat'!$K$18))+((1/AD9)*('New Machine Info by Model'!$F$24)*('Plant Machine Status &amp; Utilizat'!$K$18))+((1/AD10)*('New Machine Info by Model'!$F$25)*('Plant Machine Status &amp; Utilizat'!$K$18))+((1/AD11)*('New Machine Info by Model'!$F$26)*('Plant Machine Status &amp; Utilizat'!$K$18))+((1/AD13)*('New Machine Info by Model'!$F$28)*('Plant Machine Status &amp; Utilizat'!$K$18))</f>
        <v>25.610681064306064</v>
      </c>
      <c r="AE16" s="13"/>
    </row>
    <row r="17" spans="1:40" x14ac:dyDescent="0.25">
      <c r="A17" s="53" t="s">
        <v>73</v>
      </c>
      <c r="C17" s="52">
        <f>10.51 - (($C$14*$C$16) + ($C$35*$C$37))/($C$14+$C$35)</f>
        <v>2.2877524612225777</v>
      </c>
      <c r="D17" s="61"/>
      <c r="E17" s="54"/>
      <c r="F17" s="54">
        <f>7.06- (($F$14*$F$16) + ($F$56*$F$58))/($F$14+$F$56)</f>
        <v>0.39288354563060768</v>
      </c>
      <c r="G17" s="61"/>
      <c r="H17" s="54"/>
      <c r="I17" s="63">
        <f>17.21 - I16</f>
        <v>-2.3841686061699967</v>
      </c>
      <c r="J17" s="61"/>
      <c r="K17" s="54"/>
      <c r="L17" s="61">
        <f>31.01 - L16</f>
        <v>13.711877516981033</v>
      </c>
      <c r="M17" s="61"/>
      <c r="N17" s="54"/>
      <c r="O17" s="62">
        <v>6.775321106499721</v>
      </c>
      <c r="P17" s="61"/>
      <c r="Q17" s="54"/>
      <c r="R17" s="62">
        <v>6.4954267082484094</v>
      </c>
      <c r="S17" s="61"/>
      <c r="T17" s="54"/>
      <c r="U17" s="62">
        <v>22.276135027245235</v>
      </c>
      <c r="V17" s="61"/>
      <c r="W17" s="54"/>
      <c r="X17" s="60">
        <v>36.33</v>
      </c>
      <c r="AA17" s="60">
        <v>28.89</v>
      </c>
      <c r="AD17" s="60">
        <v>26.57</v>
      </c>
      <c r="AE17" s="13"/>
      <c r="AF17" s="14"/>
      <c r="AH17" s="14"/>
      <c r="AI17" s="14"/>
    </row>
    <row r="18" spans="1:40" x14ac:dyDescent="0.25">
      <c r="A18" s="53" t="s">
        <v>74</v>
      </c>
      <c r="C18" s="54">
        <v>15.129656082754867</v>
      </c>
      <c r="D18" s="61"/>
      <c r="E18" s="54"/>
      <c r="F18" s="54">
        <v>23.579780162089698</v>
      </c>
      <c r="G18" s="61"/>
      <c r="H18" s="54"/>
      <c r="I18" s="54">
        <v>20.489693079467493</v>
      </c>
      <c r="J18" s="61"/>
      <c r="K18" s="54"/>
      <c r="L18" s="54">
        <v>25.730417551820054</v>
      </c>
      <c r="M18" s="61"/>
      <c r="N18" s="54"/>
      <c r="O18" s="54">
        <v>32.95614222783631</v>
      </c>
      <c r="P18" s="61"/>
      <c r="Q18" s="54"/>
      <c r="R18" s="54">
        <v>25.327156503554267</v>
      </c>
      <c r="S18" s="61"/>
      <c r="T18" s="54"/>
      <c r="U18" s="54">
        <v>28.546753054048732</v>
      </c>
      <c r="V18" s="61"/>
      <c r="W18" s="54"/>
      <c r="X18" s="52">
        <v>34.130000000000003</v>
      </c>
      <c r="AA18" s="52">
        <v>33.07</v>
      </c>
      <c r="AD18" s="52">
        <v>34.840000000000003</v>
      </c>
      <c r="AE18" s="13"/>
      <c r="AF18" s="14"/>
      <c r="AH18" s="14"/>
      <c r="AI18" s="14"/>
    </row>
    <row r="19" spans="1:40" x14ac:dyDescent="0.25">
      <c r="A19" s="53" t="s">
        <v>76</v>
      </c>
      <c r="C19" s="54">
        <f>'Shipping Information'!$E$9</f>
        <v>0.50558843627397709</v>
      </c>
      <c r="D19" s="61"/>
      <c r="E19" s="54"/>
      <c r="F19" s="54">
        <f>'Shipping Information'!$E$9</f>
        <v>0.50558843627397709</v>
      </c>
      <c r="G19" s="61"/>
      <c r="H19" s="54"/>
      <c r="I19" s="54">
        <f>'Shipping Information'!$E$9</f>
        <v>0.50558843627397709</v>
      </c>
      <c r="J19" s="61"/>
      <c r="K19" s="54"/>
      <c r="L19" s="54">
        <f>'Shipping Information'!$E$9</f>
        <v>0.50558843627397709</v>
      </c>
      <c r="M19" s="61"/>
      <c r="N19" s="54"/>
      <c r="O19" s="54">
        <f>'Shipping Information'!$E$9</f>
        <v>0.50558843627397709</v>
      </c>
      <c r="P19" s="61"/>
      <c r="Q19" s="54"/>
      <c r="R19" s="54">
        <f>'Shipping Information'!$E$9</f>
        <v>0.50558843627397709</v>
      </c>
      <c r="S19" s="61"/>
      <c r="T19" s="54"/>
      <c r="U19" s="54">
        <f>'Shipping Information'!$E$9</f>
        <v>0.50558843627397709</v>
      </c>
      <c r="V19" s="61"/>
      <c r="W19" s="54"/>
      <c r="X19" s="52">
        <f>'Shipping Information'!$E$9</f>
        <v>0.50558843627397709</v>
      </c>
      <c r="AA19" s="52">
        <f>'Shipping Information'!$E$9</f>
        <v>0.50558843627397709</v>
      </c>
      <c r="AD19" s="52">
        <f>'Shipping Information'!$E$9</f>
        <v>0.50558843627397709</v>
      </c>
      <c r="AE19" s="13"/>
      <c r="AF19" s="14"/>
      <c r="AH19" s="14"/>
      <c r="AI19" s="14"/>
    </row>
    <row r="20" spans="1:40" x14ac:dyDescent="0.25">
      <c r="A20" s="53" t="s">
        <v>75</v>
      </c>
      <c r="C20" s="55">
        <f>SUM(C16:C19)</f>
        <v>29.993297172794744</v>
      </c>
      <c r="F20" s="55">
        <f>SUM(F16:F19)</f>
        <v>34.41422655556071</v>
      </c>
      <c r="I20" s="55">
        <f>SUM(I16:I19)</f>
        <v>38.205281515741468</v>
      </c>
      <c r="L20" s="55">
        <f>SUM(L16:L19)</f>
        <v>57.246005988094034</v>
      </c>
      <c r="O20" s="55">
        <f>SUM(O16:O19)</f>
        <v>57.984194327932435</v>
      </c>
      <c r="R20" s="55">
        <f>SUM(R16:R19)</f>
        <v>49.166952075851889</v>
      </c>
      <c r="U20" s="55">
        <f>SUM(U16:U19)</f>
        <v>74.975849781069854</v>
      </c>
      <c r="X20" s="55">
        <f>SUM(X16:X19)</f>
        <v>90.2089182560117</v>
      </c>
      <c r="AA20" s="55">
        <f>SUM(AA16:AA19)</f>
        <v>83.933641778162453</v>
      </c>
      <c r="AD20" s="55">
        <f>SUM(AD16:AD19)</f>
        <v>87.526269500580057</v>
      </c>
      <c r="AE20" s="13"/>
      <c r="AF20" s="14"/>
      <c r="AH20" s="14"/>
      <c r="AI20" s="14"/>
    </row>
    <row r="21" spans="1:40" x14ac:dyDescent="0.25">
      <c r="A21" s="53"/>
      <c r="C21" s="52"/>
      <c r="AE21" s="13"/>
      <c r="AF21" s="14"/>
      <c r="AH21" s="14"/>
      <c r="AI21" s="14"/>
    </row>
    <row r="22" spans="1:40" ht="18.75" x14ac:dyDescent="0.3">
      <c r="A22" s="21" t="s">
        <v>47</v>
      </c>
      <c r="AE22" s="21" t="s">
        <v>47</v>
      </c>
    </row>
    <row r="23" spans="1:40" ht="15" customHeight="1" x14ac:dyDescent="0.25">
      <c r="B23" s="64" t="s">
        <v>17</v>
      </c>
      <c r="C23" s="64"/>
      <c r="D23" s="20"/>
      <c r="E23" s="65" t="s">
        <v>29</v>
      </c>
      <c r="F23" s="65"/>
      <c r="G23" s="20"/>
      <c r="H23" s="65" t="s">
        <v>30</v>
      </c>
      <c r="I23" s="65"/>
      <c r="J23" s="20"/>
      <c r="K23" s="65" t="s">
        <v>31</v>
      </c>
      <c r="L23" s="65"/>
      <c r="M23" s="20"/>
      <c r="N23" s="64" t="s">
        <v>32</v>
      </c>
      <c r="O23" s="64"/>
      <c r="P23" s="20"/>
      <c r="Q23" s="64" t="s">
        <v>33</v>
      </c>
      <c r="R23" s="64"/>
      <c r="S23" s="20"/>
      <c r="T23" s="65" t="s">
        <v>34</v>
      </c>
      <c r="U23" s="65"/>
      <c r="V23" s="20"/>
      <c r="W23" s="64" t="s">
        <v>35</v>
      </c>
      <c r="X23" s="64"/>
      <c r="Y23" s="20"/>
      <c r="Z23" s="64" t="s">
        <v>36</v>
      </c>
      <c r="AA23" s="64"/>
      <c r="AB23" s="20"/>
      <c r="AC23" s="64" t="s">
        <v>37</v>
      </c>
      <c r="AD23" s="64"/>
      <c r="AE23" s="34"/>
      <c r="AF23" s="66" t="s">
        <v>63</v>
      </c>
      <c r="AG23" s="68" t="s">
        <v>66</v>
      </c>
      <c r="AH23" s="66" t="s">
        <v>65</v>
      </c>
      <c r="AI23" s="66" t="s">
        <v>67</v>
      </c>
      <c r="AJ23" s="70" t="s">
        <v>68</v>
      </c>
      <c r="AL23" s="72" t="s">
        <v>69</v>
      </c>
      <c r="AM23" s="73" t="s">
        <v>70</v>
      </c>
      <c r="AN23" s="74" t="s">
        <v>71</v>
      </c>
    </row>
    <row r="24" spans="1:40" x14ac:dyDescent="0.25">
      <c r="B24" s="1" t="s">
        <v>28</v>
      </c>
      <c r="C24" s="1" t="s">
        <v>60</v>
      </c>
      <c r="D24" s="20"/>
      <c r="E24" s="17" t="s">
        <v>28</v>
      </c>
      <c r="F24" s="17" t="s">
        <v>60</v>
      </c>
      <c r="G24" s="20"/>
      <c r="H24" s="17" t="s">
        <v>28</v>
      </c>
      <c r="I24" s="17" t="s">
        <v>60</v>
      </c>
      <c r="J24" s="20"/>
      <c r="K24" s="17" t="s">
        <v>28</v>
      </c>
      <c r="L24" s="17" t="s">
        <v>60</v>
      </c>
      <c r="M24" s="20"/>
      <c r="N24" s="1" t="s">
        <v>28</v>
      </c>
      <c r="O24" s="1" t="s">
        <v>60</v>
      </c>
      <c r="P24" s="20"/>
      <c r="Q24" s="1" t="s">
        <v>28</v>
      </c>
      <c r="R24" s="1" t="s">
        <v>60</v>
      </c>
      <c r="S24" s="20"/>
      <c r="T24" s="17" t="s">
        <v>28</v>
      </c>
      <c r="U24" s="17" t="s">
        <v>60</v>
      </c>
      <c r="V24" s="20"/>
      <c r="W24" s="1" t="s">
        <v>28</v>
      </c>
      <c r="X24" s="1" t="s">
        <v>60</v>
      </c>
      <c r="Y24" s="20"/>
      <c r="Z24" s="1" t="s">
        <v>28</v>
      </c>
      <c r="AA24" s="1" t="s">
        <v>60</v>
      </c>
      <c r="AB24" s="20"/>
      <c r="AC24" s="1" t="s">
        <v>28</v>
      </c>
      <c r="AD24" s="1" t="s">
        <v>60</v>
      </c>
      <c r="AE24" s="35"/>
      <c r="AF24" s="67"/>
      <c r="AG24" s="69"/>
      <c r="AH24" s="67"/>
      <c r="AI24" s="67"/>
      <c r="AJ24" s="71"/>
      <c r="AL24" s="72"/>
      <c r="AM24" s="73"/>
      <c r="AN24" s="74"/>
    </row>
    <row r="25" spans="1:40" x14ac:dyDescent="0.25">
      <c r="A25" s="10" t="s">
        <v>18</v>
      </c>
      <c r="B25" s="11" t="s">
        <v>38</v>
      </c>
      <c r="C25" s="11">
        <f>FLOOR('New Machine Info by Model'!C5*'Plant Machine Status &amp; Utilizat'!$H5, 1)</f>
        <v>81</v>
      </c>
      <c r="D25" s="20"/>
      <c r="E25" s="18" t="s">
        <v>38</v>
      </c>
      <c r="F25" s="18">
        <f>FLOOR('New Machine Info by Model'!F5*'Plant Machine Status &amp; Utilizat'!$H5, 1)</f>
        <v>99</v>
      </c>
      <c r="G25" s="20"/>
      <c r="H25" s="18" t="s">
        <v>38</v>
      </c>
      <c r="I25" s="18">
        <f>FLOOR('New Machine Info by Model'!I5*'Plant Machine Status &amp; Utilizat'!$H5, 1)</f>
        <v>126</v>
      </c>
      <c r="J25" s="20"/>
      <c r="K25" s="18" t="s">
        <v>38</v>
      </c>
      <c r="L25" s="18">
        <f>FLOOR('New Machine Info by Model'!L5*'Plant Machine Status &amp; Utilizat'!$H5, 1)</f>
        <v>90</v>
      </c>
      <c r="M25" s="20"/>
      <c r="N25" s="11" t="s">
        <v>38</v>
      </c>
      <c r="O25" s="11">
        <f>FLOOR('New Machine Info by Model'!O5*'Plant Machine Status &amp; Utilizat'!$H5, 1)</f>
        <v>126</v>
      </c>
      <c r="P25" s="20"/>
      <c r="Q25" s="11" t="s">
        <v>38</v>
      </c>
      <c r="R25" s="11">
        <f>FLOOR('New Machine Info by Model'!R5*'Plant Machine Status &amp; Utilizat'!$H5, 1)</f>
        <v>89</v>
      </c>
      <c r="S25" s="20"/>
      <c r="T25" s="18" t="s">
        <v>38</v>
      </c>
      <c r="U25" s="18">
        <f>FLOOR('New Machine Info by Model'!U5*'Plant Machine Status &amp; Utilizat'!$H5, 1)</f>
        <v>120</v>
      </c>
      <c r="V25" s="20"/>
      <c r="W25" s="11" t="s">
        <v>38</v>
      </c>
      <c r="X25" s="11">
        <f>FLOOR('New Machine Info by Model'!X5*'Plant Machine Status &amp; Utilizat'!$H5, 1)</f>
        <v>91</v>
      </c>
      <c r="Y25" s="20"/>
      <c r="Z25" s="11" t="s">
        <v>38</v>
      </c>
      <c r="AA25" s="11">
        <f>FLOOR('New Machine Info by Model'!AA5*'Plant Machine Status &amp; Utilizat'!$H5, 1)</f>
        <v>98</v>
      </c>
      <c r="AB25" s="20"/>
      <c r="AC25" s="11" t="s">
        <v>38</v>
      </c>
      <c r="AD25" s="33">
        <f>FLOOR('New Machine Info by Model'!AD5*'Plant Machine Status &amp; Utilizat'!$H5, 1)</f>
        <v>104</v>
      </c>
      <c r="AE25" s="36" t="s">
        <v>18</v>
      </c>
      <c r="AF25" s="37">
        <f>CEILING($C$35/C25+$O$35/O25+$R$35/R25+$X$35/X25 +$AA$35/AA25 +$AD$35/AD25,1)</f>
        <v>15091</v>
      </c>
      <c r="AG25" s="38">
        <v>0.45</v>
      </c>
      <c r="AH25" s="37">
        <f>CEILING(AF25/($C$36*52)/AG25,1)</f>
        <v>10</v>
      </c>
      <c r="AI25" s="37">
        <f>AH25*'New Machine Info by Model'!F19</f>
        <v>60</v>
      </c>
      <c r="AJ25" s="39">
        <f>C$36*52*AI25*'Plant Machine Status &amp; Utilizat'!$F$18</f>
        <v>1552824</v>
      </c>
      <c r="AK25" s="10" t="s">
        <v>17</v>
      </c>
      <c r="AL25" s="31">
        <v>383218</v>
      </c>
      <c r="AM25" s="10">
        <v>25.64</v>
      </c>
      <c r="AN25" s="32">
        <f t="shared" ref="AN25:AN34" si="2">AL25*AM25</f>
        <v>9825709.5199999996</v>
      </c>
    </row>
    <row r="26" spans="1:40" x14ac:dyDescent="0.25">
      <c r="A26" t="s">
        <v>19</v>
      </c>
      <c r="B26" s="9" t="s">
        <v>38</v>
      </c>
      <c r="C26" s="19">
        <f>FLOOR('New Machine Info by Model'!C6*'Plant Machine Status &amp; Utilizat'!$H6, 1)</f>
        <v>20</v>
      </c>
      <c r="D26" s="20"/>
      <c r="E26" s="18" t="s">
        <v>38</v>
      </c>
      <c r="F26" s="18">
        <f>FLOOR('New Machine Info by Model'!F6*'Plant Machine Status &amp; Utilizat'!$H6, 1)</f>
        <v>14</v>
      </c>
      <c r="G26" s="20"/>
      <c r="H26" s="18" t="s">
        <v>38</v>
      </c>
      <c r="I26" s="18">
        <f>FLOOR('New Machine Info by Model'!I6*'Plant Machine Status &amp; Utilizat'!$H6, 1)</f>
        <v>11</v>
      </c>
      <c r="J26" s="20"/>
      <c r="K26" s="18" t="s">
        <v>38</v>
      </c>
      <c r="L26" s="18">
        <f>FLOOR('New Machine Info by Model'!L6*'Plant Machine Status &amp; Utilizat'!$H6, 1)</f>
        <v>14</v>
      </c>
      <c r="M26" s="20"/>
      <c r="N26" s="9" t="s">
        <v>38</v>
      </c>
      <c r="O26" s="11">
        <f>FLOOR('New Machine Info by Model'!O6*'Plant Machine Status &amp; Utilizat'!$H6, 1)</f>
        <v>12</v>
      </c>
      <c r="P26" s="20"/>
      <c r="Q26" s="9" t="s">
        <v>38</v>
      </c>
      <c r="R26" s="11">
        <f>FLOOR('New Machine Info by Model'!R6*'Plant Machine Status &amp; Utilizat'!$H6, 1)</f>
        <v>11</v>
      </c>
      <c r="S26" s="20"/>
      <c r="T26" s="18" t="s">
        <v>38</v>
      </c>
      <c r="U26" s="18">
        <f>FLOOR('New Machine Info by Model'!U6*'Plant Machine Status &amp; Utilizat'!$H6, 1)</f>
        <v>9</v>
      </c>
      <c r="V26" s="20"/>
      <c r="W26" s="9" t="s">
        <v>38</v>
      </c>
      <c r="X26" s="19">
        <f>FLOOR('New Machine Info by Model'!X6*'Plant Machine Status &amp; Utilizat'!$H6, 1)</f>
        <v>15</v>
      </c>
      <c r="Y26" s="20"/>
      <c r="Z26" s="19" t="s">
        <v>38</v>
      </c>
      <c r="AA26" s="19">
        <f>FLOOR('New Machine Info by Model'!AA6*'Plant Machine Status &amp; Utilizat'!$H6, 1)</f>
        <v>14</v>
      </c>
      <c r="AB26" s="20"/>
      <c r="AC26" s="19" t="s">
        <v>38</v>
      </c>
      <c r="AD26" s="59">
        <f>FLOOR('New Machine Info by Model'!AD6*'Plant Machine Status &amp; Utilizat'!$H6, 1)</f>
        <v>10</v>
      </c>
      <c r="AE26" s="35" t="s">
        <v>19</v>
      </c>
      <c r="AF26" s="40">
        <f>CEILING($C$35/C26+$O$35/O26+$R$35/R26+$X$35/X26 +$AA$35/AA26 +$AD$35/AD26,1)</f>
        <v>111596</v>
      </c>
      <c r="AG26" s="41">
        <v>0.67</v>
      </c>
      <c r="AH26" s="42">
        <f>CEILING(AF26/($C$36*52)/AG26,1)</f>
        <v>46</v>
      </c>
      <c r="AI26" s="42">
        <f>AH26*'New Machine Info by Model'!F20</f>
        <v>414</v>
      </c>
      <c r="AJ26" s="43">
        <f>C$36*52*AI26*'Plant Machine Status &amp; Utilizat'!$F$18</f>
        <v>10714485.6</v>
      </c>
      <c r="AK26" s="13" t="s">
        <v>29</v>
      </c>
      <c r="AL26" s="29">
        <v>0</v>
      </c>
      <c r="AM26" s="13">
        <v>30.63</v>
      </c>
      <c r="AN26" s="30">
        <f t="shared" si="2"/>
        <v>0</v>
      </c>
    </row>
    <row r="27" spans="1:40" x14ac:dyDescent="0.25">
      <c r="A27" s="10" t="s">
        <v>20</v>
      </c>
      <c r="B27" s="11" t="s">
        <v>38</v>
      </c>
      <c r="C27" s="11">
        <f>FLOOR('New Machine Info by Model'!C7*'Plant Machine Status &amp; Utilizat'!$H7, 1)</f>
        <v>80</v>
      </c>
      <c r="D27" s="20"/>
      <c r="E27" s="18"/>
      <c r="F27" s="18"/>
      <c r="G27" s="20"/>
      <c r="H27" s="18" t="s">
        <v>38</v>
      </c>
      <c r="I27" s="18">
        <f>FLOOR('New Machine Info by Model'!I7*'Plant Machine Status &amp; Utilizat'!$H7, 1)</f>
        <v>112</v>
      </c>
      <c r="J27" s="20"/>
      <c r="K27" s="18" t="s">
        <v>38</v>
      </c>
      <c r="L27" s="18">
        <f>FLOOR('New Machine Info by Model'!L7*'Plant Machine Status &amp; Utilizat'!$H7, 1)</f>
        <v>139</v>
      </c>
      <c r="M27" s="20"/>
      <c r="N27" s="11" t="s">
        <v>38</v>
      </c>
      <c r="O27" s="11">
        <f>FLOOR('New Machine Info by Model'!O7*'Plant Machine Status &amp; Utilizat'!$H7, 1)</f>
        <v>78</v>
      </c>
      <c r="P27" s="20"/>
      <c r="Q27" s="11" t="s">
        <v>38</v>
      </c>
      <c r="R27" s="11">
        <f>FLOOR('New Machine Info by Model'!R7*'Plant Machine Status &amp; Utilizat'!$H7, 1)</f>
        <v>129</v>
      </c>
      <c r="S27" s="20"/>
      <c r="T27" s="18" t="s">
        <v>38</v>
      </c>
      <c r="U27" s="18">
        <f>FLOOR('New Machine Info by Model'!U7*'Plant Machine Status &amp; Utilizat'!$H7, 1)</f>
        <v>86</v>
      </c>
      <c r="V27" s="20"/>
      <c r="W27" s="11" t="s">
        <v>38</v>
      </c>
      <c r="X27" s="11">
        <f>FLOOR('New Machine Info by Model'!X7*'Plant Machine Status &amp; Utilizat'!$H7, 1)</f>
        <v>130</v>
      </c>
      <c r="Y27" s="20"/>
      <c r="Z27" s="11" t="s">
        <v>38</v>
      </c>
      <c r="AA27" s="11">
        <f>FLOOR('New Machine Info by Model'!AA7*'Plant Machine Status &amp; Utilizat'!$H7, 1)</f>
        <v>69</v>
      </c>
      <c r="AB27" s="20"/>
      <c r="AC27" s="11" t="s">
        <v>38</v>
      </c>
      <c r="AD27" s="33">
        <f>FLOOR('New Machine Info by Model'!AD7*'Plant Machine Status &amp; Utilizat'!$H7, 1)</f>
        <v>123</v>
      </c>
      <c r="AE27" s="36" t="s">
        <v>20</v>
      </c>
      <c r="AF27" s="37">
        <f>CEILING($C$35/C27+$O$35/O27+$R$35/R27+$X$35/X27 +$AA$35/AA27 +$AD$35/AD27,1)</f>
        <v>16846</v>
      </c>
      <c r="AG27" s="38">
        <v>0.53</v>
      </c>
      <c r="AH27" s="37">
        <f>CEILING(AF27/($C$36*52)/AG27,1)</f>
        <v>9</v>
      </c>
      <c r="AI27" s="37">
        <f>AH27*'New Machine Info by Model'!F21</f>
        <v>90</v>
      </c>
      <c r="AJ27" s="39">
        <f>C$36*52*AI27*'Plant Machine Status &amp; Utilizat'!$F$18</f>
        <v>2329236</v>
      </c>
      <c r="AK27" s="10" t="s">
        <v>30</v>
      </c>
      <c r="AL27" s="31">
        <v>0</v>
      </c>
      <c r="AM27" s="10">
        <v>37.700000000000003</v>
      </c>
      <c r="AN27" s="32">
        <f t="shared" si="2"/>
        <v>0</v>
      </c>
    </row>
    <row r="28" spans="1:40" x14ac:dyDescent="0.25">
      <c r="A28" t="s">
        <v>21</v>
      </c>
      <c r="B28" s="9"/>
      <c r="C28" s="19"/>
      <c r="D28" s="20"/>
      <c r="E28" s="18"/>
      <c r="F28" s="18"/>
      <c r="G28" s="20"/>
      <c r="H28" s="18"/>
      <c r="I28" s="18"/>
      <c r="J28" s="20"/>
      <c r="K28" s="18"/>
      <c r="L28" s="18"/>
      <c r="M28" s="20"/>
      <c r="N28" s="9"/>
      <c r="O28" s="11"/>
      <c r="P28" s="20"/>
      <c r="Q28" s="9"/>
      <c r="R28" s="11"/>
      <c r="S28" s="20"/>
      <c r="T28" s="18"/>
      <c r="U28" s="18"/>
      <c r="V28" s="20"/>
      <c r="W28" s="9" t="s">
        <v>38</v>
      </c>
      <c r="X28" s="19">
        <f>FLOOR('New Machine Info by Model'!X8*'Plant Machine Status &amp; Utilizat'!$H8, 1)</f>
        <v>92</v>
      </c>
      <c r="Y28" s="20"/>
      <c r="Z28" s="9" t="s">
        <v>38</v>
      </c>
      <c r="AA28" s="19">
        <f>FLOOR('New Machine Info by Model'!AA8*'Plant Machine Status &amp; Utilizat'!$H8, 1)</f>
        <v>91</v>
      </c>
      <c r="AB28" s="20"/>
      <c r="AC28" s="9" t="s">
        <v>38</v>
      </c>
      <c r="AD28" s="59">
        <f>FLOOR('New Machine Info by Model'!AD8*'Plant Machine Status &amp; Utilizat'!$H8, 1)</f>
        <v>85</v>
      </c>
      <c r="AE28" s="35" t="s">
        <v>21</v>
      </c>
      <c r="AF28" s="40">
        <f>CEILING($X$35/X28 +$AA$35/AA28 +$AD$35/AD28,1)</f>
        <v>8191</v>
      </c>
      <c r="AG28" s="41">
        <v>0.65</v>
      </c>
      <c r="AH28" s="42">
        <f t="shared" ref="AH28:AH34" si="3">CEILING(AF28/($C$36*52)/AG28,1)</f>
        <v>4</v>
      </c>
      <c r="AI28" s="42">
        <f>AH28*'New Machine Info by Model'!F22</f>
        <v>32</v>
      </c>
      <c r="AJ28" s="43">
        <f>C$36*52*AI28*'Plant Machine Status &amp; Utilizat'!$F$18</f>
        <v>828172.80000000005</v>
      </c>
      <c r="AK28" s="13" t="s">
        <v>31</v>
      </c>
      <c r="AL28" s="29">
        <v>0</v>
      </c>
      <c r="AM28" s="13">
        <v>56.74</v>
      </c>
      <c r="AN28" s="30">
        <f t="shared" si="2"/>
        <v>0</v>
      </c>
    </row>
    <row r="29" spans="1:40" x14ac:dyDescent="0.25">
      <c r="A29" s="10" t="s">
        <v>22</v>
      </c>
      <c r="B29" s="11"/>
      <c r="C29" s="11"/>
      <c r="D29" s="20"/>
      <c r="E29" s="18"/>
      <c r="F29" s="18"/>
      <c r="G29" s="20"/>
      <c r="H29" s="18"/>
      <c r="I29" s="18"/>
      <c r="J29" s="20"/>
      <c r="K29" s="18"/>
      <c r="L29" s="18"/>
      <c r="M29" s="20"/>
      <c r="N29" s="11" t="s">
        <v>38</v>
      </c>
      <c r="O29" s="11">
        <f>FLOOR('New Machine Info by Model'!O9*'Plant Machine Status &amp; Utilizat'!$H9, 1)</f>
        <v>51</v>
      </c>
      <c r="P29" s="20"/>
      <c r="Q29" s="11" t="s">
        <v>38</v>
      </c>
      <c r="R29" s="11">
        <f>FLOOR('New Machine Info by Model'!R9*'Plant Machine Status &amp; Utilizat'!$H9, 1)</f>
        <v>76</v>
      </c>
      <c r="S29" s="20"/>
      <c r="T29" s="18" t="s">
        <v>38</v>
      </c>
      <c r="U29" s="18">
        <f>FLOOR('New Machine Info by Model'!U9*'Plant Machine Status &amp; Utilizat'!$H9, 1)</f>
        <v>46</v>
      </c>
      <c r="V29" s="20"/>
      <c r="W29" s="11"/>
      <c r="X29" s="11"/>
      <c r="Y29" s="20"/>
      <c r="Z29" s="11" t="s">
        <v>38</v>
      </c>
      <c r="AA29" s="11">
        <f>FLOOR('New Machine Info by Model'!AA9*'Plant Machine Status &amp; Utilizat'!$H9, 1)</f>
        <v>79</v>
      </c>
      <c r="AB29" s="20"/>
      <c r="AC29" s="11" t="s">
        <v>38</v>
      </c>
      <c r="AD29" s="33">
        <f>FLOOR('New Machine Info by Model'!AD9*'Plant Machine Status &amp; Utilizat'!$H9, 1)</f>
        <v>44</v>
      </c>
      <c r="AE29" s="36" t="s">
        <v>22</v>
      </c>
      <c r="AF29" s="37">
        <f>CEILING($O$35/O29+$R$35/R29+$AA$35/AA29 +$AD$35/AD29,1)</f>
        <v>18768</v>
      </c>
      <c r="AG29" s="38">
        <v>0.56999999999999995</v>
      </c>
      <c r="AH29" s="37">
        <f t="shared" si="3"/>
        <v>10</v>
      </c>
      <c r="AI29" s="37">
        <f>AH29*'New Machine Info by Model'!F23</f>
        <v>100</v>
      </c>
      <c r="AJ29" s="39">
        <f>C$36*52*AI29*'Plant Machine Status &amp; Utilizat'!$F$18</f>
        <v>2588040</v>
      </c>
      <c r="AK29" s="10" t="s">
        <v>32</v>
      </c>
      <c r="AL29" s="31">
        <v>262000</v>
      </c>
      <c r="AM29" s="10">
        <v>55.08</v>
      </c>
      <c r="AN29" s="32">
        <f t="shared" si="2"/>
        <v>14430960</v>
      </c>
    </row>
    <row r="30" spans="1:40" x14ac:dyDescent="0.25">
      <c r="A30" t="s">
        <v>23</v>
      </c>
      <c r="B30" s="9"/>
      <c r="C30" s="19"/>
      <c r="D30" s="20"/>
      <c r="E30" s="18"/>
      <c r="F30" s="18"/>
      <c r="G30" s="20"/>
      <c r="H30" s="18" t="s">
        <v>38</v>
      </c>
      <c r="I30" s="18">
        <f>FLOOR('New Machine Info by Model'!I10*'Plant Machine Status &amp; Utilizat'!$H10, 1)</f>
        <v>20</v>
      </c>
      <c r="J30" s="20"/>
      <c r="K30" s="18" t="s">
        <v>38</v>
      </c>
      <c r="L30" s="18">
        <f>FLOOR('New Machine Info by Model'!L10*'Plant Machine Status &amp; Utilizat'!$H10, 1)</f>
        <v>42</v>
      </c>
      <c r="M30" s="20"/>
      <c r="N30" s="9"/>
      <c r="O30" s="11"/>
      <c r="P30" s="20"/>
      <c r="Q30" s="9"/>
      <c r="R30" s="11"/>
      <c r="S30" s="20"/>
      <c r="T30" s="18"/>
      <c r="U30" s="18"/>
      <c r="V30" s="20"/>
      <c r="W30" s="9"/>
      <c r="X30" s="19"/>
      <c r="Y30" s="20"/>
      <c r="Z30" s="9"/>
      <c r="AA30" s="19"/>
      <c r="AB30" s="20"/>
      <c r="AC30" s="9" t="s">
        <v>38</v>
      </c>
      <c r="AD30" s="59">
        <f>FLOOR('New Machine Info by Model'!AD10*'Plant Machine Status &amp; Utilizat'!$H10, 1)</f>
        <v>27</v>
      </c>
      <c r="AE30" s="35" t="s">
        <v>23</v>
      </c>
      <c r="AF30" s="40">
        <f>CEILING($AD$35/AD30,1)</f>
        <v>13326</v>
      </c>
      <c r="AG30" s="41">
        <v>0.68</v>
      </c>
      <c r="AH30" s="42">
        <f t="shared" si="3"/>
        <v>6</v>
      </c>
      <c r="AI30" s="42">
        <f>AH30*'New Machine Info by Model'!F24</f>
        <v>42</v>
      </c>
      <c r="AJ30" s="43">
        <f>C$36*52*AI30*'Plant Machine Status &amp; Utilizat'!$F$18</f>
        <v>1086976.8</v>
      </c>
      <c r="AK30" s="13" t="s">
        <v>33</v>
      </c>
      <c r="AL30" s="29">
        <v>99290</v>
      </c>
      <c r="AM30" s="13">
        <v>46.67</v>
      </c>
      <c r="AN30" s="30">
        <f t="shared" si="2"/>
        <v>4633864.3</v>
      </c>
    </row>
    <row r="31" spans="1:40" x14ac:dyDescent="0.25">
      <c r="A31" s="10" t="s">
        <v>24</v>
      </c>
      <c r="B31" s="11"/>
      <c r="C31" s="11"/>
      <c r="D31" s="20"/>
      <c r="E31" s="18"/>
      <c r="F31" s="18"/>
      <c r="G31" s="20"/>
      <c r="H31" s="18"/>
      <c r="I31" s="18"/>
      <c r="J31" s="20"/>
      <c r="K31" s="18"/>
      <c r="L31" s="18"/>
      <c r="M31" s="20"/>
      <c r="N31" s="11"/>
      <c r="O31" s="11"/>
      <c r="P31" s="20"/>
      <c r="Q31" s="11" t="s">
        <v>38</v>
      </c>
      <c r="R31" s="11">
        <f>FLOOR('New Machine Info by Model'!R11*'Plant Machine Status &amp; Utilizat'!$H11, 1)</f>
        <v>81</v>
      </c>
      <c r="S31" s="20"/>
      <c r="T31" s="18" t="s">
        <v>38</v>
      </c>
      <c r="U31" s="18">
        <f>FLOOR('New Machine Info by Model'!U11*'Plant Machine Status &amp; Utilizat'!$H11, 1)</f>
        <v>54</v>
      </c>
      <c r="V31" s="20"/>
      <c r="W31" s="11" t="s">
        <v>38</v>
      </c>
      <c r="X31" s="11">
        <f>FLOOR('New Machine Info by Model'!X11*'Plant Machine Status &amp; Utilizat'!$H11, 1)</f>
        <v>72</v>
      </c>
      <c r="Y31" s="20"/>
      <c r="Z31" s="11" t="s">
        <v>38</v>
      </c>
      <c r="AA31" s="11">
        <f>FLOOR('New Machine Info by Model'!AA11*'Plant Machine Status &amp; Utilizat'!$H11, 1)</f>
        <v>40</v>
      </c>
      <c r="AB31" s="20"/>
      <c r="AC31" s="11" t="s">
        <v>38</v>
      </c>
      <c r="AD31" s="33">
        <f>FLOOR('New Machine Info by Model'!AD11*'Plant Machine Status &amp; Utilizat'!$H11, 1)</f>
        <v>23</v>
      </c>
      <c r="AE31" s="36" t="s">
        <v>24</v>
      </c>
      <c r="AF31" s="37">
        <f>CEILING($R$35/R31+$X$35/X31 +$AA$35/AA31 +$AD$35/AD31,1)</f>
        <v>25517</v>
      </c>
      <c r="AG31" s="38">
        <v>0.53</v>
      </c>
      <c r="AH31" s="37">
        <f t="shared" si="3"/>
        <v>14</v>
      </c>
      <c r="AI31" s="37">
        <f>AH31*'New Machine Info by Model'!F25</f>
        <v>14</v>
      </c>
      <c r="AJ31" s="39">
        <f>C$36*52*AI31*'Plant Machine Status &amp; Utilizat'!$F$18</f>
        <v>362325.60000000003</v>
      </c>
      <c r="AK31" s="10" t="s">
        <v>34</v>
      </c>
      <c r="AL31" s="31">
        <v>0</v>
      </c>
      <c r="AM31" s="10">
        <v>58.37</v>
      </c>
      <c r="AN31" s="32">
        <f t="shared" si="2"/>
        <v>0</v>
      </c>
    </row>
    <row r="32" spans="1:40" x14ac:dyDescent="0.25">
      <c r="A32" t="s">
        <v>25</v>
      </c>
      <c r="B32" s="9"/>
      <c r="C32" s="19"/>
      <c r="D32" s="20"/>
      <c r="E32" s="18"/>
      <c r="F32" s="18"/>
      <c r="G32" s="20"/>
      <c r="H32" s="18"/>
      <c r="I32" s="18"/>
      <c r="J32" s="20"/>
      <c r="K32" s="18" t="s">
        <v>38</v>
      </c>
      <c r="L32" s="18">
        <f>FLOOR('New Machine Info by Model'!L12*'Plant Machine Status &amp; Utilizat'!$H12, 1)</f>
        <v>52</v>
      </c>
      <c r="M32" s="20"/>
      <c r="N32" s="9"/>
      <c r="O32" s="11"/>
      <c r="P32" s="20"/>
      <c r="Q32" s="9"/>
      <c r="R32" s="11"/>
      <c r="S32" s="20"/>
      <c r="T32" s="18" t="s">
        <v>38</v>
      </c>
      <c r="U32" s="18">
        <f>'New Machine Info by Model'!U12</f>
        <v>89</v>
      </c>
      <c r="V32" s="20"/>
      <c r="W32" s="9" t="s">
        <v>38</v>
      </c>
      <c r="X32" s="19">
        <f>FLOOR('New Machine Info by Model'!X12*'Plant Machine Status &amp; Utilizat'!$H12, 1)</f>
        <v>29</v>
      </c>
      <c r="Y32" s="20"/>
      <c r="Z32" s="9" t="s">
        <v>38</v>
      </c>
      <c r="AA32" s="19">
        <f>FLOOR('New Machine Info by Model'!AA12*'Plant Machine Status &amp; Utilizat'!$H12, 1)</f>
        <v>35</v>
      </c>
      <c r="AB32" s="20"/>
      <c r="AC32" s="9" t="s">
        <v>38</v>
      </c>
      <c r="AD32" s="59">
        <f>FLOOR('New Machine Info by Model'!AD12*'Plant Machine Status &amp; Utilizat'!$H12, 1)</f>
        <v>72</v>
      </c>
      <c r="AE32" s="35" t="s">
        <v>25</v>
      </c>
      <c r="AF32" s="40">
        <f>CEILING($X$35/X32 +$AA$35/AA32 +$AD$35/AD32,1)</f>
        <v>15493</v>
      </c>
      <c r="AG32" s="41">
        <v>0.59</v>
      </c>
      <c r="AH32" s="42">
        <f t="shared" si="3"/>
        <v>8</v>
      </c>
      <c r="AI32" s="42">
        <f>AH32*'New Machine Info by Model'!F26</f>
        <v>56</v>
      </c>
      <c r="AJ32" s="43">
        <f>C$36*52*AI32*'Plant Machine Status &amp; Utilizat'!$F$18</f>
        <v>1449302.4000000001</v>
      </c>
      <c r="AK32" s="13" t="s">
        <v>35</v>
      </c>
      <c r="AL32" s="29">
        <v>32916</v>
      </c>
      <c r="AM32" s="13">
        <v>77.569999999999993</v>
      </c>
      <c r="AN32" s="30">
        <f t="shared" si="2"/>
        <v>2553294.1199999996</v>
      </c>
    </row>
    <row r="33" spans="1:40" x14ac:dyDescent="0.25">
      <c r="A33" s="10" t="s">
        <v>26</v>
      </c>
      <c r="B33" s="11"/>
      <c r="C33" s="11"/>
      <c r="D33" s="20"/>
      <c r="E33" s="18"/>
      <c r="F33" s="18"/>
      <c r="G33" s="20"/>
      <c r="H33" s="18"/>
      <c r="I33" s="18"/>
      <c r="J33" s="20"/>
      <c r="K33" s="18"/>
      <c r="L33" s="18"/>
      <c r="M33" s="20"/>
      <c r="N33" s="11"/>
      <c r="O33" s="11"/>
      <c r="P33" s="20"/>
      <c r="Q33" s="11"/>
      <c r="R33" s="11"/>
      <c r="S33" s="20"/>
      <c r="T33" s="18"/>
      <c r="U33" s="18"/>
      <c r="V33" s="20"/>
      <c r="W33" s="11" t="s">
        <v>38</v>
      </c>
      <c r="X33" s="11">
        <f>FLOOR('New Machine Info by Model'!X13*'Plant Machine Status &amp; Utilizat'!$H13, 1)</f>
        <v>52</v>
      </c>
      <c r="Y33" s="20"/>
      <c r="Z33" s="11"/>
      <c r="AA33" s="11"/>
      <c r="AB33" s="20"/>
      <c r="AC33" s="11"/>
      <c r="AD33" s="33"/>
      <c r="AE33" s="36" t="s">
        <v>26</v>
      </c>
      <c r="AF33" s="37">
        <f>CEILING($X$35/X33,1)</f>
        <v>633</v>
      </c>
      <c r="AG33" s="38">
        <v>0.66</v>
      </c>
      <c r="AH33" s="37">
        <f t="shared" si="3"/>
        <v>1</v>
      </c>
      <c r="AI33" s="37">
        <f>AH33*'New Machine Info by Model'!F27</f>
        <v>6</v>
      </c>
      <c r="AJ33" s="39">
        <f>C$36*52*AI33*'Plant Machine Status &amp; Utilizat'!$F$18</f>
        <v>155282.4</v>
      </c>
      <c r="AK33" s="10" t="s">
        <v>36</v>
      </c>
      <c r="AL33" s="31">
        <v>327618</v>
      </c>
      <c r="AM33" s="10">
        <v>69.66</v>
      </c>
      <c r="AN33" s="32">
        <f t="shared" si="2"/>
        <v>22821869.879999999</v>
      </c>
    </row>
    <row r="34" spans="1:40" x14ac:dyDescent="0.25">
      <c r="A34" t="s">
        <v>27</v>
      </c>
      <c r="B34" s="9" t="s">
        <v>38</v>
      </c>
      <c r="C34" s="19">
        <f>FLOOR('New Machine Info by Model'!C14*'Plant Machine Status &amp; Utilizat'!$H14, 1)</f>
        <v>228</v>
      </c>
      <c r="D34" s="20"/>
      <c r="E34" s="18" t="s">
        <v>38</v>
      </c>
      <c r="F34" s="18">
        <f>FLOOR('New Machine Info by Model'!F14*'Plant Machine Status &amp; Utilizat'!$H14, 1)</f>
        <v>200</v>
      </c>
      <c r="G34" s="20"/>
      <c r="H34" s="18" t="s">
        <v>38</v>
      </c>
      <c r="I34" s="18">
        <f>FLOOR('New Machine Info by Model'!I14*'Plant Machine Status &amp; Utilizat'!$H14, 1)</f>
        <v>256</v>
      </c>
      <c r="J34" s="20"/>
      <c r="K34" s="18" t="s">
        <v>38</v>
      </c>
      <c r="L34" s="18">
        <f>FLOOR('New Machine Info by Model'!L14*'Plant Machine Status &amp; Utilizat'!$H14, 1)</f>
        <v>149</v>
      </c>
      <c r="M34" s="20"/>
      <c r="N34" s="9" t="s">
        <v>38</v>
      </c>
      <c r="O34" s="11">
        <f>FLOOR('New Machine Info by Model'!O14*'Plant Machine Status &amp; Utilizat'!$H14, 1)</f>
        <v>249</v>
      </c>
      <c r="P34" s="20"/>
      <c r="Q34" s="9" t="s">
        <v>38</v>
      </c>
      <c r="R34" s="11">
        <f>FLOOR('New Machine Info by Model'!R14*'Plant Machine Status &amp; Utilizat'!$H14, 1)</f>
        <v>201</v>
      </c>
      <c r="S34" s="20"/>
      <c r="T34" s="18" t="s">
        <v>38</v>
      </c>
      <c r="U34" s="18">
        <f>FLOOR('New Machine Info by Model'!U14*'Plant Machine Status &amp; Utilizat'!$H14, 1)</f>
        <v>162</v>
      </c>
      <c r="V34" s="20"/>
      <c r="W34" s="9" t="s">
        <v>38</v>
      </c>
      <c r="X34" s="19">
        <f>FLOOR('New Machine Info by Model'!X14*'Plant Machine Status &amp; Utilizat'!$H14, 1)</f>
        <v>172</v>
      </c>
      <c r="Y34" s="20"/>
      <c r="Z34" s="9" t="s">
        <v>38</v>
      </c>
      <c r="AA34" s="19">
        <f>FLOOR('New Machine Info by Model'!AA14*'Plant Machine Status &amp; Utilizat'!$H14, 1)</f>
        <v>152</v>
      </c>
      <c r="AB34" s="20"/>
      <c r="AC34" s="19" t="s">
        <v>38</v>
      </c>
      <c r="AD34" s="59">
        <f>FLOOR('New Machine Info by Model'!AD14*'Plant Machine Status &amp; Utilizat'!$H14, 1)</f>
        <v>260</v>
      </c>
      <c r="AE34" s="35" t="s">
        <v>27</v>
      </c>
      <c r="AF34" s="40">
        <f>CEILING($C$35/C34+$O$35/O34+$R$35/R34+$X$35/X34 +$AA$35/AA34 +$AD$35/AD34,1)</f>
        <v>6958</v>
      </c>
      <c r="AG34" s="41">
        <v>0.51</v>
      </c>
      <c r="AH34" s="42">
        <f t="shared" si="3"/>
        <v>4</v>
      </c>
      <c r="AI34" s="42">
        <f>AH34*'New Machine Info by Model'!F28</f>
        <v>8</v>
      </c>
      <c r="AJ34" s="43">
        <f>C$36*52*AI34*'Plant Machine Status &amp; Utilizat'!$F$18</f>
        <v>207043.20000000001</v>
      </c>
      <c r="AK34" s="13" t="s">
        <v>37</v>
      </c>
      <c r="AL34" s="29">
        <v>359794</v>
      </c>
      <c r="AM34" s="13">
        <v>73.98</v>
      </c>
      <c r="AN34" s="30">
        <f t="shared" si="2"/>
        <v>26617560.120000001</v>
      </c>
    </row>
    <row r="35" spans="1:40" x14ac:dyDescent="0.25">
      <c r="A35" s="13" t="s">
        <v>62</v>
      </c>
      <c r="C35">
        <v>383218</v>
      </c>
      <c r="O35">
        <v>262000</v>
      </c>
      <c r="R35">
        <v>99290</v>
      </c>
      <c r="X35">
        <v>32916</v>
      </c>
      <c r="AA35">
        <v>327618</v>
      </c>
      <c r="AD35">
        <v>359794</v>
      </c>
      <c r="AE35" s="44"/>
      <c r="AF35" s="40"/>
      <c r="AG35" s="41"/>
      <c r="AH35" s="40"/>
      <c r="AI35" s="28">
        <f>SUM(AI25:AI34)</f>
        <v>822</v>
      </c>
      <c r="AJ35" s="45">
        <f>SUM(AJ25:AJ34)</f>
        <v>21273688.799999997</v>
      </c>
      <c r="AL35" s="27">
        <f>SUM(AL25:AL34)</f>
        <v>1464836</v>
      </c>
      <c r="AN35" s="25">
        <f>SUM(AN25:AN34)</f>
        <v>80883257.939999998</v>
      </c>
    </row>
    <row r="36" spans="1:40" x14ac:dyDescent="0.25">
      <c r="A36" s="13" t="s">
        <v>64</v>
      </c>
      <c r="C36">
        <v>70</v>
      </c>
      <c r="AE36" s="46"/>
      <c r="AF36" s="47"/>
      <c r="AG36" s="48"/>
      <c r="AH36" s="47"/>
      <c r="AI36" s="47"/>
      <c r="AJ36" s="49"/>
    </row>
    <row r="37" spans="1:40" x14ac:dyDescent="0.25">
      <c r="A37" s="53" t="s">
        <v>72</v>
      </c>
      <c r="C37" s="54">
        <f>((1/C25)*('New Machine Info by Model'!$F$19)*('Plant Machine Status &amp; Utilizat'!$F$18))+((1/C26)*('New Machine Info by Model'!$F$20)*('Plant Machine Status &amp; Utilizat'!$F$18))+((1/C27)*('New Machine Info by Model'!$F$21)*('Plant Machine Status &amp; Utilizat'!$F$18))+((1/C34)*('New Machine Info by Model'!$F$28)*('Plant Machine Status &amp; Utilizat'!$F$18))</f>
        <v>4.677285087719298</v>
      </c>
      <c r="D37" s="61"/>
      <c r="E37" s="54"/>
      <c r="F37" s="54">
        <f>((1/F25)*('New Machine Info by Model'!$F19)*('Plant Machine Status &amp; Utilizat'!$F$18))+((1/F26)*('New Machine Info by Model'!$F20)*('Plant Machine Status &amp; Utilizat'!$F$18))+((1/F34)*('New Machine Info by Model'!$F28)*('Plant Machine Status &amp; Utilizat'!$F$18))</f>
        <v>5.0727233766233768</v>
      </c>
      <c r="G37" s="61"/>
      <c r="H37" s="54"/>
      <c r="I37" s="54">
        <f>((1/I25)*('New Machine Info by Model'!$F19)*('Plant Machine Status &amp; Utilizat'!$F$18))+((1/I26)*('New Machine Info by Model'!$F20)*('Plant Machine Status &amp; Utilizat'!$F$18))+((1/I27)*('New Machine Info by Model'!$F21)*('Plant Machine Status &amp; Utilizat'!$F$18))+((1/I30)*('New Machine Info by Model'!$F24)*('Plant Machine Status &amp; Utilizat'!$F$18))+((1/I34)*('New Machine Info by Model'!$F28)*('Plant Machine Status &amp; Utilizat'!$F$18))</f>
        <v>9.3347124594155861</v>
      </c>
      <c r="J37" s="61"/>
      <c r="K37" s="54"/>
      <c r="L37" s="54">
        <f>((1/L25)*('New Machine Info by Model'!$F19)*('Plant Machine Status &amp; Utilizat'!$F$18))+((1/L26)*('New Machine Info by Model'!$F20)*('Plant Machine Status &amp; Utilizat'!$F$18))+((1/L27)*('New Machine Info by Model'!$F21)*('Plant Machine Status &amp; Utilizat'!$F$18))+((1/L30)*('New Machine Info by Model'!$F24)*('Plant Machine Status &amp; Utilizat'!$F$18))+((1/L32)*('New Machine Info by Model'!$F26)*('Plant Machine Status &amp; Utilizat'!$F$18))+((1/L34)*('New Machine Info by Model'!$F28)*('Plant Machine Status &amp; Utilizat'!$F$18))</f>
        <v>7.7937767033073158</v>
      </c>
      <c r="M37" s="61"/>
      <c r="N37" s="54"/>
      <c r="O37" s="54">
        <f>((1/O25)*('New Machine Info by Model'!$F$19)*('Plant Machine Status &amp; Utilizat'!$F$18))+((1/O26)*('New Machine Info by Model'!$F$20)*('Plant Machine Status &amp; Utilizat'!$F$18))+((1/O27)*('New Machine Info by Model'!$F$21)*('Plant Machine Status &amp; Utilizat'!$F$18))+((1/O29)*('New Machine Info by Model'!$F$23)*('Plant Machine Status &amp; Utilizat'!$F$18))+((1/O34)*('New Machine Info by Model'!$F$28)*('Plant Machine Status &amp; Utilizat'!$F$18))</f>
        <v>8.0338359709036542</v>
      </c>
      <c r="P37" s="61"/>
      <c r="Q37" s="54"/>
      <c r="R37" s="54">
        <f>((1/R25)*('New Machine Info by Model'!$F$19)*('Plant Machine Status &amp; Utilizat'!$F$18))+((1/R26)*('New Machine Info by Model'!$F$20)*('Plant Machine Status &amp; Utilizat'!$F$18))+((1/R27)*('New Machine Info by Model'!$F$21)*('Plant Machine Status &amp; Utilizat'!$F$18))+((1/R29)*('New Machine Info by Model'!$F$23)*('Plant Machine Status &amp; Utilizat'!$F$18))+((1/R31)*('New Machine Info by Model'!$F$25)*('Plant Machine Status &amp; Utilizat'!$F$18))+((1/R34)*('New Machine Info by Model'!$F$28)*('Plant Machine Status &amp; Utilizat'!$F$18))</f>
        <v>7.9418117228909999</v>
      </c>
      <c r="S37" s="61"/>
      <c r="T37" s="54"/>
      <c r="U37" s="54">
        <f>((1/U25)*('New Machine Info by Model'!$F$19)*('Plant Machine Status &amp; Utilizat'!$F$18))+((1/U26)*('New Machine Info by Model'!$F$20)*('Plant Machine Status &amp; Utilizat'!$F$18))+((1/U27)*('New Machine Info by Model'!$F$21)*('Plant Machine Status &amp; Utilizat'!$F$18))+((1/U29)*('New Machine Info by Model'!$F$23)*('Plant Machine Status &amp; Utilizat'!$F$18))+((1/U31)*('New Machine Info by Model'!$F$25)*('Plant Machine Status &amp; Utilizat'!$F$18))+((1/U32)*('New Machine Info by Model'!$F$26)*('Plant Machine Status &amp; Utilizat'!$F$18))+((1/U34)*('New Machine Info by Model'!$F$28)*('Plant Machine Status &amp; Utilizat'!$F$18))</f>
        <v>10.616554287550064</v>
      </c>
      <c r="X37" s="52">
        <f>((1/X25)*('New Machine Info by Model'!$F$19)*('Plant Machine Status &amp; Utilizat'!$F$18))+((1/X26)*('New Machine Info by Model'!$F$20)*('Plant Machine Status &amp; Utilizat'!$F$18))+((1/X27)*('New Machine Info by Model'!$F$21)*('Plant Machine Status &amp; Utilizat'!$F$18))+((1/X28)*('New Machine Info by Model'!$F$22)*('Plant Machine Status &amp; Utilizat'!$F$18))+((1/X31)*('New Machine Info by Model'!$F$25)*('Plant Machine Status &amp; Utilizat'!$F$18))+((1/X32)*('New Machine Info by Model'!$F$26)*('Plant Machine Status &amp; Utilizat'!$F$18))+((1/X33)*('New Machine Info by Model'!$F$27)*('Plant Machine Status &amp; Utilizat'!$F$18))+((1/X34)*('New Machine Info by Model'!$F$28)*('Plant Machine Status &amp; Utilizat'!$F$18))</f>
        <v>8.6179910858204938</v>
      </c>
      <c r="AA37" s="52">
        <f>((1/AA25)*('New Machine Info by Model'!$F$19)*('Plant Machine Status &amp; Utilizat'!$F$18))+((1/AA26)*('New Machine Info by Model'!$F$20)*('Plant Machine Status &amp; Utilizat'!$F$18))+((1/AA27)*('New Machine Info by Model'!$F$21)*('Plant Machine Status &amp; Utilizat'!$F$18))+((1/AA28)*('New Machine Info by Model'!$F$22)*('Plant Machine Status &amp; Utilizat'!$F$18))+((1/AA29)*('New Machine Info by Model'!$F$23)*('Plant Machine Status &amp; Utilizat'!$F$18))+((1/AA31)*('New Machine Info by Model'!$F$25)*('Plant Machine Status &amp; Utilizat'!$F$18))+((1/AA32)*('New Machine Info by Model'!$F$26)*('Plant Machine Status &amp; Utilizat'!$F$18))+((1/AA34)*('New Machine Info by Model'!$F$28)*('Plant Machine Status &amp; Utilizat'!$F$18))</f>
        <v>9.2548127674058538</v>
      </c>
      <c r="AD37" s="52">
        <f>((1/AD25)*('New Machine Info by Model'!$F$19)*('Plant Machine Status &amp; Utilizat'!$F$18))+((1/AD26)*('New Machine Info by Model'!$F$20)*('Plant Machine Status &amp; Utilizat'!$F$18))+((1/AD27)*('New Machine Info by Model'!$F$21)*('Plant Machine Status &amp; Utilizat'!$F$18))+((1/AD28)*('New Machine Info by Model'!$F$22)*('Plant Machine Status &amp; Utilizat'!$F$18))+((1/AD29)*('New Machine Info by Model'!$F$23)*('Plant Machine Status &amp; Utilizat'!$F$18))+((1/AD30)*('New Machine Info by Model'!$F$24)*('Plant Machine Status &amp; Utilizat'!$F$18))+((1/AD31)*('New Machine Info by Model'!$F$25)*('Plant Machine Status &amp; Utilizat'!$F$18))+((1/AD32)*('New Machine Info by Model'!$F$26)*('Plant Machine Status &amp; Utilizat'!$F$18))+((1/AD34)*('New Machine Info by Model'!$F$28)*('Plant Machine Status &amp; Utilizat'!$F$18))</f>
        <v>12.570732725485692</v>
      </c>
      <c r="AE37" s="13"/>
    </row>
    <row r="38" spans="1:40" x14ac:dyDescent="0.25">
      <c r="A38" s="53" t="s">
        <v>73</v>
      </c>
      <c r="C38" s="54">
        <f>10.51 - (($C$14*$C$16) + ($C$35*$C$37))/($C$14+$C$35)</f>
        <v>2.2877524612225777</v>
      </c>
      <c r="D38" s="61"/>
      <c r="E38" s="54"/>
      <c r="F38" s="62">
        <v>0.39</v>
      </c>
      <c r="G38" s="61"/>
      <c r="H38" s="54"/>
      <c r="I38" s="63">
        <v>1</v>
      </c>
      <c r="J38" s="61"/>
      <c r="K38" s="54"/>
      <c r="L38" s="62">
        <v>13.711877516981033</v>
      </c>
      <c r="M38" s="61"/>
      <c r="N38" s="54"/>
      <c r="O38" s="54">
        <f>10.51 - (($O$56*$O$57) + ($O$35*$O$37))/($O$56+$O$35)</f>
        <v>6.775321106499721</v>
      </c>
      <c r="P38" s="61"/>
      <c r="Q38" s="54"/>
      <c r="R38" s="54">
        <f>10.51 - (($R$56*$R$57) + ($R$35*$R$37))/($R$56+$R$35)</f>
        <v>6.4954267082484094</v>
      </c>
      <c r="S38" s="61"/>
      <c r="T38" s="54"/>
      <c r="U38" s="62">
        <v>22.276135027245235</v>
      </c>
      <c r="X38" s="52">
        <f>43.42 - (($X$35*$X$37) + ($X$56*$X$58))/($X$35+$X$56)</f>
        <v>36.330143275834743</v>
      </c>
      <c r="AA38" s="52">
        <f>36.59 - (($AA$35*$AA$37) + ($AA$56*$AA$58))/($AA$35+$AA$56)</f>
        <v>28.888820437997484</v>
      </c>
      <c r="AD38" s="52">
        <v>26.57</v>
      </c>
      <c r="AE38" s="13"/>
      <c r="AF38" s="14"/>
      <c r="AH38" s="14"/>
      <c r="AI38" s="14"/>
    </row>
    <row r="39" spans="1:40" x14ac:dyDescent="0.25">
      <c r="A39" s="53" t="s">
        <v>74</v>
      </c>
      <c r="C39" s="54">
        <v>15.129656082754867</v>
      </c>
      <c r="D39" s="61"/>
      <c r="E39" s="54"/>
      <c r="F39" s="54">
        <v>23.579780162089698</v>
      </c>
      <c r="G39" s="61"/>
      <c r="H39" s="54"/>
      <c r="I39" s="54">
        <v>20.489693079467493</v>
      </c>
      <c r="J39" s="61"/>
      <c r="K39" s="54"/>
      <c r="L39" s="54">
        <v>25.730417551820054</v>
      </c>
      <c r="M39" s="61"/>
      <c r="N39" s="54"/>
      <c r="O39" s="54">
        <v>32.95614222783631</v>
      </c>
      <c r="P39" s="61"/>
      <c r="Q39" s="54"/>
      <c r="R39" s="54">
        <v>25.327156503554267</v>
      </c>
      <c r="S39" s="61"/>
      <c r="T39" s="54"/>
      <c r="U39" s="54">
        <v>28.546753054048732</v>
      </c>
      <c r="X39" s="52">
        <v>34.130000000000003</v>
      </c>
      <c r="AA39" s="52">
        <v>33.07</v>
      </c>
      <c r="AD39" s="52">
        <v>34.840000000000003</v>
      </c>
      <c r="AE39" s="13"/>
      <c r="AF39" s="14"/>
      <c r="AH39" s="14"/>
      <c r="AI39" s="14"/>
    </row>
    <row r="40" spans="1:40" x14ac:dyDescent="0.25">
      <c r="A40" s="53" t="s">
        <v>76</v>
      </c>
      <c r="C40" s="54">
        <f>'Shipping Information'!$D$9</f>
        <v>1.0542467482312521</v>
      </c>
      <c r="D40" s="61"/>
      <c r="E40" s="54"/>
      <c r="F40" s="54">
        <f>'Shipping Information'!$D$9</f>
        <v>1.0542467482312521</v>
      </c>
      <c r="G40" s="61"/>
      <c r="H40" s="54"/>
      <c r="I40" s="54">
        <f>'Shipping Information'!$D$9</f>
        <v>1.0542467482312521</v>
      </c>
      <c r="J40" s="61"/>
      <c r="K40" s="54"/>
      <c r="L40" s="54">
        <f>'Shipping Information'!$D$9</f>
        <v>1.0542467482312521</v>
      </c>
      <c r="M40" s="61"/>
      <c r="N40" s="54"/>
      <c r="O40" s="54">
        <f>'Shipping Information'!$D$9</f>
        <v>1.0542467482312521</v>
      </c>
      <c r="P40" s="61"/>
      <c r="Q40" s="54"/>
      <c r="R40" s="54">
        <f>'Shipping Information'!$D$9</f>
        <v>1.0542467482312521</v>
      </c>
      <c r="S40" s="61"/>
      <c r="T40" s="54"/>
      <c r="U40" s="54">
        <f>'Shipping Information'!$D$9</f>
        <v>1.0542467482312521</v>
      </c>
      <c r="X40" s="52">
        <f>'Shipping Information'!$D$9</f>
        <v>1.0542467482312521</v>
      </c>
      <c r="AA40" s="52">
        <f>'Shipping Information'!$D$9</f>
        <v>1.0542467482312521</v>
      </c>
      <c r="AD40" s="52">
        <f>'Shipping Information'!$D$9</f>
        <v>1.0542467482312521</v>
      </c>
      <c r="AE40" s="13"/>
      <c r="AF40" s="14"/>
      <c r="AH40" s="14"/>
      <c r="AI40" s="14"/>
    </row>
    <row r="41" spans="1:40" x14ac:dyDescent="0.25">
      <c r="A41" s="53" t="s">
        <v>75</v>
      </c>
      <c r="C41" s="55">
        <f>SUM(C37:C40)</f>
        <v>23.148940379927993</v>
      </c>
      <c r="F41" s="55">
        <f>SUM(F37:F40)</f>
        <v>30.096750286944328</v>
      </c>
      <c r="I41" s="55">
        <f>SUM(I37:I40)</f>
        <v>31.878652287114328</v>
      </c>
      <c r="L41" s="55">
        <f>SUM(L37:L40)</f>
        <v>48.290318520339653</v>
      </c>
      <c r="O41" s="55">
        <f>SUM(O37:O40)</f>
        <v>48.819546053470937</v>
      </c>
      <c r="R41" s="55">
        <f>SUM(R37:R40)</f>
        <v>40.818641682924927</v>
      </c>
      <c r="U41" s="55">
        <f>SUM(U37:U40)</f>
        <v>62.493689117075277</v>
      </c>
      <c r="X41" s="55">
        <f>SUM(X37:X40)</f>
        <v>80.132381109886481</v>
      </c>
      <c r="AA41" s="55">
        <f>SUM(AA37:AA40)</f>
        <v>72.267879953634591</v>
      </c>
      <c r="AD41" s="55">
        <f>SUM(AD37:AD40)</f>
        <v>75.034979473716945</v>
      </c>
      <c r="AE41" s="13"/>
      <c r="AF41" s="14"/>
      <c r="AH41" s="14"/>
      <c r="AI41" s="14"/>
    </row>
    <row r="42" spans="1:40" x14ac:dyDescent="0.25">
      <c r="A42" s="13"/>
      <c r="AE42" s="13"/>
      <c r="AF42" s="14"/>
      <c r="AH42" s="14"/>
      <c r="AI42" s="14"/>
    </row>
    <row r="43" spans="1:40" ht="18.75" x14ac:dyDescent="0.3">
      <c r="A43" s="21" t="s">
        <v>44</v>
      </c>
      <c r="AE43" s="21" t="s">
        <v>44</v>
      </c>
    </row>
    <row r="44" spans="1:40" ht="15" customHeight="1" x14ac:dyDescent="0.25">
      <c r="B44" s="65" t="s">
        <v>17</v>
      </c>
      <c r="C44" s="65"/>
      <c r="D44" s="20"/>
      <c r="E44" s="64" t="s">
        <v>29</v>
      </c>
      <c r="F44" s="64"/>
      <c r="G44" s="20"/>
      <c r="H44" s="65" t="s">
        <v>30</v>
      </c>
      <c r="I44" s="65"/>
      <c r="J44" s="20"/>
      <c r="K44" s="65" t="s">
        <v>31</v>
      </c>
      <c r="L44" s="65"/>
      <c r="M44" s="20"/>
      <c r="N44" s="64" t="s">
        <v>32</v>
      </c>
      <c r="O44" s="64"/>
      <c r="P44" s="20"/>
      <c r="Q44" s="64" t="s">
        <v>33</v>
      </c>
      <c r="R44" s="64"/>
      <c r="S44" s="20"/>
      <c r="T44" s="64" t="s">
        <v>34</v>
      </c>
      <c r="U44" s="64"/>
      <c r="V44" s="20"/>
      <c r="W44" s="64" t="s">
        <v>35</v>
      </c>
      <c r="X44" s="64"/>
      <c r="Y44" s="20"/>
      <c r="Z44" s="64" t="s">
        <v>36</v>
      </c>
      <c r="AA44" s="64"/>
      <c r="AB44" s="20"/>
      <c r="AC44" s="65" t="s">
        <v>37</v>
      </c>
      <c r="AD44" s="65"/>
      <c r="AE44" s="34"/>
      <c r="AF44" s="66" t="s">
        <v>63</v>
      </c>
      <c r="AG44" s="68" t="s">
        <v>66</v>
      </c>
      <c r="AH44" s="66" t="s">
        <v>65</v>
      </c>
      <c r="AI44" s="66" t="s">
        <v>67</v>
      </c>
      <c r="AJ44" s="70" t="s">
        <v>68</v>
      </c>
      <c r="AL44" s="72" t="s">
        <v>69</v>
      </c>
      <c r="AM44" s="73" t="s">
        <v>70</v>
      </c>
      <c r="AN44" s="74" t="s">
        <v>71</v>
      </c>
    </row>
    <row r="45" spans="1:40" x14ac:dyDescent="0.25">
      <c r="B45" s="17" t="s">
        <v>28</v>
      </c>
      <c r="C45" s="17" t="s">
        <v>60</v>
      </c>
      <c r="D45" s="20"/>
      <c r="E45" s="1" t="s">
        <v>28</v>
      </c>
      <c r="F45" s="1" t="s">
        <v>60</v>
      </c>
      <c r="G45" s="20"/>
      <c r="H45" s="17" t="s">
        <v>28</v>
      </c>
      <c r="I45" s="17" t="s">
        <v>60</v>
      </c>
      <c r="J45" s="20"/>
      <c r="K45" s="17" t="s">
        <v>28</v>
      </c>
      <c r="L45" s="17" t="s">
        <v>60</v>
      </c>
      <c r="M45" s="20"/>
      <c r="N45" s="1" t="s">
        <v>28</v>
      </c>
      <c r="O45" s="1" t="s">
        <v>60</v>
      </c>
      <c r="P45" s="20"/>
      <c r="Q45" s="1" t="s">
        <v>28</v>
      </c>
      <c r="R45" s="1" t="s">
        <v>60</v>
      </c>
      <c r="S45" s="20"/>
      <c r="T45" s="1" t="s">
        <v>28</v>
      </c>
      <c r="U45" s="1" t="s">
        <v>60</v>
      </c>
      <c r="V45" s="20"/>
      <c r="W45" s="1" t="s">
        <v>28</v>
      </c>
      <c r="X45" s="1" t="s">
        <v>60</v>
      </c>
      <c r="Y45" s="20"/>
      <c r="Z45" s="1" t="s">
        <v>28</v>
      </c>
      <c r="AA45" s="1" t="s">
        <v>60</v>
      </c>
      <c r="AB45" s="20"/>
      <c r="AC45" s="17" t="s">
        <v>28</v>
      </c>
      <c r="AD45" s="17" t="s">
        <v>60</v>
      </c>
      <c r="AE45" s="35"/>
      <c r="AF45" s="67"/>
      <c r="AG45" s="69"/>
      <c r="AH45" s="67"/>
      <c r="AI45" s="67"/>
      <c r="AJ45" s="71"/>
      <c r="AL45" s="72"/>
      <c r="AM45" s="73"/>
      <c r="AN45" s="74"/>
    </row>
    <row r="46" spans="1:40" x14ac:dyDescent="0.25">
      <c r="A46" s="10" t="s">
        <v>18</v>
      </c>
      <c r="B46" s="18" t="s">
        <v>38</v>
      </c>
      <c r="C46" s="18">
        <f>FLOOR('New Machine Info by Model'!C5*'Plant Machine Status &amp; Utilizat'!$C5, 1)</f>
        <v>91</v>
      </c>
      <c r="D46" s="20"/>
      <c r="E46" s="11" t="s">
        <v>38</v>
      </c>
      <c r="F46" s="11">
        <f>FLOOR('New Machine Info by Model'!F5*'Plant Machine Status &amp; Utilizat'!$C5, 1)</f>
        <v>111</v>
      </c>
      <c r="G46" s="20"/>
      <c r="H46" s="18" t="s">
        <v>38</v>
      </c>
      <c r="I46" s="18">
        <f>FLOOR('New Machine Info by Model'!I5*'Plant Machine Status &amp; Utilizat'!$C5, 1)</f>
        <v>142</v>
      </c>
      <c r="J46" s="20"/>
      <c r="K46" s="18" t="s">
        <v>38</v>
      </c>
      <c r="L46" s="18">
        <f>FLOOR('New Machine Info by Model'!L5*'Plant Machine Status &amp; Utilizat'!$C5, 1)</f>
        <v>101</v>
      </c>
      <c r="M46" s="20"/>
      <c r="N46" s="11" t="s">
        <v>38</v>
      </c>
      <c r="O46" s="11">
        <f>FLOOR('New Machine Info by Model'!O5*'Plant Machine Status &amp; Utilizat'!$C5, 1)</f>
        <v>142</v>
      </c>
      <c r="P46" s="20"/>
      <c r="Q46" s="11" t="s">
        <v>38</v>
      </c>
      <c r="R46" s="11">
        <f>FLOOR('New Machine Info by Model'!R5*'Plant Machine Status &amp; Utilizat'!$C5, 1)</f>
        <v>100</v>
      </c>
      <c r="S46" s="20"/>
      <c r="T46" s="11" t="s">
        <v>38</v>
      </c>
      <c r="U46" s="11">
        <f>FLOOR('New Machine Info by Model'!U5*'Plant Machine Status &amp; Utilizat'!$C5, 1)</f>
        <v>135</v>
      </c>
      <c r="V46" s="20"/>
      <c r="W46" s="11" t="s">
        <v>38</v>
      </c>
      <c r="X46" s="11">
        <f>FLOOR('New Machine Info by Model'!X5*'Plant Machine Status &amp; Utilizat'!$C5, 1)</f>
        <v>102</v>
      </c>
      <c r="Y46" s="20"/>
      <c r="Z46" s="11" t="s">
        <v>38</v>
      </c>
      <c r="AA46" s="11">
        <f>FLOOR('New Machine Info by Model'!AA5*'Plant Machine Status &amp; Utilizat'!$C5, 1)</f>
        <v>110</v>
      </c>
      <c r="AB46" s="20"/>
      <c r="AC46" s="18" t="s">
        <v>38</v>
      </c>
      <c r="AD46" s="18">
        <f>FLOOR('New Machine Info by Model'!AD5*'Plant Machine Status &amp; Utilizat'!$C5, 1)</f>
        <v>117</v>
      </c>
      <c r="AE46" s="36" t="s">
        <v>18</v>
      </c>
      <c r="AF46" s="37">
        <f>CEILING($F$56/F46+$O$56/O46+$R$56/R46+$U$56/U46 +$X$56/X46 +$AA$56/AA46,1)</f>
        <v>18793</v>
      </c>
      <c r="AG46" s="38">
        <v>0.65</v>
      </c>
      <c r="AH46" s="37">
        <f>CEILING(AF46/($C$57*52)/AG46,1)</f>
        <v>8</v>
      </c>
      <c r="AI46" s="37">
        <f>AH46*'New Machine Info by Model'!F19</f>
        <v>48</v>
      </c>
      <c r="AJ46" s="39">
        <f>C$57*52*AI46*'Plant Machine Status &amp; Utilizat'!$A$18</f>
        <v>899808.00000000012</v>
      </c>
      <c r="AK46" s="10" t="s">
        <v>17</v>
      </c>
      <c r="AL46" s="31">
        <v>0</v>
      </c>
      <c r="AM46" s="10">
        <v>25.64</v>
      </c>
      <c r="AN46" s="32">
        <f t="shared" ref="AN46:AN55" si="4">AL46*AM46</f>
        <v>0</v>
      </c>
    </row>
    <row r="47" spans="1:40" x14ac:dyDescent="0.25">
      <c r="A47" t="s">
        <v>19</v>
      </c>
      <c r="B47" s="18" t="s">
        <v>38</v>
      </c>
      <c r="C47" s="18">
        <f>FLOOR('New Machine Info by Model'!C6*'Plant Machine Status &amp; Utilizat'!$C6, 1)</f>
        <v>21</v>
      </c>
      <c r="D47" s="20"/>
      <c r="E47" s="9" t="s">
        <v>38</v>
      </c>
      <c r="F47" s="19">
        <f>FLOOR('New Machine Info by Model'!F6*'Plant Machine Status &amp; Utilizat'!$C6, 1)</f>
        <v>15</v>
      </c>
      <c r="G47" s="20"/>
      <c r="H47" s="18" t="s">
        <v>38</v>
      </c>
      <c r="I47" s="18">
        <f>FLOOR('New Machine Info by Model'!I6*'Plant Machine Status &amp; Utilizat'!$C6, 1)</f>
        <v>12</v>
      </c>
      <c r="J47" s="20"/>
      <c r="K47" s="18" t="s">
        <v>38</v>
      </c>
      <c r="L47" s="18">
        <f>FLOOR('New Machine Info by Model'!L6*'Plant Machine Status &amp; Utilizat'!$C6, 1)</f>
        <v>15</v>
      </c>
      <c r="M47" s="20"/>
      <c r="N47" s="19" t="s">
        <v>38</v>
      </c>
      <c r="O47" s="19">
        <f>FLOOR('New Machine Info by Model'!O6*'Plant Machine Status &amp; Utilizat'!$C6, 1)</f>
        <v>13</v>
      </c>
      <c r="P47" s="20"/>
      <c r="Q47" s="19" t="s">
        <v>38</v>
      </c>
      <c r="R47" s="19">
        <f>FLOOR('New Machine Info by Model'!R6*'Plant Machine Status &amp; Utilizat'!$C6, 1)</f>
        <v>11</v>
      </c>
      <c r="S47" s="20"/>
      <c r="T47" s="19" t="s">
        <v>38</v>
      </c>
      <c r="U47" s="19">
        <f>FLOOR('New Machine Info by Model'!U6*'Plant Machine Status &amp; Utilizat'!$C6, 1)</f>
        <v>9</v>
      </c>
      <c r="V47" s="20"/>
      <c r="W47" s="19" t="s">
        <v>38</v>
      </c>
      <c r="X47" s="19">
        <f>FLOOR('New Machine Info by Model'!X6*'Plant Machine Status &amp; Utilizat'!$C6, 1)</f>
        <v>16</v>
      </c>
      <c r="Y47" s="20"/>
      <c r="Z47" s="19" t="s">
        <v>38</v>
      </c>
      <c r="AA47" s="19">
        <f>FLOOR('New Machine Info by Model'!AA6*'Plant Machine Status &amp; Utilizat'!$C6, 1)</f>
        <v>15</v>
      </c>
      <c r="AB47" s="20"/>
      <c r="AC47" s="18" t="s">
        <v>38</v>
      </c>
      <c r="AD47" s="18">
        <f>FLOOR('New Machine Info by Model'!AD6*'Plant Machine Status &amp; Utilizat'!$C6, 1)</f>
        <v>10</v>
      </c>
      <c r="AE47" s="35" t="s">
        <v>19</v>
      </c>
      <c r="AF47" s="40">
        <f>CEILING($F$56/F47+$O$56/O47+$R$56/R47+$U$56/U47 +$X$56/X47 +$AA$56/AA47,1)</f>
        <v>209167</v>
      </c>
      <c r="AG47" s="41">
        <v>0.75</v>
      </c>
      <c r="AH47" s="42">
        <f>CEILING(AF47/($C$57*52)/AG47,1)</f>
        <v>77</v>
      </c>
      <c r="AI47" s="42">
        <f>AH47*'New Machine Info by Model'!F20</f>
        <v>693</v>
      </c>
      <c r="AJ47" s="43">
        <f>C$57*52*AI47*'Plant Machine Status &amp; Utilizat'!$A$18</f>
        <v>12990978</v>
      </c>
      <c r="AK47" s="13" t="s">
        <v>29</v>
      </c>
      <c r="AL47" s="29">
        <v>472488</v>
      </c>
      <c r="AM47" s="13">
        <v>30.63</v>
      </c>
      <c r="AN47" s="30">
        <f t="shared" si="4"/>
        <v>14472307.439999999</v>
      </c>
    </row>
    <row r="48" spans="1:40" x14ac:dyDescent="0.25">
      <c r="A48" s="10" t="s">
        <v>20</v>
      </c>
      <c r="B48" s="18" t="s">
        <v>38</v>
      </c>
      <c r="C48" s="18">
        <f>FLOOR('New Machine Info by Model'!C7*'Plant Machine Status &amp; Utilizat'!$C7, 1)</f>
        <v>93</v>
      </c>
      <c r="D48" s="20"/>
      <c r="E48" s="11"/>
      <c r="F48" s="11"/>
      <c r="G48" s="20"/>
      <c r="H48" s="18" t="s">
        <v>38</v>
      </c>
      <c r="I48" s="18">
        <f>FLOOR('New Machine Info by Model'!I7*'Plant Machine Status &amp; Utilizat'!$C7, 1)</f>
        <v>130</v>
      </c>
      <c r="J48" s="20"/>
      <c r="K48" s="18" t="s">
        <v>38</v>
      </c>
      <c r="L48" s="18">
        <f>FLOOR('New Machine Info by Model'!L7*'Plant Machine Status &amp; Utilizat'!$C7, 1)</f>
        <v>161</v>
      </c>
      <c r="M48" s="20"/>
      <c r="N48" s="11" t="s">
        <v>38</v>
      </c>
      <c r="O48" s="11">
        <f>FLOOR('New Machine Info by Model'!O7*'Plant Machine Status &amp; Utilizat'!$C7, 1)</f>
        <v>90</v>
      </c>
      <c r="P48" s="20"/>
      <c r="Q48" s="11" t="s">
        <v>38</v>
      </c>
      <c r="R48" s="11">
        <f>FLOOR('New Machine Info by Model'!R7*'Plant Machine Status &amp; Utilizat'!$C7, 1)</f>
        <v>149</v>
      </c>
      <c r="S48" s="20"/>
      <c r="T48" s="11" t="s">
        <v>38</v>
      </c>
      <c r="U48" s="11">
        <f>FLOOR('New Machine Info by Model'!U7*'Plant Machine Status &amp; Utilizat'!$C7, 1)</f>
        <v>100</v>
      </c>
      <c r="V48" s="20"/>
      <c r="W48" s="11" t="s">
        <v>38</v>
      </c>
      <c r="X48" s="11">
        <f>FLOOR('New Machine Info by Model'!X7*'Plant Machine Status &amp; Utilizat'!$C7, 1)</f>
        <v>151</v>
      </c>
      <c r="Y48" s="20"/>
      <c r="Z48" s="11" t="s">
        <v>38</v>
      </c>
      <c r="AA48" s="11">
        <f>FLOOR('New Machine Info by Model'!AA7*'Plant Machine Status &amp; Utilizat'!$C7, 1)</f>
        <v>80</v>
      </c>
      <c r="AB48" s="20"/>
      <c r="AC48" s="18" t="s">
        <v>38</v>
      </c>
      <c r="AD48" s="18">
        <f>FLOOR('New Machine Info by Model'!AD7*'Plant Machine Status &amp; Utilizat'!$C7, 1)</f>
        <v>143</v>
      </c>
      <c r="AE48" s="36" t="s">
        <v>20</v>
      </c>
      <c r="AF48" s="37">
        <f>CEILING($O$56/O48+$R$56/R48+$U$56/U48 +$X$56/X48 +$AA$56/AA48,1)</f>
        <v>19277</v>
      </c>
      <c r="AG48" s="38">
        <v>0.32</v>
      </c>
      <c r="AH48" s="37">
        <f>CEILING(AF48/($C$57*52)/AG48,1)</f>
        <v>17</v>
      </c>
      <c r="AI48" s="37">
        <f>AH48*'New Machine Info by Model'!F21</f>
        <v>170</v>
      </c>
      <c r="AJ48" s="39">
        <f>C$57*52*AI48*'Plant Machine Status &amp; Utilizat'!$A$18</f>
        <v>3186820</v>
      </c>
      <c r="AK48" s="10" t="s">
        <v>30</v>
      </c>
      <c r="AL48" s="31">
        <v>0</v>
      </c>
      <c r="AM48" s="10">
        <v>37.700000000000003</v>
      </c>
      <c r="AN48" s="32">
        <f t="shared" si="4"/>
        <v>0</v>
      </c>
    </row>
    <row r="49" spans="1:40" x14ac:dyDescent="0.25">
      <c r="A49" t="s">
        <v>21</v>
      </c>
      <c r="B49" s="18"/>
      <c r="C49" s="18"/>
      <c r="D49" s="20"/>
      <c r="E49" s="9"/>
      <c r="F49" s="19"/>
      <c r="G49" s="20"/>
      <c r="H49" s="18"/>
      <c r="I49" s="18"/>
      <c r="J49" s="20"/>
      <c r="K49" s="18"/>
      <c r="L49" s="18"/>
      <c r="M49" s="20"/>
      <c r="N49" s="19"/>
      <c r="O49" s="19"/>
      <c r="P49" s="20"/>
      <c r="Q49" s="19"/>
      <c r="R49" s="19"/>
      <c r="S49" s="20"/>
      <c r="T49" s="19"/>
      <c r="U49" s="19"/>
      <c r="V49" s="20"/>
      <c r="W49" s="19" t="s">
        <v>38</v>
      </c>
      <c r="X49" s="19">
        <f>FLOOR('New Machine Info by Model'!X8*'Plant Machine Status &amp; Utilizat'!$C8, 1)</f>
        <v>101</v>
      </c>
      <c r="Y49" s="20"/>
      <c r="Z49" s="19" t="s">
        <v>38</v>
      </c>
      <c r="AA49" s="19">
        <f>FLOOR('New Machine Info by Model'!AA8*'Plant Machine Status &amp; Utilizat'!$C8, 1)</f>
        <v>100</v>
      </c>
      <c r="AB49" s="20"/>
      <c r="AC49" s="18" t="s">
        <v>38</v>
      </c>
      <c r="AD49" s="18">
        <f>FLOOR('New Machine Info by Model'!AD8*'Plant Machine Status &amp; Utilizat'!$C8, 1)</f>
        <v>93</v>
      </c>
      <c r="AE49" s="35" t="s">
        <v>21</v>
      </c>
      <c r="AF49" s="40">
        <f>CEILING($X$56/X49 +$AA$56/AA49,1)</f>
        <v>3644</v>
      </c>
      <c r="AG49" s="41">
        <v>0.48</v>
      </c>
      <c r="AH49" s="42">
        <f t="shared" ref="AH49:AH55" si="5">CEILING(AF49/($C$57*52)/AG49,1)</f>
        <v>3</v>
      </c>
      <c r="AI49" s="42">
        <f>AH49*'New Machine Info by Model'!F22</f>
        <v>24</v>
      </c>
      <c r="AJ49" s="43">
        <f>C$57*52*AI49*'Plant Machine Status &amp; Utilizat'!$A$18</f>
        <v>449904.00000000006</v>
      </c>
      <c r="AK49" s="13" t="s">
        <v>31</v>
      </c>
      <c r="AL49" s="29">
        <v>0</v>
      </c>
      <c r="AM49" s="13">
        <v>56.74</v>
      </c>
      <c r="AN49" s="30">
        <f t="shared" si="4"/>
        <v>0</v>
      </c>
    </row>
    <row r="50" spans="1:40" x14ac:dyDescent="0.25">
      <c r="A50" s="10" t="s">
        <v>22</v>
      </c>
      <c r="B50" s="18"/>
      <c r="C50" s="18"/>
      <c r="D50" s="20"/>
      <c r="E50" s="11"/>
      <c r="F50" s="11"/>
      <c r="G50" s="20"/>
      <c r="H50" s="18"/>
      <c r="I50" s="18"/>
      <c r="J50" s="20"/>
      <c r="K50" s="18"/>
      <c r="L50" s="18"/>
      <c r="M50" s="20"/>
      <c r="N50" s="11" t="s">
        <v>38</v>
      </c>
      <c r="O50" s="11">
        <f>FLOOR('New Machine Info by Model'!O9*'Plant Machine Status &amp; Utilizat'!$C9, 1)</f>
        <v>55</v>
      </c>
      <c r="P50" s="20"/>
      <c r="Q50" s="11" t="s">
        <v>38</v>
      </c>
      <c r="R50" s="11">
        <f>FLOOR('New Machine Info by Model'!R9*'Plant Machine Status &amp; Utilizat'!$C9, 1)</f>
        <v>81</v>
      </c>
      <c r="S50" s="20"/>
      <c r="T50" s="11" t="s">
        <v>38</v>
      </c>
      <c r="U50" s="11">
        <f>FLOOR('New Machine Info by Model'!U9*'Plant Machine Status &amp; Utilizat'!$C9, 1)</f>
        <v>49</v>
      </c>
      <c r="V50" s="20"/>
      <c r="W50" s="11"/>
      <c r="X50" s="11"/>
      <c r="Y50" s="20"/>
      <c r="Z50" s="11" t="s">
        <v>38</v>
      </c>
      <c r="AA50" s="11">
        <f>FLOOR('New Machine Info by Model'!AA9*'Plant Machine Status &amp; Utilizat'!$C9, 1)</f>
        <v>84</v>
      </c>
      <c r="AB50" s="20"/>
      <c r="AC50" s="18" t="s">
        <v>38</v>
      </c>
      <c r="AD50" s="18">
        <f>FLOOR('New Machine Info by Model'!AD9*'Plant Machine Status &amp; Utilizat'!$C9, 1)</f>
        <v>47</v>
      </c>
      <c r="AE50" s="36" t="s">
        <v>22</v>
      </c>
      <c r="AF50" s="37">
        <f>CEILING($O$56/O50+$R$56/R50+$U$56/U50+$AA$56/AA50,1)</f>
        <v>32895</v>
      </c>
      <c r="AG50" s="38">
        <v>0.55000000000000004</v>
      </c>
      <c r="AH50" s="37">
        <f t="shared" si="5"/>
        <v>17</v>
      </c>
      <c r="AI50" s="37">
        <f>AH50*'New Machine Info by Model'!F23</f>
        <v>170</v>
      </c>
      <c r="AJ50" s="39">
        <f>C$57*52*AI50*'Plant Machine Status &amp; Utilizat'!$A$18</f>
        <v>3186820</v>
      </c>
      <c r="AK50" s="10" t="s">
        <v>32</v>
      </c>
      <c r="AL50" s="31">
        <v>301600</v>
      </c>
      <c r="AM50" s="10">
        <v>55.08</v>
      </c>
      <c r="AN50" s="32">
        <f t="shared" si="4"/>
        <v>16612128</v>
      </c>
    </row>
    <row r="51" spans="1:40" x14ac:dyDescent="0.25">
      <c r="A51" t="s">
        <v>23</v>
      </c>
      <c r="B51" s="18"/>
      <c r="C51" s="18"/>
      <c r="D51" s="20"/>
      <c r="E51" s="9"/>
      <c r="F51" s="19"/>
      <c r="G51" s="20"/>
      <c r="H51" s="18" t="s">
        <v>38</v>
      </c>
      <c r="I51" s="57">
        <f>'New Machine Info by Model'!I10</f>
        <v>21</v>
      </c>
      <c r="J51" s="20"/>
      <c r="K51" s="18" t="s">
        <v>38</v>
      </c>
      <c r="L51" s="57">
        <f>'New Machine Info by Model'!L10</f>
        <v>43</v>
      </c>
      <c r="M51" s="20"/>
      <c r="N51" s="19"/>
      <c r="O51" s="19"/>
      <c r="P51" s="20"/>
      <c r="Q51" s="19"/>
      <c r="R51" s="19"/>
      <c r="S51" s="20"/>
      <c r="T51" s="19"/>
      <c r="U51" s="19"/>
      <c r="V51" s="20"/>
      <c r="W51" s="19"/>
      <c r="X51" s="19"/>
      <c r="Y51" s="20"/>
      <c r="Z51" s="19"/>
      <c r="AA51" s="19"/>
      <c r="AB51" s="20"/>
      <c r="AC51" s="18" t="s">
        <v>38</v>
      </c>
      <c r="AD51" s="58">
        <f>'New Machine Info by Model'!AD10</f>
        <v>28</v>
      </c>
      <c r="AE51" s="35" t="s">
        <v>23</v>
      </c>
      <c r="AF51" s="40"/>
      <c r="AG51" s="41"/>
      <c r="AH51" s="42">
        <v>0</v>
      </c>
      <c r="AI51" s="42">
        <f>AH51*'New Machine Info by Model'!F24</f>
        <v>0</v>
      </c>
      <c r="AJ51" s="43">
        <f>C$57*52*AI51*'Plant Machine Status &amp; Utilizat'!$A$18</f>
        <v>0</v>
      </c>
      <c r="AK51" s="13" t="s">
        <v>33</v>
      </c>
      <c r="AL51" s="29">
        <v>97130</v>
      </c>
      <c r="AM51" s="13">
        <v>46.67</v>
      </c>
      <c r="AN51" s="30">
        <f t="shared" si="4"/>
        <v>4533057.1000000006</v>
      </c>
    </row>
    <row r="52" spans="1:40" x14ac:dyDescent="0.25">
      <c r="A52" s="10" t="s">
        <v>24</v>
      </c>
      <c r="B52" s="18"/>
      <c r="C52" s="18"/>
      <c r="D52" s="20"/>
      <c r="E52" s="11"/>
      <c r="F52" s="11"/>
      <c r="G52" s="20"/>
      <c r="H52" s="18"/>
      <c r="I52" s="18"/>
      <c r="J52" s="20"/>
      <c r="K52" s="18"/>
      <c r="L52" s="18"/>
      <c r="M52" s="20"/>
      <c r="N52" s="11"/>
      <c r="O52" s="11"/>
      <c r="P52" s="20"/>
      <c r="Q52" s="11" t="s">
        <v>38</v>
      </c>
      <c r="R52" s="11">
        <f>FLOOR('New Machine Info by Model'!R11*'Plant Machine Status &amp; Utilizat'!$C11, 1)</f>
        <v>88</v>
      </c>
      <c r="S52" s="20"/>
      <c r="T52" s="11" t="s">
        <v>38</v>
      </c>
      <c r="U52" s="11">
        <f>FLOOR('New Machine Info by Model'!U11*'Plant Machine Status &amp; Utilizat'!$C11, 1)</f>
        <v>58</v>
      </c>
      <c r="V52" s="20"/>
      <c r="W52" s="11" t="s">
        <v>38</v>
      </c>
      <c r="X52" s="11">
        <f>FLOOR('New Machine Info by Model'!X11*'Plant Machine Status &amp; Utilizat'!$C11, 1)</f>
        <v>78</v>
      </c>
      <c r="Y52" s="20"/>
      <c r="Z52" s="11" t="s">
        <v>38</v>
      </c>
      <c r="AA52" s="11">
        <f>FLOOR('New Machine Info by Model'!AA11*'Plant Machine Status &amp; Utilizat'!$C11, 1)</f>
        <v>43</v>
      </c>
      <c r="AB52" s="20"/>
      <c r="AC52" s="18" t="s">
        <v>38</v>
      </c>
      <c r="AD52" s="18">
        <f>FLOOR('New Machine Info by Model'!AD11*'Plant Machine Status &amp; Utilizat'!$C11, 1)</f>
        <v>25</v>
      </c>
      <c r="AE52" s="36" t="s">
        <v>24</v>
      </c>
      <c r="AF52" s="37">
        <f>CEILING($R$56/R52+$U$56/U52 +$X$56/X52 +$AA$56/AA52,1)</f>
        <v>28049</v>
      </c>
      <c r="AG52" s="38">
        <v>0.32</v>
      </c>
      <c r="AH52" s="37">
        <f t="shared" si="5"/>
        <v>25</v>
      </c>
      <c r="AI52" s="37">
        <f>AH52*'New Machine Info by Model'!F25</f>
        <v>25</v>
      </c>
      <c r="AJ52" s="39">
        <f>C$57*52*AI52*'Plant Machine Status &amp; Utilizat'!$A$18</f>
        <v>468650.00000000006</v>
      </c>
      <c r="AK52" s="10" t="s">
        <v>34</v>
      </c>
      <c r="AL52" s="31">
        <v>1093290</v>
      </c>
      <c r="AM52" s="10">
        <v>58.37</v>
      </c>
      <c r="AN52" s="32">
        <f t="shared" si="4"/>
        <v>63815337.299999997</v>
      </c>
    </row>
    <row r="53" spans="1:40" x14ac:dyDescent="0.25">
      <c r="A53" t="s">
        <v>25</v>
      </c>
      <c r="B53" s="18"/>
      <c r="C53" s="18"/>
      <c r="D53" s="20"/>
      <c r="E53" s="9"/>
      <c r="F53" s="19"/>
      <c r="G53" s="20"/>
      <c r="H53" s="18"/>
      <c r="I53" s="18"/>
      <c r="J53" s="20"/>
      <c r="K53" s="18" t="s">
        <v>38</v>
      </c>
      <c r="L53" s="18">
        <f>FLOOR('New Machine Info by Model'!L12*'Plant Machine Status &amp; Utilizat'!$C12, 1)</f>
        <v>59</v>
      </c>
      <c r="M53" s="20"/>
      <c r="N53" s="19"/>
      <c r="O53" s="19"/>
      <c r="P53" s="20"/>
      <c r="Q53" s="19"/>
      <c r="R53" s="19"/>
      <c r="S53" s="20"/>
      <c r="T53" s="19" t="s">
        <v>38</v>
      </c>
      <c r="U53" s="19">
        <f>FLOOR('New Machine Info by Model'!U12*'Plant Machine Status &amp; Utilizat'!$C12, 1)</f>
        <v>80</v>
      </c>
      <c r="V53" s="20"/>
      <c r="W53" s="19" t="s">
        <v>38</v>
      </c>
      <c r="X53" s="19">
        <f>FLOOR('New Machine Info by Model'!X12*'Plant Machine Status &amp; Utilizat'!$C12, 1)</f>
        <v>33</v>
      </c>
      <c r="Y53" s="20"/>
      <c r="Z53" s="19" t="s">
        <v>38</v>
      </c>
      <c r="AA53" s="19">
        <f>FLOOR('New Machine Info by Model'!AA12*'Plant Machine Status &amp; Utilizat'!$C12, 1)</f>
        <v>39</v>
      </c>
      <c r="AB53" s="20"/>
      <c r="AC53" s="18" t="s">
        <v>38</v>
      </c>
      <c r="AD53" s="18">
        <f>FLOOR('New Machine Info by Model'!AD12*'Plant Machine Status &amp; Utilizat'!$C12, 1)</f>
        <v>81</v>
      </c>
      <c r="AE53" s="35" t="s">
        <v>25</v>
      </c>
      <c r="AF53" s="40">
        <f>CEILING($U$56/U53 +$X$56/X53 +$AA$56/AA53,1)</f>
        <v>23192</v>
      </c>
      <c r="AG53" s="41">
        <v>0.78</v>
      </c>
      <c r="AH53" s="42">
        <f t="shared" si="5"/>
        <v>9</v>
      </c>
      <c r="AI53" s="42">
        <f>AH53*'New Machine Info by Model'!F26</f>
        <v>63</v>
      </c>
      <c r="AJ53" s="43">
        <f>C$57*52*AI53*'Plant Machine Status &amp; Utilizat'!$A$18</f>
        <v>1180998</v>
      </c>
      <c r="AK53" s="13" t="s">
        <v>35</v>
      </c>
      <c r="AL53" s="29">
        <v>37138</v>
      </c>
      <c r="AM53" s="13">
        <v>77.569999999999993</v>
      </c>
      <c r="AN53" s="30">
        <f t="shared" si="4"/>
        <v>2880794.6599999997</v>
      </c>
    </row>
    <row r="54" spans="1:40" x14ac:dyDescent="0.25">
      <c r="A54" s="10" t="s">
        <v>26</v>
      </c>
      <c r="B54" s="18"/>
      <c r="C54" s="18"/>
      <c r="D54" s="20"/>
      <c r="E54" s="11"/>
      <c r="F54" s="11"/>
      <c r="G54" s="20"/>
      <c r="H54" s="18"/>
      <c r="I54" s="18"/>
      <c r="J54" s="20"/>
      <c r="K54" s="18"/>
      <c r="L54" s="18"/>
      <c r="M54" s="20"/>
      <c r="N54" s="11"/>
      <c r="O54" s="11"/>
      <c r="P54" s="20"/>
      <c r="Q54" s="11"/>
      <c r="R54" s="11"/>
      <c r="S54" s="20"/>
      <c r="T54" s="11"/>
      <c r="U54" s="11"/>
      <c r="V54" s="20"/>
      <c r="W54" s="11" t="s">
        <v>38</v>
      </c>
      <c r="X54" s="11">
        <f>FLOOR('New Machine Info by Model'!X13*'Plant Machine Status &amp; Utilizat'!$C13, 1)</f>
        <v>54</v>
      </c>
      <c r="Y54" s="20"/>
      <c r="Z54" s="11"/>
      <c r="AA54" s="11"/>
      <c r="AB54" s="20"/>
      <c r="AC54" s="18"/>
      <c r="AD54" s="50"/>
      <c r="AE54" s="36" t="s">
        <v>26</v>
      </c>
      <c r="AF54" s="37">
        <f>CEILING($X$56/X54,1)</f>
        <v>688</v>
      </c>
      <c r="AG54" s="38">
        <v>0.69</v>
      </c>
      <c r="AH54" s="37">
        <f t="shared" si="5"/>
        <v>1</v>
      </c>
      <c r="AI54" s="37">
        <f>AH54*'New Machine Info by Model'!F27</f>
        <v>6</v>
      </c>
      <c r="AJ54" s="39">
        <f>C$57*52*AI54*'Plant Machine Status &amp; Utilizat'!$A$18</f>
        <v>112476.00000000001</v>
      </c>
      <c r="AK54" s="10" t="s">
        <v>36</v>
      </c>
      <c r="AL54" s="31">
        <v>327600</v>
      </c>
      <c r="AM54" s="10">
        <v>69.66</v>
      </c>
      <c r="AN54" s="32">
        <f t="shared" si="4"/>
        <v>22820616</v>
      </c>
    </row>
    <row r="55" spans="1:40" x14ac:dyDescent="0.25">
      <c r="A55" t="s">
        <v>27</v>
      </c>
      <c r="B55" s="18" t="s">
        <v>38</v>
      </c>
      <c r="C55" s="18">
        <f>FLOOR('New Machine Info by Model'!C14*'Plant Machine Status &amp; Utilizat'!$C14, 1)</f>
        <v>244</v>
      </c>
      <c r="D55" s="20"/>
      <c r="E55" s="9" t="s">
        <v>38</v>
      </c>
      <c r="F55" s="19">
        <f>FLOOR('New Machine Info by Model'!F14*'Plant Machine Status &amp; Utilizat'!$C14, 1)</f>
        <v>214</v>
      </c>
      <c r="G55" s="20"/>
      <c r="H55" s="18" t="s">
        <v>38</v>
      </c>
      <c r="I55" s="18">
        <f>FLOOR('New Machine Info by Model'!I14*'Plant Machine Status &amp; Utilizat'!$C14, 1)</f>
        <v>274</v>
      </c>
      <c r="J55" s="20"/>
      <c r="K55" s="18" t="s">
        <v>38</v>
      </c>
      <c r="L55" s="18">
        <f>FLOOR('New Machine Info by Model'!L14*'Plant Machine Status &amp; Utilizat'!$C14, 1)</f>
        <v>159</v>
      </c>
      <c r="M55" s="20"/>
      <c r="N55" s="19" t="s">
        <v>38</v>
      </c>
      <c r="O55" s="19">
        <f>FLOOR('New Machine Info by Model'!O14*'Plant Machine Status &amp; Utilizat'!$C14, 1)</f>
        <v>266</v>
      </c>
      <c r="P55" s="20"/>
      <c r="Q55" s="19" t="s">
        <v>38</v>
      </c>
      <c r="R55" s="19">
        <f>FLOOR('New Machine Info by Model'!R14*'Plant Machine Status &amp; Utilizat'!$C14, 1)</f>
        <v>215</v>
      </c>
      <c r="S55" s="20"/>
      <c r="T55" s="19" t="s">
        <v>38</v>
      </c>
      <c r="U55" s="19">
        <f>FLOOR('New Machine Info by Model'!U14*'Plant Machine Status &amp; Utilizat'!$C14, 1)</f>
        <v>173</v>
      </c>
      <c r="V55" s="20"/>
      <c r="W55" s="19" t="s">
        <v>38</v>
      </c>
      <c r="X55" s="19">
        <f>FLOOR('New Machine Info by Model'!X14*'Plant Machine Status &amp; Utilizat'!$C14, 1)</f>
        <v>184</v>
      </c>
      <c r="Y55" s="20"/>
      <c r="Z55" s="19" t="s">
        <v>38</v>
      </c>
      <c r="AA55" s="19">
        <f>FLOOR('New Machine Info by Model'!AA14*'Plant Machine Status &amp; Utilizat'!$C14, 1)</f>
        <v>162</v>
      </c>
      <c r="AB55" s="20"/>
      <c r="AC55" s="18" t="s">
        <v>38</v>
      </c>
      <c r="AD55" s="18">
        <f>FLOOR('New Machine Info by Model'!AD14*'Plant Machine Status &amp; Utilizat'!$C14, 1)</f>
        <v>278</v>
      </c>
      <c r="AE55" s="35" t="s">
        <v>27</v>
      </c>
      <c r="AF55" s="40">
        <f>CEILING($F$56/F55+$O$56/O55+$R$56/R55+$U$56/U55 +$X$56/X55 +$AA$56/AA55,1)</f>
        <v>12338</v>
      </c>
      <c r="AG55" s="41">
        <v>0.33</v>
      </c>
      <c r="AH55" s="42">
        <f t="shared" si="5"/>
        <v>11</v>
      </c>
      <c r="AI55" s="42">
        <f>AH55*'New Machine Info by Model'!F28</f>
        <v>22</v>
      </c>
      <c r="AJ55" s="43">
        <f>C$57*52*AI55*'Plant Machine Status &amp; Utilizat'!$A$18</f>
        <v>412412</v>
      </c>
      <c r="AK55" s="13" t="s">
        <v>37</v>
      </c>
      <c r="AL55" s="29">
        <v>0</v>
      </c>
      <c r="AM55" s="13">
        <v>73.98</v>
      </c>
      <c r="AN55" s="30">
        <f t="shared" si="4"/>
        <v>0</v>
      </c>
    </row>
    <row r="56" spans="1:40" x14ac:dyDescent="0.25">
      <c r="A56" s="13" t="s">
        <v>62</v>
      </c>
      <c r="F56">
        <v>472488</v>
      </c>
      <c r="O56">
        <v>301600</v>
      </c>
      <c r="R56">
        <v>97130</v>
      </c>
      <c r="U56">
        <v>1093290</v>
      </c>
      <c r="X56">
        <v>37138</v>
      </c>
      <c r="AA56">
        <v>327600</v>
      </c>
      <c r="AE56" s="44"/>
      <c r="AF56" s="40"/>
      <c r="AG56" s="41"/>
      <c r="AH56" s="40"/>
      <c r="AI56" s="28">
        <f>SUM(AI46:AI55)</f>
        <v>1221</v>
      </c>
      <c r="AJ56" s="45">
        <f>SUM(AJ46:AJ55)</f>
        <v>22888866</v>
      </c>
      <c r="AL56" s="27">
        <f>SUM(AL46:AL55)</f>
        <v>2329246</v>
      </c>
      <c r="AN56" s="25">
        <f>SUM(AN46:AN55)</f>
        <v>125134240.5</v>
      </c>
    </row>
    <row r="57" spans="1:40" x14ac:dyDescent="0.25">
      <c r="A57" t="s">
        <v>64</v>
      </c>
      <c r="C57">
        <v>70</v>
      </c>
      <c r="AE57" s="51"/>
      <c r="AF57" s="47"/>
      <c r="AG57" s="48"/>
      <c r="AH57" s="47"/>
      <c r="AI57" s="47"/>
      <c r="AJ57" s="49"/>
    </row>
    <row r="58" spans="1:40" x14ac:dyDescent="0.25">
      <c r="A58" s="53" t="s">
        <v>72</v>
      </c>
      <c r="C58" s="54">
        <f>((1/C46)*('New Machine Info by Model'!$F19)*('Plant Machine Status &amp; Utilizat'!$A$18))+((1/C47)*('New Machine Info by Model'!$F20)*('Plant Machine Status &amp; Utilizat'!$A$18))+((1/C48)*('New Machine Info by Model'!$F21)*('Plant Machine Status &amp; Utilizat'!$A$18))+((1/C55)*('New Machine Info by Model'!$F28)*('Plant Machine Status &amp; Utilizat'!$A$18))</f>
        <v>3.1426798523176105</v>
      </c>
      <c r="D58" s="61"/>
      <c r="E58" s="54"/>
      <c r="F58" s="54">
        <f>((1/F46)*('New Machine Info by Model'!$F19)*('Plant Machine Status &amp; Utilizat'!$A$18))+((1/F47)*('New Machine Info by Model'!$F20)*('Plant Machine Status &amp; Utilizat'!$A$18))+((1/F55)*('New Machine Info by Model'!$F28)*('Plant Machine Status &amp; Utilizat'!$A$18))</f>
        <v>3.4165092194998739</v>
      </c>
      <c r="G58" s="61"/>
      <c r="H58" s="54"/>
      <c r="I58" s="54">
        <f>((1/I46)*('New Machine Info by Model'!$F19)*('Plant Machine Status &amp; Utilizat'!$A$18))+((1/I47)*('New Machine Info by Model'!$F20)*('Plant Machine Status &amp; Utilizat'!$A$18))+((1/I48)*('New Machine Info by Model'!$F21)*('Plant Machine Status &amp; Utilizat'!$A$18))+((1/I51)*('New Machine Info by Model'!$F24)*('Plant Machine Status &amp; Utilizat'!$A$18))+((1/I55)*('New Machine Info by Model'!$F28)*('Plant Machine Status &amp; Utilizat'!$A$18))</f>
        <v>6.2305173874992423</v>
      </c>
      <c r="J58" s="61"/>
      <c r="K58" s="54"/>
      <c r="L58" s="54">
        <f>((1/L46)*('New Machine Info by Model'!$F19)*('Plant Machine Status &amp; Utilizat'!$A$18))+((1/L47)*('New Machine Info by Model'!$F20)*('Plant Machine Status &amp; Utilizat'!$A$18))+((1/L48)*('New Machine Info by Model'!$F21)*('Plant Machine Status &amp; Utilizat'!$A$18))+((1/L51)*('New Machine Info by Model'!$F24)*('Plant Machine Status &amp; Utilizat'!$A$18))+((1/L53)*('New Machine Info by Model'!$F26)*('Plant Machine Status &amp; Utilizat'!$A$18))+((1/L55)*('New Machine Info by Model'!$F28)*('Plant Machine Status &amp; Utilizat'!$A$18))</f>
        <v>5.2299852868465555</v>
      </c>
      <c r="M58" s="61"/>
      <c r="N58" s="54"/>
      <c r="O58" s="54">
        <f>((1/O46)*('New Machine Info by Model'!$F$19)*('Plant Machine Status &amp; Utilizat'!$A$18))+((1/O47)*('New Machine Info by Model'!$F$20)*('Plant Machine Status &amp; Utilizat'!$A$18))+((1/O48)*('New Machine Info by Model'!$F$21)*('Plant Machine Status &amp; Utilizat'!$A$18))+((1/O50)*('New Machine Info by Model'!$F$23)*('Plant Machine Status &amp; Utilizat'!$A$18))+((1/O55)*('New Machine Info by Model'!$F$28)*('Plant Machine Status &amp; Utilizat'!$A$18))</f>
        <v>5.3302979122845686</v>
      </c>
      <c r="P58" s="61"/>
      <c r="Q58" s="54"/>
      <c r="R58" s="54">
        <f>((1/R46)*('New Machine Info by Model'!$F$19)*('Plant Machine Status &amp; Utilizat'!$A$18))+((1/R47)*('New Machine Info by Model'!$F$20)*('Plant Machine Status &amp; Utilizat'!$A$18))+((1/R48)*('New Machine Info by Model'!$F$21)*('Plant Machine Status &amp; Utilizat'!$A$18))+((1/R50)*('New Machine Info by Model'!$F$23)*('Plant Machine Status &amp; Utilizat'!$A$18))+((1/R52)*('New Machine Info by Model'!$F$25)*('Plant Machine Status &amp; Utilizat'!$A$18))+((1/R55)*('New Machine Info by Model'!$F$28)*('Plant Machine Status &amp; Utilizat'!$A$18))</f>
        <v>5.6105061206816975</v>
      </c>
      <c r="S58" s="61"/>
      <c r="T58" s="54"/>
      <c r="U58" s="54">
        <f>((1/U46)*('New Machine Info by Model'!$F$19)*('Plant Machine Status &amp; Utilizat'!$A$18))+((1/U47)*('New Machine Info by Model'!$F$20)*('Plant Machine Status &amp; Utilizat'!$A$18))+((1/U48)*('New Machine Info by Model'!$F$21)*('Plant Machine Status &amp; Utilizat'!$A$18))+((1/U50)*('New Machine Info by Model'!$F$23)*('Plant Machine Status &amp; Utilizat'!$A$18))+((1/U52)*('New Machine Info by Model'!$F$25)*('Plant Machine Status &amp; Utilizat'!$A$18))+((1/U53)*('New Machine Info by Model'!$F$26)*('Plant Machine Status &amp; Utilizat'!$A$18))+((1/U55)*('New Machine Info by Model'!$F$28)*('Plant Machine Status &amp; Utilizat'!$A$18))</f>
        <v>7.5438649727547649</v>
      </c>
      <c r="X58" s="52">
        <f>((1/X46)*('New Machine Info by Model'!$F$19)*('Plant Machine Status &amp; Utilizat'!$A$18))+((1/X47)*('New Machine Info by Model'!$F$20)*('Plant Machine Status &amp; Utilizat'!$A$18))+((1/X48)*('New Machine Info by Model'!$F$21)*('Plant Machine Status &amp; Utilizat'!$A$18))+((1/X49)*('New Machine Info by Model'!$F$22)*('Plant Machine Status &amp; Utilizat'!$A$18))+((1/X52)*('New Machine Info by Model'!$F$25)*('Plant Machine Status &amp; Utilizat'!$A$18))+((1/X53)*('New Machine Info by Model'!$F$26)*('Plant Machine Status &amp; Utilizat'!$A$18))+((1/X54)*('New Machine Info by Model'!$F$27)*('Plant Machine Status &amp; Utilizat'!$A$18))+((1/X55)*('New Machine Info by Model'!$F$28)*('Plant Machine Status &amp; Utilizat'!$A$18))</f>
        <v>5.7354469377404742</v>
      </c>
      <c r="AA58" s="52">
        <f>((1/AA46)*('New Machine Info by Model'!$F$19)*('Plant Machine Status &amp; Utilizat'!$A$18))+((1/AA47)*('New Machine Info by Model'!$F$20)*('Plant Machine Status &amp; Utilizat'!$A$18))+((1/AA48)*('New Machine Info by Model'!$F$21)*('Plant Machine Status &amp; Utilizat'!$A$18))+((1/AA49)*('New Machine Info by Model'!$F$22)*('Plant Machine Status &amp; Utilizat'!$A$18))+((1/AA50)*('New Machine Info by Model'!$F$23)*('Plant Machine Status &amp; Utilizat'!$A$18))+((1/AA52)*('New Machine Info by Model'!$F$25)*('Plant Machine Status &amp; Utilizat'!$A$18))+((1/AA53)*('New Machine Info by Model'!$F$26)*('Plant Machine Status &amp; Utilizat'!$A$18))+((1/AA55)*('New Machine Info by Model'!$F$28)*('Plant Machine Status &amp; Utilizat'!$A$18))</f>
        <v>6.1474609921373489</v>
      </c>
      <c r="AD58" s="54">
        <f>((1/AD46)*('New Machine Info by Model'!$F$19)*('Plant Machine Status &amp; Utilizat'!$A$18))+((1/AD47)*('New Machine Info by Model'!$F$20)*('Plant Machine Status &amp; Utilizat'!$A$18))+((1/AD48)*('New Machine Info by Model'!$F$21)*('Plant Machine Status &amp; Utilizat'!$A$18))+((1/AD49)*('New Machine Info by Model'!$F$22)*('Plant Machine Status &amp; Utilizat'!$A$18))+((1/AD50)*('New Machine Info by Model'!$F$23)*('Plant Machine Status &amp; Utilizat'!$A$18))+((1/AD51)*('New Machine Info by Model'!$F$24)*('Plant Machine Status &amp; Utilizat'!$A$18))+((1/AD52)*('New Machine Info by Model'!$F$25)*('Plant Machine Status &amp; Utilizat'!$A$18))+((1/AD53)*('New Machine Info by Model'!$F$26)*('Plant Machine Status &amp; Utilizat'!$A$18))+((1/AD55)*('New Machine Info by Model'!$F$28)*('Plant Machine Status &amp; Utilizat'!$A$18))</f>
        <v>8.7736099458889534</v>
      </c>
    </row>
    <row r="59" spans="1:40" x14ac:dyDescent="0.25">
      <c r="A59" s="53" t="s">
        <v>73</v>
      </c>
      <c r="C59" s="62">
        <v>2.29</v>
      </c>
      <c r="D59" s="61"/>
      <c r="E59" s="54"/>
      <c r="F59" s="54">
        <f>7.06 - (($F$14*$F$16) + ($F$56*$F$58))/($F$14+$F$56)</f>
        <v>0.39288354563060768</v>
      </c>
      <c r="G59" s="61"/>
      <c r="H59" s="54"/>
      <c r="I59" s="63">
        <v>1</v>
      </c>
      <c r="J59" s="61"/>
      <c r="K59" s="54"/>
      <c r="L59" s="62">
        <v>13.711877516981033</v>
      </c>
      <c r="M59" s="61"/>
      <c r="N59" s="54"/>
      <c r="O59" s="54">
        <f>10.51 - (($O$56*$O$57) + ($O$35*$O$37))/($O$56+$O$35)</f>
        <v>6.775321106499721</v>
      </c>
      <c r="P59" s="61"/>
      <c r="Q59" s="54"/>
      <c r="R59" s="54">
        <f>10.51 - (($R$56*$R$57) + ($R$35*$R$37))/($R$56+$R$35)</f>
        <v>6.4954267082484094</v>
      </c>
      <c r="S59" s="61"/>
      <c r="T59" s="54"/>
      <c r="U59" s="54">
        <f>29.82 - U58</f>
        <v>22.276135027245235</v>
      </c>
      <c r="X59" s="52">
        <f>43.42 - (($X$35*$X$37) + ($X$56*$X$58))/($X$35+$X$56)</f>
        <v>36.330143275834743</v>
      </c>
      <c r="AA59" s="52">
        <f>36.59 - (($AA$35*$AA$37) + ($AA$56*$AA$58))/($AA$35+$AA$56)</f>
        <v>28.888820437997484</v>
      </c>
      <c r="AD59" s="52">
        <v>26.57</v>
      </c>
    </row>
    <row r="60" spans="1:40" x14ac:dyDescent="0.25">
      <c r="A60" s="53" t="s">
        <v>74</v>
      </c>
      <c r="C60" s="54">
        <v>15.129656082754867</v>
      </c>
      <c r="D60" s="61"/>
      <c r="E60" s="54"/>
      <c r="F60" s="54">
        <v>23.579780162089698</v>
      </c>
      <c r="G60" s="61"/>
      <c r="H60" s="54"/>
      <c r="I60" s="54">
        <v>20.489693079467493</v>
      </c>
      <c r="J60" s="61"/>
      <c r="K60" s="54"/>
      <c r="L60" s="54">
        <v>25.730417551820054</v>
      </c>
      <c r="M60" s="61"/>
      <c r="N60" s="54"/>
      <c r="O60" s="54">
        <v>32.95614222783631</v>
      </c>
      <c r="P60" s="61"/>
      <c r="Q60" s="54"/>
      <c r="R60" s="54">
        <v>25.327156503554267</v>
      </c>
      <c r="S60" s="61"/>
      <c r="T60" s="54"/>
      <c r="U60" s="54">
        <v>28.546753054048732</v>
      </c>
      <c r="X60" s="52">
        <v>34.130000000000003</v>
      </c>
      <c r="AA60" s="52">
        <v>33.07</v>
      </c>
      <c r="AD60" s="52">
        <v>34.840000000000003</v>
      </c>
    </row>
    <row r="61" spans="1:40" x14ac:dyDescent="0.25">
      <c r="A61" s="53" t="s">
        <v>76</v>
      </c>
      <c r="C61" s="54">
        <f>'Shipping Information'!$C$9</f>
        <v>0.78419291467255337</v>
      </c>
      <c r="D61" s="61"/>
      <c r="E61" s="54"/>
      <c r="F61" s="54">
        <f>'Shipping Information'!$C$9</f>
        <v>0.78419291467255337</v>
      </c>
      <c r="G61" s="61"/>
      <c r="H61" s="54"/>
      <c r="I61" s="54">
        <f>'Shipping Information'!$C$9</f>
        <v>0.78419291467255337</v>
      </c>
      <c r="J61" s="61"/>
      <c r="K61" s="54"/>
      <c r="L61" s="54">
        <f>'Shipping Information'!$C$9</f>
        <v>0.78419291467255337</v>
      </c>
      <c r="M61" s="61"/>
      <c r="N61" s="54"/>
      <c r="O61" s="54">
        <f>'Shipping Information'!$C$9</f>
        <v>0.78419291467255337</v>
      </c>
      <c r="P61" s="61"/>
      <c r="Q61" s="54"/>
      <c r="R61" s="54">
        <f>'Shipping Information'!$C$9</f>
        <v>0.78419291467255337</v>
      </c>
      <c r="S61" s="61"/>
      <c r="T61" s="54"/>
      <c r="U61" s="54">
        <f>'Shipping Information'!$C$9</f>
        <v>0.78419291467255337</v>
      </c>
      <c r="X61" s="52">
        <f>'Shipping Information'!$C$9</f>
        <v>0.78419291467255337</v>
      </c>
      <c r="AA61" s="52">
        <f>'Shipping Information'!$C$9</f>
        <v>0.78419291467255337</v>
      </c>
      <c r="AD61" s="52">
        <f>'Shipping Information'!$C$9</f>
        <v>0.78419291467255337</v>
      </c>
      <c r="AF61" s="14"/>
      <c r="AH61" s="14"/>
      <c r="AI61" s="14"/>
    </row>
    <row r="62" spans="1:40" x14ac:dyDescent="0.25">
      <c r="A62" s="53" t="s">
        <v>75</v>
      </c>
      <c r="C62" s="56">
        <f>SUM(C58:C61)</f>
        <v>21.346528849745027</v>
      </c>
      <c r="F62" s="55">
        <f>SUM(F58:F61)</f>
        <v>28.173365841892732</v>
      </c>
      <c r="I62" s="55">
        <f>SUM(I58:I61)</f>
        <v>28.504403381639285</v>
      </c>
      <c r="L62" s="55">
        <f>SUM(L58:L61)</f>
        <v>45.456473270320195</v>
      </c>
      <c r="O62" s="55">
        <f>SUM(O58:O61)</f>
        <v>45.84595416129315</v>
      </c>
      <c r="R62" s="55">
        <f>SUM(R58:R61)</f>
        <v>38.217282247156923</v>
      </c>
      <c r="U62" s="55">
        <f>SUM(U58:U61)</f>
        <v>59.150945968721281</v>
      </c>
      <c r="X62" s="55">
        <f>SUM(X58:X61)</f>
        <v>76.979783128247789</v>
      </c>
      <c r="AA62" s="55">
        <f>SUM(AA58:AA61)</f>
        <v>68.890474344807387</v>
      </c>
      <c r="AD62" s="56">
        <f>SUM(AD58:AD61)</f>
        <v>70.96780286056152</v>
      </c>
    </row>
  </sheetData>
  <mergeCells count="54">
    <mergeCell ref="AL2:AL3"/>
    <mergeCell ref="AL23:AL24"/>
    <mergeCell ref="AL44:AL45"/>
    <mergeCell ref="AM2:AM3"/>
    <mergeCell ref="AN2:AN3"/>
    <mergeCell ref="AM23:AM24"/>
    <mergeCell ref="AN23:AN24"/>
    <mergeCell ref="AM44:AM45"/>
    <mergeCell ref="AN44:AN45"/>
    <mergeCell ref="AI2:AI3"/>
    <mergeCell ref="AI23:AI24"/>
    <mergeCell ref="AI44:AI45"/>
    <mergeCell ref="AJ2:AJ3"/>
    <mergeCell ref="AJ23:AJ24"/>
    <mergeCell ref="AJ44:AJ45"/>
    <mergeCell ref="AF2:AF3"/>
    <mergeCell ref="AF23:AF24"/>
    <mergeCell ref="AF44:AF45"/>
    <mergeCell ref="AH2:AH3"/>
    <mergeCell ref="AH23:AH24"/>
    <mergeCell ref="AH44:AH45"/>
    <mergeCell ref="AG2:AG3"/>
    <mergeCell ref="AG23:AG24"/>
    <mergeCell ref="AG44:AG45"/>
    <mergeCell ref="B2:C2"/>
    <mergeCell ref="E2:F2"/>
    <mergeCell ref="H2:I2"/>
    <mergeCell ref="K2:L2"/>
    <mergeCell ref="N2:O2"/>
    <mergeCell ref="B23:C23"/>
    <mergeCell ref="E23:F23"/>
    <mergeCell ref="H23:I23"/>
    <mergeCell ref="K23:L23"/>
    <mergeCell ref="N23:O23"/>
    <mergeCell ref="Q44:R44"/>
    <mergeCell ref="T2:U2"/>
    <mergeCell ref="W2:X2"/>
    <mergeCell ref="Z2:AA2"/>
    <mergeCell ref="AC2:AD2"/>
    <mergeCell ref="Q23:R23"/>
    <mergeCell ref="Q2:R2"/>
    <mergeCell ref="T44:U44"/>
    <mergeCell ref="W44:X44"/>
    <mergeCell ref="Z44:AA44"/>
    <mergeCell ref="AC44:AD44"/>
    <mergeCell ref="T23:U23"/>
    <mergeCell ref="W23:X23"/>
    <mergeCell ref="Z23:AA23"/>
    <mergeCell ref="AC23:AD23"/>
    <mergeCell ref="B44:C44"/>
    <mergeCell ref="E44:F44"/>
    <mergeCell ref="H44:I44"/>
    <mergeCell ref="K44:L44"/>
    <mergeCell ref="N44:O44"/>
  </mergeCells>
  <pageMargins left="0.25" right="0.25" top="0.75" bottom="0.75" header="0.3" footer="0.3"/>
  <pageSetup scale="28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I26" sqref="I26"/>
    </sheetView>
  </sheetViews>
  <sheetFormatPr defaultRowHeight="15" x14ac:dyDescent="0.25"/>
  <cols>
    <col min="1" max="1" width="11.85546875" customWidth="1"/>
    <col min="4" max="4" width="10.140625" bestFit="1" customWidth="1"/>
    <col min="6" max="6" width="11" bestFit="1" customWidth="1"/>
    <col min="11" max="11" width="11" bestFit="1" customWidth="1"/>
  </cols>
  <sheetData>
    <row r="1" spans="1:14" x14ac:dyDescent="0.25">
      <c r="A1" t="s">
        <v>43</v>
      </c>
    </row>
    <row r="3" spans="1:14" x14ac:dyDescent="0.25">
      <c r="A3" t="s">
        <v>44</v>
      </c>
      <c r="F3" t="s">
        <v>47</v>
      </c>
      <c r="K3" t="s">
        <v>48</v>
      </c>
    </row>
    <row r="4" spans="1:14" x14ac:dyDescent="0.25">
      <c r="B4" t="s">
        <v>45</v>
      </c>
      <c r="C4" t="s">
        <v>61</v>
      </c>
      <c r="D4" t="s">
        <v>46</v>
      </c>
      <c r="G4" t="s">
        <v>45</v>
      </c>
      <c r="H4" t="s">
        <v>61</v>
      </c>
      <c r="I4" t="s">
        <v>46</v>
      </c>
      <c r="L4" t="s">
        <v>45</v>
      </c>
      <c r="M4" t="s">
        <v>61</v>
      </c>
      <c r="N4" t="s">
        <v>46</v>
      </c>
    </row>
    <row r="5" spans="1:14" x14ac:dyDescent="0.25">
      <c r="A5" t="s">
        <v>18</v>
      </c>
      <c r="B5">
        <v>1</v>
      </c>
      <c r="C5" s="4">
        <f>1 - B5*0.1</f>
        <v>0.9</v>
      </c>
      <c r="D5" s="4">
        <v>0.65</v>
      </c>
      <c r="F5" t="s">
        <v>18</v>
      </c>
      <c r="G5">
        <v>2</v>
      </c>
      <c r="H5" s="4">
        <f>1 - G5*0.1</f>
        <v>0.8</v>
      </c>
      <c r="I5" s="3">
        <v>0.45</v>
      </c>
      <c r="K5" t="s">
        <v>18</v>
      </c>
      <c r="L5">
        <v>5</v>
      </c>
      <c r="M5" s="4">
        <f>1 - L5*0.1</f>
        <v>0.5</v>
      </c>
      <c r="N5" s="4">
        <v>1</v>
      </c>
    </row>
    <row r="6" spans="1:14" x14ac:dyDescent="0.25">
      <c r="A6" t="s">
        <v>19</v>
      </c>
      <c r="B6">
        <v>1</v>
      </c>
      <c r="C6" s="4">
        <f>1 - B6*0.04</f>
        <v>0.96</v>
      </c>
      <c r="D6" s="4">
        <v>0.75</v>
      </c>
      <c r="F6" t="s">
        <v>19</v>
      </c>
      <c r="G6">
        <v>2</v>
      </c>
      <c r="H6" s="4">
        <f>1 - G6*0.04</f>
        <v>0.92</v>
      </c>
      <c r="I6" s="3">
        <v>0.67</v>
      </c>
      <c r="K6" t="s">
        <v>19</v>
      </c>
      <c r="L6">
        <v>4</v>
      </c>
      <c r="M6" s="4">
        <f>1 - L6*0.04</f>
        <v>0.84</v>
      </c>
      <c r="N6" s="4">
        <v>1</v>
      </c>
    </row>
    <row r="7" spans="1:14" x14ac:dyDescent="0.25">
      <c r="A7" t="s">
        <v>20</v>
      </c>
      <c r="B7">
        <v>1</v>
      </c>
      <c r="C7" s="4">
        <f>1 - B7*0.12</f>
        <v>0.88</v>
      </c>
      <c r="D7" s="4">
        <v>0.32</v>
      </c>
      <c r="F7" t="s">
        <v>20</v>
      </c>
      <c r="G7">
        <v>2</v>
      </c>
      <c r="H7" s="4">
        <f>1 - G7*0.12</f>
        <v>0.76</v>
      </c>
      <c r="I7" s="3">
        <v>0.53</v>
      </c>
      <c r="K7" t="s">
        <v>20</v>
      </c>
      <c r="L7">
        <v>6</v>
      </c>
      <c r="M7" s="4">
        <f>1 - L7*0.12</f>
        <v>0.28000000000000003</v>
      </c>
      <c r="N7" s="4">
        <v>0.96</v>
      </c>
    </row>
    <row r="8" spans="1:14" x14ac:dyDescent="0.25">
      <c r="A8" t="s">
        <v>21</v>
      </c>
      <c r="B8">
        <v>1</v>
      </c>
      <c r="C8" s="4">
        <f>1 - B8*0.08</f>
        <v>0.92</v>
      </c>
      <c r="D8" s="4">
        <v>0.48</v>
      </c>
      <c r="F8" t="s">
        <v>21</v>
      </c>
      <c r="G8">
        <v>2</v>
      </c>
      <c r="H8" s="4">
        <f>1 - G8*0.08</f>
        <v>0.84</v>
      </c>
      <c r="I8" s="3">
        <v>0.65</v>
      </c>
      <c r="K8" t="s">
        <v>21</v>
      </c>
      <c r="M8" s="4"/>
    </row>
    <row r="9" spans="1:14" x14ac:dyDescent="0.25">
      <c r="A9" t="s">
        <v>22</v>
      </c>
      <c r="B9">
        <v>1</v>
      </c>
      <c r="C9" s="4">
        <f>1 - B9*0.06</f>
        <v>0.94</v>
      </c>
      <c r="D9" s="4">
        <v>0.55000000000000004</v>
      </c>
      <c r="F9" t="s">
        <v>22</v>
      </c>
      <c r="G9">
        <v>2</v>
      </c>
      <c r="H9" s="4">
        <f>1 - G9*0.06</f>
        <v>0.88</v>
      </c>
      <c r="I9" s="3">
        <v>0.56999999999999995</v>
      </c>
      <c r="K9" t="s">
        <v>22</v>
      </c>
      <c r="M9" s="4"/>
    </row>
    <row r="10" spans="1:14" x14ac:dyDescent="0.25">
      <c r="A10" t="s">
        <v>23</v>
      </c>
      <c r="C10" s="4"/>
      <c r="D10" s="4"/>
      <c r="F10" t="s">
        <v>23</v>
      </c>
      <c r="G10">
        <v>2</v>
      </c>
      <c r="H10" s="4">
        <f>1 - G10*0.01</f>
        <v>0.98</v>
      </c>
      <c r="I10" s="3">
        <v>0.68</v>
      </c>
      <c r="K10" t="s">
        <v>23</v>
      </c>
      <c r="L10">
        <v>4</v>
      </c>
      <c r="M10" s="4">
        <f>1 - L10*0.01</f>
        <v>0.96</v>
      </c>
      <c r="N10" s="4">
        <v>0.95</v>
      </c>
    </row>
    <row r="11" spans="1:14" x14ac:dyDescent="0.25">
      <c r="A11" t="s">
        <v>24</v>
      </c>
      <c r="B11">
        <v>1</v>
      </c>
      <c r="C11" s="4">
        <f>1 - B11*0.07</f>
        <v>0.92999999999999994</v>
      </c>
      <c r="D11" s="4">
        <v>0.32</v>
      </c>
      <c r="F11" t="s">
        <v>24</v>
      </c>
      <c r="G11">
        <v>2</v>
      </c>
      <c r="H11" s="4">
        <f>1 - G11*0.07</f>
        <v>0.86</v>
      </c>
      <c r="I11" s="3">
        <v>0.53</v>
      </c>
      <c r="K11" t="s">
        <v>24</v>
      </c>
      <c r="M11" s="4"/>
    </row>
    <row r="12" spans="1:14" x14ac:dyDescent="0.25">
      <c r="A12" t="s">
        <v>25</v>
      </c>
      <c r="B12">
        <v>1</v>
      </c>
      <c r="C12" s="4">
        <f>1 - B12*0.1</f>
        <v>0.9</v>
      </c>
      <c r="D12" s="4">
        <v>0.78</v>
      </c>
      <c r="F12" t="s">
        <v>25</v>
      </c>
      <c r="G12">
        <v>2</v>
      </c>
      <c r="H12" s="4">
        <f>1 - G12*0.1</f>
        <v>0.8</v>
      </c>
      <c r="I12" s="3">
        <v>0.59</v>
      </c>
      <c r="K12" t="s">
        <v>25</v>
      </c>
      <c r="L12">
        <v>5</v>
      </c>
      <c r="M12" s="4">
        <f>1 - L12*0.1</f>
        <v>0.5</v>
      </c>
      <c r="N12" s="4">
        <v>0.8</v>
      </c>
    </row>
    <row r="13" spans="1:14" x14ac:dyDescent="0.25">
      <c r="A13" t="s">
        <v>26</v>
      </c>
      <c r="B13">
        <v>1</v>
      </c>
      <c r="C13" s="4">
        <f>1 - B13*0.03</f>
        <v>0.97</v>
      </c>
      <c r="D13" s="4">
        <v>0.69</v>
      </c>
      <c r="F13" t="s">
        <v>26</v>
      </c>
      <c r="G13">
        <v>2</v>
      </c>
      <c r="H13" s="4">
        <f>1 - G13*0.03</f>
        <v>0.94</v>
      </c>
      <c r="I13" s="3">
        <v>0.66</v>
      </c>
      <c r="K13" t="s">
        <v>26</v>
      </c>
      <c r="M13" s="4"/>
    </row>
    <row r="14" spans="1:14" x14ac:dyDescent="0.25">
      <c r="A14" t="s">
        <v>27</v>
      </c>
      <c r="B14">
        <v>1</v>
      </c>
      <c r="C14" s="4">
        <f t="shared" ref="C14" si="0">1 - B14*0.06</f>
        <v>0.94</v>
      </c>
      <c r="D14" s="4">
        <v>0.33</v>
      </c>
      <c r="F14" t="s">
        <v>27</v>
      </c>
      <c r="G14">
        <v>2</v>
      </c>
      <c r="H14" s="4">
        <f t="shared" ref="H14" si="1">1 - G14*0.06</f>
        <v>0.88</v>
      </c>
      <c r="I14" s="3">
        <v>0.51</v>
      </c>
      <c r="K14" t="s">
        <v>27</v>
      </c>
      <c r="L14">
        <v>4</v>
      </c>
      <c r="M14" s="4">
        <f t="shared" ref="M14" si="2">1 - L14*0.06</f>
        <v>0.76</v>
      </c>
      <c r="N14" s="4">
        <v>0.95</v>
      </c>
    </row>
    <row r="17" spans="1:11" x14ac:dyDescent="0.25">
      <c r="A17" t="s">
        <v>59</v>
      </c>
      <c r="F17" t="s">
        <v>59</v>
      </c>
      <c r="K17" t="s">
        <v>59</v>
      </c>
    </row>
    <row r="18" spans="1:11" x14ac:dyDescent="0.25">
      <c r="A18" s="2">
        <v>5.15</v>
      </c>
      <c r="F18" s="2">
        <v>7.11</v>
      </c>
      <c r="K18" s="2">
        <v>12.41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4"/>
  <sheetViews>
    <sheetView workbookViewId="0">
      <selection activeCell="G18" sqref="G18"/>
    </sheetView>
  </sheetViews>
  <sheetFormatPr defaultRowHeight="15" x14ac:dyDescent="0.25"/>
  <sheetData>
    <row r="1" spans="1:11" x14ac:dyDescent="0.25">
      <c r="A1" t="s">
        <v>55</v>
      </c>
    </row>
    <row r="3" spans="1:11" x14ac:dyDescent="0.25">
      <c r="A3" t="s">
        <v>54</v>
      </c>
      <c r="G3" t="s">
        <v>56</v>
      </c>
    </row>
    <row r="5" spans="1:11" x14ac:dyDescent="0.25">
      <c r="C5" s="64" t="s">
        <v>53</v>
      </c>
      <c r="D5" s="64"/>
      <c r="E5" s="64"/>
      <c r="I5" s="64" t="s">
        <v>53</v>
      </c>
      <c r="J5" s="64"/>
      <c r="K5" s="64"/>
    </row>
    <row r="6" spans="1:11" x14ac:dyDescent="0.25">
      <c r="C6" t="s">
        <v>44</v>
      </c>
      <c r="D6" t="s">
        <v>47</v>
      </c>
      <c r="E6" t="s">
        <v>48</v>
      </c>
      <c r="I6" t="s">
        <v>44</v>
      </c>
      <c r="J6" t="s">
        <v>47</v>
      </c>
      <c r="K6" t="s">
        <v>48</v>
      </c>
    </row>
    <row r="7" spans="1:11" x14ac:dyDescent="0.25">
      <c r="A7" s="75" t="s">
        <v>49</v>
      </c>
      <c r="B7" t="s">
        <v>50</v>
      </c>
      <c r="C7" s="2">
        <v>0.94848822269705213</v>
      </c>
      <c r="D7" s="2">
        <v>0.59261478764014841</v>
      </c>
      <c r="E7" s="2">
        <v>0.81971122459357559</v>
      </c>
      <c r="G7" s="75" t="s">
        <v>49</v>
      </c>
      <c r="H7" t="s">
        <v>50</v>
      </c>
      <c r="I7" s="5">
        <v>5</v>
      </c>
      <c r="J7" s="5">
        <v>1</v>
      </c>
      <c r="K7" s="5">
        <v>2</v>
      </c>
    </row>
    <row r="8" spans="1:11" x14ac:dyDescent="0.25">
      <c r="A8" s="75"/>
      <c r="B8" t="s">
        <v>51</v>
      </c>
      <c r="C8" s="2">
        <v>0.55412750451819726</v>
      </c>
      <c r="D8" s="2">
        <v>1.0958612067526423</v>
      </c>
      <c r="E8" s="2">
        <v>0.93608678325352423</v>
      </c>
      <c r="G8" s="75"/>
      <c r="H8" t="s">
        <v>51</v>
      </c>
      <c r="I8" s="5">
        <v>1</v>
      </c>
      <c r="J8" s="5">
        <v>2</v>
      </c>
      <c r="K8" s="5">
        <v>1</v>
      </c>
    </row>
    <row r="9" spans="1:11" x14ac:dyDescent="0.25">
      <c r="A9" s="75"/>
      <c r="B9" t="s">
        <v>52</v>
      </c>
      <c r="C9" s="2">
        <v>0.78419291467255337</v>
      </c>
      <c r="D9" s="2">
        <v>1.0542467482312521</v>
      </c>
      <c r="E9" s="2">
        <v>0.50558843627397709</v>
      </c>
      <c r="G9" s="75"/>
      <c r="H9" t="s">
        <v>52</v>
      </c>
      <c r="I9" s="5">
        <v>4</v>
      </c>
      <c r="J9" s="5">
        <v>3</v>
      </c>
      <c r="K9" s="5">
        <v>1</v>
      </c>
    </row>
    <row r="24" spans="16:16" x14ac:dyDescent="0.25">
      <c r="P24" t="s">
        <v>57</v>
      </c>
    </row>
  </sheetData>
  <mergeCells count="4">
    <mergeCell ref="C5:E5"/>
    <mergeCell ref="A7:A9"/>
    <mergeCell ref="I5:K5"/>
    <mergeCell ref="G7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Report</vt:lpstr>
      <vt:lpstr>New Machine Info by Model</vt:lpstr>
      <vt:lpstr>Actual Machine Info</vt:lpstr>
      <vt:lpstr>Plant Machine Status &amp; Utilizat</vt:lpstr>
      <vt:lpstr>Shipping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Hyland</dc:creator>
  <cp:lastModifiedBy>Mitch Beckner</cp:lastModifiedBy>
  <cp:lastPrinted>2020-11-28T17:25:40Z</cp:lastPrinted>
  <dcterms:created xsi:type="dcterms:W3CDTF">2017-02-04T16:38:15Z</dcterms:created>
  <dcterms:modified xsi:type="dcterms:W3CDTF">2020-11-30T02:39:07Z</dcterms:modified>
</cp:coreProperties>
</file>