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c38c1b04b5f19/ANLT-540-Group/Plan Materials/"/>
    </mc:Choice>
  </mc:AlternateContent>
  <xr:revisionPtr revIDLastSave="15" documentId="8_{46CBE1B5-350D-46D7-A62D-3E7DDAE3E435}" xr6:coauthVersionLast="45" xr6:coauthVersionMax="45" xr10:uidLastSave="{89CCB1FA-502A-47F4-B0CC-21A1BCFD84EF}"/>
  <bookViews>
    <workbookView xWindow="-120" yWindow="-120" windowWidth="29040" windowHeight="16440" xr2:uid="{28A0BAB3-AF74-4B15-9433-E338786AF294}"/>
  </bookViews>
  <sheets>
    <sheet name="Sheet1" sheetId="1" r:id="rId1"/>
  </sheets>
  <definedNames>
    <definedName name="solver_adj" localSheetId="0" hidden="1">Sheet1!$C$3:$L$8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Sheet1!$C$10:$C$39</definedName>
    <definedName name="solver_lhs2" localSheetId="0" hidden="1">Sheet1!$O$10:$O$19</definedName>
    <definedName name="solver_lhs3" localSheetId="0" hidden="1">Sheet1!$O$10:$O$19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Sheet1!$O$3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Sheet1!$E$10:$E$39</definedName>
    <definedName name="solver_rhs2" localSheetId="0" hidden="1">Sheet1!$S$10:$S$19</definedName>
    <definedName name="solver_rhs3" localSheetId="0" hidden="1">Sheet1!$Q$10:$Q$19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O14" i="1"/>
  <c r="O13" i="1"/>
  <c r="O12" i="1"/>
  <c r="O11" i="1"/>
  <c r="O10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3" i="1"/>
  <c r="L22" i="1"/>
  <c r="L21" i="1"/>
  <c r="L20" i="1"/>
  <c r="L19" i="1"/>
  <c r="L18" i="1"/>
  <c r="L17" i="1"/>
  <c r="L16" i="1"/>
  <c r="L15" i="1"/>
  <c r="K23" i="1"/>
  <c r="K22" i="1"/>
  <c r="K21" i="1"/>
  <c r="K20" i="1"/>
  <c r="K19" i="1"/>
  <c r="K18" i="1"/>
  <c r="K17" i="1"/>
  <c r="K16" i="1"/>
  <c r="K15" i="1"/>
  <c r="J23" i="1"/>
  <c r="J22" i="1"/>
  <c r="J21" i="1"/>
  <c r="J20" i="1"/>
  <c r="J19" i="1"/>
  <c r="J18" i="1"/>
  <c r="J17" i="1"/>
  <c r="J16" i="1"/>
  <c r="J15" i="1"/>
  <c r="J14" i="1"/>
  <c r="L14" i="1"/>
  <c r="K14" i="1"/>
  <c r="O23" i="1" l="1"/>
  <c r="O3" i="1"/>
  <c r="F39" i="1" l="1"/>
  <c r="E39" i="1" s="1"/>
  <c r="F38" i="1"/>
  <c r="E38" i="1" s="1"/>
  <c r="F37" i="1"/>
  <c r="E37" i="1" s="1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 s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<sst xmlns="http://schemas.openxmlformats.org/spreadsheetml/2006/main" count="147" uniqueCount="37">
  <si>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</si>
  <si>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</si>
  <si>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</si>
  <si>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</si>
  <si>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</si>
  <si>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</si>
  <si>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</si>
  <si>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</si>
  <si>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</si>
  <si>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</si>
  <si>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Australia</t>
  </si>
  <si>
    <t>Poland</t>
  </si>
  <si>
    <t>Mexico</t>
  </si>
  <si>
    <t>Machine_1</t>
  </si>
  <si>
    <t>Machine_2</t>
  </si>
  <si>
    <t>Machine_3</t>
  </si>
  <si>
    <t>Machine_4</t>
  </si>
  <si>
    <t>Machine_5</t>
  </si>
  <si>
    <t>Machine_6</t>
  </si>
  <si>
    <t>Machine_7</t>
  </si>
  <si>
    <t>Machine_8</t>
  </si>
  <si>
    <t>Machine_9</t>
  </si>
  <si>
    <t>Machine_10</t>
  </si>
  <si>
    <t>Model Production</t>
  </si>
  <si>
    <t>&lt;=</t>
  </si>
  <si>
    <t>Machine Hour Constraints</t>
  </si>
  <si>
    <t>Total Profit</t>
  </si>
  <si>
    <t># Mach.</t>
  </si>
  <si>
    <t>Curr. Mach.</t>
  </si>
  <si>
    <t>New Machines</t>
  </si>
  <si>
    <t>Hrs/Wk</t>
  </si>
  <si>
    <t>New Phones</t>
  </si>
  <si>
    <t>New Machine Cost</t>
  </si>
  <si>
    <t>Phone Profits</t>
  </si>
  <si>
    <t>Model Production Constraints</t>
  </si>
  <si>
    <t>&gt;=</t>
  </si>
  <si>
    <t>Total Unit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</si>
</sst>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4" xfId="0" applyFont="1" applyBorder="1"/>
    <xf numFmtId="0" fontId="0" fillId="0" borderId="16" xfId="0" applyBorder="1"/>
    <xf numFmtId="0" fontId="0" fillId="0" borderId="17" xfId="0" applyBorder="1"/>
    <xf numFmtId="0" fontId="1" fillId="0" borderId="9" xfId="0" applyFont="1" applyBorder="1"/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24" xfId="0" applyFont="1" applyBorder="1" applyAlignment="1">
      <alignment horizontal="center"/>
    </xf>
    <xf numFmtId="0" fontId="1" fillId="0" borderId="11" xfId="0" applyFont="1" applyBorder="1"/>
    <xf numFmtId="0" fontId="1" fillId="0" borderId="21" xfId="0" applyFont="1" applyBorder="1"/>
    <xf numFmtId="0" fontId="1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23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" fontId="0" fillId="0" borderId="15" xfId="0" applyNumberFormat="1" applyBorder="1"/>
    <xf numFmtId="1" fontId="0" fillId="0" borderId="25" xfId="0" applyNumberFormat="1" applyBorder="1"/>
    <xf numFmtId="1" fontId="0" fillId="0" borderId="1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3" borderId="4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6230-FCFC-4BF7-A7BC-1AE56F6E804A}">
  <dimension ref="A1:X40"/>
  <sheetViews>
    <sheetView tabSelected="1" workbookViewId="0">
      <selection activeCell="N29" sqref="N29"/>
    </sheetView>
  </sheetViews>
  <sheetFormatPr defaultRowHeight="15" x14ac:dyDescent="0.25"/>
  <cols>
    <col min="1" max="1" width="10.140625" customWidth="1"/>
    <col min="2" max="2" width="11.5703125" style="5" bestFit="1" customWidth="1"/>
    <col min="3" max="13" width="11.7109375" style="1" customWidth="1"/>
    <col min="14" max="14" width="9.85546875" bestFit="1" customWidth="1"/>
    <col min="15" max="15" width="13.28515625" customWidth="1"/>
    <col min="17" max="19" width="9.140625" style="1"/>
  </cols>
  <sheetData>
    <row r="1" spans="1:24" ht="15.75" thickBot="1" x14ac:dyDescent="0.3">
      <c r="C1" s="35" t="s">
        <v>23</v>
      </c>
      <c r="D1" s="35"/>
      <c r="E1" s="35"/>
      <c r="F1" s="35"/>
      <c r="G1" s="35"/>
      <c r="H1" s="35"/>
      <c r="I1" s="35"/>
      <c r="J1" s="35"/>
      <c r="K1" s="35"/>
      <c r="L1" s="35"/>
    </row>
    <row r="2" spans="1:24" ht="15.75" thickBot="1" x14ac:dyDescent="0.3"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25" t="s">
        <v>30</v>
      </c>
      <c r="O2" s="6" t="s">
        <v>26</v>
      </c>
    </row>
    <row r="3" spans="1:24" ht="15.75" thickBot="1" x14ac:dyDescent="0.3">
      <c r="A3" s="32" t="s">
        <v>31</v>
      </c>
      <c r="B3" s="23" t="s">
        <v>11</v>
      </c>
      <c r="C3" s="47">
        <v>1.3051911075137692E-7</v>
      </c>
      <c r="D3" s="48">
        <v>0</v>
      </c>
      <c r="E3" s="48">
        <v>1557848.3262814495</v>
      </c>
      <c r="F3" s="48">
        <v>3787862.4522559894</v>
      </c>
      <c r="G3" s="48">
        <v>2.435744415518722E-10</v>
      </c>
      <c r="H3" s="48">
        <v>1.0028791300455264E-9</v>
      </c>
      <c r="I3" s="48">
        <v>1.1172950848891502E-8</v>
      </c>
      <c r="J3" s="48">
        <v>7.4302812094494455E-9</v>
      </c>
      <c r="K3" s="48">
        <v>2.1542962932681647E-8</v>
      </c>
      <c r="L3" s="49">
        <v>2.3912730971276597E-8</v>
      </c>
      <c r="M3" s="26">
        <v>70</v>
      </c>
      <c r="O3" s="59">
        <f>SUM(J14:L23)-SUM(J26:L35)</f>
        <v>470503102.55582583</v>
      </c>
    </row>
    <row r="4" spans="1:24" x14ac:dyDescent="0.25">
      <c r="A4" s="33"/>
      <c r="B4" s="12" t="s">
        <v>10</v>
      </c>
      <c r="C4" s="50">
        <v>932256.11999986169</v>
      </c>
      <c r="D4" s="51">
        <v>1.0357018358244664E-8</v>
      </c>
      <c r="E4" s="51">
        <v>0.14839069358943027</v>
      </c>
      <c r="F4" s="51">
        <v>0.2475241622996126</v>
      </c>
      <c r="G4" s="51">
        <v>4.8572287122740866E-8</v>
      </c>
      <c r="H4" s="51">
        <v>2.271792477276834E-10</v>
      </c>
      <c r="I4" s="51">
        <v>823909.16771350487</v>
      </c>
      <c r="J4" s="51">
        <v>150451.77999999092</v>
      </c>
      <c r="K4" s="51">
        <v>4.1017641015595498E-2</v>
      </c>
      <c r="L4" s="52">
        <v>773094.71599984786</v>
      </c>
      <c r="M4" s="26">
        <v>70</v>
      </c>
    </row>
    <row r="5" spans="1:24" ht="15.75" thickBot="1" x14ac:dyDescent="0.3">
      <c r="A5" s="34"/>
      <c r="B5" s="24" t="s">
        <v>12</v>
      </c>
      <c r="C5" s="53">
        <v>7.7586813709818502E-9</v>
      </c>
      <c r="D5" s="54">
        <v>1175343.9599999897</v>
      </c>
      <c r="E5" s="54">
        <v>268714.91732785699</v>
      </c>
      <c r="F5" s="54">
        <v>0.24021984822414938</v>
      </c>
      <c r="G5" s="54">
        <v>879668.86799995136</v>
      </c>
      <c r="H5" s="54">
        <v>228138.95999999877</v>
      </c>
      <c r="I5" s="54">
        <v>775642.90428648377</v>
      </c>
      <c r="J5" s="54">
        <v>1.6539906942957596E-9</v>
      </c>
      <c r="K5" s="54">
        <v>1423592.1989823375</v>
      </c>
      <c r="L5" s="55">
        <v>1.2834010329149789E-7</v>
      </c>
      <c r="M5" s="27">
        <v>70</v>
      </c>
    </row>
    <row r="6" spans="1:24" x14ac:dyDescent="0.25">
      <c r="A6" s="32" t="s">
        <v>29</v>
      </c>
      <c r="B6" s="23" t="s">
        <v>11</v>
      </c>
      <c r="C6" s="47">
        <v>0</v>
      </c>
      <c r="D6" s="48">
        <v>4.8458426970002186</v>
      </c>
      <c r="E6" s="48">
        <v>0</v>
      </c>
      <c r="F6" s="48">
        <v>1.3726055266395624E-13</v>
      </c>
      <c r="G6" s="48">
        <v>2.5936455887254551E-13</v>
      </c>
      <c r="H6" s="48">
        <v>3.780028954254893</v>
      </c>
      <c r="I6" s="48">
        <v>4.4515889928008803E-13</v>
      </c>
      <c r="J6" s="48">
        <v>1.5339864490181554</v>
      </c>
      <c r="K6" s="48">
        <v>3.6451536545572239E-14</v>
      </c>
      <c r="L6" s="56">
        <v>3.3962288264415053E-3</v>
      </c>
    </row>
    <row r="7" spans="1:24" x14ac:dyDescent="0.25">
      <c r="A7" s="33"/>
      <c r="B7" s="12" t="s">
        <v>10</v>
      </c>
      <c r="C7" s="50">
        <v>0</v>
      </c>
      <c r="D7" s="51">
        <v>15.949970726955749</v>
      </c>
      <c r="E7" s="51">
        <v>0</v>
      </c>
      <c r="F7" s="51">
        <v>0</v>
      </c>
      <c r="G7" s="51">
        <v>0</v>
      </c>
      <c r="H7" s="51">
        <v>1.866250258953601</v>
      </c>
      <c r="I7" s="51">
        <v>0</v>
      </c>
      <c r="J7" s="51">
        <v>0</v>
      </c>
      <c r="K7" s="51">
        <v>0</v>
      </c>
      <c r="L7" s="57">
        <v>0</v>
      </c>
    </row>
    <row r="8" spans="1:24" ht="15.75" thickBot="1" x14ac:dyDescent="0.3">
      <c r="A8" s="34"/>
      <c r="B8" s="24" t="s">
        <v>12</v>
      </c>
      <c r="C8" s="53">
        <v>2.8913561309818099</v>
      </c>
      <c r="D8" s="54">
        <v>24.715555704966189</v>
      </c>
      <c r="E8" s="54">
        <v>0</v>
      </c>
      <c r="F8" s="54">
        <v>0.91096757962218977</v>
      </c>
      <c r="G8" s="54">
        <v>0</v>
      </c>
      <c r="H8" s="54">
        <v>3.5153719864550408</v>
      </c>
      <c r="I8" s="54">
        <v>0</v>
      </c>
      <c r="J8" s="54">
        <v>3.6917319921911349</v>
      </c>
      <c r="K8" s="54">
        <v>0</v>
      </c>
      <c r="L8" s="58">
        <v>0</v>
      </c>
    </row>
    <row r="9" spans="1:24" ht="15.75" thickBot="1" x14ac:dyDescent="0.3">
      <c r="B9" s="36" t="s">
        <v>25</v>
      </c>
      <c r="C9" s="37"/>
      <c r="D9" s="37"/>
      <c r="E9" s="37"/>
      <c r="F9" s="11" t="s">
        <v>27</v>
      </c>
      <c r="G9" s="13" t="s">
        <v>28</v>
      </c>
      <c r="I9" s="4"/>
      <c r="J9" s="4"/>
      <c r="K9" s="4"/>
      <c r="L9" s="4"/>
      <c r="M9" s="3"/>
      <c r="N9" s="29" t="s">
        <v>34</v>
      </c>
      <c r="O9" s="30"/>
      <c r="P9" s="30"/>
      <c r="Q9" s="30"/>
      <c r="R9" s="30"/>
      <c r="S9" s="31"/>
    </row>
    <row r="10" spans="1:24" x14ac:dyDescent="0.25">
      <c r="A10" s="15" t="s">
        <v>11</v>
      </c>
      <c r="B10" s="16" t="s">
        <v>13</v>
      </c>
      <c r="C10" s="66">
        <f>$C$3*(1/51)+$D$3*(1/62)+$E$3*(1/79)+$F$3*(1/56)+$G$3*(1/79)+$H$3*(1/56)+$I$3*(1/75)+$J$3*(1/57)+$K$3*(1/61)+$L$3*(1/65)</f>
        <v>87360.000000000015</v>
      </c>
      <c r="D10" s="67" t="s">
        <v>24</v>
      </c>
      <c r="E10" s="68">
        <f>F10*$M$3*52</f>
        <v>87360</v>
      </c>
      <c r="F10" s="69">
        <f>G10+C6</f>
        <v>24</v>
      </c>
      <c r="G10" s="43">
        <v>24</v>
      </c>
      <c r="N10" s="22" t="s">
        <v>0</v>
      </c>
      <c r="O10" s="38">
        <f>SUM(C3:C5)</f>
        <v>932256.12</v>
      </c>
      <c r="P10" s="39" t="s">
        <v>35</v>
      </c>
      <c r="Q10" s="39">
        <v>479183.88000000006</v>
      </c>
      <c r="R10" s="39" t="s">
        <v>24</v>
      </c>
      <c r="S10" s="40">
        <v>932256.12</v>
      </c>
      <c r="X10" s="1"/>
    </row>
    <row r="11" spans="1:24" ht="15.75" thickBot="1" x14ac:dyDescent="0.3">
      <c r="A11" s="17"/>
      <c r="B11" s="7" t="s">
        <v>14</v>
      </c>
      <c r="C11" s="41">
        <f>$C$3*(1/18)+$D$3*(1/13)+$E$3*(1/10)+$F$3*(1/13)+$G$3*(1/11)+$H$3*(1/10)+$I$3*(1/8)+$J$3*(1/14)+$K$3*(1/13)+$L$3*(1/9)</f>
        <v>447158.86741708085</v>
      </c>
      <c r="D11" s="42" t="s">
        <v>24</v>
      </c>
      <c r="E11" s="70">
        <f>F11*$M$3*52</f>
        <v>447158.86741708079</v>
      </c>
      <c r="F11" s="69">
        <f>G11+D6</f>
        <v>122.84584269700022</v>
      </c>
      <c r="G11" s="43">
        <v>118</v>
      </c>
      <c r="N11" s="8" t="s">
        <v>1</v>
      </c>
      <c r="O11" s="41">
        <f>SUM(D3:D5)</f>
        <v>1175343.96</v>
      </c>
      <c r="P11" s="42" t="s">
        <v>35</v>
      </c>
      <c r="Q11" s="42">
        <v>800024.04</v>
      </c>
      <c r="R11" s="42" t="s">
        <v>24</v>
      </c>
      <c r="S11" s="43">
        <v>1175343.96</v>
      </c>
      <c r="X11" s="1"/>
    </row>
    <row r="12" spans="1:24" ht="15.75" thickBot="1" x14ac:dyDescent="0.3">
      <c r="A12" s="17"/>
      <c r="B12" s="7" t="s">
        <v>15</v>
      </c>
      <c r="C12" s="41">
        <f>$C$3*(1/29)+$E$3*(1/41)+$F$3*(1/51)+$G$3*(1/28)+$H$3*(1/47)+$I$3*(1/31)+$J$3*(1/48)+$K$3*(1/25)+$L$3*(1/45)</f>
        <v>112268.11343035055</v>
      </c>
      <c r="D12" s="42" t="s">
        <v>24</v>
      </c>
      <c r="E12" s="70">
        <f t="shared" ref="E12:E19" si="0">F12*$M$3*52</f>
        <v>112840</v>
      </c>
      <c r="F12" s="69">
        <f>G12+E6</f>
        <v>31</v>
      </c>
      <c r="G12" s="43">
        <v>31</v>
      </c>
      <c r="I12" s="29" t="s">
        <v>33</v>
      </c>
      <c r="J12" s="30"/>
      <c r="K12" s="30"/>
      <c r="L12" s="31"/>
      <c r="N12" s="8" t="s">
        <v>2</v>
      </c>
      <c r="O12" s="41">
        <f>SUM(E3:E5)</f>
        <v>1826563.392</v>
      </c>
      <c r="P12" s="42" t="s">
        <v>35</v>
      </c>
      <c r="Q12" s="42">
        <v>1271932.608</v>
      </c>
      <c r="R12" s="42" t="s">
        <v>24</v>
      </c>
      <c r="S12" s="43">
        <v>1826563.392</v>
      </c>
      <c r="X12" s="1"/>
    </row>
    <row r="13" spans="1:24" x14ac:dyDescent="0.25">
      <c r="A13" s="17"/>
      <c r="B13" s="7" t="s">
        <v>16</v>
      </c>
      <c r="C13" s="41">
        <f>$J$3*(1/110)+$K$3*(1/109)+$L$3*(1/102)</f>
        <v>4.9962841169680077E-10</v>
      </c>
      <c r="D13" s="42" t="s">
        <v>24</v>
      </c>
      <c r="E13" s="70">
        <f t="shared" si="0"/>
        <v>4.9962841169680077E-10</v>
      </c>
      <c r="F13" s="69">
        <f>G13+F6</f>
        <v>1.3726055266395624E-13</v>
      </c>
      <c r="G13" s="43">
        <v>0</v>
      </c>
      <c r="I13" s="11"/>
      <c r="J13" s="10" t="s">
        <v>11</v>
      </c>
      <c r="K13" s="10" t="s">
        <v>10</v>
      </c>
      <c r="L13" s="13" t="s">
        <v>12</v>
      </c>
      <c r="N13" s="8" t="s">
        <v>3</v>
      </c>
      <c r="O13" s="41">
        <f>SUM(F3:F5)</f>
        <v>3787862.94</v>
      </c>
      <c r="P13" s="42" t="s">
        <v>35</v>
      </c>
      <c r="Q13" s="42">
        <v>2144577.06</v>
      </c>
      <c r="R13" s="42" t="s">
        <v>24</v>
      </c>
      <c r="S13" s="43">
        <v>3787862.9400000004</v>
      </c>
      <c r="X13" s="1"/>
    </row>
    <row r="14" spans="1:24" x14ac:dyDescent="0.25">
      <c r="A14" s="17"/>
      <c r="B14" s="7" t="s">
        <v>17</v>
      </c>
      <c r="C14" s="41">
        <f>$G$3*(1/59)+$H$3*(1/87)+$I$3*(1/53)+$K$3*(1/90)+$L$3*(1/50)</f>
        <v>9.4408699429606552E-10</v>
      </c>
      <c r="D14" s="42" t="s">
        <v>24</v>
      </c>
      <c r="E14" s="70">
        <f t="shared" si="0"/>
        <v>9.4408699429606552E-10</v>
      </c>
      <c r="F14" s="69">
        <f>G14+G6</f>
        <v>2.5936455887254551E-13</v>
      </c>
      <c r="G14" s="43">
        <v>0</v>
      </c>
      <c r="I14" s="8" t="s">
        <v>0</v>
      </c>
      <c r="J14" s="42">
        <f>$C3*(43.4 - 29.99)</f>
        <v>1.7502612751759646E-6</v>
      </c>
      <c r="K14" s="42">
        <f>C4*(43.4 - 23.15)</f>
        <v>18878186.429997198</v>
      </c>
      <c r="L14" s="43">
        <f>C5*(43.4 - 21.35)</f>
        <v>1.7107892423014977E-7</v>
      </c>
      <c r="N14" s="8" t="s">
        <v>4</v>
      </c>
      <c r="O14" s="41">
        <f>SUM(G3:G5)</f>
        <v>879668.86800000013</v>
      </c>
      <c r="P14" s="42" t="s">
        <v>35</v>
      </c>
      <c r="Q14" s="42">
        <v>248835.13199999998</v>
      </c>
      <c r="R14" s="42" t="s">
        <v>24</v>
      </c>
      <c r="S14" s="43">
        <v>879668.86800000013</v>
      </c>
      <c r="X14" s="1"/>
    </row>
    <row r="15" spans="1:24" x14ac:dyDescent="0.25">
      <c r="A15" s="17"/>
      <c r="B15" s="7" t="s">
        <v>18</v>
      </c>
      <c r="C15" s="41">
        <f>$E$3*(1/20)+$F$3*(1/41)+$L$3*(1/26)</f>
        <v>170279.3053934878</v>
      </c>
      <c r="D15" s="42" t="s">
        <v>24</v>
      </c>
      <c r="E15" s="70">
        <f t="shared" si="0"/>
        <v>170279.30539348783</v>
      </c>
      <c r="F15" s="69">
        <f>G15+H6</f>
        <v>46.780028954254895</v>
      </c>
      <c r="G15" s="43">
        <v>43</v>
      </c>
      <c r="I15" s="8" t="s">
        <v>1</v>
      </c>
      <c r="J15" s="42">
        <f>$D3*(52.2 - 34.41)</f>
        <v>0</v>
      </c>
      <c r="K15" s="42">
        <f>$D4*(52.2 - 30.1)</f>
        <v>2.2889010571720709E-7</v>
      </c>
      <c r="L15" s="43">
        <f>$D5*(52.2 - 28.17)</f>
        <v>28243515.358799756</v>
      </c>
      <c r="N15" s="8" t="s">
        <v>5</v>
      </c>
      <c r="O15" s="41">
        <f>SUM(H3:H5)</f>
        <v>228138.96</v>
      </c>
      <c r="P15" s="42" t="s">
        <v>35</v>
      </c>
      <c r="Q15" s="42">
        <v>170357.04</v>
      </c>
      <c r="R15" s="42" t="s">
        <v>24</v>
      </c>
      <c r="S15" s="43">
        <v>228138.96</v>
      </c>
      <c r="X15" s="1"/>
    </row>
    <row r="16" spans="1:24" x14ac:dyDescent="0.25">
      <c r="A16" s="17"/>
      <c r="B16" s="7" t="s">
        <v>19</v>
      </c>
      <c r="C16" s="41">
        <f>$H$3*(1/95)+$I$3*(1/63)+$J$3*(1/84)+$K$3*(1/47)+$L$3*(1/27)</f>
        <v>1.6203783933795204E-9</v>
      </c>
      <c r="D16" s="42" t="s">
        <v>24</v>
      </c>
      <c r="E16" s="70">
        <f t="shared" si="0"/>
        <v>1.6203783933795204E-9</v>
      </c>
      <c r="F16" s="69">
        <f>G16+I6</f>
        <v>4.4515889928008803E-13</v>
      </c>
      <c r="G16" s="43">
        <v>0</v>
      </c>
      <c r="I16" s="8" t="s">
        <v>2</v>
      </c>
      <c r="J16" s="42">
        <f>$E3*(67.1 - 38.21)</f>
        <v>45006238.146271065</v>
      </c>
      <c r="K16" s="42">
        <f>$E4*(67.1 - 31.88)</f>
        <v>5.2263202282197341</v>
      </c>
      <c r="L16" s="43">
        <f>$E5*(67.1 - 28.5)</f>
        <v>10372395.808855278</v>
      </c>
      <c r="N16" s="8" t="s">
        <v>6</v>
      </c>
      <c r="O16" s="41">
        <f>SUM(I3:I5)</f>
        <v>1599552.0719999997</v>
      </c>
      <c r="P16" s="42" t="s">
        <v>35</v>
      </c>
      <c r="Q16" s="42">
        <v>520463.92800000001</v>
      </c>
      <c r="R16" s="42" t="s">
        <v>24</v>
      </c>
      <c r="S16" s="43">
        <v>1599552.0719999999</v>
      </c>
      <c r="X16" s="1"/>
    </row>
    <row r="17" spans="1:24" x14ac:dyDescent="0.25">
      <c r="A17" s="17"/>
      <c r="B17" s="7" t="s">
        <v>20</v>
      </c>
      <c r="C17" s="41">
        <f>$F$3*(1/33)+$I$3*(1/44)+$J$3*(1/18)+$K$3*(1/22)+$L$3*(1/45)</f>
        <v>114783.7106744261</v>
      </c>
      <c r="D17" s="42" t="s">
        <v>24</v>
      </c>
      <c r="E17" s="70">
        <f t="shared" si="0"/>
        <v>114783.71067442608</v>
      </c>
      <c r="F17" s="69">
        <f>G17+J6</f>
        <v>31.533986449018155</v>
      </c>
      <c r="G17" s="43">
        <v>30</v>
      </c>
      <c r="I17" s="8" t="s">
        <v>3</v>
      </c>
      <c r="J17" s="42">
        <f>$F3*(106 - 57.25)</f>
        <v>184658294.54747948</v>
      </c>
      <c r="K17" s="42">
        <f>$F4*(106 - 48.29)</f>
        <v>14.284619406310643</v>
      </c>
      <c r="L17" s="43">
        <f>$F5*(106 - 45.46)</f>
        <v>14.542909611490003</v>
      </c>
      <c r="N17" s="8" t="s">
        <v>7</v>
      </c>
      <c r="O17" s="41">
        <f>SUM(J3:J5)</f>
        <v>150451.78</v>
      </c>
      <c r="P17" s="42" t="s">
        <v>35</v>
      </c>
      <c r="Q17" s="42">
        <v>78372.22</v>
      </c>
      <c r="R17" s="42" t="s">
        <v>24</v>
      </c>
      <c r="S17" s="43">
        <v>150451.78</v>
      </c>
      <c r="X17" s="1"/>
    </row>
    <row r="18" spans="1:24" x14ac:dyDescent="0.25">
      <c r="A18" s="17"/>
      <c r="B18" s="7" t="s">
        <v>21</v>
      </c>
      <c r="C18" s="41">
        <f>$J$3*(1/56)</f>
        <v>1.3268359302588295E-10</v>
      </c>
      <c r="D18" s="42" t="s">
        <v>24</v>
      </c>
      <c r="E18" s="70">
        <f t="shared" si="0"/>
        <v>1.3268359302588295E-10</v>
      </c>
      <c r="F18" s="69">
        <f>G18+K6</f>
        <v>3.6451536545572239E-14</v>
      </c>
      <c r="G18" s="43">
        <v>0</v>
      </c>
      <c r="I18" s="8" t="s">
        <v>4</v>
      </c>
      <c r="J18" s="42">
        <f>$G3*(73.9 - 57.98)</f>
        <v>3.8777051095058077E-9</v>
      </c>
      <c r="K18" s="42">
        <f>$G4*(73.9 - 48.82)</f>
        <v>1.2181929610383412E-6</v>
      </c>
      <c r="L18" s="43">
        <f>$G5*(73.9 - 45.85)</f>
        <v>24674711.747398641</v>
      </c>
      <c r="N18" s="8" t="s">
        <v>8</v>
      </c>
      <c r="O18" s="41">
        <f>SUM(K3:K5)</f>
        <v>1423592.24</v>
      </c>
      <c r="P18" s="42" t="s">
        <v>35</v>
      </c>
      <c r="Q18" s="42">
        <v>756487.75999999989</v>
      </c>
      <c r="R18" s="42" t="s">
        <v>24</v>
      </c>
      <c r="S18" s="43">
        <v>1423592.24</v>
      </c>
      <c r="X18" s="1"/>
    </row>
    <row r="19" spans="1:24" ht="15.75" thickBot="1" x14ac:dyDescent="0.3">
      <c r="A19" s="18"/>
      <c r="B19" s="19" t="s">
        <v>22</v>
      </c>
      <c r="C19" s="44">
        <f>$C$3*(1/197)+$D$3*(1/173)+$E$3*(1/221)+$F$3*(1/129)+$G$3*(1/215)+$H$3*(1/174)+$I$3*(1/140)+$J$3*(1/148)+$K$3*(1/131)+$L$3*(1/224)</f>
        <v>36412.362272928243</v>
      </c>
      <c r="D19" s="45" t="s">
        <v>24</v>
      </c>
      <c r="E19" s="71">
        <f t="shared" si="0"/>
        <v>36412.362272928243</v>
      </c>
      <c r="F19" s="72">
        <f>G19+L6</f>
        <v>10.003396228826441</v>
      </c>
      <c r="G19" s="46">
        <v>10</v>
      </c>
      <c r="I19" s="8" t="s">
        <v>5</v>
      </c>
      <c r="J19" s="42">
        <f>$H3*(62.8 - 49.17)</f>
        <v>1.3669242542520521E-8</v>
      </c>
      <c r="K19" s="42">
        <f>$H4*(62.8 - 40.82)</f>
        <v>4.99339986505448E-9</v>
      </c>
      <c r="L19" s="43">
        <f>$H5*(62.8 - 38.22)</f>
        <v>5607655.6367999697</v>
      </c>
      <c r="N19" s="9" t="s">
        <v>9</v>
      </c>
      <c r="O19" s="44">
        <f>SUM(L3:L5)</f>
        <v>773094.71600000001</v>
      </c>
      <c r="P19" s="45" t="s">
        <v>35</v>
      </c>
      <c r="Q19" s="45">
        <v>432981.28399999999</v>
      </c>
      <c r="R19" s="45" t="s">
        <v>24</v>
      </c>
      <c r="S19" s="46">
        <v>773094.71600000001</v>
      </c>
      <c r="X19" s="1"/>
    </row>
    <row r="20" spans="1:24" x14ac:dyDescent="0.25">
      <c r="A20" s="15" t="s">
        <v>10</v>
      </c>
      <c r="B20" s="20" t="s">
        <v>13</v>
      </c>
      <c r="C20" s="66">
        <f>$C$4*(1/81)+$D$4*(1/99)+$E$4*(1/126)+$F$4*(1/90)+$G$4*(1/126)+$H$4*(1/89)+$I$4*(1/120)+$J$4*(1/91)+$K$4*(1/98)+$L$4*(1/104)</f>
        <v>27462.16819447546</v>
      </c>
      <c r="D20" s="67" t="s">
        <v>24</v>
      </c>
      <c r="E20" s="68">
        <f>F20*$M$4*52</f>
        <v>36400</v>
      </c>
      <c r="F20" s="73">
        <f>G20+C7</f>
        <v>10</v>
      </c>
      <c r="G20" s="40">
        <v>10</v>
      </c>
      <c r="I20" s="8" t="s">
        <v>6</v>
      </c>
      <c r="J20" s="42">
        <f>$I3*(101 - 74.98)</f>
        <v>2.9072018108815683E-7</v>
      </c>
      <c r="K20" s="42">
        <f>$I4*(101 - 62.49)</f>
        <v>31728742.048647072</v>
      </c>
      <c r="L20" s="43">
        <f>$I5*(101 - 59.15)</f>
        <v>32460655.544389348</v>
      </c>
      <c r="X20" s="1"/>
    </row>
    <row r="21" spans="1:24" x14ac:dyDescent="0.25">
      <c r="A21" s="17"/>
      <c r="B21" s="14" t="s">
        <v>14</v>
      </c>
      <c r="C21" s="41">
        <f>$C$4*(1/20)+$D$4*(1/14)+$E$4*(1/11)+$F$4*(1/14)+$G$4*(1/12)+$H$4*(1/11)+$I$4*(1/9)+$J$4*(1/15)+$K$4*(1/14)+$L$4*(1/10)</f>
        <v>225497.89344611892</v>
      </c>
      <c r="D21" s="42" t="s">
        <v>24</v>
      </c>
      <c r="E21" s="70">
        <f t="shared" ref="E21:E29" si="1">F21*$M$4*52</f>
        <v>225497.89344611889</v>
      </c>
      <c r="F21" s="69">
        <f>G21+D7</f>
        <v>61.949970726955748</v>
      </c>
      <c r="G21" s="43">
        <v>46</v>
      </c>
      <c r="I21" s="8" t="s">
        <v>7</v>
      </c>
      <c r="J21" s="42">
        <f>$J3*(139.17 - 90.21)</f>
        <v>3.6378656801464482E-7</v>
      </c>
      <c r="K21" s="42">
        <f>$J4*(139.17 - 80.13)</f>
        <v>8882673.0911994632</v>
      </c>
      <c r="L21" s="43">
        <f>$J5*(139.17 - 76.98)</f>
        <v>1.0286168127825327E-7</v>
      </c>
    </row>
    <row r="22" spans="1:24" x14ac:dyDescent="0.25">
      <c r="A22" s="17"/>
      <c r="B22" s="14" t="s">
        <v>15</v>
      </c>
      <c r="C22" s="41">
        <f>$C$4*(1/80)+$E$4*(1/112)+$F$4*(1/139)+$G$4*(1/78)+$H$4*(1/129)+$I$4*(1/86)+$J$4*(1/130)+$K$4*(1/69)+$L$4*(1/123)</f>
        <v>28676.188638506115</v>
      </c>
      <c r="D22" s="42" t="s">
        <v>24</v>
      </c>
      <c r="E22" s="70">
        <f t="shared" si="1"/>
        <v>32760</v>
      </c>
      <c r="F22" s="69">
        <f>G22+E7</f>
        <v>9</v>
      </c>
      <c r="G22" s="43">
        <v>9</v>
      </c>
      <c r="I22" s="8" t="s">
        <v>8</v>
      </c>
      <c r="J22" s="42">
        <f>$K3*(126.67 - 83.93)</f>
        <v>9.2074623574281352E-7</v>
      </c>
      <c r="K22" s="42">
        <f>$K4*(126.67 - 72.27)</f>
        <v>2.2313596712483954</v>
      </c>
      <c r="L22" s="43">
        <f>$K5*(126.67 - 68.89)</f>
        <v>82255157.257199466</v>
      </c>
      <c r="O22" s="28" t="s">
        <v>36</v>
      </c>
    </row>
    <row r="23" spans="1:24" ht="15.75" thickBot="1" x14ac:dyDescent="0.3">
      <c r="A23" s="17"/>
      <c r="B23" s="14" t="s">
        <v>16</v>
      </c>
      <c r="C23" s="41">
        <f>$J$4*(1/92)+$K$4*(1/91)+$L$4*(1/85)</f>
        <v>10730.577838465204</v>
      </c>
      <c r="D23" s="42" t="s">
        <v>24</v>
      </c>
      <c r="E23" s="70">
        <f t="shared" si="1"/>
        <v>14560</v>
      </c>
      <c r="F23" s="69">
        <f>G23+F7</f>
        <v>4</v>
      </c>
      <c r="G23" s="43">
        <v>4</v>
      </c>
      <c r="I23" s="9" t="s">
        <v>9</v>
      </c>
      <c r="J23" s="45">
        <f>$L3*(131.41 - 87.53)</f>
        <v>1.0492906350196169E-6</v>
      </c>
      <c r="K23" s="45">
        <f>$L4*(131.41 - 75.03)</f>
        <v>43587080.088071421</v>
      </c>
      <c r="L23" s="46">
        <f>$L5*(131.41 - 70.97)</f>
        <v>7.7568758429381327E-6</v>
      </c>
      <c r="O23" s="1">
        <f>SUM(O10:O19)</f>
        <v>12776525.048000002</v>
      </c>
    </row>
    <row r="24" spans="1:24" ht="15.75" thickBot="1" x14ac:dyDescent="0.3">
      <c r="A24" s="17"/>
      <c r="B24" s="14" t="s">
        <v>17</v>
      </c>
      <c r="C24" s="41">
        <f>$G$4*(1/51)+$H$4*(1/76)+$I$4*(1/46)+$K$4*(1/79)+$L$4*(1/44)</f>
        <v>35481.403837090664</v>
      </c>
      <c r="D24" s="42" t="s">
        <v>24</v>
      </c>
      <c r="E24" s="70">
        <f t="shared" si="1"/>
        <v>36400</v>
      </c>
      <c r="F24" s="69">
        <f>G24+G7</f>
        <v>10</v>
      </c>
      <c r="G24" s="43">
        <v>10</v>
      </c>
      <c r="I24" s="29" t="s">
        <v>32</v>
      </c>
      <c r="J24" s="30"/>
      <c r="K24" s="30"/>
      <c r="L24" s="31"/>
    </row>
    <row r="25" spans="1:24" x14ac:dyDescent="0.25">
      <c r="A25" s="17"/>
      <c r="B25" s="14" t="s">
        <v>18</v>
      </c>
      <c r="C25" s="41">
        <f>$E$4*(1/20)+$F$4*(1/42)+$L$4*(1/27)</f>
        <v>28633.15094259111</v>
      </c>
      <c r="D25" s="42" t="s">
        <v>24</v>
      </c>
      <c r="E25" s="70">
        <f t="shared" si="1"/>
        <v>28633.150942591106</v>
      </c>
      <c r="F25" s="69">
        <f>G25+H7</f>
        <v>7.8662502589536007</v>
      </c>
      <c r="G25" s="43">
        <v>6</v>
      </c>
      <c r="I25" s="11"/>
      <c r="J25" s="10" t="s">
        <v>11</v>
      </c>
      <c r="K25" s="10" t="s">
        <v>10</v>
      </c>
      <c r="L25" s="13" t="s">
        <v>12</v>
      </c>
      <c r="M25"/>
    </row>
    <row r="26" spans="1:24" x14ac:dyDescent="0.25">
      <c r="A26" s="17"/>
      <c r="B26" s="14" t="s">
        <v>19</v>
      </c>
      <c r="C26" s="41">
        <f>$H$4*(1/81)+$I$4*(1/54)+$J$4*(1/72)+$K$4*(1/40)+$L$4*(1/23)</f>
        <v>50960</v>
      </c>
      <c r="D26" s="42" t="s">
        <v>24</v>
      </c>
      <c r="E26" s="70">
        <f t="shared" si="1"/>
        <v>50960</v>
      </c>
      <c r="F26" s="69">
        <f>G26+I7</f>
        <v>14</v>
      </c>
      <c r="G26" s="43">
        <v>14</v>
      </c>
      <c r="I26" s="22" t="s">
        <v>13</v>
      </c>
      <c r="J26" s="60">
        <f>C6*798056</f>
        <v>0</v>
      </c>
      <c r="K26" s="60">
        <f>C7*798056</f>
        <v>0</v>
      </c>
      <c r="L26" s="61">
        <f>C8*798056</f>
        <v>2307464.1084668194</v>
      </c>
      <c r="M26"/>
    </row>
    <row r="27" spans="1:24" x14ac:dyDescent="0.25">
      <c r="A27" s="17"/>
      <c r="B27" s="14" t="s">
        <v>20</v>
      </c>
      <c r="C27" s="41">
        <f>$F$4*(1/52)+$I$4*(1/89)+$J$4*(1/29)+$K$4*(1/35)+$L$4*(1/72)</f>
        <v>25182.831335717859</v>
      </c>
      <c r="D27" s="42" t="s">
        <v>24</v>
      </c>
      <c r="E27" s="70">
        <f t="shared" si="1"/>
        <v>29120</v>
      </c>
      <c r="F27" s="69">
        <f>G27+J7</f>
        <v>8</v>
      </c>
      <c r="G27" s="43">
        <v>8</v>
      </c>
      <c r="I27" s="8" t="s">
        <v>14</v>
      </c>
      <c r="J27" s="62">
        <f>D6*823756</f>
        <v>3991791.9967101123</v>
      </c>
      <c r="K27" s="62">
        <f>D7*823756</f>
        <v>13138884.086154161</v>
      </c>
      <c r="L27" s="63">
        <f>D8*823756</f>
        <v>20359587.305300128</v>
      </c>
      <c r="M27"/>
    </row>
    <row r="28" spans="1:24" x14ac:dyDescent="0.25">
      <c r="A28" s="17"/>
      <c r="B28" s="14" t="s">
        <v>21</v>
      </c>
      <c r="C28" s="41">
        <f>$J$4*(1/52)</f>
        <v>2893.3034615382871</v>
      </c>
      <c r="D28" s="42" t="s">
        <v>24</v>
      </c>
      <c r="E28" s="70">
        <f t="shared" si="1"/>
        <v>3640</v>
      </c>
      <c r="F28" s="69">
        <f>G28+K7</f>
        <v>1</v>
      </c>
      <c r="G28" s="43">
        <v>1</v>
      </c>
      <c r="I28" s="8" t="s">
        <v>15</v>
      </c>
      <c r="J28" s="62">
        <f>E6*300340</f>
        <v>0</v>
      </c>
      <c r="K28" s="62">
        <f>E7*300340</f>
        <v>0</v>
      </c>
      <c r="L28" s="63">
        <f>E8*300340</f>
        <v>0</v>
      </c>
      <c r="M28"/>
    </row>
    <row r="29" spans="1:24" ht="15.75" thickBot="1" x14ac:dyDescent="0.3">
      <c r="A29" s="18"/>
      <c r="B29" s="21" t="s">
        <v>22</v>
      </c>
      <c r="C29" s="44">
        <f>$C$4*(1/228)+$D$4*(1/200)+$E$4*(1/256)+$F$4*(1/149)+$G$4*(1/249)+$H$4*(1/201)+$I$4*(1/162)+$J$4*(1/172)+$K$4*(1/152)+$L$4*(1/260)</f>
        <v>13022.865068825296</v>
      </c>
      <c r="D29" s="45" t="s">
        <v>24</v>
      </c>
      <c r="E29" s="71">
        <f t="shared" si="1"/>
        <v>14560</v>
      </c>
      <c r="F29" s="74">
        <f>G29+L7</f>
        <v>4</v>
      </c>
      <c r="G29" s="75">
        <v>4</v>
      </c>
      <c r="I29" s="8" t="s">
        <v>16</v>
      </c>
      <c r="J29" s="62">
        <f>F6*670992</f>
        <v>9.2100732753093333E-8</v>
      </c>
      <c r="K29" s="62">
        <f>F7*670992</f>
        <v>0</v>
      </c>
      <c r="L29" s="63">
        <f>F8*670992</f>
        <v>611251.95818585239</v>
      </c>
      <c r="M29"/>
    </row>
    <row r="30" spans="1:24" x14ac:dyDescent="0.25">
      <c r="A30" s="15" t="s">
        <v>12</v>
      </c>
      <c r="B30" s="20" t="s">
        <v>13</v>
      </c>
      <c r="C30" s="66">
        <f>$C$5*(1/91)+$D$5*(1/111)+$E$5*(1/142)+$F$5*(1/101)+$G$5*(1/142)+$H$5*(1/100)+$I$5*(1/135)+$J$5*(1/102)+$K$5*(1/110)+$L$5*(1/117)</f>
        <v>39644.536316759877</v>
      </c>
      <c r="D30" s="67" t="s">
        <v>24</v>
      </c>
      <c r="E30" s="68">
        <f>F30*$M$5*52</f>
        <v>39644.536316773796</v>
      </c>
      <c r="F30" s="76">
        <f>G30+C8</f>
        <v>10.89135613098181</v>
      </c>
      <c r="G30" s="77">
        <v>8</v>
      </c>
      <c r="I30" s="8" t="s">
        <v>17</v>
      </c>
      <c r="J30" s="62">
        <f>G6*808399</f>
        <v>2.0967005002800693E-7</v>
      </c>
      <c r="K30" s="62">
        <f>G7*808399</f>
        <v>0</v>
      </c>
      <c r="L30" s="63">
        <f>G8*808399</f>
        <v>0</v>
      </c>
      <c r="M30"/>
    </row>
    <row r="31" spans="1:24" x14ac:dyDescent="0.25">
      <c r="A31" s="17"/>
      <c r="B31" s="14" t="s">
        <v>14</v>
      </c>
      <c r="C31" s="41">
        <f>$C$5*(1/21)+$D$5*(1/15)+$E$5*(1/12)+$F$5*(1/15)+$G$5*(1/13)+$H$5*(1/11)+$I$5*(1/9)+$J$5*(1/16)+$K$5*(1/15)+$L$5*(1/10)</f>
        <v>370244.62276607507</v>
      </c>
      <c r="D31" s="42" t="s">
        <v>24</v>
      </c>
      <c r="E31" s="70">
        <f t="shared" ref="E31:E39" si="2">F31*$M$5*52</f>
        <v>370244.62276607694</v>
      </c>
      <c r="F31" s="69">
        <f>G31+D8</f>
        <v>101.71555570496619</v>
      </c>
      <c r="G31" s="43">
        <v>77</v>
      </c>
      <c r="I31" s="8" t="s">
        <v>18</v>
      </c>
      <c r="J31" s="62">
        <f>H6*308045</f>
        <v>1164419.0192134485</v>
      </c>
      <c r="K31" s="62">
        <f>H7*308045</f>
        <v>574889.06101936207</v>
      </c>
      <c r="L31" s="63">
        <f>H8*308045</f>
        <v>1082892.7635675431</v>
      </c>
      <c r="M31"/>
    </row>
    <row r="32" spans="1:24" x14ac:dyDescent="0.25">
      <c r="A32" s="17"/>
      <c r="B32" s="14" t="s">
        <v>15</v>
      </c>
      <c r="C32" s="41">
        <f>$C$5*(1/93)+$E$5*(1/130)+$F$5*(1/161)+$G$5*(1/90)+$H$5*(1/149)+$I$5*(1/100)+$J$5*(1/151)+$K$5*(1/80)+$L$5*(1/143)</f>
        <v>38923.603340857022</v>
      </c>
      <c r="D32" s="42" t="s">
        <v>24</v>
      </c>
      <c r="E32" s="70">
        <f t="shared" si="2"/>
        <v>61880</v>
      </c>
      <c r="F32" s="69">
        <f>G32+E8</f>
        <v>17</v>
      </c>
      <c r="G32" s="43">
        <v>17</v>
      </c>
      <c r="I32" s="8" t="s">
        <v>19</v>
      </c>
      <c r="J32" s="62">
        <f>I6*754927</f>
        <v>3.3606247235681901E-7</v>
      </c>
      <c r="K32" s="62">
        <f>I7*754927</f>
        <v>0</v>
      </c>
      <c r="L32" s="63">
        <f>I8*754927</f>
        <v>0</v>
      </c>
      <c r="M32"/>
    </row>
    <row r="33" spans="1:13" x14ac:dyDescent="0.25">
      <c r="A33" s="17"/>
      <c r="B33" s="14" t="s">
        <v>16</v>
      </c>
      <c r="C33" s="41">
        <f>$J$5*(1/101)+$K$5*(1/100)+$L$5*(1/93)</f>
        <v>14235.921989824772</v>
      </c>
      <c r="D33" s="42" t="s">
        <v>24</v>
      </c>
      <c r="E33" s="70">
        <f t="shared" si="2"/>
        <v>14235.921989824768</v>
      </c>
      <c r="F33" s="69">
        <f>G33+F8</f>
        <v>3.9109675796221897</v>
      </c>
      <c r="G33" s="43">
        <v>3</v>
      </c>
      <c r="I33" s="8" t="s">
        <v>20</v>
      </c>
      <c r="J33" s="62">
        <f>J6*501028</f>
        <v>768570.16257866833</v>
      </c>
      <c r="K33" s="62">
        <f>J7*501028</f>
        <v>0</v>
      </c>
      <c r="L33" s="63">
        <f>J8*501028</f>
        <v>1849661.0965835399</v>
      </c>
      <c r="M33"/>
    </row>
    <row r="34" spans="1:13" x14ac:dyDescent="0.25">
      <c r="A34" s="17"/>
      <c r="B34" s="14" t="s">
        <v>17</v>
      </c>
      <c r="C34" s="41">
        <f>$G$5*(1/55)+$H$5*(1/81)+$I$5*(1/49)+$K$5*(1/84)+$L$5*(1/47)</f>
        <v>51587.482993169942</v>
      </c>
      <c r="D34" s="42" t="s">
        <v>24</v>
      </c>
      <c r="E34" s="70">
        <f t="shared" si="2"/>
        <v>61880</v>
      </c>
      <c r="F34" s="69">
        <f>G34+G8</f>
        <v>17</v>
      </c>
      <c r="G34" s="43">
        <v>17</v>
      </c>
      <c r="I34" s="8" t="s">
        <v>21</v>
      </c>
      <c r="J34" s="62">
        <f>K6*625457</f>
        <v>2.2798868693183976E-8</v>
      </c>
      <c r="K34" s="62">
        <f>K7*625457</f>
        <v>0</v>
      </c>
      <c r="L34" s="63">
        <f>K8*625457</f>
        <v>0</v>
      </c>
      <c r="M34"/>
    </row>
    <row r="35" spans="1:13" ht="15.75" thickBot="1" x14ac:dyDescent="0.3">
      <c r="A35" s="17"/>
      <c r="B35" s="14" t="s">
        <v>18</v>
      </c>
      <c r="C35" s="41">
        <f>$E$5*(1/21)+$F$5*(1/43)+$L$5*(1/28)</f>
        <v>12795.954030696346</v>
      </c>
      <c r="D35" s="42" t="s">
        <v>24</v>
      </c>
      <c r="E35" s="70">
        <f t="shared" si="2"/>
        <v>12795.954030696348</v>
      </c>
      <c r="F35" s="69">
        <f>G35+H8</f>
        <v>3.5153719864550408</v>
      </c>
      <c r="G35" s="43">
        <v>0</v>
      </c>
      <c r="I35" s="9" t="s">
        <v>22</v>
      </c>
      <c r="J35" s="64">
        <f>L6*832652</f>
        <v>2827.8767247941723</v>
      </c>
      <c r="K35" s="64">
        <f>L7*832652</f>
        <v>0</v>
      </c>
      <c r="L35" s="65">
        <f>L8*832652</f>
        <v>0</v>
      </c>
      <c r="M35"/>
    </row>
    <row r="36" spans="1:13" x14ac:dyDescent="0.25">
      <c r="A36" s="17"/>
      <c r="B36" s="14" t="s">
        <v>19</v>
      </c>
      <c r="C36" s="41">
        <f>$H$5*(1/88)+$I$5*(1/58)+$J$5*(1/78)+$K$5*(1/43)+$L$5*(1/25)</f>
        <v>49072.437029174725</v>
      </c>
      <c r="D36" s="42" t="s">
        <v>24</v>
      </c>
      <c r="E36" s="70">
        <f t="shared" si="2"/>
        <v>91000</v>
      </c>
      <c r="F36" s="69">
        <f>G36+I8</f>
        <v>25</v>
      </c>
      <c r="G36" s="43">
        <v>25</v>
      </c>
    </row>
    <row r="37" spans="1:13" x14ac:dyDescent="0.25">
      <c r="A37" s="17"/>
      <c r="B37" s="14" t="s">
        <v>20</v>
      </c>
      <c r="C37" s="41">
        <f>$F$5*(1/59)+$I$5*(1/80)+$J$5*(1/33)+$K$5*(1/39)+$L$5*(1/81)</f>
        <v>46197.904451575727</v>
      </c>
      <c r="D37" s="42" t="s">
        <v>24</v>
      </c>
      <c r="E37" s="70">
        <f t="shared" si="2"/>
        <v>46197.904451575734</v>
      </c>
      <c r="F37" s="69">
        <f>G37+J8</f>
        <v>12.691731992191135</v>
      </c>
      <c r="G37" s="43">
        <v>9</v>
      </c>
    </row>
    <row r="38" spans="1:13" x14ac:dyDescent="0.25">
      <c r="A38" s="17"/>
      <c r="B38" s="14" t="s">
        <v>21</v>
      </c>
      <c r="C38" s="41">
        <f>$J$5*(1/54)</f>
        <v>3.0629457301773322E-11</v>
      </c>
      <c r="D38" s="42" t="s">
        <v>24</v>
      </c>
      <c r="E38" s="70">
        <f t="shared" si="2"/>
        <v>3640</v>
      </c>
      <c r="F38" s="69">
        <f>G38+K8</f>
        <v>1</v>
      </c>
      <c r="G38" s="43">
        <v>1</v>
      </c>
    </row>
    <row r="39" spans="1:13" ht="15.75" thickBot="1" x14ac:dyDescent="0.3">
      <c r="A39" s="18"/>
      <c r="B39" s="21" t="s">
        <v>22</v>
      </c>
      <c r="C39" s="44">
        <f>$C$5*(1/244)+$D$5*(1/214)+$E$5*(1/274)+$F$5*(1/159)+$G$5*(1/266)+$H$5*(1/215)+$I$5*(1/173)+$J$5*(1/184)+$K$5*(1/162)+$L$5*(1/278)</f>
        <v>24112.202807095597</v>
      </c>
      <c r="D39" s="45" t="s">
        <v>24</v>
      </c>
      <c r="E39" s="71">
        <f t="shared" si="2"/>
        <v>40040</v>
      </c>
      <c r="F39" s="72">
        <f>G39+L8</f>
        <v>11</v>
      </c>
      <c r="G39" s="46">
        <v>11</v>
      </c>
    </row>
    <row r="40" spans="1:13" x14ac:dyDescent="0.25">
      <c r="A40" s="2"/>
      <c r="B40" s="12"/>
      <c r="C40" s="3"/>
      <c r="D40" s="3"/>
      <c r="E40" s="3"/>
      <c r="F40" s="3"/>
    </row>
  </sheetData>
  <mergeCells count="7">
    <mergeCell ref="C1:L1"/>
    <mergeCell ref="B9:E9"/>
    <mergeCell ref="I12:L12"/>
    <mergeCell ref="I24:L24"/>
    <mergeCell ref="N9:S9"/>
    <mergeCell ref="A6:A8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Beckner</dc:creator>
  <cp:lastModifiedBy>Mitch Beckner</cp:lastModifiedBy>
  <dcterms:created xsi:type="dcterms:W3CDTF">2020-11-29T16:03:58Z</dcterms:created>
  <dcterms:modified xsi:type="dcterms:W3CDTF">2020-12-05T21:17:18Z</dcterms:modified>
</cp:coreProperties>
</file>