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5c38c1b04b5f19/R_Projects/Git/ANLT_540/ANLT540/"/>
    </mc:Choice>
  </mc:AlternateContent>
  <xr:revisionPtr revIDLastSave="17" documentId="8_{46CBE1B5-350D-46D7-A62D-3E7DDAE3E435}" xr6:coauthVersionLast="45" xr6:coauthVersionMax="45" xr10:uidLastSave="{3E55C015-5DF8-460C-937D-4D2EA35321B6}"/>
  <bookViews>
    <workbookView xWindow="-120" yWindow="-120" windowWidth="29040" windowHeight="16440" xr2:uid="{28A0BAB3-AF74-4B15-9433-E338786AF294}"/>
  </bookViews>
  <sheets>
    <sheet name="Sheet1" sheetId="1" r:id="rId1"/>
  </sheets>
  <definedNames>
    <definedName name="solver_adj" localSheetId="0" hidden="1">Sheet1!$C$4:$L$6,Sheet1!$C$8:$L$10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Sheet1!$C$13:$C$42</definedName>
    <definedName name="solver_lhs2" localSheetId="0" hidden="1">Sheet1!$J$13:$J$22</definedName>
    <definedName name="solver_lhs3" localSheetId="0" hidden="1">Sheet1!$J$13:$J$22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Sheet1!$P$13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Sheet1!$E$13:$E$42</definedName>
    <definedName name="solver_rhs2" localSheetId="0" hidden="1">Sheet1!$N$13:$N$22</definedName>
    <definedName name="solver_rhs3" localSheetId="0" hidden="1">Sheet1!$L$13:$L$22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L35" i="1"/>
  <c r="L34" i="1"/>
  <c r="L33" i="1"/>
  <c r="L32" i="1"/>
  <c r="L31" i="1"/>
  <c r="L30" i="1"/>
  <c r="L29" i="1"/>
  <c r="L28" i="1"/>
  <c r="L27" i="1"/>
  <c r="K35" i="1"/>
  <c r="K34" i="1"/>
  <c r="K33" i="1"/>
  <c r="K32" i="1"/>
  <c r="K31" i="1"/>
  <c r="K30" i="1"/>
  <c r="K29" i="1"/>
  <c r="K28" i="1"/>
  <c r="K27" i="1"/>
  <c r="J35" i="1"/>
  <c r="J34" i="1"/>
  <c r="J33" i="1"/>
  <c r="J32" i="1"/>
  <c r="J31" i="1"/>
  <c r="J30" i="1"/>
  <c r="J29" i="1"/>
  <c r="J28" i="1"/>
  <c r="J27" i="1"/>
  <c r="J26" i="1"/>
  <c r="L26" i="1"/>
  <c r="K26" i="1"/>
  <c r="P16" i="1" l="1"/>
  <c r="P13" i="1"/>
  <c r="F42" i="1" l="1"/>
  <c r="E42" i="1" s="1"/>
  <c r="F41" i="1"/>
  <c r="E41" i="1" s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<sst xmlns="http://schemas.openxmlformats.org/spreadsheetml/2006/main" count="159" uniqueCount="39">
  <si>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</si>
  <si>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</si>
  <si>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</si>
  <si>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</si>
  <si>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</si>
  <si>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</si>
  <si>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</si>
  <si>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</si>
  <si>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</si>
  <si>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</si>
  <si>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Australia</t>
  </si>
  <si>
    <t>Poland</t>
  </si>
  <si>
    <t>Mexico</t>
  </si>
  <si>
    <t>Machine_1</t>
  </si>
  <si>
    <t>Machine_2</t>
  </si>
  <si>
    <t>Machine_3</t>
  </si>
  <si>
    <t>Machine_4</t>
  </si>
  <si>
    <t>Machine_5</t>
  </si>
  <si>
    <t>Machine_6</t>
  </si>
  <si>
    <t>Machine_7</t>
  </si>
  <si>
    <t>Machine_8</t>
  </si>
  <si>
    <t>Machine_9</t>
  </si>
  <si>
    <t>Machine_10</t>
  </si>
  <si>
    <t>Model Production</t>
  </si>
  <si>
    <t>&lt;=</t>
  </si>
  <si>
    <t>Machine Hour Constraints</t>
  </si>
  <si>
    <t>Total Profit</t>
  </si>
  <si>
    <t># Mach.</t>
  </si>
  <si>
    <t>Curr. Mach.</t>
  </si>
  <si>
    <t>New Machines</t>
  </si>
  <si>
    <t>Hrs/Wk</t>
  </si>
  <si>
    <t>New Phones</t>
  </si>
  <si>
    <t>New Machine Cost</t>
  </si>
  <si>
    <t>Phone Profits</t>
  </si>
  <si>
    <t>Model Production Constraints</t>
  </si>
  <si>
    <t>&gt;=</t>
  </si>
  <si>
    <t>Total Unit Production</t>
  </si>
  <si>
    <t>Big Tech 3 Production Optimizer</t>
  </si>
  <si>
    <r>
      <rPr>
        <b/>
        <sz val="10"/>
        <color theme="1"/>
        <rFont val="Calibri"/>
        <family val="2"/>
        <scheme val="minor"/>
      </rPr>
      <t xml:space="preserve">Instructions: </t>
    </r>
    <r>
      <rPr>
        <sz val="10"/>
        <color theme="1"/>
        <rFont val="Calibri"/>
        <family val="2"/>
        <scheme val="minor"/>
      </rPr>
      <t xml:space="preserve"> Enter the desired minimum and maximum production constraints in cells L13:L22 and N13:N22 respectively and set the values in cells C8:L10 to 0.                                                                         Click Data -&gt; Solver                                                                                                                                                                                                                                To optimize production without adding new machinery,  and set the Solver Changing Variable cells to "$C$4:$L$6".                                                                                                     To include additional machinery, set the Changing Variable cells to "$C$4:$L$6,$C$8:$L$10".                                                                         Click Solve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</si>
</sst>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3" xfId="0" applyFont="1" applyBorder="1"/>
    <xf numFmtId="0" fontId="0" fillId="0" borderId="15" xfId="0" applyBorder="1"/>
    <xf numFmtId="0" fontId="0" fillId="0" borderId="16" xfId="0" applyBorder="1"/>
    <xf numFmtId="0" fontId="1" fillId="0" borderId="8" xfId="0" applyFont="1" applyBorder="1"/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0" xfId="0" applyFont="1" applyBorder="1"/>
    <xf numFmtId="0" fontId="1" fillId="0" borderId="20" xfId="0" applyFont="1" applyBorder="1"/>
    <xf numFmtId="1" fontId="0" fillId="3" borderId="14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Fill="1" applyBorder="1"/>
    <xf numFmtId="1" fontId="0" fillId="0" borderId="20" xfId="0" applyNumberFormat="1" applyFill="1" applyBorder="1" applyAlignment="1">
      <alignment horizontal="center"/>
    </xf>
    <xf numFmtId="1" fontId="0" fillId="0" borderId="38" xfId="0" applyNumberFormat="1" applyFill="1" applyBorder="1" applyAlignment="1">
      <alignment horizontal="center"/>
    </xf>
    <xf numFmtId="1" fontId="0" fillId="0" borderId="39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24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2" fillId="4" borderId="35" xfId="0" applyNumberFormat="1" applyFont="1" applyFill="1" applyBorder="1" applyAlignment="1">
      <alignment horizontal="center"/>
    </xf>
    <xf numFmtId="1" fontId="2" fillId="4" borderId="36" xfId="0" applyNumberFormat="1" applyFont="1" applyFill="1" applyBorder="1" applyAlignment="1">
      <alignment horizontal="center"/>
    </xf>
    <xf numFmtId="1" fontId="2" fillId="4" borderId="37" xfId="0" applyNumberFormat="1" applyFont="1" applyFill="1" applyBorder="1" applyAlignment="1">
      <alignment horizontal="center"/>
    </xf>
    <xf numFmtId="164" fontId="2" fillId="4" borderId="17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center"/>
    </xf>
    <xf numFmtId="164" fontId="2" fillId="4" borderId="19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5" borderId="2" xfId="0" applyFont="1" applyFill="1" applyBorder="1"/>
    <xf numFmtId="0" fontId="1" fillId="5" borderId="1" xfId="0" applyFont="1" applyFill="1" applyBorder="1"/>
    <xf numFmtId="0" fontId="1" fillId="5" borderId="9" xfId="0" applyFont="1" applyFill="1" applyBorder="1"/>
    <xf numFmtId="0" fontId="0" fillId="0" borderId="0" xfId="0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3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6230-FCFC-4BF7-A7BC-1AE56F6E804A}">
  <dimension ref="A1:X43"/>
  <sheetViews>
    <sheetView tabSelected="1" workbookViewId="0">
      <selection activeCell="W11" sqref="W11"/>
    </sheetView>
  </sheetViews>
  <sheetFormatPr defaultRowHeight="15" x14ac:dyDescent="0.25"/>
  <cols>
    <col min="1" max="1" width="10.140625" customWidth="1"/>
    <col min="2" max="2" width="11.5703125" style="4" bestFit="1" customWidth="1"/>
    <col min="3" max="9" width="11.7109375" style="1" customWidth="1"/>
    <col min="10" max="10" width="12.140625" style="1" bestFit="1" customWidth="1"/>
    <col min="11" max="12" width="11.7109375" style="1" customWidth="1"/>
    <col min="13" max="13" width="7.7109375" style="1" bestFit="1" customWidth="1"/>
    <col min="14" max="14" width="11.7109375" bestFit="1" customWidth="1"/>
    <col min="15" max="15" width="13.28515625" customWidth="1"/>
    <col min="16" max="16" width="12.28515625" bestFit="1" customWidth="1"/>
    <col min="17" max="17" width="11.140625" style="1" bestFit="1" customWidth="1"/>
    <col min="18" max="19" width="9.140625" style="1"/>
    <col min="21" max="21" width="11.7109375" bestFit="1" customWidth="1"/>
    <col min="22" max="22" width="10" bestFit="1" customWidth="1"/>
  </cols>
  <sheetData>
    <row r="1" spans="1:24" ht="23.25" thickBot="1" x14ac:dyDescent="0.5">
      <c r="C1" s="63" t="s">
        <v>37</v>
      </c>
      <c r="D1" s="63"/>
      <c r="E1" s="63"/>
      <c r="F1" s="63"/>
      <c r="G1" s="63"/>
      <c r="H1" s="63"/>
      <c r="I1" s="63"/>
      <c r="J1" s="63"/>
      <c r="K1" s="63"/>
      <c r="L1" s="63"/>
    </row>
    <row r="2" spans="1:24" ht="15.75" customHeight="1" thickBot="1" x14ac:dyDescent="0.3">
      <c r="A2" s="2"/>
      <c r="B2" s="10"/>
      <c r="C2" s="60" t="s">
        <v>23</v>
      </c>
      <c r="D2" s="61"/>
      <c r="E2" s="61"/>
      <c r="F2" s="61"/>
      <c r="G2" s="61"/>
      <c r="H2" s="61"/>
      <c r="I2" s="61"/>
      <c r="J2" s="61"/>
      <c r="K2" s="61"/>
      <c r="L2" s="62"/>
      <c r="O2" s="98" t="s">
        <v>38</v>
      </c>
      <c r="P2" s="99"/>
      <c r="Q2" s="99"/>
      <c r="R2" s="99"/>
      <c r="S2" s="100"/>
      <c r="T2" s="95"/>
    </row>
    <row r="3" spans="1:24" ht="15.75" thickBot="1" x14ac:dyDescent="0.3">
      <c r="A3" s="2"/>
      <c r="B3" s="10"/>
      <c r="C3" s="53" t="s">
        <v>0</v>
      </c>
      <c r="D3" s="54" t="s">
        <v>1</v>
      </c>
      <c r="E3" s="54" t="s">
        <v>2</v>
      </c>
      <c r="F3" s="54" t="s">
        <v>3</v>
      </c>
      <c r="G3" s="54" t="s">
        <v>4</v>
      </c>
      <c r="H3" s="54" t="s">
        <v>5</v>
      </c>
      <c r="I3" s="54" t="s">
        <v>6</v>
      </c>
      <c r="J3" s="54" t="s">
        <v>7</v>
      </c>
      <c r="K3" s="54" t="s">
        <v>8</v>
      </c>
      <c r="L3" s="55" t="s">
        <v>9</v>
      </c>
      <c r="M3" s="56" t="s">
        <v>30</v>
      </c>
      <c r="O3" s="96"/>
      <c r="P3" s="97"/>
      <c r="Q3" s="97"/>
      <c r="R3" s="97"/>
      <c r="S3" s="101"/>
      <c r="T3" s="95"/>
    </row>
    <row r="4" spans="1:24" x14ac:dyDescent="0.25">
      <c r="A4" s="57" t="s">
        <v>31</v>
      </c>
      <c r="B4" s="21" t="s">
        <v>11</v>
      </c>
      <c r="C4" s="32">
        <v>0</v>
      </c>
      <c r="D4" s="33">
        <v>139062.2245413842</v>
      </c>
      <c r="E4" s="33">
        <v>1296829.6327217596</v>
      </c>
      <c r="F4" s="33">
        <v>3758819.2529202439</v>
      </c>
      <c r="G4" s="33">
        <v>0</v>
      </c>
      <c r="H4" s="33">
        <v>0</v>
      </c>
      <c r="I4" s="33">
        <v>1.1172950848891502E-8</v>
      </c>
      <c r="J4" s="33">
        <v>7.4302812094494455E-9</v>
      </c>
      <c r="K4" s="33">
        <v>2.1542962932681647E-8</v>
      </c>
      <c r="L4" s="38">
        <v>2.5888882663333173E-8</v>
      </c>
      <c r="M4" s="90">
        <v>70</v>
      </c>
      <c r="O4" s="96"/>
      <c r="P4" s="97"/>
      <c r="Q4" s="97"/>
      <c r="R4" s="97"/>
      <c r="S4" s="101"/>
      <c r="T4" s="95"/>
    </row>
    <row r="5" spans="1:24" x14ac:dyDescent="0.25">
      <c r="A5" s="58"/>
      <c r="B5" s="10" t="s">
        <v>10</v>
      </c>
      <c r="C5" s="34">
        <v>932256.11999999208</v>
      </c>
      <c r="D5" s="35">
        <v>1.0357018358244664E-8</v>
      </c>
      <c r="E5" s="35">
        <v>0</v>
      </c>
      <c r="F5" s="35">
        <v>15776.77535289653</v>
      </c>
      <c r="G5" s="35">
        <v>7.2467493467613444E-8</v>
      </c>
      <c r="H5" s="35">
        <v>2.271792477276834E-10</v>
      </c>
      <c r="I5" s="35">
        <v>823603.13802309753</v>
      </c>
      <c r="J5" s="35">
        <v>150451.77999999092</v>
      </c>
      <c r="K5" s="35">
        <v>226.72967745001142</v>
      </c>
      <c r="L5" s="39">
        <v>773094.71599970513</v>
      </c>
      <c r="M5" s="90">
        <v>70</v>
      </c>
      <c r="O5" s="96"/>
      <c r="P5" s="97"/>
      <c r="Q5" s="97"/>
      <c r="R5" s="97"/>
      <c r="S5" s="101"/>
      <c r="T5" s="95"/>
    </row>
    <row r="6" spans="1:24" ht="15.75" thickBot="1" x14ac:dyDescent="0.3">
      <c r="A6" s="59"/>
      <c r="B6" s="22" t="s">
        <v>12</v>
      </c>
      <c r="C6" s="36">
        <v>7.7586813709818502E-9</v>
      </c>
      <c r="D6" s="37">
        <v>1036281.7354586055</v>
      </c>
      <c r="E6" s="37">
        <v>529733.75927824853</v>
      </c>
      <c r="F6" s="37">
        <v>13266.91172687873</v>
      </c>
      <c r="G6" s="37">
        <v>879668.86799992772</v>
      </c>
      <c r="H6" s="37">
        <v>228138.95999999979</v>
      </c>
      <c r="I6" s="37">
        <v>775948.93397688703</v>
      </c>
      <c r="J6" s="37">
        <v>1.6539906942957596E-9</v>
      </c>
      <c r="K6" s="37">
        <v>1423365.510322527</v>
      </c>
      <c r="L6" s="40">
        <v>2.690532984419912E-7</v>
      </c>
      <c r="M6" s="91">
        <v>70</v>
      </c>
      <c r="O6" s="96"/>
      <c r="P6" s="97"/>
      <c r="Q6" s="97"/>
      <c r="R6" s="97"/>
      <c r="S6" s="101"/>
      <c r="T6" s="95"/>
    </row>
    <row r="7" spans="1:24" s="71" customFormat="1" ht="15.75" thickBot="1" x14ac:dyDescent="0.3">
      <c r="A7" s="64"/>
      <c r="B7" s="88"/>
      <c r="C7" s="92" t="s">
        <v>13</v>
      </c>
      <c r="D7" s="93" t="s">
        <v>14</v>
      </c>
      <c r="E7" s="93" t="s">
        <v>15</v>
      </c>
      <c r="F7" s="93" t="s">
        <v>16</v>
      </c>
      <c r="G7" s="93" t="s">
        <v>17</v>
      </c>
      <c r="H7" s="93" t="s">
        <v>18</v>
      </c>
      <c r="I7" s="93" t="s">
        <v>19</v>
      </c>
      <c r="J7" s="93" t="s">
        <v>20</v>
      </c>
      <c r="K7" s="93" t="s">
        <v>21</v>
      </c>
      <c r="L7" s="94" t="s">
        <v>22</v>
      </c>
      <c r="M7" s="89"/>
      <c r="O7" s="96"/>
      <c r="P7" s="97"/>
      <c r="Q7" s="97"/>
      <c r="R7" s="97"/>
      <c r="S7" s="101"/>
      <c r="T7" s="95"/>
    </row>
    <row r="8" spans="1:24" x14ac:dyDescent="0.25">
      <c r="A8" s="57" t="s">
        <v>29</v>
      </c>
      <c r="B8" s="21" t="s">
        <v>11</v>
      </c>
      <c r="C8" s="32">
        <v>0</v>
      </c>
      <c r="D8" s="33">
        <v>0</v>
      </c>
      <c r="E8" s="33">
        <v>0</v>
      </c>
      <c r="F8" s="33">
        <v>1.425830900806137E-13</v>
      </c>
      <c r="G8" s="33">
        <v>1.7563783970613444E-7</v>
      </c>
      <c r="H8" s="33">
        <v>0</v>
      </c>
      <c r="I8" s="33">
        <v>4.6236609185920087E-13</v>
      </c>
      <c r="J8" s="33">
        <v>1.2922015727635787</v>
      </c>
      <c r="K8" s="33">
        <v>3.6451536545572239E-14</v>
      </c>
      <c r="L8" s="38">
        <v>0</v>
      </c>
      <c r="O8" s="96"/>
      <c r="P8" s="97"/>
      <c r="Q8" s="97"/>
      <c r="R8" s="97"/>
      <c r="S8" s="101"/>
      <c r="T8" s="95"/>
    </row>
    <row r="9" spans="1:24" ht="15.75" thickBot="1" x14ac:dyDescent="0.3">
      <c r="A9" s="58"/>
      <c r="B9" s="10" t="s">
        <v>10</v>
      </c>
      <c r="C9" s="34">
        <v>0</v>
      </c>
      <c r="D9" s="35">
        <v>16.254660315701706</v>
      </c>
      <c r="E9" s="35">
        <v>0</v>
      </c>
      <c r="F9" s="35">
        <v>0</v>
      </c>
      <c r="G9" s="35">
        <v>0</v>
      </c>
      <c r="H9" s="35">
        <v>1.9694437192366296</v>
      </c>
      <c r="I9" s="35">
        <v>0</v>
      </c>
      <c r="J9" s="35">
        <v>0</v>
      </c>
      <c r="K9" s="35">
        <v>0</v>
      </c>
      <c r="L9" s="39">
        <v>0</v>
      </c>
      <c r="O9" s="102"/>
      <c r="P9" s="103"/>
      <c r="Q9" s="103"/>
      <c r="R9" s="103"/>
      <c r="S9" s="104"/>
      <c r="T9" s="95"/>
    </row>
    <row r="10" spans="1:24" ht="15.75" thickBot="1" x14ac:dyDescent="0.3">
      <c r="A10" s="59"/>
      <c r="B10" s="22" t="s">
        <v>12</v>
      </c>
      <c r="C10" s="36">
        <v>3.088308682883568</v>
      </c>
      <c r="D10" s="37">
        <v>28.392503694489537</v>
      </c>
      <c r="E10" s="37">
        <v>0</v>
      </c>
      <c r="F10" s="37">
        <v>0.91034480857918276</v>
      </c>
      <c r="G10" s="37">
        <v>0</v>
      </c>
      <c r="H10" s="37">
        <v>7.0148214119105239</v>
      </c>
      <c r="I10" s="37">
        <v>0</v>
      </c>
      <c r="J10" s="37">
        <v>3.7529604758436239</v>
      </c>
      <c r="K10" s="37">
        <v>0</v>
      </c>
      <c r="L10" s="40">
        <v>0</v>
      </c>
    </row>
    <row r="11" spans="1:24" s="71" customFormat="1" ht="15.75" thickBot="1" x14ac:dyDescent="0.3">
      <c r="A11" s="64"/>
      <c r="B11" s="65"/>
      <c r="C11" s="66"/>
      <c r="D11" s="66"/>
      <c r="E11" s="66"/>
      <c r="F11" s="67"/>
      <c r="G11" s="68"/>
      <c r="H11" s="69"/>
      <c r="I11" s="69"/>
      <c r="J11" s="69"/>
      <c r="K11" s="69"/>
      <c r="L11" s="69"/>
      <c r="M11" s="70"/>
      <c r="S11" s="70"/>
    </row>
    <row r="12" spans="1:24" ht="15.75" thickBot="1" x14ac:dyDescent="0.3">
      <c r="A12" s="2"/>
      <c r="B12" s="60" t="s">
        <v>25</v>
      </c>
      <c r="C12" s="61"/>
      <c r="D12" s="61"/>
      <c r="E12" s="62"/>
      <c r="F12" s="53" t="s">
        <v>27</v>
      </c>
      <c r="G12" s="55" t="s">
        <v>28</v>
      </c>
      <c r="I12" s="60" t="s">
        <v>34</v>
      </c>
      <c r="J12" s="61"/>
      <c r="K12" s="61"/>
      <c r="L12" s="61"/>
      <c r="M12" s="61"/>
      <c r="N12" s="62"/>
      <c r="P12" s="60" t="s">
        <v>26</v>
      </c>
      <c r="Q12" s="61"/>
      <c r="R12" s="62"/>
    </row>
    <row r="13" spans="1:24" ht="15.75" thickBot="1" x14ac:dyDescent="0.3">
      <c r="A13" s="13" t="s">
        <v>11</v>
      </c>
      <c r="B13" s="14" t="s">
        <v>13</v>
      </c>
      <c r="C13" s="41">
        <f>$C$4*(1/51)+$D$4*(1/62)+$E$4*(1/79)+$F$4*(1/56)+$G$4*(1/79)+$H$4*(1/56)+$I$4*(1/75)+$J$4*(1/57)+$K$4*(1/61)+$L$4*(1/65)</f>
        <v>85780.276450244506</v>
      </c>
      <c r="D13" s="42" t="s">
        <v>24</v>
      </c>
      <c r="E13" s="43">
        <f>F13*$M$4*52</f>
        <v>87360</v>
      </c>
      <c r="F13" s="51">
        <f>G13+C8</f>
        <v>24</v>
      </c>
      <c r="G13" s="52">
        <v>24</v>
      </c>
      <c r="I13" s="20" t="s">
        <v>0</v>
      </c>
      <c r="J13" s="23">
        <f>SUM(C4:C6)</f>
        <v>932256.11999999988</v>
      </c>
      <c r="K13" s="24" t="s">
        <v>35</v>
      </c>
      <c r="L13" s="24">
        <v>479183.88000000006</v>
      </c>
      <c r="M13" s="24" t="s">
        <v>24</v>
      </c>
      <c r="N13" s="25">
        <v>932256.12</v>
      </c>
      <c r="P13" s="85">
        <f>SUM(J26:L35)-SUM(O26:Q35)</f>
        <v>473170941.26352507</v>
      </c>
      <c r="Q13" s="86"/>
      <c r="R13" s="87"/>
      <c r="X13" s="1"/>
    </row>
    <row r="14" spans="1:24" ht="15.75" thickBot="1" x14ac:dyDescent="0.3">
      <c r="A14" s="15"/>
      <c r="B14" s="5" t="s">
        <v>14</v>
      </c>
      <c r="C14" s="26">
        <f>$C$4*(1/18)+$D$4*(1/13)+$E$4*(1/10)+$F$4*(1/13)+$G$4*(1/11)+$H$4*(1/10)+$I$4*(1/8)+$J$4*(1/14)+$K$4*(1/13)+$L$4*(1/9)</f>
        <v>429519.99999999988</v>
      </c>
      <c r="D14" s="27" t="s">
        <v>24</v>
      </c>
      <c r="E14" s="45">
        <f>F14*$M$4*52</f>
        <v>429520</v>
      </c>
      <c r="F14" s="44">
        <f>G14+D8</f>
        <v>118</v>
      </c>
      <c r="G14" s="28">
        <v>118</v>
      </c>
      <c r="I14" s="6" t="s">
        <v>1</v>
      </c>
      <c r="J14" s="26">
        <f>SUM(D4:D6)</f>
        <v>1175343.96</v>
      </c>
      <c r="K14" s="27" t="s">
        <v>35</v>
      </c>
      <c r="L14" s="27">
        <v>800024.04</v>
      </c>
      <c r="M14" s="27" t="s">
        <v>24</v>
      </c>
      <c r="N14" s="28">
        <v>1175343.96</v>
      </c>
      <c r="X14" s="1"/>
    </row>
    <row r="15" spans="1:24" ht="15.75" thickBot="1" x14ac:dyDescent="0.3">
      <c r="A15" s="15"/>
      <c r="B15" s="5" t="s">
        <v>15</v>
      </c>
      <c r="C15" s="26">
        <f>$C$4*(1/29)+$E$4*(1/41)+$F$4*(1/51)+$G$4*(1/28)+$H$4*(1/47)+$I$4*(1/31)+$J$4*(1/48)+$K$4*(1/25)+$L$4*(1/45)</f>
        <v>105332.32933454991</v>
      </c>
      <c r="D15" s="27" t="s">
        <v>24</v>
      </c>
      <c r="E15" s="45">
        <f t="shared" ref="E15:E22" si="0">F15*$M$4*52</f>
        <v>112840</v>
      </c>
      <c r="F15" s="44">
        <f>G15+E8</f>
        <v>31</v>
      </c>
      <c r="G15" s="28">
        <v>31</v>
      </c>
      <c r="I15" s="6" t="s">
        <v>2</v>
      </c>
      <c r="J15" s="26">
        <f>SUM(E4:E6)</f>
        <v>1826563.3920000081</v>
      </c>
      <c r="K15" s="27" t="s">
        <v>35</v>
      </c>
      <c r="L15" s="27">
        <v>1271932.608</v>
      </c>
      <c r="M15" s="27" t="s">
        <v>24</v>
      </c>
      <c r="N15" s="28">
        <v>1826563.392</v>
      </c>
      <c r="P15" s="60" t="s">
        <v>36</v>
      </c>
      <c r="Q15" s="61"/>
      <c r="R15" s="62"/>
    </row>
    <row r="16" spans="1:24" ht="15.75" thickBot="1" x14ac:dyDescent="0.3">
      <c r="A16" s="15"/>
      <c r="B16" s="5" t="s">
        <v>16</v>
      </c>
      <c r="C16" s="26">
        <f>$J$4*(1/110)+$K$4*(1/109)+$L$4*(1/102)</f>
        <v>5.1900244789343384E-10</v>
      </c>
      <c r="D16" s="27" t="s">
        <v>24</v>
      </c>
      <c r="E16" s="45">
        <f t="shared" si="0"/>
        <v>5.1900244789343394E-10</v>
      </c>
      <c r="F16" s="44">
        <f>G16+F8</f>
        <v>1.425830900806137E-13</v>
      </c>
      <c r="G16" s="28">
        <v>0</v>
      </c>
      <c r="I16" s="6" t="s">
        <v>3</v>
      </c>
      <c r="J16" s="26">
        <f>SUM(F4:F6)</f>
        <v>3787862.9400000195</v>
      </c>
      <c r="K16" s="27" t="s">
        <v>35</v>
      </c>
      <c r="L16" s="27">
        <v>2144577.06</v>
      </c>
      <c r="M16" s="27" t="s">
        <v>24</v>
      </c>
      <c r="N16" s="28">
        <v>3787862.9400000004</v>
      </c>
      <c r="P16" s="82">
        <f>SUM(J13:J22)</f>
        <v>12776525.048000023</v>
      </c>
      <c r="Q16" s="83"/>
      <c r="R16" s="84"/>
    </row>
    <row r="17" spans="1:17" x14ac:dyDescent="0.25">
      <c r="A17" s="15"/>
      <c r="B17" s="5" t="s">
        <v>17</v>
      </c>
      <c r="C17" s="26">
        <f>$G$4*(1/59)+$H$4*(1/87)+$I$4*(1/53)+$K$4*(1/90)+$L$4*(1/50)</f>
        <v>9.679543014495487E-10</v>
      </c>
      <c r="D17" s="27" t="s">
        <v>24</v>
      </c>
      <c r="E17" s="45">
        <f t="shared" si="0"/>
        <v>6.3932173653032933E-4</v>
      </c>
      <c r="F17" s="44">
        <f>G17+G8</f>
        <v>1.7563783970613444E-7</v>
      </c>
      <c r="G17" s="28">
        <v>0</v>
      </c>
      <c r="I17" s="6" t="s">
        <v>4</v>
      </c>
      <c r="J17" s="26">
        <f>SUM(G4:G6)</f>
        <v>879668.86800000013</v>
      </c>
      <c r="K17" s="27" t="s">
        <v>35</v>
      </c>
      <c r="L17" s="27">
        <v>248835.13199999998</v>
      </c>
      <c r="M17" s="27" t="s">
        <v>24</v>
      </c>
      <c r="N17" s="28">
        <v>879668.86800000013</v>
      </c>
    </row>
    <row r="18" spans="1:17" x14ac:dyDescent="0.25">
      <c r="A18" s="15"/>
      <c r="B18" s="5" t="s">
        <v>18</v>
      </c>
      <c r="C18" s="26">
        <f>$E$4*(1/20)+$F$4*(1/41)+$L$4*(1/26)</f>
        <v>156519.99999999735</v>
      </c>
      <c r="D18" s="27" t="s">
        <v>24</v>
      </c>
      <c r="E18" s="45">
        <f t="shared" si="0"/>
        <v>156520</v>
      </c>
      <c r="F18" s="44">
        <f>G18+H8</f>
        <v>43</v>
      </c>
      <c r="G18" s="28">
        <v>43</v>
      </c>
      <c r="I18" s="6" t="s">
        <v>5</v>
      </c>
      <c r="J18" s="26">
        <f>SUM(H4:H6)</f>
        <v>228138.96000000002</v>
      </c>
      <c r="K18" s="27" t="s">
        <v>35</v>
      </c>
      <c r="L18" s="27">
        <v>170357.04</v>
      </c>
      <c r="M18" s="27" t="s">
        <v>24</v>
      </c>
      <c r="N18" s="28">
        <v>228138.96</v>
      </c>
    </row>
    <row r="19" spans="1:17" x14ac:dyDescent="0.25">
      <c r="A19" s="15"/>
      <c r="B19" s="5" t="s">
        <v>19</v>
      </c>
      <c r="C19" s="26">
        <f>$H$4*(1/95)+$I$4*(1/63)+$J$4*(1/84)+$K$4*(1/47)+$L$4*(1/27)</f>
        <v>1.6830125743674913E-9</v>
      </c>
      <c r="D19" s="27" t="s">
        <v>24</v>
      </c>
      <c r="E19" s="45">
        <f t="shared" si="0"/>
        <v>1.6830125743674911E-9</v>
      </c>
      <c r="F19" s="44">
        <f>G19+I8</f>
        <v>4.6236609185920087E-13</v>
      </c>
      <c r="G19" s="28">
        <v>0</v>
      </c>
      <c r="I19" s="6" t="s">
        <v>6</v>
      </c>
      <c r="J19" s="26">
        <f>SUM(I4:I6)</f>
        <v>1599552.0719999957</v>
      </c>
      <c r="K19" s="27" t="s">
        <v>35</v>
      </c>
      <c r="L19" s="27">
        <v>520463.92800000001</v>
      </c>
      <c r="M19" s="27" t="s">
        <v>24</v>
      </c>
      <c r="N19" s="28">
        <v>1599552.0719999999</v>
      </c>
    </row>
    <row r="20" spans="1:17" x14ac:dyDescent="0.25">
      <c r="A20" s="15"/>
      <c r="B20" s="5" t="s">
        <v>20</v>
      </c>
      <c r="C20" s="26">
        <f>$F$4*(1/33)+$I$4*(1/44)+$J$4*(1/18)+$K$4*(1/22)+$L$4*(1/45)</f>
        <v>113903.61372485809</v>
      </c>
      <c r="D20" s="27" t="s">
        <v>24</v>
      </c>
      <c r="E20" s="45">
        <f t="shared" si="0"/>
        <v>113903.61372485942</v>
      </c>
      <c r="F20" s="44">
        <f>G20+J8</f>
        <v>31.292201572763577</v>
      </c>
      <c r="G20" s="28">
        <v>30</v>
      </c>
      <c r="I20" s="6" t="s">
        <v>7</v>
      </c>
      <c r="J20" s="26">
        <f>SUM(J4:J6)</f>
        <v>150451.78</v>
      </c>
      <c r="K20" s="27" t="s">
        <v>35</v>
      </c>
      <c r="L20" s="27">
        <v>78372.22</v>
      </c>
      <c r="M20" s="27" t="s">
        <v>24</v>
      </c>
      <c r="N20" s="28">
        <v>150451.78</v>
      </c>
    </row>
    <row r="21" spans="1:17" x14ac:dyDescent="0.25">
      <c r="A21" s="15"/>
      <c r="B21" s="5" t="s">
        <v>21</v>
      </c>
      <c r="C21" s="26">
        <f>$J$4*(1/56)</f>
        <v>1.3268359302588295E-10</v>
      </c>
      <c r="D21" s="27" t="s">
        <v>24</v>
      </c>
      <c r="E21" s="45">
        <f t="shared" si="0"/>
        <v>1.3268359302588295E-10</v>
      </c>
      <c r="F21" s="44">
        <f>G21+K8</f>
        <v>3.6451536545572239E-14</v>
      </c>
      <c r="G21" s="28">
        <v>0</v>
      </c>
      <c r="I21" s="6" t="s">
        <v>8</v>
      </c>
      <c r="J21" s="26">
        <f>SUM(K4:K6)</f>
        <v>1423592.2399999986</v>
      </c>
      <c r="K21" s="27" t="s">
        <v>35</v>
      </c>
      <c r="L21" s="27">
        <v>756487.75999999989</v>
      </c>
      <c r="M21" s="27" t="s">
        <v>24</v>
      </c>
      <c r="N21" s="28">
        <v>1423592.24</v>
      </c>
    </row>
    <row r="22" spans="1:17" ht="15.75" thickBot="1" x14ac:dyDescent="0.3">
      <c r="A22" s="16"/>
      <c r="B22" s="17" t="s">
        <v>22</v>
      </c>
      <c r="C22" s="29">
        <f>$C$4*(1/197)+$D$4*(1/173)+$E$4*(1/221)+$F$4*(1/129)+$G$4*(1/215)+$H$4*(1/174)+$I$4*(1/140)+$J$4*(1/148)+$K$4*(1/131)+$L$4*(1/224)</f>
        <v>35809.969018971911</v>
      </c>
      <c r="D22" s="30" t="s">
        <v>24</v>
      </c>
      <c r="E22" s="46">
        <f t="shared" si="0"/>
        <v>36400</v>
      </c>
      <c r="F22" s="47">
        <f>G22+L8</f>
        <v>10</v>
      </c>
      <c r="G22" s="31">
        <v>10</v>
      </c>
      <c r="I22" s="7" t="s">
        <v>9</v>
      </c>
      <c r="J22" s="29">
        <f>SUM(L4:L6)</f>
        <v>773094.71600000001</v>
      </c>
      <c r="K22" s="30" t="s">
        <v>35</v>
      </c>
      <c r="L22" s="30">
        <v>432981.28399999999</v>
      </c>
      <c r="M22" s="30" t="s">
        <v>24</v>
      </c>
      <c r="N22" s="31">
        <v>773094.71600000001</v>
      </c>
    </row>
    <row r="23" spans="1:17" ht="15.75" thickBot="1" x14ac:dyDescent="0.3">
      <c r="A23" s="13" t="s">
        <v>10</v>
      </c>
      <c r="B23" s="18" t="s">
        <v>13</v>
      </c>
      <c r="C23" s="41">
        <f>$C$5*(1/81)+$D$5*(1/99)+$E$5*(1/126)+$F$5*(1/90)+$G$5*(1/126)+$H$5*(1/89)+$I$5*(1/120)+$J$5*(1/91)+$K$5*(1/98)+$L$5*(1/104)</f>
        <v>27637.224672594395</v>
      </c>
      <c r="D23" s="42" t="s">
        <v>24</v>
      </c>
      <c r="E23" s="43">
        <f>F23*$M$5*52</f>
        <v>36400</v>
      </c>
      <c r="F23" s="48">
        <f>G23+C9</f>
        <v>10</v>
      </c>
      <c r="G23" s="25">
        <v>10</v>
      </c>
    </row>
    <row r="24" spans="1:17" ht="15.75" thickBot="1" x14ac:dyDescent="0.3">
      <c r="A24" s="15"/>
      <c r="B24" s="12" t="s">
        <v>14</v>
      </c>
      <c r="C24" s="26">
        <f>$C$5*(1/20)+$D$5*(1/14)+$E$5*(1/11)+$F$5*(1/14)+$G$5*(1/12)+$H$5*(1/11)+$I$5*(1/9)+$J$5*(1/15)+$K$5*(1/14)+$L$5*(1/10)</f>
        <v>226606.96354915475</v>
      </c>
      <c r="D24" s="27" t="s">
        <v>24</v>
      </c>
      <c r="E24" s="45">
        <f t="shared" ref="E24:E32" si="1">F24*$M$5*52</f>
        <v>226606.9635491542</v>
      </c>
      <c r="F24" s="44">
        <f>G24+D9</f>
        <v>62.254660315701706</v>
      </c>
      <c r="G24" s="28">
        <v>46</v>
      </c>
      <c r="I24" s="60" t="s">
        <v>33</v>
      </c>
      <c r="J24" s="61"/>
      <c r="K24" s="61"/>
      <c r="L24" s="62"/>
      <c r="N24" s="60" t="s">
        <v>32</v>
      </c>
      <c r="O24" s="61"/>
      <c r="P24" s="61"/>
      <c r="Q24" s="62"/>
    </row>
    <row r="25" spans="1:17" x14ac:dyDescent="0.25">
      <c r="A25" s="15"/>
      <c r="B25" s="12" t="s">
        <v>15</v>
      </c>
      <c r="C25" s="26">
        <f>$C$5*(1/80)+$E$5*(1/112)+$F$5*(1/139)+$G$5*(1/78)+$H$5*(1/129)+$I$5*(1/86)+$J$5*(1/130)+$K$5*(1/69)+$L$5*(1/123)</f>
        <v>28789.414371920313</v>
      </c>
      <c r="D25" s="27" t="s">
        <v>24</v>
      </c>
      <c r="E25" s="45">
        <f t="shared" si="1"/>
        <v>32760</v>
      </c>
      <c r="F25" s="44">
        <f>G25+E9</f>
        <v>9</v>
      </c>
      <c r="G25" s="28">
        <v>9</v>
      </c>
      <c r="I25" s="9"/>
      <c r="J25" s="8" t="s">
        <v>11</v>
      </c>
      <c r="K25" s="8" t="s">
        <v>10</v>
      </c>
      <c r="L25" s="11" t="s">
        <v>12</v>
      </c>
      <c r="N25" s="9"/>
      <c r="O25" s="8" t="s">
        <v>11</v>
      </c>
      <c r="P25" s="8" t="s">
        <v>10</v>
      </c>
      <c r="Q25" s="11" t="s">
        <v>12</v>
      </c>
    </row>
    <row r="26" spans="1:17" x14ac:dyDescent="0.25">
      <c r="A26" s="15"/>
      <c r="B26" s="12" t="s">
        <v>16</v>
      </c>
      <c r="C26" s="26">
        <f>$J$5*(1/92)+$K$5*(1/91)+$L$5*(1/85)</f>
        <v>10733.068922637251</v>
      </c>
      <c r="D26" s="27" t="s">
        <v>24</v>
      </c>
      <c r="E26" s="45">
        <f t="shared" si="1"/>
        <v>14560</v>
      </c>
      <c r="F26" s="44">
        <f>G26+F9</f>
        <v>4</v>
      </c>
      <c r="G26" s="28">
        <v>4</v>
      </c>
      <c r="I26" s="6" t="s">
        <v>0</v>
      </c>
      <c r="J26" s="72">
        <f>$C4*(43.4 - 29.99)</f>
        <v>0</v>
      </c>
      <c r="K26" s="72">
        <f>C5*(43.4 - 23.15)</f>
        <v>18878186.42999984</v>
      </c>
      <c r="L26" s="73">
        <f>C6*(43.4 - 21.35)</f>
        <v>1.7107892423014977E-7</v>
      </c>
      <c r="N26" s="20" t="s">
        <v>13</v>
      </c>
      <c r="O26" s="76">
        <f>C8*798056</f>
        <v>0</v>
      </c>
      <c r="P26" s="76">
        <f>C9*798056</f>
        <v>0</v>
      </c>
      <c r="Q26" s="77">
        <f>C10*798056</f>
        <v>2464643.2742273286</v>
      </c>
    </row>
    <row r="27" spans="1:17" x14ac:dyDescent="0.25">
      <c r="A27" s="15"/>
      <c r="B27" s="12" t="s">
        <v>17</v>
      </c>
      <c r="C27" s="26">
        <f>$G$5*(1/51)+$H$5*(1/76)+$I$5*(1/46)+$K$5*(1/79)+$L$5*(1/44)</f>
        <v>35477.620494437644</v>
      </c>
      <c r="D27" s="27" t="s">
        <v>24</v>
      </c>
      <c r="E27" s="45">
        <f t="shared" si="1"/>
        <v>36400</v>
      </c>
      <c r="F27" s="44">
        <f>G27+G9</f>
        <v>10</v>
      </c>
      <c r="G27" s="28">
        <v>10</v>
      </c>
      <c r="I27" s="6" t="s">
        <v>1</v>
      </c>
      <c r="J27" s="72">
        <f>$D4*(52.2 - 34.41)</f>
        <v>2473916.9745912259</v>
      </c>
      <c r="K27" s="72">
        <f>$D5*(52.2 - 30.1)</f>
        <v>2.2889010571720709E-7</v>
      </c>
      <c r="L27" s="73">
        <f>$D6*(52.2 - 28.17)</f>
        <v>24901850.103070289</v>
      </c>
      <c r="N27" s="6" t="s">
        <v>14</v>
      </c>
      <c r="O27" s="78">
        <f>D8*823756</f>
        <v>0</v>
      </c>
      <c r="P27" s="78">
        <f>D9*823756</f>
        <v>13389873.963021174</v>
      </c>
      <c r="Q27" s="79">
        <f>D10*823756</f>
        <v>23388495.273357924</v>
      </c>
    </row>
    <row r="28" spans="1:17" x14ac:dyDescent="0.25">
      <c r="A28" s="15"/>
      <c r="B28" s="12" t="s">
        <v>18</v>
      </c>
      <c r="C28" s="26">
        <f>$E$5*(1/20)+$F$5*(1/42)+$L$5*(1/27)</f>
        <v>29008.775138021007</v>
      </c>
      <c r="D28" s="27" t="s">
        <v>24</v>
      </c>
      <c r="E28" s="45">
        <f t="shared" si="1"/>
        <v>29008.77513802133</v>
      </c>
      <c r="F28" s="44">
        <f>G28+H9</f>
        <v>7.9694437192366294</v>
      </c>
      <c r="G28" s="28">
        <v>6</v>
      </c>
      <c r="I28" s="6" t="s">
        <v>2</v>
      </c>
      <c r="J28" s="72">
        <f>$E4*(67.1 - 38.21)</f>
        <v>37465408.089331627</v>
      </c>
      <c r="K28" s="72">
        <f>$E5*(67.1 - 31.88)</f>
        <v>0</v>
      </c>
      <c r="L28" s="73">
        <f>$E6*(67.1 - 28.5)</f>
        <v>20447723.10814039</v>
      </c>
      <c r="M28"/>
      <c r="N28" s="6" t="s">
        <v>15</v>
      </c>
      <c r="O28" s="78">
        <f>E8*300340</f>
        <v>0</v>
      </c>
      <c r="P28" s="78">
        <f>E9*300340</f>
        <v>0</v>
      </c>
      <c r="Q28" s="79">
        <f>E10*300340</f>
        <v>0</v>
      </c>
    </row>
    <row r="29" spans="1:17" x14ac:dyDescent="0.25">
      <c r="A29" s="15"/>
      <c r="B29" s="12" t="s">
        <v>19</v>
      </c>
      <c r="C29" s="26">
        <f>$H$5*(1/81)+$I$5*(1/54)+$J$5*(1/72)+$K$5*(1/40)+$L$5*(1/23)</f>
        <v>50959.999999999993</v>
      </c>
      <c r="D29" s="27" t="s">
        <v>24</v>
      </c>
      <c r="E29" s="45">
        <f t="shared" si="1"/>
        <v>50960</v>
      </c>
      <c r="F29" s="44">
        <f>G29+I9</f>
        <v>14</v>
      </c>
      <c r="G29" s="28">
        <v>14</v>
      </c>
      <c r="I29" s="6" t="s">
        <v>3</v>
      </c>
      <c r="J29" s="72">
        <f>$F4*(106 - 57.25)</f>
        <v>183242438.57986188</v>
      </c>
      <c r="K29" s="72">
        <f>$F5*(106 - 48.29)</f>
        <v>910477.70561565878</v>
      </c>
      <c r="L29" s="73">
        <f>$F6*(106 - 45.46)</f>
        <v>803178.83594523836</v>
      </c>
      <c r="M29"/>
      <c r="N29" s="6" t="s">
        <v>16</v>
      </c>
      <c r="O29" s="78">
        <f>F8*670992</f>
        <v>9.5672112779371155E-8</v>
      </c>
      <c r="P29" s="78">
        <f>F9*670992</f>
        <v>0</v>
      </c>
      <c r="Q29" s="79">
        <f>F10*670992</f>
        <v>610834.08379816299</v>
      </c>
    </row>
    <row r="30" spans="1:17" x14ac:dyDescent="0.25">
      <c r="A30" s="15"/>
      <c r="B30" s="12" t="s">
        <v>20</v>
      </c>
      <c r="C30" s="26">
        <f>$F$5*(1/52)+$I$5*(1/89)+$J$5*(1/29)+$K$5*(1/35)+$L$5*(1/72)</f>
        <v>25489.264384657487</v>
      </c>
      <c r="D30" s="27" t="s">
        <v>24</v>
      </c>
      <c r="E30" s="45">
        <f t="shared" si="1"/>
        <v>29120</v>
      </c>
      <c r="F30" s="44">
        <f>G30+J9</f>
        <v>8</v>
      </c>
      <c r="G30" s="28">
        <v>8</v>
      </c>
      <c r="I30" s="6" t="s">
        <v>4</v>
      </c>
      <c r="J30" s="72">
        <f>$G4*(73.9 - 57.98)</f>
        <v>0</v>
      </c>
      <c r="K30" s="72">
        <f>$G5*(73.9 - 48.82)</f>
        <v>1.8174847361677456E-6</v>
      </c>
      <c r="L30" s="73">
        <f>$G6*(73.9 - 45.85)</f>
        <v>24674711.747397978</v>
      </c>
      <c r="M30"/>
      <c r="N30" s="6" t="s">
        <v>17</v>
      </c>
      <c r="O30" s="78">
        <f>G8*808399</f>
        <v>0.14198545398059936</v>
      </c>
      <c r="P30" s="78">
        <f>G9*808399</f>
        <v>0</v>
      </c>
      <c r="Q30" s="79">
        <f>G10*808399</f>
        <v>0</v>
      </c>
    </row>
    <row r="31" spans="1:17" x14ac:dyDescent="0.25">
      <c r="A31" s="15"/>
      <c r="B31" s="12" t="s">
        <v>21</v>
      </c>
      <c r="C31" s="26">
        <f>$J$5*(1/52)</f>
        <v>2893.3034615382871</v>
      </c>
      <c r="D31" s="27" t="s">
        <v>24</v>
      </c>
      <c r="E31" s="45">
        <f t="shared" si="1"/>
        <v>3640</v>
      </c>
      <c r="F31" s="44">
        <f>G31+K9</f>
        <v>1</v>
      </c>
      <c r="G31" s="28">
        <v>1</v>
      </c>
      <c r="I31" s="6" t="s">
        <v>5</v>
      </c>
      <c r="J31" s="72">
        <f>$H4*(62.8 - 49.17)</f>
        <v>0</v>
      </c>
      <c r="K31" s="72">
        <f>$H5*(62.8 - 40.82)</f>
        <v>4.99339986505448E-9</v>
      </c>
      <c r="L31" s="73">
        <f>$H6*(62.8 - 38.22)</f>
        <v>5607655.6367999949</v>
      </c>
      <c r="M31"/>
      <c r="N31" s="6" t="s">
        <v>18</v>
      </c>
      <c r="O31" s="78">
        <f>H8*308045</f>
        <v>0</v>
      </c>
      <c r="P31" s="78">
        <f>H9*308045</f>
        <v>606677.29049224756</v>
      </c>
      <c r="Q31" s="79">
        <f>H10*308045</f>
        <v>2160880.6618319773</v>
      </c>
    </row>
    <row r="32" spans="1:17" ht="15.75" thickBot="1" x14ac:dyDescent="0.3">
      <c r="A32" s="16"/>
      <c r="B32" s="19" t="s">
        <v>22</v>
      </c>
      <c r="C32" s="29">
        <f>$C$5*(1/228)+$D$5*(1/200)+$E$5*(1/256)+$F$5*(1/149)+$G$5*(1/249)+$H$5*(1/201)+$I$5*(1/162)+$J$5*(1/172)+$K$5*(1/152)+$L$5*(1/260)</f>
        <v>13128.349526878765</v>
      </c>
      <c r="D32" s="30" t="s">
        <v>24</v>
      </c>
      <c r="E32" s="46">
        <f t="shared" si="1"/>
        <v>14560</v>
      </c>
      <c r="F32" s="49">
        <f>G32+L9</f>
        <v>4</v>
      </c>
      <c r="G32" s="50">
        <v>4</v>
      </c>
      <c r="I32" s="6" t="s">
        <v>6</v>
      </c>
      <c r="J32" s="72">
        <f>$I4*(101 - 74.98)</f>
        <v>2.9072018108815683E-7</v>
      </c>
      <c r="K32" s="72">
        <f>$I5*(101 - 62.49)</f>
        <v>31716956.845269483</v>
      </c>
      <c r="L32" s="73">
        <f>$I6*(101 - 59.15)</f>
        <v>32473462.886932723</v>
      </c>
      <c r="M32"/>
      <c r="N32" s="6" t="s">
        <v>19</v>
      </c>
      <c r="O32" s="78">
        <f>I8*754927</f>
        <v>3.4905264662899093E-7</v>
      </c>
      <c r="P32" s="78">
        <f>I9*754927</f>
        <v>0</v>
      </c>
      <c r="Q32" s="79">
        <f>I10*754927</f>
        <v>0</v>
      </c>
    </row>
    <row r="33" spans="1:17" x14ac:dyDescent="0.25">
      <c r="A33" s="13" t="s">
        <v>12</v>
      </c>
      <c r="B33" s="18" t="s">
        <v>13</v>
      </c>
      <c r="C33" s="41">
        <f>$C$6*(1/91)+$D$6*(1/111)+$E$6*(1/142)+$F$6*(1/101)+$G$6*(1/142)+$H$6*(1/100)+$I$6*(1/135)+$J$6*(1/102)+$K$6*(1/110)+$L$6*(1/117)</f>
        <v>40361.443605695567</v>
      </c>
      <c r="D33" s="42" t="s">
        <v>24</v>
      </c>
      <c r="E33" s="43">
        <f>F33*$M$6*52</f>
        <v>40361.443605696186</v>
      </c>
      <c r="F33" s="51">
        <f>G33+C10</f>
        <v>11.088308682883568</v>
      </c>
      <c r="G33" s="52">
        <v>8</v>
      </c>
      <c r="I33" s="6" t="s">
        <v>7</v>
      </c>
      <c r="J33" s="72">
        <f>$J4*(139.17 - 90.21)</f>
        <v>3.6378656801464482E-7</v>
      </c>
      <c r="K33" s="72">
        <f>$J5*(139.17 - 80.13)</f>
        <v>8882673.0911994632</v>
      </c>
      <c r="L33" s="73">
        <f>$J6*(139.17 - 76.98)</f>
        <v>1.0286168127825327E-7</v>
      </c>
      <c r="M33"/>
      <c r="N33" s="6" t="s">
        <v>20</v>
      </c>
      <c r="O33" s="78">
        <f>J8*501028</f>
        <v>647429.16959859035</v>
      </c>
      <c r="P33" s="78">
        <f>J9*501028</f>
        <v>0</v>
      </c>
      <c r="Q33" s="79">
        <f>J10*501028</f>
        <v>1880338.2812909791</v>
      </c>
    </row>
    <row r="34" spans="1:17" x14ac:dyDescent="0.25">
      <c r="A34" s="15"/>
      <c r="B34" s="12" t="s">
        <v>14</v>
      </c>
      <c r="C34" s="26">
        <f>$C$6*(1/21)+$D$6*(1/15)+$E$6*(1/12)+$F$6*(1/15)+$G$6*(1/13)+$H$6*(1/11)+$I$6*(1/9)+$J$6*(1/16)+$K$6*(1/15)+$L$6*(1/10)</f>
        <v>383628.71344794275</v>
      </c>
      <c r="D34" s="27" t="s">
        <v>24</v>
      </c>
      <c r="E34" s="45">
        <f t="shared" ref="E34:E42" si="2">F34*$M$6*52</f>
        <v>383628.71344794193</v>
      </c>
      <c r="F34" s="44">
        <f>G34+D10</f>
        <v>105.39250369448953</v>
      </c>
      <c r="G34" s="28">
        <v>77</v>
      </c>
      <c r="I34" s="6" t="s">
        <v>8</v>
      </c>
      <c r="J34" s="72">
        <f>$K4*(126.67 - 83.93)</f>
        <v>9.2074623574281352E-7</v>
      </c>
      <c r="K34" s="72">
        <f>$K5*(126.67 - 72.27)</f>
        <v>12334.094453280622</v>
      </c>
      <c r="L34" s="73">
        <f>$K6*(126.67 - 68.89)</f>
        <v>82242059.18643561</v>
      </c>
      <c r="M34"/>
      <c r="N34" s="6" t="s">
        <v>21</v>
      </c>
      <c r="O34" s="78">
        <f>K8*625457</f>
        <v>2.2798868693183976E-8</v>
      </c>
      <c r="P34" s="78">
        <f>K9*625457</f>
        <v>0</v>
      </c>
      <c r="Q34" s="79">
        <f>K10*625457</f>
        <v>0</v>
      </c>
    </row>
    <row r="35" spans="1:17" ht="15.75" thickBot="1" x14ac:dyDescent="0.3">
      <c r="A35" s="15"/>
      <c r="B35" s="12" t="s">
        <v>15</v>
      </c>
      <c r="C35" s="26">
        <f>$C$6*(1/93)+$E$6*(1/130)+$F$6*(1/161)+$G$6*(1/90)+$H$6*(1/149)+$I$6*(1/100)+$J$6*(1/151)+$K$6*(1/80)+$L$6*(1/143)</f>
        <v>41014.068961665471</v>
      </c>
      <c r="D35" s="27" t="s">
        <v>24</v>
      </c>
      <c r="E35" s="45">
        <f t="shared" si="2"/>
        <v>61880</v>
      </c>
      <c r="F35" s="44">
        <f>G35+E10</f>
        <v>17</v>
      </c>
      <c r="G35" s="28">
        <v>17</v>
      </c>
      <c r="I35" s="7" t="s">
        <v>9</v>
      </c>
      <c r="J35" s="74">
        <f>$L4*(131.41 - 87.53)</f>
        <v>1.1360041712670595E-6</v>
      </c>
      <c r="K35" s="74">
        <f>$L5*(131.41 - 75.03)</f>
        <v>43587080.088063374</v>
      </c>
      <c r="L35" s="75">
        <f>$L6*(131.41 - 70.97)</f>
        <v>1.6261581357833949E-5</v>
      </c>
      <c r="M35"/>
      <c r="N35" s="7" t="s">
        <v>22</v>
      </c>
      <c r="O35" s="80">
        <f>L8*832652</f>
        <v>0</v>
      </c>
      <c r="P35" s="80">
        <f>L9*832652</f>
        <v>0</v>
      </c>
      <c r="Q35" s="81">
        <f>L10*832652</f>
        <v>0</v>
      </c>
    </row>
    <row r="36" spans="1:17" x14ac:dyDescent="0.25">
      <c r="A36" s="15"/>
      <c r="B36" s="12" t="s">
        <v>16</v>
      </c>
      <c r="C36" s="26">
        <f>$J$6*(1/101)+$K$6*(1/100)+$L$6*(1/93)</f>
        <v>14233.655103228179</v>
      </c>
      <c r="D36" s="27" t="s">
        <v>24</v>
      </c>
      <c r="E36" s="45">
        <f t="shared" si="2"/>
        <v>14233.655103228226</v>
      </c>
      <c r="F36" s="44">
        <f>G36+F10</f>
        <v>3.9103448085791825</v>
      </c>
      <c r="G36" s="28">
        <v>3</v>
      </c>
      <c r="M36"/>
    </row>
    <row r="37" spans="1:17" x14ac:dyDescent="0.25">
      <c r="A37" s="15"/>
      <c r="B37" s="12" t="s">
        <v>17</v>
      </c>
      <c r="C37" s="26">
        <f>$G$6*(1/55)+$H$6*(1/81)+$I$6*(1/49)+$K$6*(1/84)+$L$6*(1/47)</f>
        <v>51591.029822536751</v>
      </c>
      <c r="D37" s="27" t="s">
        <v>24</v>
      </c>
      <c r="E37" s="45">
        <f t="shared" si="2"/>
        <v>61880</v>
      </c>
      <c r="F37" s="44">
        <f>G37+G10</f>
        <v>17</v>
      </c>
      <c r="G37" s="28">
        <v>17</v>
      </c>
      <c r="M37"/>
    </row>
    <row r="38" spans="1:17" x14ac:dyDescent="0.25">
      <c r="A38" s="15"/>
      <c r="B38" s="12" t="s">
        <v>18</v>
      </c>
      <c r="C38" s="26">
        <f>$E$6*(1/21)+$F$6*(1/43)+$L$6*(1/28)</f>
        <v>25533.94993935528</v>
      </c>
      <c r="D38" s="27" t="s">
        <v>24</v>
      </c>
      <c r="E38" s="45">
        <f t="shared" si="2"/>
        <v>25533.949939354308</v>
      </c>
      <c r="F38" s="44">
        <f>G38+H10</f>
        <v>7.0148214119105239</v>
      </c>
      <c r="G38" s="28">
        <v>0</v>
      </c>
      <c r="M38"/>
    </row>
    <row r="39" spans="1:17" x14ac:dyDescent="0.25">
      <c r="A39" s="15"/>
      <c r="B39" s="12" t="s">
        <v>19</v>
      </c>
      <c r="C39" s="26">
        <f>$H$6*(1/88)+$I$6*(1/58)+$J$6*(1/78)+$K$6*(1/43)+$L$6*(1/25)</f>
        <v>49072.441573854907</v>
      </c>
      <c r="D39" s="27" t="s">
        <v>24</v>
      </c>
      <c r="E39" s="45">
        <f t="shared" si="2"/>
        <v>91000</v>
      </c>
      <c r="F39" s="44">
        <f>G39+I10</f>
        <v>25</v>
      </c>
      <c r="G39" s="28">
        <v>25</v>
      </c>
    </row>
    <row r="40" spans="1:17" x14ac:dyDescent="0.25">
      <c r="A40" s="15"/>
      <c r="B40" s="12" t="s">
        <v>20</v>
      </c>
      <c r="C40" s="26">
        <f>$F$6*(1/59)+$I$6*(1/80)+$J$6*(1/33)+$K$6*(1/39)+$L$6*(1/81)</f>
        <v>46420.776132070991</v>
      </c>
      <c r="D40" s="27" t="s">
        <v>24</v>
      </c>
      <c r="E40" s="45">
        <f t="shared" si="2"/>
        <v>46420.776132070794</v>
      </c>
      <c r="F40" s="44">
        <f>G40+J10</f>
        <v>12.752960475843624</v>
      </c>
      <c r="G40" s="28">
        <v>9</v>
      </c>
    </row>
    <row r="41" spans="1:17" x14ac:dyDescent="0.25">
      <c r="A41" s="15"/>
      <c r="B41" s="12" t="s">
        <v>21</v>
      </c>
      <c r="C41" s="26">
        <f>$J$6*(1/54)</f>
        <v>3.0629457301773322E-11</v>
      </c>
      <c r="D41" s="27" t="s">
        <v>24</v>
      </c>
      <c r="E41" s="45">
        <f t="shared" si="2"/>
        <v>3640</v>
      </c>
      <c r="F41" s="44">
        <f>G41+K10</f>
        <v>1</v>
      </c>
      <c r="G41" s="28">
        <v>1</v>
      </c>
    </row>
    <row r="42" spans="1:17" ht="15.75" thickBot="1" x14ac:dyDescent="0.3">
      <c r="A42" s="16"/>
      <c r="B42" s="19" t="s">
        <v>22</v>
      </c>
      <c r="C42" s="29">
        <f>$C$6*(1/244)+$D$6*(1/214)+$E$6*(1/274)+$F$6*(1/159)+$G$6*(1/266)+$H$6*(1/215)+$I$6*(1/173)+$J$6*(1/184)+$K$6*(1/162)+$L$6*(1/278)</f>
        <v>24498.810669310449</v>
      </c>
      <c r="D42" s="30" t="s">
        <v>24</v>
      </c>
      <c r="E42" s="46">
        <f t="shared" si="2"/>
        <v>40040</v>
      </c>
      <c r="F42" s="47">
        <f>G42+L10</f>
        <v>11</v>
      </c>
      <c r="G42" s="31">
        <v>11</v>
      </c>
    </row>
    <row r="43" spans="1:17" x14ac:dyDescent="0.25">
      <c r="A43" s="2"/>
      <c r="B43" s="10"/>
      <c r="C43" s="3"/>
      <c r="D43" s="3"/>
      <c r="E43" s="3"/>
      <c r="F43" s="3"/>
    </row>
  </sheetData>
  <mergeCells count="13">
    <mergeCell ref="N24:Q24"/>
    <mergeCell ref="C1:L1"/>
    <mergeCell ref="I12:N12"/>
    <mergeCell ref="P12:R12"/>
    <mergeCell ref="P13:R13"/>
    <mergeCell ref="O2:S9"/>
    <mergeCell ref="A8:A10"/>
    <mergeCell ref="A4:A6"/>
    <mergeCell ref="P16:R16"/>
    <mergeCell ref="P15:R15"/>
    <mergeCell ref="C2:L2"/>
    <mergeCell ref="B12:E12"/>
    <mergeCell ref="I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Beckner</dc:creator>
  <cp:lastModifiedBy>Mitch Beckner</cp:lastModifiedBy>
  <dcterms:created xsi:type="dcterms:W3CDTF">2020-11-29T16:03:58Z</dcterms:created>
  <dcterms:modified xsi:type="dcterms:W3CDTF">2021-01-10T21:40:16Z</dcterms:modified>
</cp:coreProperties>
</file>