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YYYY-03-02 1022" sheetId="1" r:id="rId1"/>
  </sheets>
  <calcPr fullCalcOnLoad="1"/>
</workbook>
</file>

<file path=xl/sharedStrings.xml><?xml version="1.0" encoding="utf-8"?>
<sst xmlns="http://schemas.openxmlformats.org/spreadsheetml/2006/main" count="32" uniqueCount="32">
  <si>
    <t>density</t>
  </si>
  <si>
    <t>kg/m³</t>
  </si>
  <si>
    <t>V_r</t>
  </si>
  <si>
    <t>V_h</t>
  </si>
  <si>
    <t>T_3</t>
  </si>
  <si>
    <t>T_10</t>
  </si>
  <si>
    <t>T_4</t>
  </si>
  <si>
    <t>T_11</t>
  </si>
  <si>
    <t>gen_loop_dp</t>
  </si>
  <si>
    <t>hhw_loop_dp</t>
  </si>
  <si>
    <t>Case</t>
  </si>
  <si>
    <t>C_r</t>
  </si>
  <si>
    <t>C_h</t>
  </si>
  <si>
    <t>ε</t>
  </si>
  <si>
    <t>C_min</t>
  </si>
  <si>
    <t>C_max</t>
  </si>
  <si>
    <t>NTU</t>
  </si>
  <si>
    <t>R_C</t>
  </si>
  <si>
    <t>ε_g_pred</t>
  </si>
  <si>
    <t>T_4_pred</t>
  </si>
  <si>
    <t>T_4_diff</t>
  </si>
  <si>
    <t>s_w</t>
  </si>
  <si>
    <t>Btu kg/lb °F m³</t>
  </si>
  <si>
    <t>GPM</t>
  </si>
  <si>
    <t>°F</t>
  </si>
  <si>
    <t>psi</t>
  </si>
  <si>
    <t/>
  </si>
  <si>
    <t>Btu/h °F</t>
  </si>
  <si>
    <t>UA_hex</t>
  </si>
  <si>
    <t>kBtu/h °F</t>
  </si>
  <si>
    <t>sse</t>
  </si>
  <si>
    <t>°F²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</si>
</sst>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#,##0.000"/>
    <numFmt numFmtId="166" formatCode="#,##0.00000"/>
    <numFmt numFmtId="167" formatCode="#,##0.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9">
    <xf numFmtId="0" fontId="0" xfId="0"/>
    <xf numFmtId="164" applyNumberFormat="1" fontId="0" xfId="0"/>
    <xf numFmtId="4" applyNumberFormat="1" fontId="0" xfId="0"/>
    <xf numFmtId="165" applyNumberFormat="1" fontId="0" xfId="0"/>
    <xf numFmtId="3" applyNumberFormat="1" fontId="0"/>
    <xf numFmtId="3" applyNumberFormat="1" fontId="0" xfId="0"/>
    <xf numFmtId="166" applyNumberFormat="1" fontId="0" xfId="0"/>
    <xf numFmtId="167" applyNumberFormat="1" fontId="0" xfId="0"/>
    <xf numFmtId="165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W38"/>
  <sheetViews>
    <sheetView workbookViewId="0"/>
  </sheetViews>
  <sheetFormatPr defaultRowHeight="15"/>
  <cols>
    <col min="1" max="1" width="9.140625" customWidth="1"/>
    <col min="2" max="2" width="9.140625" customWidth="1"/>
    <col min="3" max="3" width="15.122538566589355" customWidth="1"/>
    <col min="4" max="4" width="9.140625" customWidth="1"/>
    <col min="5" max="5" width="9.140625" customWidth="1" style="1"/>
    <col min="6" max="6" width="9.140625" customWidth="1" style="1"/>
    <col min="7" max="7" width="9.140625" customWidth="1" style="2"/>
    <col min="8" max="8" width="9.140625" customWidth="1" style="2"/>
    <col min="9" max="9" width="9.140625" customWidth="1" style="2"/>
    <col min="10" max="10" width="9.140625" customWidth="1" style="2"/>
    <col min="11" max="11" width="13.846397399902344" customWidth="1" style="3"/>
    <col min="12" max="12" width="14.564680099487305" customWidth="1" style="3"/>
    <col min="13" max="13" width="9.140625" customWidth="1" style="2"/>
    <col min="14" max="14" width="9.140625" customWidth="1" style="5"/>
    <col min="15" max="15" width="9.140625" customWidth="1" style="5"/>
    <col min="16" max="16" width="9.140625" customWidth="1" style="6"/>
    <col min="17" max="17" width="9.140625" customWidth="1" style="5"/>
    <col min="18" max="18" width="9.140625" customWidth="1" style="5"/>
    <col min="19" max="19" width="9.140625" customWidth="1" style="2"/>
    <col min="20" max="20" width="9.140625" customWidth="1" style="7"/>
    <col min="21" max="21" width="10.273733139038086" customWidth="1" style="6"/>
    <col min="22" max="22" width="10.273733139038086" customWidth="1" style="2"/>
    <col min="23" max="23" width="9.140625" customWidth="1" style="7"/>
  </cols>
  <sheetData>
    <row r="1">
      <c r="A1" s="0" t="s">
        <v>0</v>
      </c>
      <c r="B1" s="4">
        <f>970</f>
      </c>
      <c r="C1" s="0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  <c r="L1" s="3" t="s">
        <v>9</v>
      </c>
      <c r="M1" s="2" t="s">
        <v>10</v>
      </c>
      <c r="N1" s="5" t="s">
        <v>11</v>
      </c>
      <c r="O1" s="5" t="s">
        <v>12</v>
      </c>
      <c r="P1" s="6" t="s">
        <v>13</v>
      </c>
      <c r="Q1" s="5" t="s">
        <v>14</v>
      </c>
      <c r="R1" s="5" t="s">
        <v>15</v>
      </c>
      <c r="S1" s="2" t="s">
        <v>16</v>
      </c>
      <c r="T1" s="7" t="s">
        <v>17</v>
      </c>
      <c r="U1" s="6" t="s">
        <v>18</v>
      </c>
      <c r="V1" s="2" t="s">
        <v>19</v>
      </c>
      <c r="W1" s="7" t="s">
        <v>20</v>
      </c>
    </row>
    <row r="2">
      <c r="A2" s="0" t="s">
        <v>21</v>
      </c>
      <c r="B2" s="4">
        <f>1*$B$1</f>
      </c>
      <c r="C2" s="0" t="s">
        <v>22</v>
      </c>
      <c r="E2" s="1" t="s">
        <v>23</v>
      </c>
      <c r="F2" s="1" t="s">
        <v>23</v>
      </c>
      <c r="G2" s="2" t="s">
        <v>24</v>
      </c>
      <c r="H2" s="2" t="s">
        <v>24</v>
      </c>
      <c r="I2" s="2" t="s">
        <v>24</v>
      </c>
      <c r="J2" s="2" t="s">
        <v>24</v>
      </c>
      <c r="K2" s="3" t="s">
        <v>25</v>
      </c>
      <c r="L2" s="3" t="s">
        <v>25</v>
      </c>
      <c r="M2" s="2" t="s">
        <v>26</v>
      </c>
      <c r="N2" s="5" t="s">
        <v>27</v>
      </c>
      <c r="O2" s="5" t="s">
        <v>27</v>
      </c>
      <c r="P2" s="6" t="s">
        <v>26</v>
      </c>
      <c r="Q2" s="5" t="s">
        <v>27</v>
      </c>
      <c r="R2" s="5" t="s">
        <v>27</v>
      </c>
      <c r="S2" s="2" t="s">
        <v>26</v>
      </c>
      <c r="T2" s="7" t="s">
        <v>26</v>
      </c>
      <c r="U2" s="6" t="s">
        <v>26</v>
      </c>
      <c r="V2" s="2" t="s">
        <v>24</v>
      </c>
      <c r="W2" s="7" t="s">
        <v>24</v>
      </c>
    </row>
    <row r="3">
      <c r="A3" s="0" t="s">
        <v>28</v>
      </c>
      <c r="B3" s="4">
        <f>7390</f>
      </c>
      <c r="C3" s="0" t="s">
        <v>29</v>
      </c>
      <c r="E3" s="1">
        <f>360</f>
      </c>
      <c r="F3" s="1">
        <f>1300</f>
      </c>
      <c r="G3" s="2">
        <f>200</f>
      </c>
      <c r="H3" s="2">
        <f>155</f>
      </c>
      <c r="I3" s="2">
        <f>155</f>
      </c>
      <c r="J3" s="2">
        <f>167.4</f>
      </c>
      <c r="K3" s="3">
        <f>1.16</f>
      </c>
      <c r="L3" s="3">
        <f>14.12</f>
      </c>
      <c r="M3" s="2">
        <f>1</f>
      </c>
      <c r="N3" s="5">
        <f>(360*1*997)*0.5007242671211598</f>
      </c>
      <c r="O3" s="5">
        <f>(1300*1*997)*0.5007242671211598</f>
      </c>
      <c r="P3" s="6">
        <f>(200-155)/(200-155)</f>
      </c>
      <c r="Q3" s="5">
        <f>IF(O3 &lt; N3, O3, N3)</f>
      </c>
      <c r="R3" s="5">
        <f>IF(O3 &gt; N3, O3, N3)</f>
      </c>
      <c r="S3" s="2">
        <f>($B$3/Q3)*1000</f>
      </c>
      <c r="T3" s="7">
        <f>Q3/R3</f>
      </c>
      <c r="U3" s="6">
        <f>(O3*EXP(((N3-O3)*$B$3)/(O3*N3)*1000.0000000000001)-O3)/(N3*EXP(((N3-O3)*$B$3)/(O3*N3)*1000.0000000000001)-O3)</f>
      </c>
      <c r="V3" s="2">
        <f>200-(200-155)*U3</f>
      </c>
      <c r="W3" s="7">
        <f>V3-155</f>
      </c>
    </row>
    <row r="4">
      <c r="A4" s="0" t="s">
        <v>30</v>
      </c>
      <c r="B4" s="8">
        <f>SUM(W3^2,W4^2,W5^2,W6^2,W7^2,W8^2,W9^2,W10^2,W11^2,W12^2,W13^2,W14^2,W15^2,W16^2,W17^2,W18^2,W19^2,W20^2,W21^2,W22^2,W23^2,W24^2,W25^2,W26^2,W27^2,W28^2,W29^2,W30^2,W31^2,W32^2,W33^2,W34^2,W35^2,W36^2,W37^2,W38^2)</f>
      </c>
      <c r="C4" s="0" t="s">
        <v>31</v>
      </c>
      <c r="E4" s="1">
        <f>360</f>
      </c>
      <c r="F4" s="1">
        <f>1300</f>
      </c>
      <c r="G4" s="2">
        <f>200</f>
      </c>
      <c r="H4" s="2">
        <f>165</f>
      </c>
      <c r="I4" s="2">
        <f>165</f>
      </c>
      <c r="J4" s="2">
        <f>174.7</f>
      </c>
      <c r="K4" s="3">
        <f>1.16</f>
      </c>
      <c r="L4" s="3">
        <f>14.06</f>
      </c>
      <c r="M4" s="2">
        <f>2</f>
      </c>
      <c r="N4" s="5">
        <f>(360*1*997)*0.5007242671211598</f>
      </c>
      <c r="O4" s="5">
        <f>(1300*1*997)*0.5007242671211598</f>
      </c>
      <c r="P4" s="6">
        <f>(200-165)/(200-165)</f>
      </c>
      <c r="Q4" s="5">
        <f>IF(O4 &lt; N4, O4, N4)</f>
      </c>
      <c r="R4" s="5">
        <f>IF(O4 &gt; N4, O4, N4)</f>
      </c>
      <c r="S4" s="2">
        <f>($B$3/Q4)*1000</f>
      </c>
      <c r="T4" s="7">
        <f>Q4/R4</f>
      </c>
      <c r="U4" s="6">
        <f>(O4*EXP(((N4-O4)*$B$3)/(O4*N4)*1000.0000000000001)-O4)/(N4*EXP(((N4-O4)*$B$3)/(O4*N4)*1000.0000000000001)-O4)</f>
      </c>
      <c r="V4" s="2">
        <f>200-(200-165)*U4</f>
      </c>
      <c r="W4" s="7">
        <f>V4-165</f>
      </c>
    </row>
    <row r="5">
      <c r="E5" s="1">
        <f>360</f>
      </c>
      <c r="F5" s="1">
        <f>1300</f>
      </c>
      <c r="G5" s="2">
        <f>210</f>
      </c>
      <c r="H5" s="2">
        <f>155</f>
      </c>
      <c r="I5" s="2">
        <f>155</f>
      </c>
      <c r="J5" s="2">
        <f>170.2</f>
      </c>
      <c r="K5" s="3">
        <f>1.16</f>
      </c>
      <c r="L5" s="3">
        <f>14.11</f>
      </c>
      <c r="M5" s="2">
        <f>3</f>
      </c>
      <c r="N5" s="5">
        <f>(360*1*997)*0.5007242671211598</f>
      </c>
      <c r="O5" s="5">
        <f>(1300*1*997)*0.5007242671211598</f>
      </c>
      <c r="P5" s="6">
        <f>(210-155)/(210-155)</f>
      </c>
      <c r="Q5" s="5">
        <f>IF(O5 &lt; N5, O5, N5)</f>
      </c>
      <c r="R5" s="5">
        <f>IF(O5 &gt; N5, O5, N5)</f>
      </c>
      <c r="S5" s="2">
        <f>($B$3/Q5)*1000</f>
      </c>
      <c r="T5" s="7">
        <f>Q5/R5</f>
      </c>
      <c r="U5" s="6">
        <f>(O5*EXP(((N5-O5)*$B$3)/(O5*N5)*1000.0000000000001)-O5)/(N5*EXP(((N5-O5)*$B$3)/(O5*N5)*1000.0000000000001)-O5)</f>
      </c>
      <c r="V5" s="2">
        <f>210-(210-155)*U5</f>
      </c>
      <c r="W5" s="7">
        <f>V5-155</f>
      </c>
    </row>
    <row r="6">
      <c r="E6" s="1">
        <f>360</f>
      </c>
      <c r="F6" s="1">
        <f>1300</f>
      </c>
      <c r="G6" s="2">
        <f>210</f>
      </c>
      <c r="H6" s="2">
        <f>165</f>
      </c>
      <c r="I6" s="2">
        <f>165</f>
      </c>
      <c r="J6" s="2">
        <f>177.4</f>
      </c>
      <c r="K6" s="3">
        <f>1.15</f>
      </c>
      <c r="L6" s="3">
        <f>14.06</f>
      </c>
      <c r="M6" s="2">
        <f>4</f>
      </c>
      <c r="N6" s="5">
        <f>(360*1*997)*0.5007242671211598</f>
      </c>
      <c r="O6" s="5">
        <f>(1300*1*997)*0.5007242671211598</f>
      </c>
      <c r="P6" s="6">
        <f>(210-165)/(210-165)</f>
      </c>
      <c r="Q6" s="5">
        <f>IF(O6 &lt; N6, O6, N6)</f>
      </c>
      <c r="R6" s="5">
        <f>IF(O6 &gt; N6, O6, N6)</f>
      </c>
      <c r="S6" s="2">
        <f>($B$3/Q6)*1000</f>
      </c>
      <c r="T6" s="7">
        <f>Q6/R6</f>
      </c>
      <c r="U6" s="6">
        <f>(O6*EXP(((N6-O6)*$B$3)/(O6*N6)*1000.0000000000001)-O6)/(N6*EXP(((N6-O6)*$B$3)/(O6*N6)*1000.0000000000001)-O6)</f>
      </c>
      <c r="V6" s="2">
        <f>210-(210-165)*U6</f>
      </c>
      <c r="W6" s="7">
        <f>V6-165</f>
      </c>
    </row>
    <row r="7">
      <c r="E7" s="1">
        <f>360</f>
      </c>
      <c r="F7" s="1">
        <f>1300</f>
      </c>
      <c r="G7" s="2">
        <f>220</f>
      </c>
      <c r="H7" s="2">
        <f>155</f>
      </c>
      <c r="I7" s="2">
        <f>155</f>
      </c>
      <c r="J7" s="2">
        <f>172.9</f>
      </c>
      <c r="K7" s="3">
        <f>1.15</f>
      </c>
      <c r="L7" s="3">
        <f>14.1</f>
      </c>
      <c r="M7" s="2">
        <f>5</f>
      </c>
      <c r="N7" s="5">
        <f>(360*1*997)*0.5007242671211598</f>
      </c>
      <c r="O7" s="5">
        <f>(1300*1*997)*0.5007242671211598</f>
      </c>
      <c r="P7" s="6">
        <f>(220-155)/(220-155)</f>
      </c>
      <c r="Q7" s="5">
        <f>IF(O7 &lt; N7, O7, N7)</f>
      </c>
      <c r="R7" s="5">
        <f>IF(O7 &gt; N7, O7, N7)</f>
      </c>
      <c r="S7" s="2">
        <f>($B$3/Q7)*1000</f>
      </c>
      <c r="T7" s="7">
        <f>Q7/R7</f>
      </c>
      <c r="U7" s="6">
        <f>(O7*EXP(((N7-O7)*$B$3)/(O7*N7)*1000.0000000000001)-O7)/(N7*EXP(((N7-O7)*$B$3)/(O7*N7)*1000.0000000000001)-O7)</f>
      </c>
      <c r="V7" s="2">
        <f>220-(220-155)*U7</f>
      </c>
      <c r="W7" s="7">
        <f>V7-155</f>
      </c>
    </row>
    <row r="8">
      <c r="E8" s="1">
        <f>360</f>
      </c>
      <c r="F8" s="1">
        <f>1300</f>
      </c>
      <c r="G8" s="2">
        <f>220</f>
      </c>
      <c r="H8" s="2">
        <f>165</f>
      </c>
      <c r="I8" s="2">
        <f>165</f>
      </c>
      <c r="J8" s="2">
        <f>180.2</f>
      </c>
      <c r="K8" s="3">
        <f>1.15</f>
      </c>
      <c r="L8" s="3">
        <f>14.05</f>
      </c>
      <c r="M8" s="2">
        <f>6</f>
      </c>
      <c r="N8" s="5">
        <f>(360*1*997)*0.5007242671211598</f>
      </c>
      <c r="O8" s="5">
        <f>(1300*1*997)*0.5007242671211598</f>
      </c>
      <c r="P8" s="6">
        <f>(220-165)/(220-165)</f>
      </c>
      <c r="Q8" s="5">
        <f>IF(O8 &lt; N8, O8, N8)</f>
      </c>
      <c r="R8" s="5">
        <f>IF(O8 &gt; N8, O8, N8)</f>
      </c>
      <c r="S8" s="2">
        <f>($B$3/Q8)*1000</f>
      </c>
      <c r="T8" s="7">
        <f>Q8/R8</f>
      </c>
      <c r="U8" s="6">
        <f>(O8*EXP(((N8-O8)*$B$3)/(O8*N8)*1000.0000000000001)-O8)/(N8*EXP(((N8-O8)*$B$3)/(O8*N8)*1000.0000000000001)-O8)</f>
      </c>
      <c r="V8" s="2">
        <f>220-(220-165)*U8</f>
      </c>
      <c r="W8" s="7">
        <f>V8-165</f>
      </c>
    </row>
    <row r="9">
      <c r="E9" s="1">
        <f>360</f>
      </c>
      <c r="F9" s="1">
        <f>1500</f>
      </c>
      <c r="G9" s="2">
        <f>200</f>
      </c>
      <c r="H9" s="2">
        <f>155</f>
      </c>
      <c r="I9" s="2">
        <f>155</f>
      </c>
      <c r="J9" s="2">
        <f>165.8</f>
      </c>
      <c r="K9" s="3">
        <f>1.16</f>
      </c>
      <c r="L9" s="3">
        <f>18.63</f>
      </c>
      <c r="M9" s="2">
        <f>7</f>
      </c>
      <c r="N9" s="5">
        <f>(360*1*997)*0.5007242671211598</f>
      </c>
      <c r="O9" s="5">
        <f>(1500*1*997)*0.5007242671211598</f>
      </c>
      <c r="P9" s="6">
        <f>(200-155)/(200-155)</f>
      </c>
      <c r="Q9" s="5">
        <f>IF(O9 &lt; N9, O9, N9)</f>
      </c>
      <c r="R9" s="5">
        <f>IF(O9 &gt; N9, O9, N9)</f>
      </c>
      <c r="S9" s="2">
        <f>($B$3/Q9)*1000</f>
      </c>
      <c r="T9" s="7">
        <f>Q9/R9</f>
      </c>
      <c r="U9" s="6">
        <f>(O9*EXP(((N9-O9)*$B$3)/(O9*N9)*1000.0000000000001)-O9)/(N9*EXP(((N9-O9)*$B$3)/(O9*N9)*1000.0000000000001)-O9)</f>
      </c>
      <c r="V9" s="2">
        <f>200-(200-155)*U9</f>
      </c>
      <c r="W9" s="7">
        <f>V9-155</f>
      </c>
    </row>
    <row r="10">
      <c r="E10" s="1">
        <f>360</f>
      </c>
      <c r="F10" s="1">
        <f>1500</f>
      </c>
      <c r="G10" s="2">
        <f>200</f>
      </c>
      <c r="H10" s="2">
        <f>165</f>
      </c>
      <c r="I10" s="2">
        <f>165</f>
      </c>
      <c r="J10" s="2">
        <f>173.4</f>
      </c>
      <c r="K10" s="3">
        <f>1.16</f>
      </c>
      <c r="L10" s="3">
        <f>18.57</f>
      </c>
      <c r="M10" s="2">
        <f>8</f>
      </c>
      <c r="N10" s="5">
        <f>(360*1*997)*0.5007242671211598</f>
      </c>
      <c r="O10" s="5">
        <f>(1500*1*997)*0.5007242671211598</f>
      </c>
      <c r="P10" s="6">
        <f>(200-165)/(200-165)</f>
      </c>
      <c r="Q10" s="5">
        <f>IF(O10 &lt; N10, O10, N10)</f>
      </c>
      <c r="R10" s="5">
        <f>IF(O10 &gt; N10, O10, N10)</f>
      </c>
      <c r="S10" s="2">
        <f>($B$3/Q10)*1000</f>
      </c>
      <c r="T10" s="7">
        <f>Q10/R10</f>
      </c>
      <c r="U10" s="6">
        <f>(O10*EXP(((N10-O10)*$B$3)/(O10*N10)*1000.0000000000001)-O10)/(N10*EXP(((N10-O10)*$B$3)/(O10*N10)*1000.0000000000001)-O10)</f>
      </c>
      <c r="V10" s="2">
        <f>200-(200-165)*U10</f>
      </c>
      <c r="W10" s="7">
        <f>V10-165</f>
      </c>
    </row>
    <row r="11">
      <c r="E11" s="1">
        <f>360</f>
      </c>
      <c r="F11" s="1">
        <f>1500</f>
      </c>
      <c r="G11" s="2">
        <f>210</f>
      </c>
      <c r="H11" s="2">
        <f>155</f>
      </c>
      <c r="I11" s="2">
        <f>155</f>
      </c>
      <c r="J11" s="2">
        <f>168.1</f>
      </c>
      <c r="K11" s="3">
        <f>1.16</f>
      </c>
      <c r="L11" s="3">
        <f>18.62</f>
      </c>
      <c r="M11" s="2">
        <f>9</f>
      </c>
      <c r="N11" s="5">
        <f>(360*1*997)*0.5007242671211598</f>
      </c>
      <c r="O11" s="5">
        <f>(1500*1*997)*0.5007242671211598</f>
      </c>
      <c r="P11" s="6">
        <f>(210-155)/(210-155)</f>
      </c>
      <c r="Q11" s="5">
        <f>IF(O11 &lt; N11, O11, N11)</f>
      </c>
      <c r="R11" s="5">
        <f>IF(O11 &gt; N11, O11, N11)</f>
      </c>
      <c r="S11" s="2">
        <f>($B$3/Q11)*1000</f>
      </c>
      <c r="T11" s="7">
        <f>Q11/R11</f>
      </c>
      <c r="U11" s="6">
        <f>(O11*EXP(((N11-O11)*$B$3)/(O11*N11)*1000.0000000000001)-O11)/(N11*EXP(((N11-O11)*$B$3)/(O11*N11)*1000.0000000000001)-O11)</f>
      </c>
      <c r="V11" s="2">
        <f>210-(210-155)*U11</f>
      </c>
      <c r="W11" s="7">
        <f>V11-155</f>
      </c>
    </row>
    <row r="12">
      <c r="E12" s="1">
        <f>360</f>
      </c>
      <c r="F12" s="1">
        <f>1500</f>
      </c>
      <c r="G12" s="2">
        <f>210</f>
      </c>
      <c r="H12" s="2">
        <f>165</f>
      </c>
      <c r="I12" s="2">
        <f>165</f>
      </c>
      <c r="J12" s="2">
        <f>175.8</f>
      </c>
      <c r="K12" s="3">
        <f>1.15</f>
      </c>
      <c r="L12" s="3">
        <f>18.57</f>
      </c>
      <c r="M12" s="2">
        <f>10</f>
      </c>
      <c r="N12" s="5">
        <f>(360*1*997)*0.5007242671211598</f>
      </c>
      <c r="O12" s="5">
        <f>(1500*1*997)*0.5007242671211598</f>
      </c>
      <c r="P12" s="6">
        <f>(210-165)/(210-165)</f>
      </c>
      <c r="Q12" s="5">
        <f>IF(O12 &lt; N12, O12, N12)</f>
      </c>
      <c r="R12" s="5">
        <f>IF(O12 &gt; N12, O12, N12)</f>
      </c>
      <c r="S12" s="2">
        <f>($B$3/Q12)*1000</f>
      </c>
      <c r="T12" s="7">
        <f>Q12/R12</f>
      </c>
      <c r="U12" s="6">
        <f>(O12*EXP(((N12-O12)*$B$3)/(O12*N12)*1000.0000000000001)-O12)/(N12*EXP(((N12-O12)*$B$3)/(O12*N12)*1000.0000000000001)-O12)</f>
      </c>
      <c r="V12" s="2">
        <f>210-(210-165)*U12</f>
      </c>
      <c r="W12" s="7">
        <f>V12-165</f>
      </c>
    </row>
    <row r="13">
      <c r="E13" s="1">
        <f>360</f>
      </c>
      <c r="F13" s="1">
        <f>1500</f>
      </c>
      <c r="G13" s="2">
        <f>220</f>
      </c>
      <c r="H13" s="2">
        <f>155</f>
      </c>
      <c r="I13" s="2">
        <f>155</f>
      </c>
      <c r="J13" s="2">
        <f>170.5</f>
      </c>
      <c r="K13" s="3">
        <f>1.15</f>
      </c>
      <c r="L13" s="3">
        <f>18.62</f>
      </c>
      <c r="M13" s="2">
        <f>11</f>
      </c>
      <c r="N13" s="5">
        <f>(360*1*997)*0.5007242671211598</f>
      </c>
      <c r="O13" s="5">
        <f>(1500*1*997)*0.5007242671211598</f>
      </c>
      <c r="P13" s="6">
        <f>(220-155)/(220-155)</f>
      </c>
      <c r="Q13" s="5">
        <f>IF(O13 &lt; N13, O13, N13)</f>
      </c>
      <c r="R13" s="5">
        <f>IF(O13 &gt; N13, O13, N13)</f>
      </c>
      <c r="S13" s="2">
        <f>($B$3/Q13)*1000</f>
      </c>
      <c r="T13" s="7">
        <f>Q13/R13</f>
      </c>
      <c r="U13" s="6">
        <f>(O13*EXP(((N13-O13)*$B$3)/(O13*N13)*1000.0000000000001)-O13)/(N13*EXP(((N13-O13)*$B$3)/(O13*N13)*1000.0000000000001)-O13)</f>
      </c>
      <c r="V13" s="2">
        <f>220-(220-155)*U13</f>
      </c>
      <c r="W13" s="7">
        <f>V13-155</f>
      </c>
    </row>
    <row r="14">
      <c r="E14" s="1">
        <f>360</f>
      </c>
      <c r="F14" s="1">
        <f>1500</f>
      </c>
      <c r="G14" s="2">
        <f>220</f>
      </c>
      <c r="H14" s="2">
        <f>165</f>
      </c>
      <c r="I14" s="2">
        <f>165</f>
      </c>
      <c r="J14" s="2">
        <f>178.1</f>
      </c>
      <c r="K14" s="3">
        <f>1.15</f>
      </c>
      <c r="L14" s="3">
        <f>18.56</f>
      </c>
      <c r="M14" s="2">
        <f>12</f>
      </c>
      <c r="N14" s="5">
        <f>(360*1*997)*0.5007242671211598</f>
      </c>
      <c r="O14" s="5">
        <f>(1500*1*997)*0.5007242671211598</f>
      </c>
      <c r="P14" s="6">
        <f>(220-165)/(220-165)</f>
      </c>
      <c r="Q14" s="5">
        <f>IF(O14 &lt; N14, O14, N14)</f>
      </c>
      <c r="R14" s="5">
        <f>IF(O14 &gt; N14, O14, N14)</f>
      </c>
      <c r="S14" s="2">
        <f>($B$3/Q14)*1000</f>
      </c>
      <c r="T14" s="7">
        <f>Q14/R14</f>
      </c>
      <c r="U14" s="6">
        <f>(O14*EXP(((N14-O14)*$B$3)/(O14*N14)*1000.0000000000001)-O14)/(N14*EXP(((N14-O14)*$B$3)/(O14*N14)*1000.0000000000001)-O14)</f>
      </c>
      <c r="V14" s="2">
        <f>220-(220-165)*U14</f>
      </c>
      <c r="W14" s="7">
        <f>V14-165</f>
      </c>
    </row>
    <row r="15">
      <c r="E15" s="1">
        <f>720</f>
      </c>
      <c r="F15" s="1">
        <f>1300</f>
      </c>
      <c r="G15" s="2">
        <f>200</f>
      </c>
      <c r="H15" s="2">
        <f>155</f>
      </c>
      <c r="I15" s="2">
        <f>155.1</f>
      </c>
      <c r="J15" s="2">
        <f>179.8</f>
      </c>
      <c r="K15" s="3">
        <f>4.5</f>
      </c>
      <c r="L15" s="3">
        <f>14.08</f>
      </c>
      <c r="M15" s="2">
        <f>13</f>
      </c>
      <c r="N15" s="5">
        <f>(720*1*997)*0.5007242671211598</f>
      </c>
      <c r="O15" s="5">
        <f>(1300*1*997)*0.5007242671211598</f>
      </c>
      <c r="P15" s="6">
        <f>(200-155.1)/(200-155)</f>
      </c>
      <c r="Q15" s="5">
        <f>IF(O15 &lt; N15, O15, N15)</f>
      </c>
      <c r="R15" s="5">
        <f>IF(O15 &gt; N15, O15, N15)</f>
      </c>
      <c r="S15" s="2">
        <f>($B$3/Q15)*1000</f>
      </c>
      <c r="T15" s="7">
        <f>Q15/R15</f>
      </c>
      <c r="U15" s="6">
        <f>(O15*EXP(((N15-O15)*$B$3)/(O15*N15)*1000.0000000000001)-O15)/(N15*EXP(((N15-O15)*$B$3)/(O15*N15)*1000.0000000000001)-O15)</f>
      </c>
      <c r="V15" s="2">
        <f>200-(200-155)*U15</f>
      </c>
      <c r="W15" s="7">
        <f>V15-155.1</f>
      </c>
    </row>
    <row r="16">
      <c r="E16" s="1">
        <f>720</f>
      </c>
      <c r="F16" s="1">
        <f>1300</f>
      </c>
      <c r="G16" s="2">
        <f>200</f>
      </c>
      <c r="H16" s="2">
        <f>165</f>
      </c>
      <c r="I16" s="2">
        <f>165.1</f>
      </c>
      <c r="J16" s="2">
        <f>184.3</f>
      </c>
      <c r="K16" s="3">
        <f>4.48</f>
      </c>
      <c r="L16" s="3">
        <f>14.03</f>
      </c>
      <c r="M16" s="2">
        <f>14</f>
      </c>
      <c r="N16" s="5">
        <f>(720*1*997)*0.5007242671211598</f>
      </c>
      <c r="O16" s="5">
        <f>(1300*1*997)*0.5007242671211598</f>
      </c>
      <c r="P16" s="6">
        <f>(200-165.1)/(200-165)</f>
      </c>
      <c r="Q16" s="5">
        <f>IF(O16 &lt; N16, O16, N16)</f>
      </c>
      <c r="R16" s="5">
        <f>IF(O16 &gt; N16, O16, N16)</f>
      </c>
      <c r="S16" s="2">
        <f>($B$3/Q16)*1000</f>
      </c>
      <c r="T16" s="7">
        <f>Q16/R16</f>
      </c>
      <c r="U16" s="6">
        <f>(O16*EXP(((N16-O16)*$B$3)/(O16*N16)*1000.0000000000001)-O16)/(N16*EXP(((N16-O16)*$B$3)/(O16*N16)*1000.0000000000001)-O16)</f>
      </c>
      <c r="V16" s="2">
        <f>200-(200-165)*U16</f>
      </c>
      <c r="W16" s="7">
        <f>V16-165.1</f>
      </c>
    </row>
    <row r="17">
      <c r="E17" s="1">
        <f>720</f>
      </c>
      <c r="F17" s="1">
        <f>1300</f>
      </c>
      <c r="G17" s="2">
        <f>210</f>
      </c>
      <c r="H17" s="2">
        <f>155</f>
      </c>
      <c r="I17" s="2">
        <f>155.1</f>
      </c>
      <c r="J17" s="2">
        <f>185.3</f>
      </c>
      <c r="K17" s="3">
        <f>4.48</f>
      </c>
      <c r="L17" s="3">
        <f>14.06</f>
      </c>
      <c r="M17" s="2">
        <f>15</f>
      </c>
      <c r="N17" s="5">
        <f>(720*1*997)*0.5007242671211598</f>
      </c>
      <c r="O17" s="5">
        <f>(1300*1*997)*0.5007242671211598</f>
      </c>
      <c r="P17" s="6">
        <f>(210-155.1)/(210-155)</f>
      </c>
      <c r="Q17" s="5">
        <f>IF(O17 &lt; N17, O17, N17)</f>
      </c>
      <c r="R17" s="5">
        <f>IF(O17 &gt; N17, O17, N17)</f>
      </c>
      <c r="S17" s="2">
        <f>($B$3/Q17)*1000</f>
      </c>
      <c r="T17" s="7">
        <f>Q17/R17</f>
      </c>
      <c r="U17" s="6">
        <f>(O17*EXP(((N17-O17)*$B$3)/(O17*N17)*1000.0000000000001)-O17)/(N17*EXP(((N17-O17)*$B$3)/(O17*N17)*1000.0000000000001)-O17)</f>
      </c>
      <c r="V17" s="2">
        <f>210-(210-155)*U17</f>
      </c>
      <c r="W17" s="7">
        <f>V17-155.1</f>
      </c>
    </row>
    <row r="18">
      <c r="E18" s="1">
        <f>720</f>
      </c>
      <c r="F18" s="1">
        <f>1300</f>
      </c>
      <c r="G18" s="2">
        <f>210</f>
      </c>
      <c r="H18" s="2">
        <f>165</f>
      </c>
      <c r="I18" s="2">
        <f>165.1</f>
      </c>
      <c r="J18" s="2">
        <f>189.8</f>
      </c>
      <c r="K18" s="3">
        <f>4.47</f>
      </c>
      <c r="L18" s="3">
        <f>14.01</f>
      </c>
      <c r="M18" s="2">
        <f>16</f>
      </c>
      <c r="N18" s="5">
        <f>(720*1*997)*0.5007242671211598</f>
      </c>
      <c r="O18" s="5">
        <f>(1300*1*997)*0.5007242671211598</f>
      </c>
      <c r="P18" s="6">
        <f>(210-165.1)/(210-165)</f>
      </c>
      <c r="Q18" s="5">
        <f>IF(O18 &lt; N18, O18, N18)</f>
      </c>
      <c r="R18" s="5">
        <f>IF(O18 &gt; N18, O18, N18)</f>
      </c>
      <c r="S18" s="2">
        <f>($B$3/Q18)*1000</f>
      </c>
      <c r="T18" s="7">
        <f>Q18/R18</f>
      </c>
      <c r="U18" s="6">
        <f>(O18*EXP(((N18-O18)*$B$3)/(O18*N18)*1000.0000000000001)-O18)/(N18*EXP(((N18-O18)*$B$3)/(O18*N18)*1000.0000000000001)-O18)</f>
      </c>
      <c r="V18" s="2">
        <f>210-(210-165)*U18</f>
      </c>
      <c r="W18" s="7">
        <f>V18-165.1</f>
      </c>
    </row>
    <row r="19">
      <c r="E19" s="1">
        <f>720</f>
      </c>
      <c r="F19" s="1">
        <f>1300</f>
      </c>
      <c r="G19" s="2">
        <f>220</f>
      </c>
      <c r="H19" s="2">
        <f>155</f>
      </c>
      <c r="I19" s="2">
        <f>155.1</f>
      </c>
      <c r="J19" s="2">
        <f>190.8</f>
      </c>
      <c r="K19" s="3">
        <f>4.47</f>
      </c>
      <c r="L19" s="3">
        <f>14.04</f>
      </c>
      <c r="M19" s="2">
        <f>17</f>
      </c>
      <c r="N19" s="5">
        <f>(720*1*997)*0.5007242671211598</f>
      </c>
      <c r="O19" s="5">
        <f>(1300*1*997)*0.5007242671211598</f>
      </c>
      <c r="P19" s="6">
        <f>(220-155.1)/(220-155)</f>
      </c>
      <c r="Q19" s="5">
        <f>IF(O19 &lt; N19, O19, N19)</f>
      </c>
      <c r="R19" s="5">
        <f>IF(O19 &gt; N19, O19, N19)</f>
      </c>
      <c r="S19" s="2">
        <f>($B$3/Q19)*1000</f>
      </c>
      <c r="T19" s="7">
        <f>Q19/R19</f>
      </c>
      <c r="U19" s="6">
        <f>(O19*EXP(((N19-O19)*$B$3)/(O19*N19)*1000.0000000000001)-O19)/(N19*EXP(((N19-O19)*$B$3)/(O19*N19)*1000.0000000000001)-O19)</f>
      </c>
      <c r="V19" s="2">
        <f>220-(220-155)*U19</f>
      </c>
      <c r="W19" s="7">
        <f>V19-155.1</f>
      </c>
    </row>
    <row r="20">
      <c r="E20" s="1">
        <f>720</f>
      </c>
      <c r="F20" s="1">
        <f>1300</f>
      </c>
      <c r="G20" s="2">
        <f>220</f>
      </c>
      <c r="H20" s="2">
        <f>165</f>
      </c>
      <c r="I20" s="2">
        <f>165.1</f>
      </c>
      <c r="J20" s="2">
        <f>195.3</f>
      </c>
      <c r="K20" s="3">
        <f>4.45</f>
      </c>
      <c r="L20" s="3">
        <f>14</f>
      </c>
      <c r="M20" s="2">
        <f>18</f>
      </c>
      <c r="N20" s="5">
        <f>(720*1*997)*0.5007242671211598</f>
      </c>
      <c r="O20" s="5">
        <f>(1300*1*997)*0.5007242671211598</f>
      </c>
      <c r="P20" s="6">
        <f>(220-165.1)/(220-165)</f>
      </c>
      <c r="Q20" s="5">
        <f>IF(O20 &lt; N20, O20, N20)</f>
      </c>
      <c r="R20" s="5">
        <f>IF(O20 &gt; N20, O20, N20)</f>
      </c>
      <c r="S20" s="2">
        <f>($B$3/Q20)*1000</f>
      </c>
      <c r="T20" s="7">
        <f>Q20/R20</f>
      </c>
      <c r="U20" s="6">
        <f>(O20*EXP(((N20-O20)*$B$3)/(O20*N20)*1000.0000000000001)-O20)/(N20*EXP(((N20-O20)*$B$3)/(O20*N20)*1000.0000000000001)-O20)</f>
      </c>
      <c r="V20" s="2">
        <f>220-(220-165)*U20</f>
      </c>
      <c r="W20" s="7">
        <f>V20-165.1</f>
      </c>
    </row>
    <row r="21">
      <c r="E21" s="1">
        <f>720</f>
      </c>
      <c r="F21" s="1">
        <f>1500</f>
      </c>
      <c r="G21" s="2">
        <f>200</f>
      </c>
      <c r="H21" s="2">
        <f>155</f>
      </c>
      <c r="I21" s="2">
        <f>155.1</f>
      </c>
      <c r="J21" s="2">
        <f>176.5</f>
      </c>
      <c r="K21" s="3">
        <f>4.5</f>
      </c>
      <c r="L21" s="3">
        <f>18.59</f>
      </c>
      <c r="M21" s="2">
        <f>19</f>
      </c>
      <c r="N21" s="5">
        <f>(720*1*997)*0.5007242671211598</f>
      </c>
      <c r="O21" s="5">
        <f>(1500*1*997)*0.5007242671211598</f>
      </c>
      <c r="P21" s="6">
        <f>(200-155.1)/(200-155)</f>
      </c>
      <c r="Q21" s="5">
        <f>IF(O21 &lt; N21, O21, N21)</f>
      </c>
      <c r="R21" s="5">
        <f>IF(O21 &gt; N21, O21, N21)</f>
      </c>
      <c r="S21" s="2">
        <f>($B$3/Q21)*1000</f>
      </c>
      <c r="T21" s="7">
        <f>Q21/R21</f>
      </c>
      <c r="U21" s="6">
        <f>(O21*EXP(((N21-O21)*$B$3)/(O21*N21)*1000.0000000000001)-O21)/(N21*EXP(((N21-O21)*$B$3)/(O21*N21)*1000.0000000000001)-O21)</f>
      </c>
      <c r="V21" s="2">
        <f>200-(200-155)*U21</f>
      </c>
      <c r="W21" s="7">
        <f>V21-155.1</f>
      </c>
    </row>
    <row r="22">
      <c r="E22" s="1">
        <f>720</f>
      </c>
      <c r="F22" s="1">
        <f>1500</f>
      </c>
      <c r="G22" s="2">
        <f>200</f>
      </c>
      <c r="H22" s="2">
        <f>165</f>
      </c>
      <c r="I22" s="2">
        <f>165.1</f>
      </c>
      <c r="J22" s="2">
        <f>181.7</f>
      </c>
      <c r="K22" s="3">
        <f>4.48</f>
      </c>
      <c r="L22" s="3">
        <f>18.54</f>
      </c>
      <c r="M22" s="2">
        <f>20</f>
      </c>
      <c r="N22" s="5">
        <f>(720*1*997)*0.5007242671211598</f>
      </c>
      <c r="O22" s="5">
        <f>(1500*1*997)*0.5007242671211598</f>
      </c>
      <c r="P22" s="6">
        <f>(200-165.1)/(200-165)</f>
      </c>
      <c r="Q22" s="5">
        <f>IF(O22 &lt; N22, O22, N22)</f>
      </c>
      <c r="R22" s="5">
        <f>IF(O22 &gt; N22, O22, N22)</f>
      </c>
      <c r="S22" s="2">
        <f>($B$3/Q22)*1000</f>
      </c>
      <c r="T22" s="7">
        <f>Q22/R22</f>
      </c>
      <c r="U22" s="6">
        <f>(O22*EXP(((N22-O22)*$B$3)/(O22*N22)*1000.0000000000001)-O22)/(N22*EXP(((N22-O22)*$B$3)/(O22*N22)*1000.0000000000001)-O22)</f>
      </c>
      <c r="V22" s="2">
        <f>200-(200-165)*U22</f>
      </c>
      <c r="W22" s="7">
        <f>V22-165.1</f>
      </c>
    </row>
    <row r="23">
      <c r="E23" s="1">
        <f>720</f>
      </c>
      <c r="F23" s="1">
        <f>1500</f>
      </c>
      <c r="G23" s="2">
        <f>210</f>
      </c>
      <c r="H23" s="2">
        <f>155</f>
      </c>
      <c r="I23" s="2">
        <f>155.1</f>
      </c>
      <c r="J23" s="2">
        <f>181.3</f>
      </c>
      <c r="K23" s="3">
        <f>4.48</f>
      </c>
      <c r="L23" s="3">
        <f>18.57</f>
      </c>
      <c r="M23" s="2">
        <f>21</f>
      </c>
      <c r="N23" s="5">
        <f>(720*1*997)*0.5007242671211598</f>
      </c>
      <c r="O23" s="5">
        <f>(1500*1*997)*0.5007242671211598</f>
      </c>
      <c r="P23" s="6">
        <f>(210-155.1)/(210-155)</f>
      </c>
      <c r="Q23" s="5">
        <f>IF(O23 &lt; N23, O23, N23)</f>
      </c>
      <c r="R23" s="5">
        <f>IF(O23 &gt; N23, O23, N23)</f>
      </c>
      <c r="S23" s="2">
        <f>($B$3/Q23)*1000</f>
      </c>
      <c r="T23" s="7">
        <f>Q23/R23</f>
      </c>
      <c r="U23" s="6">
        <f>(O23*EXP(((N23-O23)*$B$3)/(O23*N23)*1000.0000000000001)-O23)/(N23*EXP(((N23-O23)*$B$3)/(O23*N23)*1000.0000000000001)-O23)</f>
      </c>
      <c r="V23" s="2">
        <f>210-(210-155)*U23</f>
      </c>
      <c r="W23" s="7">
        <f>V23-155.1</f>
      </c>
    </row>
    <row r="24">
      <c r="E24" s="1">
        <f>720</f>
      </c>
      <c r="F24" s="1">
        <f>1500</f>
      </c>
      <c r="G24" s="2">
        <f>210</f>
      </c>
      <c r="H24" s="2">
        <f>165</f>
      </c>
      <c r="I24" s="2">
        <f>165.1</f>
      </c>
      <c r="J24" s="2">
        <f>186.5</f>
      </c>
      <c r="K24" s="3">
        <f>4.47</f>
      </c>
      <c r="L24" s="3">
        <f>18.52</f>
      </c>
      <c r="M24" s="2">
        <f>22</f>
      </c>
      <c r="N24" s="5">
        <f>(720*1*997)*0.5007242671211598</f>
      </c>
      <c r="O24" s="5">
        <f>(1500*1*997)*0.5007242671211598</f>
      </c>
      <c r="P24" s="6">
        <f>(210-165.1)/(210-165)</f>
      </c>
      <c r="Q24" s="5">
        <f>IF(O24 &lt; N24, O24, N24)</f>
      </c>
      <c r="R24" s="5">
        <f>IF(O24 &gt; N24, O24, N24)</f>
      </c>
      <c r="S24" s="2">
        <f>($B$3/Q24)*1000</f>
      </c>
      <c r="T24" s="7">
        <f>Q24/R24</f>
      </c>
      <c r="U24" s="6">
        <f>(O24*EXP(((N24-O24)*$B$3)/(O24*N24)*1000.0000000000001)-O24)/(N24*EXP(((N24-O24)*$B$3)/(O24*N24)*1000.0000000000001)-O24)</f>
      </c>
      <c r="V24" s="2">
        <f>210-(210-165)*U24</f>
      </c>
      <c r="W24" s="7">
        <f>V24-165.1</f>
      </c>
    </row>
    <row r="25">
      <c r="E25" s="1">
        <f>720</f>
      </c>
      <c r="F25" s="1">
        <f>1500</f>
      </c>
      <c r="G25" s="2">
        <f>220</f>
      </c>
      <c r="H25" s="2">
        <f>155</f>
      </c>
      <c r="I25" s="2">
        <f>155.1</f>
      </c>
      <c r="J25" s="2">
        <f>186</f>
      </c>
      <c r="K25" s="3">
        <f>4.47</f>
      </c>
      <c r="L25" s="3">
        <f>18.56</f>
      </c>
      <c r="M25" s="2">
        <f>23</f>
      </c>
      <c r="N25" s="5">
        <f>(720*1*997)*0.5007242671211598</f>
      </c>
      <c r="O25" s="5">
        <f>(1500*1*997)*0.5007242671211598</f>
      </c>
      <c r="P25" s="6">
        <f>(220-155.1)/(220-155)</f>
      </c>
      <c r="Q25" s="5">
        <f>IF(O25 &lt; N25, O25, N25)</f>
      </c>
      <c r="R25" s="5">
        <f>IF(O25 &gt; N25, O25, N25)</f>
      </c>
      <c r="S25" s="2">
        <f>($B$3/Q25)*1000</f>
      </c>
      <c r="T25" s="7">
        <f>Q25/R25</f>
      </c>
      <c r="U25" s="6">
        <f>(O25*EXP(((N25-O25)*$B$3)/(O25*N25)*1000.0000000000001)-O25)/(N25*EXP(((N25-O25)*$B$3)/(O25*N25)*1000.0000000000001)-O25)</f>
      </c>
      <c r="V25" s="2">
        <f>220-(220-155)*U25</f>
      </c>
      <c r="W25" s="7">
        <f>V25-155.1</f>
      </c>
    </row>
    <row r="26">
      <c r="E26" s="1">
        <f>720</f>
      </c>
      <c r="F26" s="1">
        <f>1500</f>
      </c>
      <c r="G26" s="2">
        <f>220</f>
      </c>
      <c r="H26" s="2">
        <f>165</f>
      </c>
      <c r="I26" s="2">
        <f>165.1</f>
      </c>
      <c r="J26" s="2">
        <f>191.3</f>
      </c>
      <c r="K26" s="3">
        <f>4.45</f>
      </c>
      <c r="L26" s="3">
        <f>18.51</f>
      </c>
      <c r="M26" s="2">
        <f>24</f>
      </c>
      <c r="N26" s="5">
        <f>(720*1*997)*0.5007242671211598</f>
      </c>
      <c r="O26" s="5">
        <f>(1500*1*997)*0.5007242671211598</f>
      </c>
      <c r="P26" s="6">
        <f>(220-165.1)/(220-165)</f>
      </c>
      <c r="Q26" s="5">
        <f>IF(O26 &lt; N26, O26, N26)</f>
      </c>
      <c r="R26" s="5">
        <f>IF(O26 &gt; N26, O26, N26)</f>
      </c>
      <c r="S26" s="2">
        <f>($B$3/Q26)*1000</f>
      </c>
      <c r="T26" s="7">
        <f>Q26/R26</f>
      </c>
      <c r="U26" s="6">
        <f>(O26*EXP(((N26-O26)*$B$3)/(O26*N26)*1000.0000000000001)-O26)/(N26*EXP(((N26-O26)*$B$3)/(O26*N26)*1000.0000000000001)-O26)</f>
      </c>
      <c r="V26" s="2">
        <f>220-(220-165)*U26</f>
      </c>
      <c r="W26" s="7">
        <f>V26-165.1</f>
      </c>
    </row>
    <row r="27">
      <c r="E27" s="1">
        <f>1080</f>
      </c>
      <c r="F27" s="1">
        <f>1300</f>
      </c>
      <c r="G27" s="2">
        <f>200</f>
      </c>
      <c r="H27" s="2">
        <f>155</f>
      </c>
      <c r="I27" s="2">
        <f>156</f>
      </c>
      <c r="J27" s="2">
        <f>191.5</f>
      </c>
      <c r="K27" s="3">
        <f>9.9</f>
      </c>
      <c r="L27" s="3">
        <f>14.03</f>
      </c>
      <c r="M27" s="2">
        <f>25</f>
      </c>
      <c r="N27" s="5">
        <f>(1080*1*997)*0.5007242671211598</f>
      </c>
      <c r="O27" s="5">
        <f>(1300*1*997)*0.5007242671211598</f>
      </c>
      <c r="P27" s="6">
        <f>(200-156)/(200-155)</f>
      </c>
      <c r="Q27" s="5">
        <f>IF(O27 &lt; N27, O27, N27)</f>
      </c>
      <c r="R27" s="5">
        <f>IF(O27 &gt; N27, O27, N27)</f>
      </c>
      <c r="S27" s="2">
        <f>($B$3/Q27)*1000</f>
      </c>
      <c r="T27" s="7">
        <f>Q27/R27</f>
      </c>
      <c r="U27" s="6">
        <f>(O27*EXP(((N27-O27)*$B$3)/(O27*N27)*1000.0000000000001)-O27)/(N27*EXP(((N27-O27)*$B$3)/(O27*N27)*1000.0000000000001)-O27)</f>
      </c>
      <c r="V27" s="2">
        <f>200-(200-155)*U27</f>
      </c>
      <c r="W27" s="7">
        <f>V27-156</f>
      </c>
    </row>
    <row r="28">
      <c r="E28" s="1">
        <f>1080</f>
      </c>
      <c r="F28" s="1">
        <f>1300</f>
      </c>
      <c r="G28" s="2">
        <f>200</f>
      </c>
      <c r="H28" s="2">
        <f>165</f>
      </c>
      <c r="I28" s="2">
        <f>165.7</f>
      </c>
      <c r="J28" s="2">
        <f>193.4</f>
      </c>
      <c r="K28" s="3">
        <f>9.87</f>
      </c>
      <c r="L28" s="3">
        <f>14</f>
      </c>
      <c r="M28" s="2">
        <f>26</f>
      </c>
      <c r="N28" s="5">
        <f>(1080*1*997)*0.5007242671211598</f>
      </c>
      <c r="O28" s="5">
        <f>(1300*1*997)*0.5007242671211598</f>
      </c>
      <c r="P28" s="6">
        <f>(200-165.7)/(200-165)</f>
      </c>
      <c r="Q28" s="5">
        <f>IF(O28 &lt; N28, O28, N28)</f>
      </c>
      <c r="R28" s="5">
        <f>IF(O28 &gt; N28, O28, N28)</f>
      </c>
      <c r="S28" s="2">
        <f>($B$3/Q28)*1000</f>
      </c>
      <c r="T28" s="7">
        <f>Q28/R28</f>
      </c>
      <c r="U28" s="6">
        <f>(O28*EXP(((N28-O28)*$B$3)/(O28*N28)*1000.0000000000001)-O28)/(N28*EXP(((N28-O28)*$B$3)/(O28*N28)*1000.0000000000001)-O28)</f>
      </c>
      <c r="V28" s="2">
        <f>200-(200-165)*U28</f>
      </c>
      <c r="W28" s="7">
        <f>V28-165.7</f>
      </c>
    </row>
    <row r="29">
      <c r="E29" s="1">
        <f>1080</f>
      </c>
      <c r="F29" s="1">
        <f>1300</f>
      </c>
      <c r="G29" s="2">
        <f>210</f>
      </c>
      <c r="H29" s="2">
        <f>155</f>
      </c>
      <c r="I29" s="2">
        <f>156.2</f>
      </c>
      <c r="J29" s="2">
        <f>199.7</f>
      </c>
      <c r="K29" s="3">
        <f>9.88</f>
      </c>
      <c r="L29" s="3">
        <f>14.01</f>
      </c>
      <c r="M29" s="2">
        <f>27</f>
      </c>
      <c r="N29" s="5">
        <f>(1080*1*997)*0.5007242671211598</f>
      </c>
      <c r="O29" s="5">
        <f>(1300*1*997)*0.5007242671211598</f>
      </c>
      <c r="P29" s="6">
        <f>(210-156.2)/(210-155)</f>
      </c>
      <c r="Q29" s="5">
        <f>IF(O29 &lt; N29, O29, N29)</f>
      </c>
      <c r="R29" s="5">
        <f>IF(O29 &gt; N29, O29, N29)</f>
      </c>
      <c r="S29" s="2">
        <f>($B$3/Q29)*1000</f>
      </c>
      <c r="T29" s="7">
        <f>Q29/R29</f>
      </c>
      <c r="U29" s="6">
        <f>(O29*EXP(((N29-O29)*$B$3)/(O29*N29)*1000.0000000000001)-O29)/(N29*EXP(((N29-O29)*$B$3)/(O29*N29)*1000.0000000000001)-O29)</f>
      </c>
      <c r="V29" s="2">
        <f>210-(210-155)*U29</f>
      </c>
      <c r="W29" s="7">
        <f>V29-156.2</f>
      </c>
    </row>
    <row r="30">
      <c r="E30" s="1">
        <f>1080</f>
      </c>
      <c r="F30" s="1">
        <f>1300</f>
      </c>
      <c r="G30" s="2">
        <f>210</f>
      </c>
      <c r="H30" s="2">
        <f>165</f>
      </c>
      <c r="I30" s="2">
        <f>165.9</f>
      </c>
      <c r="J30" s="2">
        <f>201.6</f>
      </c>
      <c r="K30" s="3">
        <f>9.86</f>
      </c>
      <c r="L30" s="3">
        <f>13.97</f>
      </c>
      <c r="M30" s="2">
        <f>28</f>
      </c>
      <c r="N30" s="5">
        <f>(1080*1*997)*0.5007242671211598</f>
      </c>
      <c r="O30" s="5">
        <f>(1300*1*997)*0.5007242671211598</f>
      </c>
      <c r="P30" s="6">
        <f>(210-165.9)/(210-165)</f>
      </c>
      <c r="Q30" s="5">
        <f>IF(O30 &lt; N30, O30, N30)</f>
      </c>
      <c r="R30" s="5">
        <f>IF(O30 &gt; N30, O30, N30)</f>
      </c>
      <c r="S30" s="2">
        <f>($B$3/Q30)*1000</f>
      </c>
      <c r="T30" s="7">
        <f>Q30/R30</f>
      </c>
      <c r="U30" s="6">
        <f>(O30*EXP(((N30-O30)*$B$3)/(O30*N30)*1000.0000000000001)-O30)/(N30*EXP(((N30-O30)*$B$3)/(O30*N30)*1000.0000000000001)-O30)</f>
      </c>
      <c r="V30" s="2">
        <f>210-(210-165)*U30</f>
      </c>
      <c r="W30" s="7">
        <f>V30-165.9</f>
      </c>
    </row>
    <row r="31">
      <c r="E31" s="1">
        <f>1080</f>
      </c>
      <c r="F31" s="1">
        <f>1300</f>
      </c>
      <c r="G31" s="2">
        <f>220</f>
      </c>
      <c r="H31" s="2">
        <f>155</f>
      </c>
      <c r="I31" s="2">
        <f>156.3</f>
      </c>
      <c r="J31" s="2">
        <f>207.8</f>
      </c>
      <c r="K31" s="3">
        <f>9.86</f>
      </c>
      <c r="L31" s="3">
        <f>13.98</f>
      </c>
      <c r="M31" s="2">
        <f>29</f>
      </c>
      <c r="N31" s="5">
        <f>(1080*1*997)*0.5007242671211598</f>
      </c>
      <c r="O31" s="5">
        <f>(1300*1*997)*0.5007242671211598</f>
      </c>
      <c r="P31" s="6">
        <f>(220-156.3)/(220-155)</f>
      </c>
      <c r="Q31" s="5">
        <f>IF(O31 &lt; N31, O31, N31)</f>
      </c>
      <c r="R31" s="5">
        <f>IF(O31 &gt; N31, O31, N31)</f>
      </c>
      <c r="S31" s="2">
        <f>($B$3/Q31)*1000</f>
      </c>
      <c r="T31" s="7">
        <f>Q31/R31</f>
      </c>
      <c r="U31" s="6">
        <f>(O31*EXP(((N31-O31)*$B$3)/(O31*N31)*1000.0000000000001)-O31)/(N31*EXP(((N31-O31)*$B$3)/(O31*N31)*1000.0000000000001)-O31)</f>
      </c>
      <c r="V31" s="2">
        <f>220-(220-155)*U31</f>
      </c>
      <c r="W31" s="7">
        <f>V31-156.3</f>
      </c>
    </row>
    <row r="32">
      <c r="E32" s="1">
        <f>1080</f>
      </c>
      <c r="F32" s="1">
        <f>1300</f>
      </c>
      <c r="G32" s="2">
        <f>220</f>
      </c>
      <c r="H32" s="2">
        <f>165</f>
      </c>
      <c r="I32" s="2">
        <f>166</f>
      </c>
      <c r="J32" s="2">
        <f>209.8</f>
      </c>
      <c r="K32" s="3">
        <f>9.84</f>
      </c>
      <c r="L32" s="3">
        <f>13.95</f>
      </c>
      <c r="M32" s="2">
        <f>30</f>
      </c>
      <c r="N32" s="5">
        <f>(1080*1*997)*0.5007242671211598</f>
      </c>
      <c r="O32" s="5">
        <f>(1300*1*997)*0.5007242671211598</f>
      </c>
      <c r="P32" s="6">
        <f>(220-166)/(220-165)</f>
      </c>
      <c r="Q32" s="5">
        <f>IF(O32 &lt; N32, O32, N32)</f>
      </c>
      <c r="R32" s="5">
        <f>IF(O32 &gt; N32, O32, N32)</f>
      </c>
      <c r="S32" s="2">
        <f>($B$3/Q32)*1000</f>
      </c>
      <c r="T32" s="7">
        <f>Q32/R32</f>
      </c>
      <c r="U32" s="6">
        <f>(O32*EXP(((N32-O32)*$B$3)/(O32*N32)*1000.0000000000001)-O32)/(N32*EXP(((N32-O32)*$B$3)/(O32*N32)*1000.0000000000001)-O32)</f>
      </c>
      <c r="V32" s="2">
        <f>220-(220-165)*U32</f>
      </c>
      <c r="W32" s="7">
        <f>V32-166</f>
      </c>
    </row>
    <row r="33">
      <c r="E33" s="1">
        <f>1080</f>
      </c>
      <c r="F33" s="1">
        <f>1500</f>
      </c>
      <c r="G33" s="2">
        <f>200</f>
      </c>
      <c r="H33" s="2">
        <f>155</f>
      </c>
      <c r="I33" s="2">
        <f>155.1</f>
      </c>
      <c r="J33" s="2">
        <f>187.3</f>
      </c>
      <c r="K33" s="3">
        <f>9.9</f>
      </c>
      <c r="L33" s="3">
        <f>18.55</f>
      </c>
      <c r="M33" s="2">
        <f>31</f>
      </c>
      <c r="N33" s="5">
        <f>(1080*1*997)*0.5007242671211598</f>
      </c>
      <c r="O33" s="5">
        <f>(1500*1*997)*0.5007242671211598</f>
      </c>
      <c r="P33" s="6">
        <f>(200-155.1)/(200-155)</f>
      </c>
      <c r="Q33" s="5">
        <f>IF(O33 &lt; N33, O33, N33)</f>
      </c>
      <c r="R33" s="5">
        <f>IF(O33 &gt; N33, O33, N33)</f>
      </c>
      <c r="S33" s="2">
        <f>($B$3/Q33)*1000</f>
      </c>
      <c r="T33" s="7">
        <f>Q33/R33</f>
      </c>
      <c r="U33" s="6">
        <f>(O33*EXP(((N33-O33)*$B$3)/(O33*N33)*1000.0000000000001)-O33)/(N33*EXP(((N33-O33)*$B$3)/(O33*N33)*1000.0000000000001)-O33)</f>
      </c>
      <c r="V33" s="2">
        <f>200-(200-155)*U33</f>
      </c>
      <c r="W33" s="7">
        <f>V33-155.1</f>
      </c>
    </row>
    <row r="34">
      <c r="E34" s="1">
        <f>1080</f>
      </c>
      <c r="F34" s="1">
        <f>1500</f>
      </c>
      <c r="G34" s="2">
        <f>200</f>
      </c>
      <c r="H34" s="2">
        <f>165</f>
      </c>
      <c r="I34" s="2">
        <f>165.1</f>
      </c>
      <c r="J34" s="2">
        <f>190.1</f>
      </c>
      <c r="K34" s="3">
        <f>9.88</f>
      </c>
      <c r="L34" s="3">
        <f>18.51</f>
      </c>
      <c r="M34" s="2">
        <f>32</f>
      </c>
      <c r="N34" s="5">
        <f>(1080*1*997)*0.5007242671211598</f>
      </c>
      <c r="O34" s="5">
        <f>(1500*1*997)*0.5007242671211598</f>
      </c>
      <c r="P34" s="6">
        <f>(200-165.1)/(200-165)</f>
      </c>
      <c r="Q34" s="5">
        <f>IF(O34 &lt; N34, O34, N34)</f>
      </c>
      <c r="R34" s="5">
        <f>IF(O34 &gt; N34, O34, N34)</f>
      </c>
      <c r="S34" s="2">
        <f>($B$3/Q34)*1000</f>
      </c>
      <c r="T34" s="7">
        <f>Q34/R34</f>
      </c>
      <c r="U34" s="6">
        <f>(O34*EXP(((N34-O34)*$B$3)/(O34*N34)*1000.0000000000001)-O34)/(N34*EXP(((N34-O34)*$B$3)/(O34*N34)*1000.0000000000001)-O34)</f>
      </c>
      <c r="V34" s="2">
        <f>200-(200-165)*U34</f>
      </c>
      <c r="W34" s="7">
        <f>V34-165.1</f>
      </c>
    </row>
    <row r="35">
      <c r="E35" s="1">
        <f>1080</f>
      </c>
      <c r="F35" s="1">
        <f>1500</f>
      </c>
      <c r="G35" s="2">
        <f>210</f>
      </c>
      <c r="H35" s="2">
        <f>155</f>
      </c>
      <c r="I35" s="2">
        <f>155.1</f>
      </c>
      <c r="J35" s="2">
        <f>194.5</f>
      </c>
      <c r="K35" s="3">
        <f>9.88</f>
      </c>
      <c r="L35" s="3">
        <f>18.52</f>
      </c>
      <c r="M35" s="2">
        <f>33</f>
      </c>
      <c r="N35" s="5">
        <f>(1080*1*997)*0.5007242671211598</f>
      </c>
      <c r="O35" s="5">
        <f>(1500*1*997)*0.5007242671211598</f>
      </c>
      <c r="P35" s="6">
        <f>(210-155.1)/(210-155)</f>
      </c>
      <c r="Q35" s="5">
        <f>IF(O35 &lt; N35, O35, N35)</f>
      </c>
      <c r="R35" s="5">
        <f>IF(O35 &gt; N35, O35, N35)</f>
      </c>
      <c r="S35" s="2">
        <f>($B$3/Q35)*1000</f>
      </c>
      <c r="T35" s="7">
        <f>Q35/R35</f>
      </c>
      <c r="U35" s="6">
        <f>(O35*EXP(((N35-O35)*$B$3)/(O35*N35)*1000.0000000000001)-O35)/(N35*EXP(((N35-O35)*$B$3)/(O35*N35)*1000.0000000000001)-O35)</f>
      </c>
      <c r="V35" s="2">
        <f>210-(210-155)*U35</f>
      </c>
      <c r="W35" s="7">
        <f>V35-155.1</f>
      </c>
    </row>
    <row r="36">
      <c r="E36" s="1">
        <f>1080</f>
      </c>
      <c r="F36" s="1">
        <f>1500</f>
      </c>
      <c r="G36" s="2">
        <f>210</f>
      </c>
      <c r="H36" s="2">
        <f>165</f>
      </c>
      <c r="I36" s="2">
        <f>165.1</f>
      </c>
      <c r="J36" s="2">
        <f>197.3</f>
      </c>
      <c r="K36" s="3">
        <f>9.86</f>
      </c>
      <c r="L36" s="3">
        <f>18.48</f>
      </c>
      <c r="M36" s="2">
        <f>34</f>
      </c>
      <c r="N36" s="5">
        <f>(1080*1*997)*0.5007242671211598</f>
      </c>
      <c r="O36" s="5">
        <f>(1500*1*997)*0.5007242671211598</f>
      </c>
      <c r="P36" s="6">
        <f>(210-165.1)/(210-165)</f>
      </c>
      <c r="Q36" s="5">
        <f>IF(O36 &lt; N36, O36, N36)</f>
      </c>
      <c r="R36" s="5">
        <f>IF(O36 &gt; N36, O36, N36)</f>
      </c>
      <c r="S36" s="2">
        <f>($B$3/Q36)*1000</f>
      </c>
      <c r="T36" s="7">
        <f>Q36/R36</f>
      </c>
      <c r="U36" s="6">
        <f>(O36*EXP(((N36-O36)*$B$3)/(O36*N36)*1000.0000000000001)-O36)/(N36*EXP(((N36-O36)*$B$3)/(O36*N36)*1000.0000000000001)-O36)</f>
      </c>
      <c r="V36" s="2">
        <f>210-(210-165)*U36</f>
      </c>
      <c r="W36" s="7">
        <f>V36-165.1</f>
      </c>
    </row>
    <row r="37">
      <c r="E37" s="1">
        <f>1080</f>
      </c>
      <c r="F37" s="1">
        <f>1500</f>
      </c>
      <c r="G37" s="2">
        <f>220</f>
      </c>
      <c r="H37" s="2">
        <f>155</f>
      </c>
      <c r="I37" s="2">
        <f>155.1</f>
      </c>
      <c r="J37" s="2">
        <f>201.7</f>
      </c>
      <c r="K37" s="3">
        <f>9.86</f>
      </c>
      <c r="L37" s="3">
        <f>18.49</f>
      </c>
      <c r="M37" s="2">
        <f>35</f>
      </c>
      <c r="N37" s="5">
        <f>(1080*1*997)*0.5007242671211598</f>
      </c>
      <c r="O37" s="5">
        <f>(1500*1*997)*0.5007242671211598</f>
      </c>
      <c r="P37" s="6">
        <f>(220-155.1)/(220-155)</f>
      </c>
      <c r="Q37" s="5">
        <f>IF(O37 &lt; N37, O37, N37)</f>
      </c>
      <c r="R37" s="5">
        <f>IF(O37 &gt; N37, O37, N37)</f>
      </c>
      <c r="S37" s="2">
        <f>($B$3/Q37)*1000</f>
      </c>
      <c r="T37" s="7">
        <f>Q37/R37</f>
      </c>
      <c r="U37" s="6">
        <f>(O37*EXP(((N37-O37)*$B$3)/(O37*N37)*1000.0000000000001)-O37)/(N37*EXP(((N37-O37)*$B$3)/(O37*N37)*1000.0000000000001)-O37)</f>
      </c>
      <c r="V37" s="2">
        <f>220-(220-155)*U37</f>
      </c>
      <c r="W37" s="7">
        <f>V37-155.1</f>
      </c>
    </row>
    <row r="38">
      <c r="E38" s="1">
        <f>1080</f>
      </c>
      <c r="F38" s="1">
        <f>1500</f>
      </c>
      <c r="G38" s="2">
        <f>220</f>
      </c>
      <c r="H38" s="2">
        <f>165</f>
      </c>
      <c r="I38" s="2">
        <f>165.1</f>
      </c>
      <c r="J38" s="2">
        <f>204.5</f>
      </c>
      <c r="K38" s="3">
        <f>9.84</f>
      </c>
      <c r="L38" s="3">
        <f>18.46</f>
      </c>
      <c r="M38" s="2">
        <f>36</f>
      </c>
      <c r="N38" s="5">
        <f>(1080*1*997)*0.5007242671211598</f>
      </c>
      <c r="O38" s="5">
        <f>(1500*1*997)*0.5007242671211598</f>
      </c>
      <c r="P38" s="6">
        <f>(220-165.1)/(220-165)</f>
      </c>
      <c r="Q38" s="5">
        <f>IF(O38 &lt; N38, O38, N38)</f>
      </c>
      <c r="R38" s="5">
        <f>IF(O38 &gt; N38, O38, N38)</f>
      </c>
      <c r="S38" s="2">
        <f>($B$3/Q38)*1000</f>
      </c>
      <c r="T38" s="7">
        <f>Q38/R38</f>
      </c>
      <c r="U38" s="6">
        <f>(O38*EXP(((N38-O38)*$B$3)/(O38*N38)*1000.0000000000001)-O38)/(N38*EXP(((N38-O38)*$B$3)/(O38*N38)*1000.0000000000001)-O38)</f>
      </c>
      <c r="V38" s="2">
        <f>220-(220-165)*U38</f>
      </c>
      <c r="W38" s="7">
        <f>V38-165.1</f>
      </c>
    </row>
  </sheetData>
  <headerFooter/>
</worksheet>
</file>