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worksheet+xml" PartName="/xl/worksheets/sheet4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paulus\source\repos\hvac\"/>
    </mc:Choice>
  </mc:AlternateContent>
  <xr:revisionPtr revIDLastSave="0" documentId="13_ncr:1_{528799AF-9202-4DF0-8BFA-C9949D9322F8}" xr6:coauthVersionLast="47" xr6:coauthVersionMax="47" xr10:uidLastSave="{00000000-0000-0000-0000-000000000000}"/>
  <bookViews>
    <workbookView xWindow="-110" yWindow="-110" windowWidth="38620" windowHeight="21100" xr2:uid="{00000000-000D-0000-FFFF-FFFF00000000}" activeTab="0"/>
  </bookViews>
  <sheets>
    <sheet name="2023-04-12 1706" sheetId="4" r:id="rId8"/>
    <sheet name="2023-04-12 1641" sheetId="3" r:id="rId1"/>
    <sheet name="YYYY-04-12 1402" sheetId="1" r:id="rId2"/>
    <sheet name="YYYY-04-12 1422" sheetId="2" r:id="rId3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<sst xmlns="http://schemas.openxmlformats.org/spreadsheetml/2006/main" count="40" uniqueCount="40">
  <si>
    <t>n1</t>
  </si>
  <si>
    <t/>
  </si>
  <si>
    <t>TF</t>
  </si>
  <si>
    <t>T</t>
  </si>
  <si>
    <t>theta</t>
  </si>
  <si>
    <t>A</t>
  </si>
  <si>
    <t>B</t>
  </si>
  <si>
    <t>C</t>
  </si>
  <si>
    <t>Pws</t>
  </si>
  <si>
    <t>w_s</t>
  </si>
  <si>
    <t>h_sat</t>
  </si>
  <si>
    <t>h_pred</t>
  </si>
  <si>
    <t>diff</t>
  </si>
  <si>
    <t>percent_diff</t>
  </si>
  <si>
    <t>n2</t>
  </si>
  <si>
    <t>°F</t>
  </si>
  <si>
    <t>°R</t>
  </si>
  <si>
    <t>psi</t>
  </si>
  <si>
    <t>Btu/lb</t>
  </si>
  <si>
    <t>%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</si>
  <si>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</si>
  <si>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</si>
  <si>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</si>
  <si>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</si>
  <si>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</si>
  <si>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</si>
  <si>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</si>
  <si>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</si>
  <si>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</si>
  <si>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P</t>
  </si>
  <si>
    <t>sum_T</t>
  </si>
  <si>
    <t>sum_h_sat</t>
  </si>
  <si>
    <t>n</t>
  </si>
  <si>
    <t>sum_T2</t>
  </si>
  <si>
    <t>°R²</t>
  </si>
  <si>
    <t>sum_T_h_sat</t>
  </si>
  <si>
    <t>°R Btu/lb</t>
  </si>
  <si>
    <t>slope</t>
  </si>
  <si>
    <t>Btu/°R lb</t>
  </si>
  <si>
    <t>constant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</si>
</sst>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#,##0.000"/>
    <numFmt numFmtId="166" formatCode="#,##0.0000"/>
    <numFmt numFmtId="167" formatCode="#,##0.000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4" applyNumberFormat="1" fontId="0" fillId="0" borderId="0" xfId="0"/>
    <xf numFmtId="3" applyNumberFormat="1" fontId="0" fillId="0" borderId="0" xfId="0"/>
    <xf numFmtId="164" applyNumberFormat="1" fontId="0" fillId="0" borderId="0" xfId="0"/>
    <xf numFmtId="165" applyNumberFormat="1" fontId="0" fillId="0" borderId="0" xfId="0"/>
    <xf numFmtId="166" applyNumberFormat="1" fontId="0" fillId="0" borderId="0" xfId="0"/>
    <xf numFmtId="167" applyNumberFormat="1" fontId="0" fillId="0" borderId="0" xfId="0"/>
    <xf numFmtId="4" applyNumberFormat="1" fontId="0" fillId="0" borderId="0" xfId="0"/>
    <xf numFmtId="3" applyNumberFormat="1" fontId="0" fillId="0" borderId="0"/>
    <xf numFmtId="164" applyNumberFormat="1" fontId="0" fillId="0" borderId="0"/>
    <xf numFmtId="165" applyNumberFormat="1" fontId="0" fillId="0" borderId="0"/>
    <xf numFmtId="3" applyNumberFormat="1" fontId="0" fillId="0" borderId="0" xfId="0"/>
    <xf numFmtId="166" applyNumberFormat="1" fontId="0" fillId="0" borderId="0" xfId="0"/>
    <xf numFmtId="167" applyNumberFormat="1" fontId="0" fillId="0" borderId="0" xfId="0"/>
    <xf numFmtId="4" applyNumberFormat="1" fontId="0" fillId="0" borderId="0"/>
    <xf numFmtId="165" applyNumberFormat="1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9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8" Type="http://schemas.openxmlformats.org/officeDocument/2006/relationships/worksheet" Target="worksheets/sheet4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6188156055544461"/>
                  <c:y val="-0.150880870107063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'YYYY-04-12 1402'!$F$3:$F$71</c:f>
              <c:numCache>
                <c:formatCode>#,##0.00</c:formatCode>
                <c:ptCount val="69"/>
                <c:pt idx="0">
                  <c:v>32.300000000000011</c:v>
                </c:pt>
                <c:pt idx="1">
                  <c:v>33.300000000000011</c:v>
                </c:pt>
                <c:pt idx="2">
                  <c:v>34.300000000000011</c:v>
                </c:pt>
                <c:pt idx="3">
                  <c:v>35.300000000000011</c:v>
                </c:pt>
                <c:pt idx="4">
                  <c:v>36.300000000000011</c:v>
                </c:pt>
                <c:pt idx="5">
                  <c:v>37.300000000000011</c:v>
                </c:pt>
                <c:pt idx="6">
                  <c:v>38.300000000000011</c:v>
                </c:pt>
                <c:pt idx="7">
                  <c:v>39.300000000000011</c:v>
                </c:pt>
                <c:pt idx="8">
                  <c:v>40.300000000000011</c:v>
                </c:pt>
                <c:pt idx="9">
                  <c:v>41.300000000000011</c:v>
                </c:pt>
                <c:pt idx="10">
                  <c:v>42.300000000000011</c:v>
                </c:pt>
                <c:pt idx="11">
                  <c:v>43.300000000000011</c:v>
                </c:pt>
                <c:pt idx="12">
                  <c:v>44.300000000000011</c:v>
                </c:pt>
                <c:pt idx="13">
                  <c:v>45.300000000000011</c:v>
                </c:pt>
                <c:pt idx="14">
                  <c:v>46.300000000000011</c:v>
                </c:pt>
                <c:pt idx="15">
                  <c:v>47.300000000000011</c:v>
                </c:pt>
                <c:pt idx="16">
                  <c:v>48.300000000000011</c:v>
                </c:pt>
                <c:pt idx="17">
                  <c:v>49.300000000000011</c:v>
                </c:pt>
                <c:pt idx="18">
                  <c:v>50.300000000000011</c:v>
                </c:pt>
                <c:pt idx="19">
                  <c:v>51.300000000000011</c:v>
                </c:pt>
                <c:pt idx="20">
                  <c:v>52.300000000000011</c:v>
                </c:pt>
                <c:pt idx="21">
                  <c:v>53.300000000000011</c:v>
                </c:pt>
                <c:pt idx="22">
                  <c:v>54.300000000000011</c:v>
                </c:pt>
                <c:pt idx="23">
                  <c:v>55.300000000000011</c:v>
                </c:pt>
                <c:pt idx="24">
                  <c:v>56.300000000000011</c:v>
                </c:pt>
                <c:pt idx="25">
                  <c:v>57.300000000000011</c:v>
                </c:pt>
                <c:pt idx="26">
                  <c:v>58.300000000000011</c:v>
                </c:pt>
                <c:pt idx="27">
                  <c:v>59.300000000000011</c:v>
                </c:pt>
                <c:pt idx="28">
                  <c:v>60.300000000000011</c:v>
                </c:pt>
                <c:pt idx="29">
                  <c:v>61.300000000000011</c:v>
                </c:pt>
                <c:pt idx="30">
                  <c:v>62.300000000000011</c:v>
                </c:pt>
                <c:pt idx="31">
                  <c:v>63.300000000000011</c:v>
                </c:pt>
                <c:pt idx="32">
                  <c:v>64.300000000000011</c:v>
                </c:pt>
                <c:pt idx="33">
                  <c:v>65.300000000000011</c:v>
                </c:pt>
                <c:pt idx="34">
                  <c:v>66.300000000000011</c:v>
                </c:pt>
                <c:pt idx="35">
                  <c:v>67.300000000000011</c:v>
                </c:pt>
                <c:pt idx="36">
                  <c:v>68.300000000000011</c:v>
                </c:pt>
                <c:pt idx="37">
                  <c:v>69.300000000000011</c:v>
                </c:pt>
                <c:pt idx="38">
                  <c:v>70.300000000000011</c:v>
                </c:pt>
                <c:pt idx="39">
                  <c:v>71.300000000000011</c:v>
                </c:pt>
                <c:pt idx="40">
                  <c:v>72.300000000000011</c:v>
                </c:pt>
                <c:pt idx="41">
                  <c:v>73.300000000000011</c:v>
                </c:pt>
                <c:pt idx="42">
                  <c:v>74.300000000000011</c:v>
                </c:pt>
                <c:pt idx="43">
                  <c:v>75.300000000000011</c:v>
                </c:pt>
                <c:pt idx="44">
                  <c:v>76.300000000000011</c:v>
                </c:pt>
                <c:pt idx="45">
                  <c:v>77.300000000000011</c:v>
                </c:pt>
                <c:pt idx="46">
                  <c:v>78.300000000000011</c:v>
                </c:pt>
                <c:pt idx="47">
                  <c:v>79.300000000000011</c:v>
                </c:pt>
                <c:pt idx="48">
                  <c:v>80.300000000000011</c:v>
                </c:pt>
                <c:pt idx="49">
                  <c:v>81.300000000000011</c:v>
                </c:pt>
                <c:pt idx="50">
                  <c:v>82.300000000000011</c:v>
                </c:pt>
                <c:pt idx="51">
                  <c:v>83.300000000000011</c:v>
                </c:pt>
                <c:pt idx="52">
                  <c:v>84.300000000000011</c:v>
                </c:pt>
                <c:pt idx="53">
                  <c:v>85.300000000000011</c:v>
                </c:pt>
                <c:pt idx="54">
                  <c:v>86.300000000000011</c:v>
                </c:pt>
                <c:pt idx="55">
                  <c:v>87.300000000000011</c:v>
                </c:pt>
                <c:pt idx="56">
                  <c:v>88.300000000000011</c:v>
                </c:pt>
                <c:pt idx="57">
                  <c:v>89.300000000000011</c:v>
                </c:pt>
                <c:pt idx="58">
                  <c:v>90.300000000000011</c:v>
                </c:pt>
                <c:pt idx="59">
                  <c:v>91.300000000000011</c:v>
                </c:pt>
                <c:pt idx="60">
                  <c:v>92.300000000000011</c:v>
                </c:pt>
                <c:pt idx="61">
                  <c:v>93.300000000000011</c:v>
                </c:pt>
                <c:pt idx="62">
                  <c:v>94.300000000000011</c:v>
                </c:pt>
                <c:pt idx="63">
                  <c:v>95.300000000000011</c:v>
                </c:pt>
                <c:pt idx="64">
                  <c:v>96.300000000000011</c:v>
                </c:pt>
                <c:pt idx="65">
                  <c:v>97.300000000000011</c:v>
                </c:pt>
                <c:pt idx="66">
                  <c:v>98.300000000000011</c:v>
                </c:pt>
                <c:pt idx="67">
                  <c:v>99.300000000000011</c:v>
                </c:pt>
                <c:pt idx="68">
                  <c:v>100.30000000000001</c:v>
                </c:pt>
              </c:numCache>
            </c:numRef>
          </c:xVal>
          <c:yVal>
            <c:numRef>
              <c:f>'YYYY-04-12 1402'!$M$3:$M$71</c:f>
              <c:numCache>
                <c:formatCode>#,##0.00</c:formatCode>
                <c:ptCount val="69"/>
                <c:pt idx="0">
                  <c:v>11.860552287471691</c:v>
                </c:pt>
                <c:pt idx="1">
                  <c:v>12.272035326864057</c:v>
                </c:pt>
                <c:pt idx="2">
                  <c:v>12.6898974120408</c:v>
                </c:pt>
                <c:pt idx="3">
                  <c:v>13.114347081386972</c:v>
                </c:pt>
                <c:pt idx="4">
                  <c:v>13.545598835802135</c:v>
                </c:pt>
                <c:pt idx="5">
                  <c:v>13.983873294477023</c:v>
                </c:pt>
                <c:pt idx="6">
                  <c:v>14.429397355146717</c:v>
                </c:pt>
                <c:pt idx="7">
                  <c:v>14.882404359002328</c:v>
                </c:pt>
                <c:pt idx="8">
                  <c:v>15.343134260451496</c:v>
                </c:pt>
                <c:pt idx="9">
                  <c:v>15.811833801927584</c:v>
                </c:pt>
                <c:pt idx="10">
                  <c:v>16.288756693958963</c:v>
                </c:pt>
                <c:pt idx="11">
                  <c:v>16.774163800719947</c:v>
                </c:pt>
                <c:pt idx="12">
                  <c:v>17.268323331296827</c:v>
                </c:pt>
                <c:pt idx="13">
                  <c:v>17.771511036914355</c:v>
                </c:pt>
                <c:pt idx="14">
                  <c:v>18.284010414381413</c:v>
                </c:pt>
                <c:pt idx="15">
                  <c:v>18.806112916027907</c:v>
                </c:pt>
                <c:pt idx="16">
                  <c:v>19.3381181664191</c:v>
                </c:pt>
                <c:pt idx="17">
                  <c:v>19.880334186148964</c:v>
                </c:pt>
                <c:pt idx="18">
                  <c:v>20.433077623030631</c:v>
                </c:pt>
                <c:pt idx="19">
                  <c:v>20.996673991017392</c:v>
                </c:pt>
                <c:pt idx="20">
                  <c:v>21.571457917206914</c:v>
                </c:pt>
                <c:pt idx="21">
                  <c:v>22.157773397300485</c:v>
                </c:pt>
                <c:pt idx="22">
                  <c:v>22.755974059906524</c:v>
                </c:pt>
                <c:pt idx="23">
                  <c:v>23.366423440101606</c:v>
                </c:pt>
                <c:pt idx="24">
                  <c:v>23.98949526268348</c:v>
                </c:pt>
                <c:pt idx="25">
                  <c:v>24.625573735572011</c:v>
                </c:pt>
                <c:pt idx="26">
                  <c:v>25.275053853842699</c:v>
                </c:pt>
                <c:pt idx="27">
                  <c:v>25.938341714900012</c:v>
                </c:pt>
                <c:pt idx="28">
                  <c:v>26.6158548453283</c:v>
                </c:pt>
                <c:pt idx="29">
                  <c:v>27.308022539986027</c:v>
                </c:pt>
                <c:pt idx="30">
                  <c:v>28.015286213940904</c:v>
                </c:pt>
                <c:pt idx="31">
                  <c:v>28.738099767876335</c:v>
                </c:pt>
                <c:pt idx="32">
                  <c:v>29.47692996763611</c:v>
                </c:pt>
                <c:pt idx="33">
                  <c:v>30.232256838607519</c:v>
                </c:pt>
                <c:pt idx="34">
                  <c:v>31.004574075688943</c:v>
                </c:pt>
                <c:pt idx="35">
                  <c:v>31.794389469624065</c:v>
                </c:pt>
                <c:pt idx="36">
                  <c:v>32.602225350530972</c:v>
                </c:pt>
                <c:pt idx="37">
                  <c:v>33.428619049505187</c:v>
                </c:pt>
                <c:pt idx="38">
                  <c:v>34.274123379221209</c:v>
                </c:pt>
                <c:pt idx="39">
                  <c:v>35.139307134511085</c:v>
                </c:pt>
                <c:pt idx="40">
                  <c:v>36.024755613961183</c:v>
                </c:pt>
                <c:pt idx="41">
                  <c:v>36.931071163619649</c:v>
                </c:pt>
                <c:pt idx="42">
                  <c:v>37.858873743980439</c:v>
                </c:pt>
                <c:pt idx="43">
                  <c:v>38.808801521469732</c:v>
                </c:pt>
                <c:pt idx="44">
                  <c:v>39.781511485743188</c:v>
                </c:pt>
                <c:pt idx="45">
                  <c:v>40.777680094171927</c:v>
                </c:pt>
                <c:pt idx="46">
                  <c:v>41.798003944981787</c:v>
                </c:pt>
                <c:pt idx="47">
                  <c:v>42.843200480602</c:v>
                </c:pt>
                <c:pt idx="48">
                  <c:v>43.914008722867443</c:v>
                </c:pt>
                <c:pt idx="49">
                  <c:v>45.01119004182739</c:v>
                </c:pt>
                <c:pt idx="50">
                  <c:v>46.135528960014724</c:v>
                </c:pt>
                <c:pt idx="51">
                  <c:v>47.287833994151605</c:v>
                </c:pt>
                <c:pt idx="52">
                  <c:v>48.468938536386815</c:v>
                </c:pt>
                <c:pt idx="53">
                  <c:v>49.67970177729454</c:v>
                </c:pt>
                <c:pt idx="54">
                  <c:v>50.921009673007561</c:v>
                </c:pt>
                <c:pt idx="55">
                  <c:v>52.19377595900508</c:v>
                </c:pt>
                <c:pt idx="56">
                  <c:v>53.498943213245695</c:v>
                </c:pt>
                <c:pt idx="57">
                  <c:v>54.837483971506011</c:v>
                </c:pt>
                <c:pt idx="58">
                  <c:v>56.210401897973767</c:v>
                </c:pt>
                <c:pt idx="59">
                  <c:v>57.618733014349104</c:v>
                </c:pt>
                <c:pt idx="60">
                  <c:v>59.063546990921878</c:v>
                </c:pt>
                <c:pt idx="61">
                  <c:v>60.545948503328361</c:v>
                </c:pt>
                <c:pt idx="62">
                  <c:v>62.067078658941597</c:v>
                </c:pt>
                <c:pt idx="63">
                  <c:v>63.628116497115428</c:v>
                </c:pt>
                <c:pt idx="64">
                  <c:v>65.23028056780754</c:v>
                </c:pt>
                <c:pt idx="65">
                  <c:v>66.874830593403104</c:v>
                </c:pt>
                <c:pt idx="66">
                  <c:v>68.563069218912659</c:v>
                </c:pt>
                <c:pt idx="67">
                  <c:v>70.296343856081535</c:v>
                </c:pt>
                <c:pt idx="68">
                  <c:v>72.076048627341862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C3-4079-A027-2D7089A8C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938703"/>
        <c:axId val="818276703"/>
      </c:scatterChart>
      <c:valAx>
        <c:axId val="817938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276703"/>
        <c:crosses val="autoZero"/>
        <c:crossBetween val="midCat"/>
      </c:valAx>
      <c:valAx>
        <c:axId val="81827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938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'YYYY-04-12 1422'!$E$3:$E$36</c:f>
              <c:numCache>
                <c:formatCode>#,##0.00</c:formatCode>
                <c:ptCount val="34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</c:numCache>
            </c:numRef>
          </c:xVal>
          <c:yVal>
            <c:numRef>
              <c:f>'YYYY-04-12 1422'!$M$3:$M$36</c:f>
              <c:numCache>
                <c:formatCode>#,##0.00</c:formatCode>
                <c:ptCount val="34"/>
                <c:pt idx="0">
                  <c:v>26.411081941063046</c:v>
                </c:pt>
                <c:pt idx="1">
                  <c:v>27.098807476282989</c:v>
                </c:pt>
                <c:pt idx="2">
                  <c:v>27.801495272183399</c:v>
                </c:pt>
                <c:pt idx="3">
                  <c:v>28.519595444567429</c:v>
                </c:pt>
                <c:pt idx="4">
                  <c:v>29.253570859009507</c:v>
                </c:pt>
                <c:pt idx="5">
                  <c:v>30.003897520711256</c:v>
                </c:pt>
                <c:pt idx="6">
                  <c:v>30.771064979712982</c:v>
                </c:pt>
                <c:pt idx="7">
                  <c:v>31.555576752232994</c:v>
                </c:pt>
                <c:pt idx="8">
                  <c:v>32.357950758948618</c:v>
                </c:pt>
                <c:pt idx="9">
                  <c:v>33.178719781081924</c:v>
                </c:pt>
                <c:pt idx="10">
                  <c:v>34.018431935201292</c:v>
                </c:pt>
                <c:pt idx="11">
                  <c:v>34.877651167700876</c:v>
                </c:pt>
                <c:pt idx="12">
                  <c:v>35.756957769979657</c:v>
                </c:pt>
                <c:pt idx="13">
                  <c:v>36.656948915395958</c:v>
                </c:pt>
                <c:pt idx="14">
                  <c:v>37.578239219143114</c:v>
                </c:pt>
                <c:pt idx="15">
                  <c:v>38.521461322252193</c:v>
                </c:pt>
                <c:pt idx="16">
                  <c:v>39.487266501003489</c:v>
                </c:pt>
                <c:pt idx="17">
                  <c:v>40.476325303106648</c:v>
                </c:pt>
                <c:pt idx="18">
                  <c:v>41.489328212085148</c:v>
                </c:pt>
                <c:pt idx="19">
                  <c:v>42.526986341393304</c:v>
                </c:pt>
                <c:pt idx="20">
                  <c:v>43.590032159883151</c:v>
                </c:pt>
                <c:pt idx="21">
                  <c:v>44.679220250342183</c:v>
                </c:pt>
                <c:pt idx="22">
                  <c:v>45.79532810292158</c:v>
                </c:pt>
                <c:pt idx="23">
                  <c:v>46.939156945397741</c:v>
                </c:pt>
                <c:pt idx="24">
                  <c:v>48.111532612320914</c:v>
                </c:pt>
                <c:pt idx="25">
                  <c:v>49.313306455244671</c:v>
                </c:pt>
                <c:pt idx="26">
                  <c:v>50.545356296359401</c:v>
                </c:pt>
                <c:pt idx="27">
                  <c:v>51.808587428010242</c:v>
                </c:pt>
                <c:pt idx="28">
                  <c:v>53.103933660734469</c:v>
                </c:pt>
                <c:pt idx="29">
                  <c:v>54.432358422625455</c:v>
                </c:pt>
                <c:pt idx="30">
                  <c:v>55.794855913019944</c:v>
                </c:pt>
                <c:pt idx="31">
                  <c:v>57.192452313690069</c:v>
                </c:pt>
                <c:pt idx="32">
                  <c:v>58.626207060952083</c:v>
                </c:pt>
                <c:pt idx="33">
                  <c:v>60.097214182315128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7B-4B45-878D-BEC2EAA26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352191"/>
        <c:axId val="468605231"/>
      </c:scatterChart>
      <c:valAx>
        <c:axId val="873352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605231"/>
        <c:crosses val="autoZero"/>
        <c:crossBetween val="midCat"/>
      </c:valAx>
      <c:valAx>
        <c:axId val="46860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352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34924</xdr:colOff>
      <xdr:row>3</xdr:row>
      <xdr:rowOff>50800</xdr:rowOff>
    </xdr:from>
    <xdr:to>
      <xdr:col>26</xdr:col>
      <xdr:colOff>133350</xdr:colOff>
      <xdr:row>26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69E47E-584A-E6B8-A2FA-23FA47929B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228600</xdr:colOff>
      <xdr:row>3</xdr:row>
      <xdr:rowOff>38100</xdr:rowOff>
    </xdr:from>
    <xdr:to>
      <xdr:col>30</xdr:col>
      <xdr:colOff>419099</xdr:colOff>
      <xdr:row>32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2BC383-0E9D-BA91-13F2-FEB63C2DC2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03784-15F2-4773-9779-AD5497926BCF}">
  <dimension ref="A1:P36"/>
  <sheetViews>
    <sheetView tabSelected="1" workbookViewId="0">
      <selection activeCell="F38" sqref="F38"/>
    </sheetView>
  </sheetViews>
  <sheetFormatPr defaultRowHeight="14.5"/>
  <cols>
    <col min="1" max="1" width="13.6328125" customWidth="1"/>
    <col min="2" max="2" width="11.08984375" customWidth="1"/>
    <col min="3" max="3" width="9.7265625" customWidth="1"/>
    <col min="4" max="4" width="9.1796875" customWidth="1"/>
    <col min="5" max="7" width="9.1796875" customWidth="1" style="1"/>
    <col min="8" max="8" width="9.453125" customWidth="1" style="2"/>
    <col min="9" max="9" width="11.1796875" customWidth="1" style="2"/>
    <col min="10" max="10" width="9.1796875" customWidth="1" style="2"/>
    <col min="11" max="11" width="9.1796875" customWidth="1" style="5"/>
    <col min="12" max="12" width="9.1796875" customWidth="1" style="6"/>
    <col min="13" max="14" width="9.1796875" customWidth="1" style="1"/>
    <col min="15" max="15" width="9.1796875" customWidth="1" style="4"/>
    <col min="16" max="16" width="12.81640625" customWidth="1" style="1"/>
  </cols>
  <sheetData>
    <row r="1">
      <c r="A1" s="0" t="s">
        <v>0</v>
      </c>
      <c r="B1" s="2">
        <f>1167.0521452767</f>
        <v>1167.0521452767</v>
      </c>
      <c r="C1" s="0" t="s">
        <v>1</v>
      </c>
      <c r="E1" s="1" t="s">
        <v>2</v>
      </c>
      <c r="F1" s="1" t="s">
        <v>3</v>
      </c>
      <c r="G1" s="1" t="s">
        <v>4</v>
      </c>
      <c r="H1" s="2" t="s">
        <v>5</v>
      </c>
      <c r="I1" s="2" t="s">
        <v>6</v>
      </c>
      <c r="J1" s="2" t="s">
        <v>7</v>
      </c>
      <c r="K1" s="5" t="s">
        <v>8</v>
      </c>
      <c r="L1" s="6" t="s">
        <v>9</v>
      </c>
      <c r="M1" s="1" t="s">
        <v>10</v>
      </c>
      <c r="N1" s="1" t="s">
        <v>11</v>
      </c>
      <c r="O1" s="4" t="s">
        <v>12</v>
      </c>
      <c r="P1" s="1" t="s">
        <v>13</v>
      </c>
    </row>
    <row r="2">
      <c r="A2" s="0" t="s">
        <v>14</v>
      </c>
      <c r="B2" s="2">
        <f>-724213.16703206</f>
        <v>-724213.16703206</v>
      </c>
      <c r="C2" s="0" t="s">
        <v>1</v>
      </c>
      <c r="E2" s="1" t="s">
        <v>15</v>
      </c>
      <c r="F2" s="1" t="s">
        <v>16</v>
      </c>
      <c r="G2" s="1" t="s">
        <v>1</v>
      </c>
      <c r="H2" s="2" t="s">
        <v>1</v>
      </c>
      <c r="I2" s="2" t="s">
        <v>1</v>
      </c>
      <c r="J2" s="2" t="s">
        <v>1</v>
      </c>
      <c r="K2" s="5" t="s">
        <v>17</v>
      </c>
      <c r="L2" s="6" t="s">
        <v>1</v>
      </c>
      <c r="M2" s="1" t="s">
        <v>18</v>
      </c>
      <c r="N2" s="1" t="s">
        <v>18</v>
      </c>
      <c r="O2" s="4" t="s">
        <v>18</v>
      </c>
      <c r="P2" s="1" t="s">
        <v>19</v>
      </c>
    </row>
    <row r="3">
      <c r="A3" s="0" t="s">
        <v>20</v>
      </c>
      <c r="B3" s="3">
        <f>-17.073846940092</f>
        <v>-17.073846940092</v>
      </c>
      <c r="C3" s="0" t="s">
        <v>1</v>
      </c>
      <c r="E3" s="1">
        <f>60</f>
        <v>60</v>
      </c>
      <c r="F3" s="1">
        <f ref="F3:F36" t="shared" si="0">E3+459.67</f>
        <v>519.6700000000001</v>
      </c>
      <c r="G3" s="1">
        <f ref="G3:G36" t="shared" si="1">$B$11*(F3/1)+$B$9/($B$11*(F3/1)-$B$10)</f>
        <v>288.7062155154781</v>
      </c>
      <c r="H3" s="2">
        <f ref="H3:H36" t="shared" si="2">G3*G3+$B$1*G3+$B$2</f>
        <v>-303926.67998273426</v>
      </c>
      <c r="I3" s="2">
        <f ref="I3:I36" t="shared" si="3">$B$3*G3*G3+$B$4*G3+$B$5</f>
        <v>-1185195.2028196396</v>
      </c>
      <c r="J3" s="2">
        <f ref="J3:J36" t="shared" si="4">$B$6*G3*G3+$B$7*G3+$B$8</f>
        <v>255799.98583970597</v>
      </c>
      <c r="K3" s="5">
        <f ref="K3:K36" t="shared" si="5">145.03774*((2*J3)/(-I3+SQRT(I3*I3-4*H3*J3)))^4</f>
        <v>0.25638962818190436</v>
      </c>
      <c r="L3" s="6">
        <f ref="L3:L36" t="shared" si="6">0.621945*K3/($B$12-K3)</f>
        <v>0.011043251389304407</v>
      </c>
      <c r="M3" s="1">
        <f ref="M3:M36" t="shared" si="7">0.24*E3+L3*(1061+0.444*E3)</f>
        <v>26.411081941063046</v>
      </c>
      <c r="N3" s="1">
        <f ref="N3:N36" t="shared" si="8">$B$18*F3+$B$19</f>
        <v>24.477569411072636</v>
      </c>
      <c r="O3" s="4">
        <f ref="O3:O36" t="shared" si="9">N3-M3</f>
        <v>-1.9335125299904092</v>
      </c>
      <c r="P3" s="1">
        <f ref="P3:P36" t="shared" si="10">(O3/M3)*100</f>
        <v>-7.320838026647633</v>
      </c>
    </row>
    <row r="4">
      <c r="A4" s="0" t="s">
        <v>21</v>
      </c>
      <c r="B4" s="2">
        <f>12020.82470247</f>
        <v>12020.82470247</v>
      </c>
      <c r="C4" s="0" t="s">
        <v>1</v>
      </c>
      <c r="E4" s="1">
        <f>61</f>
        <v>61</v>
      </c>
      <c r="F4" s="1">
        <f t="shared" si="0"/>
        <v>520.6700000000001</v>
      </c>
      <c r="G4" s="1">
        <f t="shared" si="1"/>
        <v>289.26177208691047</v>
      </c>
      <c r="H4" s="2">
        <f t="shared" si="2"/>
        <v>-302957.22258063155</v>
      </c>
      <c r="I4" s="2">
        <f t="shared" si="3"/>
        <v>-1183999.2629961772</v>
      </c>
      <c r="J4" s="2">
        <f t="shared" si="4"/>
        <v>257909.5394605571</v>
      </c>
      <c r="K4" s="5">
        <f t="shared" si="5"/>
        <v>0.2656674874218404</v>
      </c>
      <c r="L4" s="6">
        <f t="shared" si="6"/>
        <v>0.011450225787974999</v>
      </c>
      <c r="M4" s="1">
        <f t="shared" si="7"/>
        <v>27.09880747628299</v>
      </c>
      <c r="N4" s="1">
        <f t="shared" si="8"/>
        <v>25.48672010501275</v>
      </c>
      <c r="O4" s="4">
        <f t="shared" si="9"/>
        <v>-1.6120873712702384</v>
      </c>
      <c r="P4" s="1">
        <f t="shared" si="10"/>
        <v>-5.948923666405414</v>
      </c>
    </row>
    <row r="5">
      <c r="A5" s="0" t="s">
        <v>22</v>
      </c>
      <c r="B5" s="2">
        <f>-3232555.0322333</f>
        <v>-3232555.0322333</v>
      </c>
      <c r="C5" s="0" t="s">
        <v>1</v>
      </c>
      <c r="E5" s="1">
        <f>62</f>
        <v>62</v>
      </c>
      <c r="F5" s="1">
        <f t="shared" si="0"/>
        <v>521.6700000000001</v>
      </c>
      <c r="G5" s="1">
        <f t="shared" si="1"/>
        <v>289.8173286614752</v>
      </c>
      <c r="H5" s="2">
        <f t="shared" si="2"/>
        <v>-301987.14788684936</v>
      </c>
      <c r="I5" s="2">
        <f t="shared" si="3"/>
        <v>-1182813.862616297</v>
      </c>
      <c r="J5" s="2">
        <f t="shared" si="4"/>
        <v>260028.29998422</v>
      </c>
      <c r="K5" s="5">
        <f t="shared" si="5"/>
        <v>0.2752386239916733</v>
      </c>
      <c r="L5" s="6">
        <f t="shared" si="6"/>
        <v>0.01187061359210181</v>
      </c>
      <c r="M5" s="1">
        <f t="shared" si="7"/>
        <v>27.8014952721834</v>
      </c>
      <c r="N5" s="1">
        <f t="shared" si="8"/>
        <v>26.495870798952865</v>
      </c>
      <c r="O5" s="4">
        <f t="shared" si="9"/>
        <v>-1.3056244732305338</v>
      </c>
      <c r="P5" s="1">
        <f t="shared" si="10"/>
        <v>-4.696238315414882</v>
      </c>
    </row>
    <row r="6">
      <c r="A6" s="0" t="s">
        <v>23</v>
      </c>
      <c r="B6" s="3">
        <f>14.91510861353</f>
        <v>14.91510861353</v>
      </c>
      <c r="C6" s="0" t="s">
        <v>1</v>
      </c>
      <c r="E6" s="1">
        <f>63</f>
        <v>63</v>
      </c>
      <c r="F6" s="1">
        <f t="shared" si="0"/>
        <v>522.6700000000001</v>
      </c>
      <c r="G6" s="1">
        <f t="shared" si="1"/>
        <v>290.37288523918664</v>
      </c>
      <c r="H6" s="2">
        <f t="shared" si="2"/>
        <v>-301016.45590135234</v>
      </c>
      <c r="I6" s="2">
        <f t="shared" si="3"/>
        <v>-1181639.0016801471</v>
      </c>
      <c r="J6" s="2">
        <f t="shared" si="4"/>
        <v>262156.26741090586</v>
      </c>
      <c r="K6" s="5">
        <f t="shared" si="5"/>
        <v>0.2851108662710013</v>
      </c>
      <c r="L6" s="6">
        <f t="shared" si="6"/>
        <v>0.01230481173489073</v>
      </c>
      <c r="M6" s="1">
        <f t="shared" si="7"/>
        <v>28.51959544456743</v>
      </c>
      <c r="N6" s="1">
        <f t="shared" si="8"/>
        <v>27.50502149289298</v>
      </c>
      <c r="O6" s="4">
        <f t="shared" si="9"/>
        <v>-1.0145739516744499</v>
      </c>
      <c r="P6" s="1">
        <f t="shared" si="10"/>
        <v>-3.557462635283319</v>
      </c>
    </row>
    <row r="7">
      <c r="A7" s="0" t="s">
        <v>24</v>
      </c>
      <c r="B7" s="2">
        <f>-4823.2657361591</f>
        <v>-4823.2657361591</v>
      </c>
      <c r="C7" s="0" t="s">
        <v>1</v>
      </c>
      <c r="E7" s="1">
        <f>64</f>
        <v>64</v>
      </c>
      <c r="F7" s="1">
        <f t="shared" si="0"/>
        <v>523.6700000000001</v>
      </c>
      <c r="G7" s="1">
        <f t="shared" si="1"/>
        <v>290.9284418200595</v>
      </c>
      <c r="H7" s="2">
        <f t="shared" si="2"/>
        <v>-300045.1466241042</v>
      </c>
      <c r="I7" s="2">
        <f t="shared" si="3"/>
        <v>-1180474.680187875</v>
      </c>
      <c r="J7" s="2">
        <f t="shared" si="4"/>
        <v>264293.44174082746</v>
      </c>
      <c r="K7" s="5">
        <f t="shared" si="5"/>
        <v>0.2952922087741088</v>
      </c>
      <c r="L7" s="6">
        <f t="shared" si="6"/>
        <v>0.012753228205763004</v>
      </c>
      <c r="M7" s="1">
        <f t="shared" si="7"/>
        <v>29.253570859009507</v>
      </c>
      <c r="N7" s="1">
        <f t="shared" si="8"/>
        <v>28.514172186833093</v>
      </c>
      <c r="O7" s="4">
        <f t="shared" si="9"/>
        <v>-0.7393986721764136</v>
      </c>
      <c r="P7" s="1">
        <f t="shared" si="10"/>
        <v>-2.5275501433312844</v>
      </c>
    </row>
    <row r="8">
      <c r="A8" s="0" t="s">
        <v>25</v>
      </c>
      <c r="B8" s="2">
        <f>405113.40542057</f>
        <v>405113.40542057</v>
      </c>
      <c r="C8" s="0" t="s">
        <v>1</v>
      </c>
      <c r="E8" s="1">
        <f>65</f>
        <v>65</v>
      </c>
      <c r="F8" s="1">
        <f t="shared" si="0"/>
        <v>524.6700000000001</v>
      </c>
      <c r="G8" s="1">
        <f t="shared" si="1"/>
        <v>291.4839984041085</v>
      </c>
      <c r="H8" s="2">
        <f t="shared" si="2"/>
        <v>-299073.2200550686</v>
      </c>
      <c r="I8" s="2">
        <f t="shared" si="3"/>
        <v>-1179320.898139631</v>
      </c>
      <c r="J8" s="2">
        <f t="shared" si="4"/>
        <v>266439.822974199</v>
      </c>
      <c r="K8" s="5">
        <f t="shared" si="5"/>
        <v>0.30579081459201546</v>
      </c>
      <c r="L8" s="6">
        <f t="shared" si="6"/>
        <v>0.013216282385546087</v>
      </c>
      <c r="M8" s="1">
        <f t="shared" si="7"/>
        <v>30.003897520711256</v>
      </c>
      <c r="N8" s="1">
        <f t="shared" si="8"/>
        <v>29.52332288077332</v>
      </c>
      <c r="O8" s="4">
        <f t="shared" si="9"/>
        <v>-0.4805746399379345</v>
      </c>
      <c r="P8" s="1">
        <f t="shared" si="10"/>
        <v>-1.601707376870624</v>
      </c>
    </row>
    <row r="9">
      <c r="A9" s="0" t="s">
        <v>26</v>
      </c>
      <c r="B9" s="4">
        <f>-0.23855557567849</f>
        <v>-0.23855557567849</v>
      </c>
      <c r="C9" s="0" t="s">
        <v>1</v>
      </c>
      <c r="E9" s="1">
        <f>66</f>
        <v>66</v>
      </c>
      <c r="F9" s="1">
        <f t="shared" si="0"/>
        <v>525.6700000000001</v>
      </c>
      <c r="G9" s="1">
        <f t="shared" si="1"/>
        <v>292.0395549913483</v>
      </c>
      <c r="H9" s="2">
        <f t="shared" si="2"/>
        <v>-298100.6761942093</v>
      </c>
      <c r="I9" s="2">
        <f t="shared" si="3"/>
        <v>-1178177.655535565</v>
      </c>
      <c r="J9" s="2">
        <f t="shared" si="4"/>
        <v>268595.41111123544</v>
      </c>
      <c r="K9" s="5">
        <f t="shared" si="5"/>
        <v>0.3166150178478005</v>
      </c>
      <c r="L9" s="6">
        <f t="shared" si="6"/>
        <v>0.013694405394929289</v>
      </c>
      <c r="M9" s="1">
        <f t="shared" si="7"/>
        <v>30.771064979712982</v>
      </c>
      <c r="N9" s="1">
        <f t="shared" si="8"/>
        <v>30.532473574713435</v>
      </c>
      <c r="O9" s="4">
        <f t="shared" si="9"/>
        <v>-0.23859140499954634</v>
      </c>
      <c r="P9" s="1">
        <f t="shared" si="10"/>
        <v>-0.7753758446672125</v>
      </c>
    </row>
    <row r="10">
      <c r="A10" s="0" t="s">
        <v>27</v>
      </c>
      <c r="B10" s="2">
        <f>650.17534844798</f>
        <v>650.17534844798</v>
      </c>
      <c r="C10" s="0" t="s">
        <v>1</v>
      </c>
      <c r="E10" s="1">
        <f>67</f>
        <v>67</v>
      </c>
      <c r="F10" s="1">
        <f t="shared" si="0"/>
        <v>526.6700000000001</v>
      </c>
      <c r="G10" s="1">
        <f t="shared" si="1"/>
        <v>292.59511158179396</v>
      </c>
      <c r="H10" s="2">
        <f t="shared" si="2"/>
        <v>-297127.5150414895</v>
      </c>
      <c r="I10" s="2">
        <f t="shared" si="3"/>
        <v>-1177044.9523758288</v>
      </c>
      <c r="J10" s="2">
        <f t="shared" si="4"/>
        <v>270760.20615215396</v>
      </c>
      <c r="K10" s="5">
        <f t="shared" si="5"/>
        <v>0.32777332616489663</v>
      </c>
      <c r="L10" s="6">
        <f t="shared" si="6"/>
        <v>0.014188040456854376</v>
      </c>
      <c r="M10" s="1">
        <f t="shared" si="7"/>
        <v>31.555576752232994</v>
      </c>
      <c r="N10" s="1">
        <f t="shared" si="8"/>
        <v>31.54162426865355</v>
      </c>
      <c r="O10" s="4">
        <f t="shared" si="9"/>
        <v>-0.013952483579444674</v>
      </c>
      <c r="P10" s="1">
        <f t="shared" si="10"/>
        <v>-0.04421558727636738</v>
      </c>
    </row>
    <row r="11">
      <c r="A11" s="0" t="s">
        <v>28</v>
      </c>
      <c r="B11" s="4">
        <f>0.55555555555556</f>
        <v>0.55555555555556</v>
      </c>
      <c r="C11" s="0" t="s">
        <v>1</v>
      </c>
      <c r="E11" s="1">
        <f>68</f>
        <v>68</v>
      </c>
      <c r="F11" s="1">
        <f t="shared" si="0"/>
        <v>527.6700000000001</v>
      </c>
      <c r="G11" s="1">
        <f t="shared" si="1"/>
        <v>293.15066817546034</v>
      </c>
      <c r="H11" s="2">
        <f t="shared" si="2"/>
        <v>-296153.7365968721</v>
      </c>
      <c r="I11" s="2">
        <f t="shared" si="3"/>
        <v>-1175922.7886605752</v>
      </c>
      <c r="J11" s="2">
        <f t="shared" si="4"/>
        <v>272934.2080971727</v>
      </c>
      <c r="K11" s="5">
        <f t="shared" si="5"/>
        <v>0.3392744231480006</v>
      </c>
      <c r="L11" s="6">
        <f t="shared" si="6"/>
        <v>0.014697643273547296</v>
      </c>
      <c r="M11" s="1">
        <f t="shared" si="7"/>
        <v>32.35795075894862</v>
      </c>
      <c r="N11" s="1">
        <f t="shared" si="8"/>
        <v>32.550774962593664</v>
      </c>
      <c r="O11" s="4">
        <f t="shared" si="9"/>
        <v>0.1928242036450456</v>
      </c>
      <c r="P11" s="1">
        <f t="shared" si="10"/>
        <v>0.5959098123410053</v>
      </c>
    </row>
    <row r="12">
      <c r="A12" s="0" t="s">
        <v>29</v>
      </c>
      <c r="B12" s="3">
        <f>14.696</f>
        <v>14.696</v>
      </c>
      <c r="C12" s="0" t="s">
        <v>17</v>
      </c>
      <c r="E12" s="1">
        <f>69</f>
        <v>69</v>
      </c>
      <c r="F12" s="1">
        <f t="shared" si="0"/>
        <v>528.6700000000001</v>
      </c>
      <c r="G12" s="1">
        <f t="shared" si="1"/>
        <v>293.7062247723624</v>
      </c>
      <c r="H12" s="2">
        <f t="shared" si="2"/>
        <v>-295179.3408603203</v>
      </c>
      <c r="I12" s="2">
        <f t="shared" si="3"/>
        <v>-1174811.1643899572</v>
      </c>
      <c r="J12" s="2">
        <f t="shared" si="4"/>
        <v>275117.4169465104</v>
      </c>
      <c r="K12" s="5">
        <f t="shared" si="5"/>
        <v>0.35112717087629913</v>
      </c>
      <c r="L12" s="6">
        <f t="shared" si="6"/>
        <v>0.01522368241893995</v>
      </c>
      <c r="M12" s="1">
        <f t="shared" si="7"/>
        <v>33.178719781081924</v>
      </c>
      <c r="N12" s="1">
        <f t="shared" si="8"/>
        <v>33.55992565653378</v>
      </c>
      <c r="O12" s="4">
        <f t="shared" si="9"/>
        <v>0.3812058754518546</v>
      </c>
      <c r="P12" s="1">
        <f t="shared" si="10"/>
        <v>1.1489469092451638</v>
      </c>
    </row>
    <row r="13">
      <c r="A13" s="0" t="s">
        <v>30</v>
      </c>
      <c r="B13" s="2">
        <f>SUM(F3:F36)</f>
        <v>18229.78</v>
      </c>
      <c r="C13" s="0" t="s">
        <v>16</v>
      </c>
      <c r="E13" s="1">
        <f>70</f>
        <v>70</v>
      </c>
      <c r="F13" s="1">
        <f t="shared" si="0"/>
        <v>529.6700000000001</v>
      </c>
      <c r="G13" s="1">
        <f t="shared" si="1"/>
        <v>294.26178137251543</v>
      </c>
      <c r="H13" s="2">
        <f t="shared" si="2"/>
        <v>-294204.3278317965</v>
      </c>
      <c r="I13" s="2">
        <f t="shared" si="3"/>
        <v>-1173710.0795641288</v>
      </c>
      <c r="J13" s="2">
        <f t="shared" si="4"/>
        <v>277309.83270038833</v>
      </c>
      <c r="K13" s="5">
        <f t="shared" si="5"/>
        <v>0.36334061240867743</v>
      </c>
      <c r="L13" s="6">
        <f t="shared" si="6"/>
        <v>0.015766639747272444</v>
      </c>
      <c r="M13" s="1">
        <f t="shared" si="7"/>
        <v>34.01843193520129</v>
      </c>
      <c r="N13" s="1">
        <f t="shared" si="8"/>
        <v>34.56907635047389</v>
      </c>
      <c r="O13" s="4">
        <f t="shared" si="9"/>
        <v>0.5506444152726004</v>
      </c>
      <c r="P13" s="1">
        <f t="shared" si="10"/>
        <v>1.618664894141724</v>
      </c>
    </row>
    <row r="14">
      <c r="A14" s="0" t="s">
        <v>31</v>
      </c>
      <c r="B14" s="2">
        <f>SUM(M3:M36)</f>
        <v>1398.370899276873</v>
      </c>
      <c r="C14" s="0" t="s">
        <v>18</v>
      </c>
      <c r="E14" s="1">
        <f>71</f>
        <v>71</v>
      </c>
      <c r="F14" s="1">
        <f t="shared" si="0"/>
        <v>530.6700000000001</v>
      </c>
      <c r="G14" s="1">
        <f t="shared" si="1"/>
        <v>294.8173379759346</v>
      </c>
      <c r="H14" s="2">
        <f t="shared" si="2"/>
        <v>-293228.69751126313</v>
      </c>
      <c r="I14" s="2">
        <f t="shared" si="3"/>
        <v>-1172619.5341832454</v>
      </c>
      <c r="J14" s="2">
        <f t="shared" si="4"/>
        <v>279511.4553590285</v>
      </c>
      <c r="K14" s="5">
        <f t="shared" si="5"/>
        <v>0.37592397430054436</v>
      </c>
      <c r="L14" s="6">
        <f t="shared" si="6"/>
        <v>0.016327010818710512</v>
      </c>
      <c r="M14" s="1">
        <f t="shared" si="7"/>
        <v>34.877651167700876</v>
      </c>
      <c r="N14" s="1">
        <f t="shared" si="8"/>
        <v>35.57822704441401</v>
      </c>
      <c r="O14" s="4">
        <f t="shared" si="9"/>
        <v>0.7005758767131312</v>
      </c>
      <c r="P14" s="1">
        <f t="shared" si="10"/>
        <v>2.0086670210232302</v>
      </c>
    </row>
    <row r="15">
      <c r="A15" s="0" t="s">
        <v>32</v>
      </c>
      <c r="B15" s="3">
        <f>34</f>
        <v>34</v>
      </c>
      <c r="C15" s="0" t="s">
        <v>1</v>
      </c>
      <c r="E15" s="1">
        <f>72</f>
        <v>72</v>
      </c>
      <c r="F15" s="1">
        <f t="shared" si="0"/>
        <v>531.6700000000001</v>
      </c>
      <c r="G15" s="1">
        <f t="shared" si="1"/>
        <v>295.3728945826354</v>
      </c>
      <c r="H15" s="2">
        <f t="shared" si="2"/>
        <v>-292252.44989868207</v>
      </c>
      <c r="I15" s="2">
        <f t="shared" si="3"/>
        <v>-1171539.5282474628</v>
      </c>
      <c r="J15" s="2">
        <f t="shared" si="4"/>
        <v>281722.28492265526</v>
      </c>
      <c r="K15" s="5">
        <f t="shared" si="5"/>
        <v>0.3888866691319771</v>
      </c>
      <c r="L15" s="6">
        <f t="shared" si="6"/>
        <v>0.01690530534286425</v>
      </c>
      <c r="M15" s="1">
        <f t="shared" si="7"/>
        <v>35.75695776997966</v>
      </c>
      <c r="N15" s="1">
        <f t="shared" si="8"/>
        <v>36.58737773835412</v>
      </c>
      <c r="O15" s="4">
        <f t="shared" si="9"/>
        <v>0.8304199683744642</v>
      </c>
      <c r="P15" s="1">
        <f t="shared" si="10"/>
        <v>2.3224010658749523</v>
      </c>
    </row>
    <row r="16">
      <c r="A16" s="0" t="s">
        <v>33</v>
      </c>
      <c r="B16" s="2">
        <f>SUM(F3*F3,F4*F4,F5*F5,F6*F6,F7*F7,F8*F8,F9*F9,F10*F10,F11*F11,F12*F12,F13*F13,F14*F14,F15*F15,F16*F16,F17*F17,F18*F18,F19*F19,F20*F20,F21*F21,F22*F22,F23*F23,F24*F24,F25*F25,F26*F26,F27*F27,F28*F28,F29*F29,F30*F30,F31*F31,F32*F32,F33*F33,F34*F34,F35*F35,F36*F36)</f>
        <v>9777533.642600002</v>
      </c>
      <c r="C16" s="0" t="s">
        <v>34</v>
      </c>
      <c r="E16" s="1">
        <f>73</f>
        <v>73</v>
      </c>
      <c r="F16" s="1">
        <f t="shared" si="0"/>
        <v>532.6700000000001</v>
      </c>
      <c r="G16" s="1">
        <f t="shared" si="1"/>
        <v>295.9284511926331</v>
      </c>
      <c r="H16" s="2">
        <f t="shared" si="2"/>
        <v>-291275.5849940157</v>
      </c>
      <c r="I16" s="2">
        <f t="shared" si="3"/>
        <v>-1170470.0617569387</v>
      </c>
      <c r="J16" s="2">
        <f t="shared" si="4"/>
        <v>283942.32139149244</v>
      </c>
      <c r="K16" s="5">
        <f t="shared" si="5"/>
        <v>0.4022382980467902</v>
      </c>
      <c r="L16" s="6">
        <f t="shared" si="6"/>
        <v>0.01750204764114164</v>
      </c>
      <c r="M16" s="1">
        <f t="shared" si="7"/>
        <v>36.65694891539596</v>
      </c>
      <c r="N16" s="1">
        <f t="shared" si="8"/>
        <v>37.596528432294235</v>
      </c>
      <c r="O16" s="4">
        <f t="shared" si="9"/>
        <v>0.9395795168982772</v>
      </c>
      <c r="P16" s="1">
        <f t="shared" si="10"/>
        <v>2.563168907119962</v>
      </c>
    </row>
    <row r="17">
      <c r="A17" s="0" t="s">
        <v>35</v>
      </c>
      <c r="B17" s="2">
        <f>SUM(F3*M3,F4*M4,F5*M5,F6*M6,F7*M7,F8*M8,F9*M9,F10*M10,F11*M11,F12*M12,F13*M13,F14*M14,F15*M15,F16*M16,F17*M17,F18*M18,F19*M19,F20*M20,F21*M21,F22*M22,F23*M23,F24*M24,F25*M25,F26*M26,F27*M27,F28*M28,F29*M29,F30*M30,F31*M31,F32*M32,F33*M33,F34*M34,F35*M35,F36*M36)</f>
        <v>753066.9707112035</v>
      </c>
      <c r="C17" s="0" t="s">
        <v>36</v>
      </c>
      <c r="E17" s="1">
        <f>74</f>
        <v>74</v>
      </c>
      <c r="F17" s="1">
        <f t="shared" si="0"/>
        <v>533.6700000000001</v>
      </c>
      <c r="G17" s="1">
        <f t="shared" si="1"/>
        <v>296.48400780594324</v>
      </c>
      <c r="H17" s="2">
        <f t="shared" si="2"/>
        <v>-290298.10279722547</v>
      </c>
      <c r="I17" s="2">
        <f t="shared" si="3"/>
        <v>-1169411.1347118318</v>
      </c>
      <c r="J17" s="2">
        <f t="shared" si="4"/>
        <v>286171.5647657668</v>
      </c>
      <c r="K17" s="5">
        <f t="shared" si="5"/>
        <v>0.41598865330224527</v>
      </c>
      <c r="L17" s="6">
        <f t="shared" si="6"/>
        <v>0.018117777128930243</v>
      </c>
      <c r="M17" s="1">
        <f t="shared" si="7"/>
        <v>37.578239219143114</v>
      </c>
      <c r="N17" s="1">
        <f t="shared" si="8"/>
        <v>38.60567912623435</v>
      </c>
      <c r="O17" s="4">
        <f t="shared" si="9"/>
        <v>1.0274399070912352</v>
      </c>
      <c r="P17" s="1">
        <f t="shared" si="10"/>
        <v>2.7341353092665304</v>
      </c>
    </row>
    <row r="18">
      <c r="A18" s="0" t="s">
        <v>37</v>
      </c>
      <c r="B18" s="1">
        <f>($B$15*$B$17-$B$13*$B$14)/($B$15*$B$16-$B$13*$B$13)</f>
        <v>1.0091506939401185</v>
      </c>
      <c r="C18" s="0" t="s">
        <v>38</v>
      </c>
      <c r="E18" s="1">
        <f>75</f>
        <v>75</v>
      </c>
      <c r="F18" s="1">
        <f t="shared" si="0"/>
        <v>534.6700000000001</v>
      </c>
      <c r="G18" s="1">
        <f t="shared" si="1"/>
        <v>297.0395644225816</v>
      </c>
      <c r="H18" s="2">
        <f t="shared" si="2"/>
        <v>-289320.0033082727</v>
      </c>
      <c r="I18" s="2">
        <f t="shared" si="3"/>
        <v>-1168362.7471123</v>
      </c>
      <c r="J18" s="2">
        <f t="shared" si="4"/>
        <v>288410.0150457067</v>
      </c>
      <c r="K18" s="5">
        <f t="shared" si="5"/>
        <v>0.4301477208289944</v>
      </c>
      <c r="L18" s="6">
        <f t="shared" si="6"/>
        <v>0.0187530488186532</v>
      </c>
      <c r="M18" s="1">
        <f t="shared" si="7"/>
        <v>38.52146132225219</v>
      </c>
      <c r="N18" s="1">
        <f t="shared" si="8"/>
        <v>39.614829820174464</v>
      </c>
      <c r="O18" s="4">
        <f t="shared" si="9"/>
        <v>1.0933684979222704</v>
      </c>
      <c r="P18" s="1">
        <f t="shared" si="10"/>
        <v>2.83833598309179</v>
      </c>
    </row>
    <row r="19">
      <c r="A19" s="0" t="s">
        <v>39</v>
      </c>
      <c r="B19" s="2">
        <f>($B$14-$B$18*$B$13)/$B$15</f>
        <v>-499.94777170878876</v>
      </c>
      <c r="C19" s="0" t="s">
        <v>18</v>
      </c>
      <c r="E19" s="1">
        <f>76</f>
        <v>76</v>
      </c>
      <c r="F19" s="1">
        <f t="shared" si="0"/>
        <v>535.6700000000001</v>
      </c>
      <c r="G19" s="1">
        <f t="shared" si="1"/>
        <v>297.59512104256373</v>
      </c>
      <c r="H19" s="2">
        <f t="shared" si="2"/>
        <v>-288341.28652711865</v>
      </c>
      <c r="I19" s="2">
        <f t="shared" si="3"/>
        <v>-1167324.8989585042</v>
      </c>
      <c r="J19" s="2">
        <f t="shared" si="4"/>
        <v>290657.6722315406</v>
      </c>
      <c r="K19" s="5">
        <f t="shared" si="5"/>
        <v>0.4447256828009053</v>
      </c>
      <c r="L19" s="6">
        <f t="shared" si="6"/>
        <v>0.019408433844810745</v>
      </c>
      <c r="M19" s="1">
        <f t="shared" si="7"/>
        <v>39.48726650100349</v>
      </c>
      <c r="N19" s="1">
        <f t="shared" si="8"/>
        <v>40.62398051411458</v>
      </c>
      <c r="O19" s="4">
        <f t="shared" si="9"/>
        <v>1.1367140131110887</v>
      </c>
      <c r="P19" s="1">
        <f t="shared" si="10"/>
        <v>2.8786849884435566</v>
      </c>
    </row>
    <row r="20">
      <c r="E20" s="1">
        <f>77</f>
        <v>77</v>
      </c>
      <c r="F20" s="1">
        <f t="shared" si="0"/>
        <v>536.6700000000001</v>
      </c>
      <c r="G20" s="1">
        <f t="shared" si="1"/>
        <v>298.15067766590556</v>
      </c>
      <c r="H20" s="2">
        <f t="shared" si="2"/>
        <v>-287361.95245372434</v>
      </c>
      <c r="I20" s="2">
        <f t="shared" si="3"/>
        <v>-1166297.5902506055</v>
      </c>
      <c r="J20" s="2">
        <f t="shared" si="4"/>
        <v>292914.53632349946</v>
      </c>
      <c r="K20" s="5">
        <f t="shared" si="5"/>
        <v>0.45973292021446627</v>
      </c>
      <c r="L20" s="6">
        <f t="shared" si="6"/>
        <v>0.020084520012186628</v>
      </c>
      <c r="M20" s="1">
        <f t="shared" si="7"/>
        <v>40.47632530310665</v>
      </c>
      <c r="N20" s="1">
        <f t="shared" si="8"/>
        <v>41.63313120805469</v>
      </c>
      <c r="O20" s="4">
        <f t="shared" si="9"/>
        <v>1.156805904948044</v>
      </c>
      <c r="P20" s="1">
        <f t="shared" si="10"/>
        <v>2.857981539295655</v>
      </c>
    </row>
    <row r="21">
      <c r="E21" s="1">
        <f>78</f>
        <v>78</v>
      </c>
      <c r="F21" s="1">
        <f t="shared" si="0"/>
        <v>537.6700000000001</v>
      </c>
      <c r="G21" s="1">
        <f t="shared" si="1"/>
        <v>298.70623429262304</v>
      </c>
      <c r="H21" s="2">
        <f t="shared" si="2"/>
        <v>-286382.0010880503</v>
      </c>
      <c r="I21" s="2">
        <f t="shared" si="3"/>
        <v>-1165280.8209887666</v>
      </c>
      <c r="J21" s="2">
        <f t="shared" si="4"/>
        <v>295180.6073218156</v>
      </c>
      <c r="K21" s="5">
        <f t="shared" si="5"/>
        <v>0.47518001547733985</v>
      </c>
      <c r="L21" s="6">
        <f t="shared" si="6"/>
        <v>0.020781912368464182</v>
      </c>
      <c r="M21" s="1">
        <f t="shared" si="7"/>
        <v>41.48932821208515</v>
      </c>
      <c r="N21" s="1">
        <f t="shared" si="8"/>
        <v>42.64228190199481</v>
      </c>
      <c r="O21" s="4">
        <f t="shared" si="9"/>
        <v>1.1529536899096584</v>
      </c>
      <c r="P21" s="1">
        <f t="shared" si="10"/>
        <v>2.778916264963341</v>
      </c>
    </row>
    <row r="22">
      <c r="E22" s="1">
        <f>79</f>
        <v>79</v>
      </c>
      <c r="F22" s="1">
        <f t="shared" si="0"/>
        <v>538.6700000000001</v>
      </c>
      <c r="G22" s="1">
        <f t="shared" si="1"/>
        <v>299.2617909227322</v>
      </c>
      <c r="H22" s="2">
        <f t="shared" si="2"/>
        <v>-285401.4324300571</v>
      </c>
      <c r="I22" s="2">
        <f t="shared" si="3"/>
        <v>-1164274.5911731494</v>
      </c>
      <c r="J22" s="2">
        <f t="shared" si="4"/>
        <v>297455.88522672286</v>
      </c>
      <c r="K22" s="5">
        <f t="shared" si="5"/>
        <v>0.49107775500574385</v>
      </c>
      <c r="L22" s="6">
        <f t="shared" si="6"/>
        <v>0.021501233802576923</v>
      </c>
      <c r="M22" s="1">
        <f t="shared" si="7"/>
        <v>42.526986341393304</v>
      </c>
      <c r="N22" s="1">
        <f t="shared" si="8"/>
        <v>43.65143259593492</v>
      </c>
      <c r="O22" s="4">
        <f t="shared" si="9"/>
        <v>1.124446254541617</v>
      </c>
      <c r="P22" s="1">
        <f t="shared" si="10"/>
        <v>2.644076976240252</v>
      </c>
    </row>
    <row r="23">
      <c r="E23" s="1">
        <f>80</f>
        <v>80</v>
      </c>
      <c r="F23" s="1">
        <f t="shared" si="0"/>
        <v>539.6700000000001</v>
      </c>
      <c r="G23" s="1">
        <f t="shared" si="1"/>
        <v>299.8173475562491</v>
      </c>
      <c r="H23" s="2">
        <f t="shared" si="2"/>
        <v>-284420.2464797048</v>
      </c>
      <c r="I23" s="2">
        <f t="shared" si="3"/>
        <v>-1163278.9008039194</v>
      </c>
      <c r="J23" s="2">
        <f t="shared" si="4"/>
        <v>299740.3700384554</v>
      </c>
      <c r="K23" s="5">
        <f t="shared" si="5"/>
        <v>0.5074371318302645</v>
      </c>
      <c r="L23" s="6">
        <f t="shared" si="6"/>
        <v>0.02224312567019585</v>
      </c>
      <c r="M23" s="1">
        <f t="shared" si="7"/>
        <v>43.59003215988315</v>
      </c>
      <c r="N23" s="1">
        <f t="shared" si="8"/>
        <v>44.660583289875035</v>
      </c>
      <c r="O23" s="4">
        <f t="shared" si="9"/>
        <v>1.070551129991884</v>
      </c>
      <c r="P23" s="1">
        <f t="shared" si="10"/>
        <v>2.4559539806376542</v>
      </c>
    </row>
    <row r="24">
      <c r="E24" s="1">
        <f>81</f>
        <v>81</v>
      </c>
      <c r="F24" s="1">
        <f t="shared" si="0"/>
        <v>540.6700000000001</v>
      </c>
      <c r="G24" s="1">
        <f t="shared" si="1"/>
        <v>300.37290419319004</v>
      </c>
      <c r="H24" s="2">
        <f t="shared" si="2"/>
        <v>-283438.4432369535</v>
      </c>
      <c r="I24" s="2">
        <f t="shared" si="3"/>
        <v>-1162293.7498812415</v>
      </c>
      <c r="J24" s="2">
        <f t="shared" si="4"/>
        <v>302034.061757251</v>
      </c>
      <c r="K24" s="5">
        <f t="shared" si="5"/>
        <v>0.524269348209784</v>
      </c>
      <c r="L24" s="6">
        <f t="shared" si="6"/>
        <v>0.023008248447845315</v>
      </c>
      <c r="M24" s="1">
        <f t="shared" si="7"/>
        <v>44.67922025034218</v>
      </c>
      <c r="N24" s="1">
        <f t="shared" si="8"/>
        <v>45.66973398381515</v>
      </c>
      <c r="O24" s="4">
        <f t="shared" si="9"/>
        <v>0.9905137334729659</v>
      </c>
      <c r="P24" s="1">
        <f t="shared" si="10"/>
        <v>2.2169449867813658</v>
      </c>
    </row>
    <row r="25">
      <c r="E25" s="1">
        <f>82</f>
        <v>82</v>
      </c>
      <c r="F25" s="1">
        <f t="shared" si="0"/>
        <v>541.6700000000001</v>
      </c>
      <c r="G25" s="1">
        <f t="shared" si="1"/>
        <v>300.92846083357136</v>
      </c>
      <c r="H25" s="2">
        <f t="shared" si="2"/>
        <v>-282456.02270176285</v>
      </c>
      <c r="I25" s="2">
        <f t="shared" si="3"/>
        <v>-1161319.1384052825</v>
      </c>
      <c r="J25" s="2">
        <f t="shared" si="4"/>
        <v>304336.9603833468</v>
      </c>
      <c r="K25" s="5">
        <f t="shared" si="5"/>
        <v>0.5415858182530618</v>
      </c>
      <c r="L25" s="6">
        <f t="shared" si="6"/>
        <v>0.02379728241722457</v>
      </c>
      <c r="M25" s="1">
        <f t="shared" si="7"/>
        <v>45.79532810292158</v>
      </c>
      <c r="N25" s="1">
        <f t="shared" si="8"/>
        <v>46.67888467775526</v>
      </c>
      <c r="O25" s="4">
        <f t="shared" si="9"/>
        <v>0.8835565748336833</v>
      </c>
      <c r="P25" s="1">
        <f t="shared" si="10"/>
        <v>1.9293596343451365</v>
      </c>
    </row>
    <row r="26">
      <c r="E26" s="1">
        <f>83</f>
        <v>83</v>
      </c>
      <c r="F26" s="1">
        <f t="shared" si="0"/>
        <v>542.6700000000001</v>
      </c>
      <c r="G26" s="1">
        <f t="shared" si="1"/>
        <v>301.48401747740945</v>
      </c>
      <c r="H26" s="2">
        <f t="shared" si="2"/>
        <v>-281472.9848740922</v>
      </c>
      <c r="I26" s="2">
        <f t="shared" si="3"/>
        <v>-1160355.0663762088</v>
      </c>
      <c r="J26" s="2">
        <f t="shared" si="4"/>
        <v>306649.06591698324</v>
      </c>
      <c r="K26" s="5">
        <f t="shared" si="5"/>
        <v>0.5593981705476997</v>
      </c>
      <c r="L26" s="6">
        <f t="shared" si="6"/>
        <v>0.02461092838141912</v>
      </c>
      <c r="M26" s="1">
        <f t="shared" si="7"/>
        <v>46.93915694539774</v>
      </c>
      <c r="N26" s="1">
        <f t="shared" si="8"/>
        <v>47.68803537169538</v>
      </c>
      <c r="O26" s="4">
        <f t="shared" si="9"/>
        <v>0.7488784262976367</v>
      </c>
      <c r="P26" s="1">
        <f t="shared" si="10"/>
        <v>1.595423682553085</v>
      </c>
    </row>
    <row r="27">
      <c r="E27" s="1">
        <f>84</f>
        <v>84</v>
      </c>
      <c r="F27" s="1">
        <f t="shared" si="0"/>
        <v>543.6700000000001</v>
      </c>
      <c r="G27" s="1">
        <f t="shared" si="1"/>
        <v>302.03957412472096</v>
      </c>
      <c r="H27" s="2">
        <f t="shared" si="2"/>
        <v>-280489.32975390076</v>
      </c>
      <c r="I27" s="2">
        <f t="shared" si="3"/>
        <v>-1159401.5337941898</v>
      </c>
      <c r="J27" s="2">
        <f t="shared" si="4"/>
        <v>308970.3783584007</v>
      </c>
      <c r="K27" s="5">
        <f t="shared" si="5"/>
        <v>0.5777182507960082</v>
      </c>
      <c r="L27" s="6">
        <f t="shared" si="6"/>
        <v>0.025449908414781543</v>
      </c>
      <c r="M27" s="1">
        <f t="shared" si="7"/>
        <v>48.111532612320914</v>
      </c>
      <c r="N27" s="1">
        <f t="shared" si="8"/>
        <v>48.69718606563549</v>
      </c>
      <c r="O27" s="4">
        <f t="shared" si="9"/>
        <v>0.5856534533145776</v>
      </c>
      <c r="P27" s="1">
        <f t="shared" si="10"/>
        <v>1.2172828873146253</v>
      </c>
    </row>
    <row r="28">
      <c r="E28" s="1">
        <f>85</f>
        <v>85</v>
      </c>
      <c r="F28" s="1">
        <f t="shared" si="0"/>
        <v>544.6700000000001</v>
      </c>
      <c r="G28" s="1">
        <f t="shared" si="1"/>
        <v>302.5951307755225</v>
      </c>
      <c r="H28" s="2">
        <f t="shared" si="2"/>
        <v>-279505.05734114733</v>
      </c>
      <c r="I28" s="2">
        <f t="shared" si="3"/>
        <v>-1158458.5406593943</v>
      </c>
      <c r="J28" s="2">
        <f t="shared" si="4"/>
        <v>311300.89770784235</v>
      </c>
      <c r="K28" s="5">
        <f t="shared" si="5"/>
        <v>0.5965581244575001</v>
      </c>
      <c r="L28" s="6">
        <f t="shared" si="6"/>
        <v>0.026314966648383308</v>
      </c>
      <c r="M28" s="1">
        <f t="shared" si="7"/>
        <v>49.31330645524467</v>
      </c>
      <c r="N28" s="1">
        <f t="shared" si="8"/>
        <v>49.706336759575606</v>
      </c>
      <c r="O28" s="4">
        <f t="shared" si="9"/>
        <v>0.3930303043309351</v>
      </c>
      <c r="P28" s="1">
        <f t="shared" si="10"/>
        <v>0.7970065943309602</v>
      </c>
    </row>
    <row r="29">
      <c r="E29" s="1">
        <f>86</f>
        <v>86</v>
      </c>
      <c r="F29" s="1">
        <f t="shared" si="0"/>
        <v>545.6700000000001</v>
      </c>
      <c r="G29" s="1">
        <f t="shared" si="1"/>
        <v>303.1506874298307</v>
      </c>
      <c r="H29" s="2">
        <f t="shared" si="2"/>
        <v>-278520.16763579077</v>
      </c>
      <c r="I29" s="2">
        <f t="shared" si="3"/>
        <v>-1157526.0869719936</v>
      </c>
      <c r="J29" s="2">
        <f t="shared" si="4"/>
        <v>313640.62396555237</v>
      </c>
      <c r="K29" s="5">
        <f t="shared" si="5"/>
        <v>0.6159300793975295</v>
      </c>
      <c r="L29" s="6">
        <f t="shared" si="6"/>
        <v>0.0272068700930503</v>
      </c>
      <c r="M29" s="1">
        <f t="shared" si="7"/>
        <v>50.5453562963594</v>
      </c>
      <c r="N29" s="1">
        <f t="shared" si="8"/>
        <v>50.71548745351572</v>
      </c>
      <c r="O29" s="4">
        <f t="shared" si="9"/>
        <v>0.17013115715631955</v>
      </c>
      <c r="P29" s="1">
        <f t="shared" si="10"/>
        <v>0.3365910730924524</v>
      </c>
    </row>
    <row r="30">
      <c r="E30" s="1">
        <f>87</f>
        <v>87</v>
      </c>
      <c r="F30" s="1">
        <f t="shared" si="0"/>
        <v>546.6700000000001</v>
      </c>
      <c r="G30" s="1">
        <f t="shared" si="1"/>
        <v>303.70624408766264</v>
      </c>
      <c r="H30" s="2">
        <f t="shared" si="2"/>
        <v>-277534.6606377893</v>
      </c>
      <c r="I30" s="2">
        <f t="shared" si="3"/>
        <v>-1156604.1727321595</v>
      </c>
      <c r="J30" s="2">
        <f t="shared" si="4"/>
        <v>315989.5571317764</v>
      </c>
      <c r="K30" s="5">
        <f t="shared" si="5"/>
        <v>0.6358466285417744</v>
      </c>
      <c r="L30" s="6">
        <f t="shared" si="6"/>
        <v>0.028126409502131855</v>
      </c>
      <c r="M30" s="1">
        <f t="shared" si="7"/>
        <v>51.80858742801024</v>
      </c>
      <c r="N30" s="1">
        <f t="shared" si="8"/>
        <v>51.724638147455835</v>
      </c>
      <c r="O30" s="4">
        <f t="shared" si="9"/>
        <v>-0.08394928055440687</v>
      </c>
      <c r="P30" s="1">
        <f t="shared" si="10"/>
        <v>-0.16203738554164826</v>
      </c>
    </row>
    <row r="31">
      <c r="E31" s="1">
        <f>88</f>
        <v>88</v>
      </c>
      <c r="F31" s="1">
        <f t="shared" si="0"/>
        <v>547.6700000000001</v>
      </c>
      <c r="G31" s="1">
        <f t="shared" si="1"/>
        <v>304.2618007490352</v>
      </c>
      <c r="H31" s="2">
        <f t="shared" si="2"/>
        <v>-276548.536347101</v>
      </c>
      <c r="I31" s="2">
        <f t="shared" si="3"/>
        <v>-1155692.797940064</v>
      </c>
      <c r="J31" s="2">
        <f t="shared" si="4"/>
        <v>318347.6972067622</v>
      </c>
      <c r="K31" s="5">
        <f t="shared" si="5"/>
        <v>0.6563205125361343</v>
      </c>
      <c r="L31" s="6">
        <f t="shared" si="6"/>
        <v>0.02907440027628598</v>
      </c>
      <c r="M31" s="1">
        <f t="shared" si="7"/>
        <v>53.10393366073447</v>
      </c>
      <c r="N31" s="1">
        <f t="shared" si="8"/>
        <v>52.73378884139595</v>
      </c>
      <c r="O31" s="4">
        <f t="shared" si="9"/>
        <v>-0.3701448193385204</v>
      </c>
      <c r="P31" s="1">
        <f t="shared" si="10"/>
        <v>-0.6970195874815369</v>
      </c>
    </row>
    <row r="32">
      <c r="E32" s="1">
        <f>89</f>
        <v>89</v>
      </c>
      <c r="F32" s="1">
        <f t="shared" si="0"/>
        <v>548.6700000000001</v>
      </c>
      <c r="G32" s="1">
        <f t="shared" si="1"/>
        <v>304.8173574139654</v>
      </c>
      <c r="H32" s="2">
        <f t="shared" si="2"/>
        <v>-275561.7947636839</v>
      </c>
      <c r="I32" s="2">
        <f t="shared" si="3"/>
        <v>-1154791.9625958824</v>
      </c>
      <c r="J32" s="2">
        <f t="shared" si="4"/>
        <v>320715.04419075773</v>
      </c>
      <c r="K32" s="5">
        <f t="shared" si="5"/>
        <v>0.6773647024116464</v>
      </c>
      <c r="L32" s="6">
        <f t="shared" si="6"/>
        <v>0.03005168341271318</v>
      </c>
      <c r="M32" s="1">
        <f t="shared" si="7"/>
        <v>54.432358422625455</v>
      </c>
      <c r="N32" s="1">
        <f t="shared" si="8"/>
        <v>53.74293953533606</v>
      </c>
      <c r="O32" s="4">
        <f t="shared" si="9"/>
        <v>-0.689418887289392</v>
      </c>
      <c r="P32" s="1">
        <f t="shared" si="10"/>
        <v>-1.2665607503841445</v>
      </c>
    </row>
    <row r="33">
      <c r="E33" s="1">
        <f>90</f>
        <v>90</v>
      </c>
      <c r="F33" s="1">
        <f t="shared" si="0"/>
        <v>549.6700000000001</v>
      </c>
      <c r="G33" s="1">
        <f t="shared" si="1"/>
        <v>305.3729140824706</v>
      </c>
      <c r="H33" s="2">
        <f t="shared" si="2"/>
        <v>-274574.4358874954</v>
      </c>
      <c r="I33" s="2">
        <f t="shared" si="3"/>
        <v>-1153901.6666997888</v>
      </c>
      <c r="J33" s="2">
        <f t="shared" si="4"/>
        <v>323091.59808401513</v>
      </c>
      <c r="K33" s="5">
        <f t="shared" si="5"/>
        <v>0.6989924022541174</v>
      </c>
      <c r="L33" s="6">
        <f t="shared" si="6"/>
        <v>0.03105912650143506</v>
      </c>
      <c r="M33" s="1">
        <f t="shared" si="7"/>
        <v>55.794855913019944</v>
      </c>
      <c r="N33" s="1">
        <f t="shared" si="8"/>
        <v>54.75209022927618</v>
      </c>
      <c r="O33" s="4">
        <f t="shared" si="9"/>
        <v>-1.0427656837437667</v>
      </c>
      <c r="P33" s="1">
        <f t="shared" si="10"/>
        <v>-1.8689279982537481</v>
      </c>
    </row>
    <row r="34">
      <c r="E34" s="1">
        <f>91</f>
        <v>91</v>
      </c>
      <c r="F34" s="1">
        <f t="shared" si="0"/>
        <v>550.6700000000001</v>
      </c>
      <c r="G34" s="1">
        <f t="shared" si="1"/>
        <v>305.9284707545679</v>
      </c>
      <c r="H34" s="2">
        <f t="shared" si="2"/>
        <v>-273586.4597184928</v>
      </c>
      <c r="I34" s="2">
        <f t="shared" si="3"/>
        <v>-1153021.9102519592</v>
      </c>
      <c r="J34" s="2">
        <f t="shared" si="4"/>
        <v>325477.3588867854</v>
      </c>
      <c r="K34" s="5">
        <f t="shared" si="5"/>
        <v>0.7212170518779214</v>
      </c>
      <c r="L34" s="6">
        <f t="shared" si="6"/>
        <v>0.032097624771373685</v>
      </c>
      <c r="M34" s="1">
        <f t="shared" si="7"/>
        <v>57.19245231369007</v>
      </c>
      <c r="N34" s="1">
        <f t="shared" si="8"/>
        <v>55.76124092321629</v>
      </c>
      <c r="O34" s="4">
        <f t="shared" si="9"/>
        <v>-1.431211390473777</v>
      </c>
      <c r="P34" s="1">
        <f t="shared" si="10"/>
        <v>-2.502448019930753</v>
      </c>
    </row>
    <row r="35">
      <c r="E35" s="1">
        <f>92</f>
        <v>92</v>
      </c>
      <c r="F35" s="1">
        <f t="shared" si="0"/>
        <v>551.6700000000001</v>
      </c>
      <c r="G35" s="1">
        <f t="shared" si="1"/>
        <v>306.4840274302749</v>
      </c>
      <c r="H35" s="2">
        <f t="shared" si="2"/>
        <v>-272597.86625663313</v>
      </c>
      <c r="I35" s="2">
        <f t="shared" si="3"/>
        <v>-1152152.693252572</v>
      </c>
      <c r="J35" s="2">
        <f t="shared" si="4"/>
        <v>327872.326599323</v>
      </c>
      <c r="K35" s="5">
        <f t="shared" si="5"/>
        <v>0.7440523295037638</v>
      </c>
      <c r="L35" s="6">
        <f t="shared" si="6"/>
        <v>0.0331681021891877</v>
      </c>
      <c r="M35" s="1">
        <f t="shared" si="7"/>
        <v>58.62620706095208</v>
      </c>
      <c r="N35" s="1">
        <f t="shared" si="8"/>
        <v>56.77039161715652</v>
      </c>
      <c r="O35" s="4">
        <f t="shared" si="9"/>
        <v>-1.8558154437955636</v>
      </c>
      <c r="P35" s="1">
        <f t="shared" si="10"/>
        <v>-3.1655048771381757</v>
      </c>
    </row>
    <row r="36">
      <c r="E36" s="1">
        <f>93</f>
        <v>93</v>
      </c>
      <c r="F36" s="1">
        <f t="shared" si="0"/>
        <v>552.6700000000001</v>
      </c>
      <c r="G36" s="1">
        <f t="shared" si="1"/>
        <v>307.03958410960905</v>
      </c>
      <c r="H36" s="2">
        <f t="shared" si="2"/>
        <v>-271608.6555018733</v>
      </c>
      <c r="I36" s="2">
        <f t="shared" si="3"/>
        <v>-1151294.0157018048</v>
      </c>
      <c r="J36" s="2">
        <f t="shared" si="4"/>
        <v>330276.50122188317</v>
      </c>
      <c r="K36" s="5">
        <f t="shared" si="5"/>
        <v>0.767512154439875</v>
      </c>
      <c r="L36" s="6">
        <f t="shared" si="6"/>
        <v>0.034271512614003484</v>
      </c>
      <c r="M36" s="1">
        <f t="shared" si="7"/>
        <v>60.09721418231513</v>
      </c>
      <c r="N36" s="1">
        <f t="shared" si="8"/>
        <v>57.779542311096634</v>
      </c>
      <c r="O36" s="4">
        <f t="shared" si="9"/>
        <v>-2.3176718712184936</v>
      </c>
      <c r="P36" s="1">
        <f t="shared" si="10"/>
        <v>-3.856537948976206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B4204-3138-483F-BEE8-3012FCD7C30B}">
  <dimension ref="A1:M71"/>
  <sheetViews>
    <sheetView workbookViewId="0">
      <selection activeCell="AF3" sqref="AF3"/>
    </sheetView>
  </sheetViews>
  <sheetFormatPr defaultRowHeight="14.5"/>
  <cols>
    <col min="1" max="1" width="9.1796875" customWidth="1"/>
    <col min="2" max="2" width="11.08984375" customWidth="1"/>
    <col min="3" max="4" width="9.1796875" customWidth="1"/>
    <col min="5" max="7" width="9.1796875" customWidth="1" style="1"/>
    <col min="8" max="8" width="9.6328125" customWidth="1" style="2"/>
    <col min="9" max="9" width="11.26953125" customWidth="1" style="2"/>
    <col min="10" max="10" width="9.1796875" customWidth="1" style="2"/>
    <col min="11" max="11" width="9.1796875" customWidth="1" style="5"/>
    <col min="12" max="12" width="9.1796875" customWidth="1" style="6"/>
    <col min="13" max="13" width="9.1796875" customWidth="1" style="1"/>
  </cols>
  <sheetData>
    <row r="1">
      <c r="A1" s="0" t="s">
        <v>0</v>
      </c>
      <c r="B1" s="2">
        <f>1167.0521452767</f>
        <v>1167.0521452767</v>
      </c>
      <c r="C1" s="0" t="s">
        <v>1</v>
      </c>
      <c r="E1" s="1" t="s">
        <v>3</v>
      </c>
      <c r="F1" s="1" t="s">
        <v>2</v>
      </c>
      <c r="G1" s="1" t="s">
        <v>4</v>
      </c>
      <c r="H1" s="2" t="s">
        <v>5</v>
      </c>
      <c r="I1" s="2" t="s">
        <v>6</v>
      </c>
      <c r="J1" s="2" t="s">
        <v>7</v>
      </c>
      <c r="K1" s="5" t="s">
        <v>8</v>
      </c>
      <c r="L1" s="6" t="s">
        <v>9</v>
      </c>
      <c r="M1" s="1" t="s">
        <v>10</v>
      </c>
    </row>
    <row r="2">
      <c r="A2" s="0" t="s">
        <v>14</v>
      </c>
      <c r="B2" s="2">
        <f>-724213.16703206</f>
        <v>-724213.16703206</v>
      </c>
      <c r="C2" s="0" t="s">
        <v>1</v>
      </c>
      <c r="E2" s="1" t="s">
        <v>16</v>
      </c>
      <c r="F2" s="1" t="s">
        <v>15</v>
      </c>
      <c r="G2" s="1" t="s">
        <v>1</v>
      </c>
      <c r="H2" s="2" t="s">
        <v>1</v>
      </c>
      <c r="I2" s="2" t="s">
        <v>1</v>
      </c>
      <c r="J2" s="2" t="s">
        <v>1</v>
      </c>
      <c r="K2" s="5" t="s">
        <v>17</v>
      </c>
      <c r="L2" s="6" t="s">
        <v>1</v>
      </c>
      <c r="M2" s="1" t="s">
        <v>18</v>
      </c>
    </row>
    <row r="3">
      <c r="A3" s="0" t="s">
        <v>20</v>
      </c>
      <c r="B3" s="3">
        <f>-17.073846940092</f>
        <v>-17.073846940092</v>
      </c>
      <c r="C3" s="0" t="s">
        <v>1</v>
      </c>
      <c r="E3" s="1">
        <f>32+459.97</f>
        <v>491.97</v>
      </c>
      <c r="F3" s="1">
        <f ref="F3:F34" t="shared" si="0">(E3)-459.67</f>
        <v>32.30000000000001</v>
      </c>
      <c r="G3" s="1">
        <f ref="G3:G34" t="shared" si="1">$B$11*(E3/1)+$B$9/($B$11*(E3/1)-$B$10)</f>
        <v>273.3172996773628</v>
      </c>
      <c r="H3" s="2">
        <f ref="H3:H34" t="shared" si="2">G3*G3+$B$1*G3+$B$2</f>
        <v>-330535.2797994336</v>
      </c>
      <c r="I3" s="2">
        <f ref="I3:I34" t="shared" si="3">$B$3*G3*G3+$B$4*G3+$B$5</f>
        <v>-1222512.1115011561</v>
      </c>
      <c r="J3" s="2">
        <f ref="J3:J34" t="shared" si="4">$B$6*G3*G3+$B$7*G3+$B$8</f>
        <v>201025.0475808804</v>
      </c>
      <c r="K3" s="5">
        <f ref="K3:K34" t="shared" si="5">145.03774*((2*J3)/(-I3+SQRT(I3*I3-4*H3*J3)))^4</f>
        <v>0.08972840010966693</v>
      </c>
      <c r="L3" s="6">
        <f ref="L3:L34" t="shared" si="6">0.621945*K3/($B$12-K3)</f>
        <v>0.003820696433347563</v>
      </c>
      <c r="M3" s="1">
        <f ref="M3:M34" t="shared" si="7">0.24*F3+L3*(1061+0.444*F3)</f>
        <v>11.860552287471691</v>
      </c>
    </row>
    <row r="4">
      <c r="A4" s="0" t="s">
        <v>21</v>
      </c>
      <c r="B4" s="2">
        <f>12020.82470247</f>
        <v>12020.82470247</v>
      </c>
      <c r="C4" s="0" t="s">
        <v>1</v>
      </c>
      <c r="E4" s="1">
        <f>33+459.97</f>
        <v>492.97</v>
      </c>
      <c r="F4" s="1">
        <f t="shared" si="0"/>
        <v>33.30000000000001</v>
      </c>
      <c r="G4" s="1">
        <f t="shared" si="1"/>
        <v>273.8728561674645</v>
      </c>
      <c r="H4" s="2">
        <f t="shared" si="2"/>
        <v>-329582.92136343877</v>
      </c>
      <c r="I4" s="2">
        <f t="shared" si="3"/>
        <v>-1221024.229145798</v>
      </c>
      <c r="J4" s="2">
        <f t="shared" si="4"/>
        <v>202879.5700730328</v>
      </c>
      <c r="K4" s="5">
        <f t="shared" si="5"/>
        <v>0.09341135223960523</v>
      </c>
      <c r="L4" s="6">
        <f t="shared" si="6"/>
        <v>0.003978522224384619</v>
      </c>
      <c r="M4" s="1">
        <f t="shared" si="7"/>
        <v>12.272035326864057</v>
      </c>
    </row>
    <row r="5">
      <c r="A5" s="0" t="s">
        <v>22</v>
      </c>
      <c r="B5" s="2">
        <f>-3232555.0322333</f>
        <v>-3232555.0322333</v>
      </c>
      <c r="C5" s="0" t="s">
        <v>1</v>
      </c>
      <c r="E5" s="1">
        <f>34+459.97</f>
        <v>493.97</v>
      </c>
      <c r="F5" s="1">
        <f t="shared" si="0"/>
        <v>34.30000000000001</v>
      </c>
      <c r="G5" s="1">
        <f t="shared" si="1"/>
        <v>274.4284126603296</v>
      </c>
      <c r="H5" s="2">
        <f t="shared" si="2"/>
        <v>-328629.94563667465</v>
      </c>
      <c r="I5" s="2">
        <f t="shared" si="3"/>
        <v>-1219546.8862302671</v>
      </c>
      <c r="J5" s="2">
        <f t="shared" si="4"/>
        <v>204743.2994626228</v>
      </c>
      <c r="K5" s="5">
        <f t="shared" si="5"/>
        <v>0.09722762010757308</v>
      </c>
      <c r="L5" s="6">
        <f t="shared" si="6"/>
        <v>0.004142145011528025</v>
      </c>
      <c r="M5" s="1">
        <f t="shared" si="7"/>
        <v>12.6898974120408</v>
      </c>
    </row>
    <row r="6">
      <c r="A6" s="0" t="s">
        <v>23</v>
      </c>
      <c r="B6" s="3">
        <f>14.91510861353</f>
        <v>14.91510861353</v>
      </c>
      <c r="C6" s="0" t="s">
        <v>1</v>
      </c>
      <c r="E6" s="1">
        <f>35+459.97</f>
        <v>494.97</v>
      </c>
      <c r="F6" s="1">
        <f t="shared" si="0"/>
        <v>35.30000000000001</v>
      </c>
      <c r="G6" s="1">
        <f t="shared" si="1"/>
        <v>274.98396915597056</v>
      </c>
      <c r="H6" s="2">
        <f t="shared" si="2"/>
        <v>-327676.3526191109</v>
      </c>
      <c r="I6" s="2">
        <f t="shared" si="3"/>
        <v>-1218080.082754688</v>
      </c>
      <c r="J6" s="2">
        <f t="shared" si="4"/>
        <v>206616.23574982985</v>
      </c>
      <c r="K6" s="5">
        <f t="shared" si="5"/>
        <v>0.1011813399706556</v>
      </c>
      <c r="L6" s="6">
        <f t="shared" si="6"/>
        <v>0.004311751310784897</v>
      </c>
      <c r="M6" s="1">
        <f t="shared" si="7"/>
        <v>13.114347081386972</v>
      </c>
    </row>
    <row r="7">
      <c r="A7" s="0" t="s">
        <v>24</v>
      </c>
      <c r="B7" s="2">
        <f>-4823.2657361591</f>
        <v>-4823.2657361591</v>
      </c>
      <c r="C7" s="0" t="s">
        <v>1</v>
      </c>
      <c r="E7" s="1">
        <f>36+459.97</f>
        <v>495.97</v>
      </c>
      <c r="F7" s="1">
        <f t="shared" si="0"/>
        <v>36.30000000000001</v>
      </c>
      <c r="G7" s="1">
        <f t="shared" si="1"/>
        <v>275.5395256543996</v>
      </c>
      <c r="H7" s="2">
        <f t="shared" si="2"/>
        <v>-326722.1423107171</v>
      </c>
      <c r="I7" s="2">
        <f t="shared" si="3"/>
        <v>-1216623.818719187</v>
      </c>
      <c r="J7" s="2">
        <f t="shared" si="4"/>
        <v>208498.37893483305</v>
      </c>
      <c r="K7" s="5">
        <f t="shared" si="5"/>
        <v>0.10527675294998874</v>
      </c>
      <c r="L7" s="6">
        <f t="shared" si="6"/>
        <v>0.004487532866249033</v>
      </c>
      <c r="M7" s="1">
        <f t="shared" si="7"/>
        <v>13.545598835802135</v>
      </c>
    </row>
    <row r="8">
      <c r="A8" s="0" t="s">
        <v>25</v>
      </c>
      <c r="B8" s="2">
        <f>405113.40542057</f>
        <v>405113.40542057</v>
      </c>
      <c r="C8" s="0" t="s">
        <v>1</v>
      </c>
      <c r="E8" s="1">
        <f>37+459.97</f>
        <v>496.97</v>
      </c>
      <c r="F8" s="1">
        <f t="shared" si="0"/>
        <v>37.30000000000001</v>
      </c>
      <c r="G8" s="1">
        <f t="shared" si="1"/>
        <v>276.09508215562926</v>
      </c>
      <c r="H8" s="2">
        <f t="shared" si="2"/>
        <v>-325767.3147114625</v>
      </c>
      <c r="I8" s="2">
        <f t="shared" si="3"/>
        <v>-1215178.0941238909</v>
      </c>
      <c r="J8" s="2">
        <f t="shared" si="4"/>
        <v>210389.72901781445</v>
      </c>
      <c r="K8" s="5">
        <f t="shared" si="5"/>
        <v>0.10951820699947079</v>
      </c>
      <c r="L8" s="6">
        <f t="shared" si="6"/>
        <v>0.0046696867838940575</v>
      </c>
      <c r="M8" s="1">
        <f t="shared" si="7"/>
        <v>13.983873294477023</v>
      </c>
    </row>
    <row r="9">
      <c r="A9" s="0" t="s">
        <v>26</v>
      </c>
      <c r="B9" s="4">
        <f>-0.23855557567849</f>
        <v>-0.23855557567849</v>
      </c>
      <c r="C9" s="0" t="s">
        <v>1</v>
      </c>
      <c r="E9" s="1">
        <f>38+459.97</f>
        <v>497.97</v>
      </c>
      <c r="F9" s="1">
        <f t="shared" si="0"/>
        <v>38.30000000000001</v>
      </c>
      <c r="G9" s="1">
        <f t="shared" si="1"/>
        <v>276.650638659672</v>
      </c>
      <c r="H9" s="2">
        <f t="shared" si="2"/>
        <v>-324811.8698213162</v>
      </c>
      <c r="I9" s="2">
        <f t="shared" si="3"/>
        <v>-1213742.9089689262</v>
      </c>
      <c r="J9" s="2">
        <f t="shared" si="4"/>
        <v>212290.28599895566</v>
      </c>
      <c r="K9" s="5">
        <f t="shared" si="5"/>
        <v>0.1139101588943437</v>
      </c>
      <c r="L9" s="6">
        <f t="shared" si="6"/>
        <v>0.00485841566918853</v>
      </c>
      <c r="M9" s="1">
        <f t="shared" si="7"/>
        <v>14.429397355146717</v>
      </c>
    </row>
    <row r="10">
      <c r="A10" s="0" t="s">
        <v>27</v>
      </c>
      <c r="B10" s="2">
        <f>650.17534844798</f>
        <v>650.17534844798</v>
      </c>
      <c r="C10" s="0" t="s">
        <v>1</v>
      </c>
      <c r="E10" s="1">
        <f>39+459.97</f>
        <v>498.97</v>
      </c>
      <c r="F10" s="1">
        <f t="shared" si="0"/>
        <v>39.30000000000001</v>
      </c>
      <c r="G10" s="1">
        <f t="shared" si="1"/>
        <v>277.2061951665403</v>
      </c>
      <c r="H10" s="2">
        <f t="shared" si="2"/>
        <v>-323855.8076402475</v>
      </c>
      <c r="I10" s="2">
        <f t="shared" si="3"/>
        <v>-1212318.2632544213</v>
      </c>
      <c r="J10" s="2">
        <f t="shared" si="4"/>
        <v>214200.04987843923</v>
      </c>
      <c r="K10" s="5">
        <f t="shared" si="5"/>
        <v>0.11845717623950948</v>
      </c>
      <c r="L10" s="6">
        <f t="shared" si="6"/>
        <v>0.0050539277686907505</v>
      </c>
      <c r="M10" s="1">
        <f t="shared" si="7"/>
        <v>14.882404359002328</v>
      </c>
    </row>
    <row r="11">
      <c r="A11" s="0" t="s">
        <v>28</v>
      </c>
      <c r="B11" s="4">
        <f>0.55555555555556</f>
        <v>0.55555555555556</v>
      </c>
      <c r="C11" s="0" t="s">
        <v>1</v>
      </c>
      <c r="E11" s="1">
        <f>40+459.97</f>
        <v>499.97</v>
      </c>
      <c r="F11" s="1">
        <f t="shared" si="0"/>
        <v>40.30000000000001</v>
      </c>
      <c r="G11" s="1">
        <f t="shared" si="1"/>
        <v>277.7617516762469</v>
      </c>
      <c r="H11" s="2">
        <f t="shared" si="2"/>
        <v>-322899.128168225</v>
      </c>
      <c r="I11" s="2">
        <f t="shared" si="3"/>
        <v>-1210904.1569805047</v>
      </c>
      <c r="J11" s="2">
        <f t="shared" si="4"/>
        <v>216119.02065645</v>
      </c>
      <c r="K11" s="5">
        <f t="shared" si="5"/>
        <v>0.12316393949741916</v>
      </c>
      <c r="L11" s="6">
        <f t="shared" si="6"/>
        <v>0.0052564371157881925</v>
      </c>
      <c r="M11" s="1">
        <f t="shared" si="7"/>
        <v>15.343134260451496</v>
      </c>
    </row>
    <row r="12">
      <c r="A12" s="0" t="s">
        <v>29</v>
      </c>
      <c r="B12" s="3">
        <f>14.696</f>
        <v>14.696</v>
      </c>
      <c r="C12" s="0" t="s">
        <v>17</v>
      </c>
      <c r="E12" s="1">
        <f>41+459.97</f>
        <v>500.97</v>
      </c>
      <c r="F12" s="1">
        <f t="shared" si="0"/>
        <v>41.30000000000001</v>
      </c>
      <c r="G12" s="1">
        <f t="shared" si="1"/>
        <v>278.31730818880453</v>
      </c>
      <c r="H12" s="2">
        <f t="shared" si="2"/>
        <v>-321941.8314052172</v>
      </c>
      <c r="I12" s="2">
        <f t="shared" si="3"/>
        <v>-1209500.590147306</v>
      </c>
      <c r="J12" s="2">
        <f t="shared" si="4"/>
        <v>218047.19833317358</v>
      </c>
      <c r="K12" s="5">
        <f t="shared" si="5"/>
        <v>0.1280352440353567</v>
      </c>
      <c r="L12" s="6">
        <f t="shared" si="6"/>
        <v>0.005466163680754802</v>
      </c>
      <c r="M12" s="1">
        <f t="shared" si="7"/>
        <v>15.811833801927584</v>
      </c>
    </row>
    <row r="13">
      <c r="E13" s="1">
        <f>42+459.97</f>
        <v>501.97</v>
      </c>
      <c r="F13" s="1">
        <f t="shared" si="0"/>
        <v>42.30000000000001</v>
      </c>
      <c r="G13" s="1">
        <f t="shared" si="1"/>
        <v>278.87286470422595</v>
      </c>
      <c r="H13" s="2">
        <f t="shared" si="2"/>
        <v>-320983.9173511927</v>
      </c>
      <c r="I13" s="2">
        <f t="shared" si="3"/>
        <v>-1208107.5627549556</v>
      </c>
      <c r="J13" s="2">
        <f t="shared" si="4"/>
        <v>219984.5829087962</v>
      </c>
      <c r="K13" s="5">
        <f t="shared" si="5"/>
        <v>0.1330760021919578</v>
      </c>
      <c r="L13" s="6">
        <f t="shared" si="6"/>
        <v>0.005683333525309535</v>
      </c>
      <c r="M13" s="1">
        <f t="shared" si="7"/>
        <v>16.288756693958963</v>
      </c>
    </row>
    <row r="14">
      <c r="E14" s="1">
        <f>43+459.97</f>
        <v>502.97</v>
      </c>
      <c r="F14" s="1">
        <f t="shared" si="0"/>
        <v>43.30000000000001</v>
      </c>
      <c r="G14" s="1">
        <f t="shared" si="1"/>
        <v>279.428421222524</v>
      </c>
      <c r="H14" s="2">
        <f t="shared" si="2"/>
        <v>-320025.3860061197</v>
      </c>
      <c r="I14" s="2">
        <f t="shared" si="3"/>
        <v>-1206725.074803585</v>
      </c>
      <c r="J14" s="2">
        <f t="shared" si="4"/>
        <v>221931.1743835053</v>
      </c>
      <c r="K14" s="5">
        <f t="shared" si="5"/>
        <v>0.13829124536277834</v>
      </c>
      <c r="L14" s="6">
        <f t="shared" si="6"/>
        <v>0.00590817896186827</v>
      </c>
      <c r="M14" s="1">
        <f t="shared" si="7"/>
        <v>16.774163800719947</v>
      </c>
    </row>
    <row r="15">
      <c r="E15" s="1">
        <f>44+459.97</f>
        <v>503.97</v>
      </c>
      <c r="F15" s="1">
        <f t="shared" si="0"/>
        <v>44.30000000000001</v>
      </c>
      <c r="G15" s="1">
        <f t="shared" si="1"/>
        <v>279.9839777437117</v>
      </c>
      <c r="H15" s="2">
        <f t="shared" si="2"/>
        <v>-319066.23736996617</v>
      </c>
      <c r="I15" s="2">
        <f t="shared" si="3"/>
        <v>-1205353.1262933256</v>
      </c>
      <c r="J15" s="2">
        <f t="shared" si="4"/>
        <v>223886.9727574897</v>
      </c>
      <c r="K15" s="5">
        <f t="shared" si="5"/>
        <v>0.14368612610472692</v>
      </c>
      <c r="L15" s="6">
        <f t="shared" si="6"/>
        <v>0.006140938717691618</v>
      </c>
      <c r="M15" s="1">
        <f t="shared" si="7"/>
        <v>17.268323331296827</v>
      </c>
    </row>
    <row r="16">
      <c r="E16" s="1">
        <f>45+459.97</f>
        <v>504.97</v>
      </c>
      <c r="F16" s="1">
        <f t="shared" si="0"/>
        <v>45.30000000000001</v>
      </c>
      <c r="G16" s="1">
        <f t="shared" si="1"/>
        <v>280.539534267802</v>
      </c>
      <c r="H16" s="2">
        <f t="shared" si="2"/>
        <v>-318106.4714427001</v>
      </c>
      <c r="I16" s="2">
        <f t="shared" si="3"/>
        <v>-1203991.7172243095</v>
      </c>
      <c r="J16" s="2">
        <f t="shared" si="4"/>
        <v>225851.97803093918</v>
      </c>
      <c r="K16" s="5">
        <f t="shared" si="5"/>
        <v>0.14926592025916352</v>
      </c>
      <c r="L16" s="6">
        <f t="shared" si="6"/>
        <v>0.006381858104141503</v>
      </c>
      <c r="M16" s="1">
        <f t="shared" si="7"/>
        <v>17.771511036914355</v>
      </c>
    </row>
    <row r="17">
      <c r="E17" s="1">
        <f>46+459.97</f>
        <v>505.97</v>
      </c>
      <c r="F17" s="1">
        <f t="shared" si="0"/>
        <v>46.30000000000001</v>
      </c>
      <c r="G17" s="1">
        <f t="shared" si="1"/>
        <v>281.0950907948081</v>
      </c>
      <c r="H17" s="2">
        <f t="shared" si="2"/>
        <v>-317146.08822428907</v>
      </c>
      <c r="I17" s="2">
        <f t="shared" si="3"/>
        <v>-1202640.8475966712</v>
      </c>
      <c r="J17" s="2">
        <f t="shared" si="4"/>
        <v>227826.19020404486</v>
      </c>
      <c r="K17" s="5">
        <f t="shared" si="5"/>
        <v>0.155036029093469</v>
      </c>
      <c r="L17" s="6">
        <f t="shared" si="6"/>
        <v>0.00663118919127108</v>
      </c>
      <c r="M17" s="1">
        <f t="shared" si="7"/>
        <v>18.284010414381413</v>
      </c>
    </row>
    <row r="18">
      <c r="E18" s="1">
        <f>47+459.97</f>
        <v>506.97</v>
      </c>
      <c r="F18" s="1">
        <f t="shared" si="0"/>
        <v>47.30000000000001</v>
      </c>
      <c r="G18" s="1">
        <f t="shared" si="1"/>
        <v>281.6506473247431</v>
      </c>
      <c r="H18" s="2">
        <f t="shared" si="2"/>
        <v>-316185.0877147005</v>
      </c>
      <c r="I18" s="2">
        <f t="shared" si="3"/>
        <v>-1201300.5174105442</v>
      </c>
      <c r="J18" s="2">
        <f t="shared" si="4"/>
        <v>229809.60927699885</v>
      </c>
      <c r="K18" s="5">
        <f t="shared" si="5"/>
        <v>0.16100198146087744</v>
      </c>
      <c r="L18" s="6">
        <f t="shared" si="6"/>
        <v>0.006889190987984028</v>
      </c>
      <c r="M18" s="1">
        <f t="shared" si="7"/>
        <v>18.806112916027907</v>
      </c>
    </row>
    <row r="19">
      <c r="E19" s="1">
        <f>48+459.97</f>
        <v>507.97</v>
      </c>
      <c r="F19" s="1">
        <f t="shared" si="0"/>
        <v>48.30000000000001</v>
      </c>
      <c r="G19" s="1">
        <f t="shared" si="1"/>
        <v>282.2062038576204</v>
      </c>
      <c r="H19" s="2">
        <f t="shared" si="2"/>
        <v>-315223.46991390164</v>
      </c>
      <c r="I19" s="2">
        <f t="shared" si="3"/>
        <v>-1199970.7266660635</v>
      </c>
      <c r="J19" s="2">
        <f t="shared" si="4"/>
        <v>231802.23524999485</v>
      </c>
      <c r="K19" s="5">
        <f t="shared" si="5"/>
        <v>0.16716943597835476</v>
      </c>
      <c r="L19" s="6">
        <f t="shared" si="6"/>
        <v>0.007156129628011742</v>
      </c>
      <c r="M19" s="1">
        <f t="shared" si="7"/>
        <v>19.3381181664191</v>
      </c>
    </row>
    <row r="20">
      <c r="E20" s="1">
        <f>49+459.97</f>
        <v>508.97</v>
      </c>
      <c r="F20" s="1">
        <f t="shared" si="0"/>
        <v>49.30000000000001</v>
      </c>
      <c r="G20" s="1">
        <f t="shared" si="1"/>
        <v>282.76176039345313</v>
      </c>
      <c r="H20" s="2">
        <f t="shared" si="2"/>
        <v>-314261.2348218597</v>
      </c>
      <c r="I20" s="2">
        <f t="shared" si="3"/>
        <v>-1198651.4753633656</v>
      </c>
      <c r="J20" s="2">
        <f t="shared" si="4"/>
        <v>233804.06812322658</v>
      </c>
      <c r="K20" s="5">
        <f t="shared" si="5"/>
        <v>0.17354418322230258</v>
      </c>
      <c r="L20" s="6">
        <f t="shared" si="6"/>
        <v>0.007432278561970108</v>
      </c>
      <c r="M20" s="1">
        <f t="shared" si="7"/>
        <v>19.880334186148964</v>
      </c>
    </row>
    <row r="21">
      <c r="E21" s="1">
        <f>50+459.97</f>
        <v>509.97</v>
      </c>
      <c r="F21" s="1">
        <f t="shared" si="0"/>
        <v>50.30000000000001</v>
      </c>
      <c r="G21" s="1">
        <f t="shared" si="1"/>
        <v>283.3173169322549</v>
      </c>
      <c r="H21" s="2">
        <f t="shared" si="2"/>
        <v>-313298.3824385414</v>
      </c>
      <c r="I21" s="2">
        <f t="shared" si="3"/>
        <v>-1197342.763502587</v>
      </c>
      <c r="J21" s="2">
        <f t="shared" si="4"/>
        <v>235815.10789689008</v>
      </c>
      <c r="K21" s="5">
        <f t="shared" si="5"/>
        <v>0.18013214794187418</v>
      </c>
      <c r="L21" s="6">
        <f t="shared" si="6"/>
        <v>0.007717918755772118</v>
      </c>
      <c r="M21" s="1">
        <f t="shared" si="7"/>
        <v>20.43307762303063</v>
      </c>
    </row>
    <row r="22">
      <c r="E22" s="1">
        <f>51+459.97</f>
        <v>510.97</v>
      </c>
      <c r="F22" s="1">
        <f t="shared" si="0"/>
        <v>51.30000000000001</v>
      </c>
      <c r="G22" s="1">
        <f t="shared" si="1"/>
        <v>283.87287347403924</v>
      </c>
      <c r="H22" s="2">
        <f t="shared" si="2"/>
        <v>-312334.91276391334</v>
      </c>
      <c r="I22" s="2">
        <f t="shared" si="3"/>
        <v>-1196044.5910838654</v>
      </c>
      <c r="J22" s="2">
        <f t="shared" si="4"/>
        <v>237835.35457118257</v>
      </c>
      <c r="K22" s="5">
        <f t="shared" si="5"/>
        <v>0.1869393912896487</v>
      </c>
      <c r="L22" s="6">
        <f t="shared" si="6"/>
        <v>0.008013338895685746</v>
      </c>
      <c r="M22" s="1">
        <f t="shared" si="7"/>
        <v>20.996673991017392</v>
      </c>
    </row>
    <row r="23">
      <c r="E23" s="1">
        <f>52+459.97</f>
        <v>511.97</v>
      </c>
      <c r="F23" s="1">
        <f t="shared" si="0"/>
        <v>52.30000000000001</v>
      </c>
      <c r="G23" s="1">
        <f t="shared" si="1"/>
        <v>284.42843001881954</v>
      </c>
      <c r="H23" s="2">
        <f t="shared" si="2"/>
        <v>-311370.8257979424</v>
      </c>
      <c r="I23" s="2">
        <f t="shared" si="3"/>
        <v>-1194756.9581073385</v>
      </c>
      <c r="J23" s="2">
        <f t="shared" si="4"/>
        <v>239864.80814630102</v>
      </c>
      <c r="K23" s="5">
        <f t="shared" si="5"/>
        <v>0.19397211306943385</v>
      </c>
      <c r="L23" s="6">
        <f t="shared" si="6"/>
        <v>0.00831883560034328</v>
      </c>
      <c r="M23" s="1">
        <f t="shared" si="7"/>
        <v>21.571457917206914</v>
      </c>
    </row>
    <row r="24">
      <c r="E24" s="1">
        <f>53+459.97</f>
        <v>512.97</v>
      </c>
      <c r="F24" s="1">
        <f t="shared" si="0"/>
        <v>53.30000000000001</v>
      </c>
      <c r="G24" s="1">
        <f t="shared" si="1"/>
        <v>284.98398656660964</v>
      </c>
      <c r="H24" s="2">
        <f t="shared" si="2"/>
        <v>-310406.1215405944</v>
      </c>
      <c r="I24" s="2">
        <f t="shared" si="3"/>
        <v>-1193479.864573146</v>
      </c>
      <c r="J24" s="2">
        <f t="shared" si="4"/>
        <v>241903.46862244565</v>
      </c>
      <c r="K24" s="5">
        <f t="shared" si="5"/>
        <v>0.20123665400096918</v>
      </c>
      <c r="L24" s="6">
        <f t="shared" si="6"/>
        <v>0.008634713640025037</v>
      </c>
      <c r="M24" s="1">
        <f t="shared" si="7"/>
        <v>22.157773397300485</v>
      </c>
    </row>
    <row r="25">
      <c r="E25" s="1">
        <f>54+459.97</f>
        <v>513.97</v>
      </c>
      <c r="F25" s="1">
        <f t="shared" si="0"/>
        <v>54.30000000000001</v>
      </c>
      <c r="G25" s="1">
        <f t="shared" si="1"/>
        <v>285.5395431174233</v>
      </c>
      <c r="H25" s="2">
        <f t="shared" si="2"/>
        <v>-309440.7999918355</v>
      </c>
      <c r="I25" s="2">
        <f t="shared" si="3"/>
        <v>-1192213.3104814277</v>
      </c>
      <c r="J25" s="2">
        <f t="shared" si="4"/>
        <v>243951.33599981718</v>
      </c>
      <c r="K25" s="5">
        <f t="shared" si="5"/>
        <v>0.20873949800124153</v>
      </c>
      <c r="L25" s="6">
        <f t="shared" si="6"/>
        <v>0.008961286163555264</v>
      </c>
      <c r="M25" s="1">
        <f t="shared" si="7"/>
        <v>22.755974059906524</v>
      </c>
    </row>
    <row r="26">
      <c r="E26" s="1">
        <f>55+459.97</f>
        <v>514.97</v>
      </c>
      <c r="F26" s="1">
        <f t="shared" si="0"/>
        <v>55.30000000000001</v>
      </c>
      <c r="G26" s="1">
        <f t="shared" si="1"/>
        <v>286.0950996712742</v>
      </c>
      <c r="H26" s="2">
        <f t="shared" si="2"/>
        <v>-308474.86115163175</v>
      </c>
      <c r="I26" s="2">
        <f t="shared" si="3"/>
        <v>-1190957.2958323255</v>
      </c>
      <c r="J26" s="2">
        <f t="shared" si="4"/>
        <v>246008.4102786163</v>
      </c>
      <c r="K26" s="5">
        <f t="shared" si="5"/>
        <v>0.21648727448218408</v>
      </c>
      <c r="L26" s="6">
        <f t="shared" si="6"/>
        <v>0.009298874933169193</v>
      </c>
      <c r="M26" s="1">
        <f t="shared" si="7"/>
        <v>23.366423440101606</v>
      </c>
    </row>
    <row r="27">
      <c r="E27" s="1">
        <f>56+459.97</f>
        <v>515.97</v>
      </c>
      <c r="F27" s="1">
        <f t="shared" si="0"/>
        <v>56.30000000000001</v>
      </c>
      <c r="G27" s="1">
        <f t="shared" si="1"/>
        <v>286.6506562281765</v>
      </c>
      <c r="H27" s="2">
        <f t="shared" si="2"/>
        <v>-307508.3050199485</v>
      </c>
      <c r="I27" s="2">
        <f t="shared" si="3"/>
        <v>-1189711.8206259795</v>
      </c>
      <c r="J27" s="2">
        <f t="shared" si="4"/>
        <v>248074.6914590465</v>
      </c>
      <c r="K27" s="5">
        <f t="shared" si="5"/>
        <v>0.2244867606645006</v>
      </c>
      <c r="L27" s="6">
        <f t="shared" si="6"/>
        <v>0.009647810567728423</v>
      </c>
      <c r="M27" s="1">
        <f t="shared" si="7"/>
        <v>23.98949526268348</v>
      </c>
    </row>
    <row r="28">
      <c r="E28" s="1">
        <f>57+459.97</f>
        <v>516.97</v>
      </c>
      <c r="F28" s="1">
        <f t="shared" si="0"/>
        <v>57.30000000000001</v>
      </c>
      <c r="G28" s="1">
        <f t="shared" si="1"/>
        <v>287.20621278814406</v>
      </c>
      <c r="H28" s="2">
        <f t="shared" si="2"/>
        <v>-306541.1315967514</v>
      </c>
      <c r="I28" s="2">
        <f t="shared" si="3"/>
        <v>-1188476.8848625335</v>
      </c>
      <c r="J28" s="2">
        <f t="shared" si="4"/>
        <v>250150.17954131175</v>
      </c>
      <c r="K28" s="5">
        <f t="shared" si="5"/>
        <v>0.23274488390731046</v>
      </c>
      <c r="L28" s="6">
        <f t="shared" si="6"/>
        <v>0.010008432794680474</v>
      </c>
      <c r="M28" s="1">
        <f t="shared" si="7"/>
        <v>24.62557373557201</v>
      </c>
    </row>
    <row r="29">
      <c r="E29" s="1">
        <f>58+459.97</f>
        <v>517.97</v>
      </c>
      <c r="F29" s="1">
        <f t="shared" si="0"/>
        <v>58.30000000000001</v>
      </c>
      <c r="G29" s="1">
        <f t="shared" si="1"/>
        <v>287.761769351191</v>
      </c>
      <c r="H29" s="2">
        <f t="shared" si="2"/>
        <v>-305573.3408820055</v>
      </c>
      <c r="I29" s="2">
        <f t="shared" si="3"/>
        <v>-1187252.4885421307</v>
      </c>
      <c r="J29" s="2">
        <f t="shared" si="4"/>
        <v>252234.87452561763</v>
      </c>
      <c r="K29" s="5">
        <f t="shared" si="5"/>
        <v>0.24126872405338323</v>
      </c>
      <c r="L29" s="6">
        <f t="shared" si="6"/>
        <v>0.010381090711183387</v>
      </c>
      <c r="M29" s="1">
        <f t="shared" si="7"/>
        <v>25.2750538538427</v>
      </c>
    </row>
    <row r="30">
      <c r="E30" s="1">
        <f>59+459.97</f>
        <v>518.97</v>
      </c>
      <c r="F30" s="1">
        <f t="shared" si="0"/>
        <v>59.30000000000001</v>
      </c>
      <c r="G30" s="1">
        <f t="shared" si="1"/>
        <v>288.31732591733146</v>
      </c>
      <c r="H30" s="2">
        <f t="shared" si="2"/>
        <v>-304604.9328756761</v>
      </c>
      <c r="I30" s="2">
        <f t="shared" si="3"/>
        <v>-1186038.6316649157</v>
      </c>
      <c r="J30" s="2">
        <f t="shared" si="4"/>
        <v>254328.77641217067</v>
      </c>
      <c r="K30" s="5">
        <f t="shared" si="5"/>
        <v>0.25006551578964736</v>
      </c>
      <c r="L30" s="6">
        <f t="shared" si="6"/>
        <v>0.010766143054835657</v>
      </c>
      <c r="M30" s="1">
        <f t="shared" si="7"/>
        <v>25.938341714900012</v>
      </c>
    </row>
    <row r="31">
      <c r="E31" s="1">
        <f>60+459.97</f>
        <v>519.97</v>
      </c>
      <c r="F31" s="1">
        <f t="shared" si="0"/>
        <v>60.30000000000001</v>
      </c>
      <c r="G31" s="1">
        <f t="shared" si="1"/>
        <v>288.8728824865798</v>
      </c>
      <c r="H31" s="2">
        <f t="shared" si="2"/>
        <v>-303635.9075777277</v>
      </c>
      <c r="I31" s="2">
        <f t="shared" si="3"/>
        <v>-1184835.3142310337</v>
      </c>
      <c r="J31" s="2">
        <f t="shared" si="4"/>
        <v>256431.88520117878</v>
      </c>
      <c r="K31" s="5">
        <f t="shared" si="5"/>
        <v>0.2591426510227116</v>
      </c>
      <c r="L31" s="6">
        <f t="shared" si="6"/>
        <v>0.011163958484478471</v>
      </c>
      <c r="M31" s="1">
        <f t="shared" si="7"/>
        <v>26.6158548453283</v>
      </c>
    </row>
    <row r="32">
      <c r="E32" s="1">
        <f>61+459.97</f>
        <v>520.97</v>
      </c>
      <c r="F32" s="1">
        <f t="shared" si="0"/>
        <v>61.30000000000001</v>
      </c>
      <c r="G32" s="1">
        <f t="shared" si="1"/>
        <v>289.42843905895035</v>
      </c>
      <c r="H32" s="2">
        <f t="shared" si="2"/>
        <v>-302666.26498812484</v>
      </c>
      <c r="I32" s="2">
        <f t="shared" si="3"/>
        <v>-1183642.5362406308</v>
      </c>
      <c r="J32" s="2">
        <f t="shared" si="4"/>
        <v>258544.20089285128</v>
      </c>
      <c r="K32" s="5">
        <f t="shared" si="5"/>
        <v>0.26850768126909524</v>
      </c>
      <c r="L32" s="6">
        <f t="shared" si="6"/>
        <v>0.011574915871561325</v>
      </c>
      <c r="M32" s="1">
        <f t="shared" si="7"/>
        <v>27.308022539986027</v>
      </c>
    </row>
    <row r="33">
      <c r="E33" s="1">
        <f>62+459.97</f>
        <v>521.97</v>
      </c>
      <c r="F33" s="1">
        <f t="shared" si="0"/>
        <v>62.30000000000001</v>
      </c>
      <c r="G33" s="1">
        <f t="shared" si="1"/>
        <v>289.9839956344575</v>
      </c>
      <c r="H33" s="2">
        <f t="shared" si="2"/>
        <v>-301696.00510683213</v>
      </c>
      <c r="I33" s="2">
        <f t="shared" si="3"/>
        <v>-1182460.2976938537</v>
      </c>
      <c r="J33" s="2">
        <f t="shared" si="4"/>
        <v>260665.72348739888</v>
      </c>
      <c r="K33" s="5">
        <f t="shared" si="5"/>
        <v>0.2781683200598737</v>
      </c>
      <c r="L33" s="6">
        <f t="shared" si="6"/>
        <v>0.01199940460258977</v>
      </c>
      <c r="M33" s="1">
        <f t="shared" si="7"/>
        <v>28.015286213940904</v>
      </c>
    </row>
    <row r="34">
      <c r="E34" s="1">
        <f>63+459.97</f>
        <v>522.97</v>
      </c>
      <c r="F34" s="1">
        <f t="shared" si="0"/>
        <v>63.30000000000001</v>
      </c>
      <c r="G34" s="1">
        <f t="shared" si="1"/>
        <v>290.5395522131158</v>
      </c>
      <c r="H34" s="2">
        <f t="shared" si="2"/>
        <v>-300725.12793381355</v>
      </c>
      <c r="I34" s="2">
        <f t="shared" si="3"/>
        <v>-1181288.5985908515</v>
      </c>
      <c r="J34" s="2">
        <f t="shared" si="4"/>
        <v>262796.4529850325</v>
      </c>
      <c r="K34" s="5">
        <f t="shared" si="5"/>
        <v>0.2881324453594348</v>
      </c>
      <c r="L34" s="6">
        <f t="shared" si="6"/>
        <v>0.012437824893202543</v>
      </c>
      <c r="M34" s="1">
        <f t="shared" si="7"/>
        <v>28.738099767876335</v>
      </c>
    </row>
    <row r="35">
      <c r="E35" s="1">
        <f>64+459.97</f>
        <v>523.97</v>
      </c>
      <c r="F35" s="1">
        <f ref="F35:F66" t="shared" si="8">(E35)-459.67</f>
        <v>64.30000000000001</v>
      </c>
      <c r="G35" s="1">
        <f ref="G35:G71" t="shared" si="9">$B$11*(E35/1)+$B$9/($B$11*(E35/1)-$B$10)</f>
        <v>291.09510879494</v>
      </c>
      <c r="H35" s="2">
        <f ref="H35:H66" t="shared" si="10">G35*G35+$B$1*G35+$B$2</f>
        <v>-299753.6334690329</v>
      </c>
      <c r="I35" s="2">
        <f ref="I35:I71" t="shared" si="11">$B$3*G35*G35+$B$4*G35+$B$5</f>
        <v>-1180127.438931772</v>
      </c>
      <c r="J35" s="2">
        <f ref="J35:J71" t="shared" si="12">$B$6*G35*G35+$B$7*G35+$B$8</f>
        <v>264936.3893859669</v>
      </c>
      <c r="K35" s="5">
        <f ref="K35:K66" t="shared" si="13">145.03774*((2*J35)/(-I35+SQRT(I35*I35-4*H35*J35)))^4</f>
        <v>0.29840810199806383</v>
      </c>
      <c r="L35" s="6">
        <f ref="L35:L66" t="shared" si="14">0.621945*K35/($B$12-K35)</f>
        <v>0.012890588114456977</v>
      </c>
      <c r="M35" s="1">
        <f ref="M35:M66" t="shared" si="15">0.24*F35+L35*(1061+0.444*F35)</f>
        <v>29.47692996763611</v>
      </c>
    </row>
    <row r="36">
      <c r="E36" s="1">
        <f>65+459.97</f>
        <v>524.97</v>
      </c>
      <c r="F36" s="1">
        <f t="shared" si="8"/>
        <v>65.30000000000001</v>
      </c>
      <c r="G36" s="1">
        <f t="shared" si="9"/>
        <v>291.6506653799447</v>
      </c>
      <c r="H36" s="2">
        <f t="shared" si="10"/>
        <v>-298781.52171245404</v>
      </c>
      <c r="I36" s="2">
        <f t="shared" si="11"/>
        <v>-1178976.8187167654</v>
      </c>
      <c r="J36" s="2">
        <f t="shared" si="12"/>
        <v>267085.5326904152</v>
      </c>
      <c r="K36" s="5">
        <f t="shared" si="13"/>
        <v>0.30900350411798877</v>
      </c>
      <c r="L36" s="6">
        <f t="shared" si="14"/>
        <v>0.013358117131930289</v>
      </c>
      <c r="M36" s="1">
        <f t="shared" si="15"/>
        <v>30.23225683860752</v>
      </c>
    </row>
    <row r="37">
      <c r="E37" s="1">
        <f>66+459.97</f>
        <v>525.97</v>
      </c>
      <c r="F37" s="1">
        <f t="shared" si="8"/>
        <v>66.30000000000001</v>
      </c>
      <c r="G37" s="1">
        <f t="shared" si="9"/>
        <v>292.2062219681447</v>
      </c>
      <c r="H37" s="2">
        <f t="shared" si="10"/>
        <v>-297808.79266404046</v>
      </c>
      <c r="I37" s="2">
        <f t="shared" si="11"/>
        <v>-1177836.7379459827</v>
      </c>
      <c r="J37" s="2">
        <f t="shared" si="12"/>
        <v>269243.88289859315</v>
      </c>
      <c r="K37" s="5">
        <f t="shared" si="13"/>
        <v>0.3199270376326431</v>
      </c>
      <c r="L37" s="6">
        <f t="shared" si="14"/>
        <v>0.013840846658284348</v>
      </c>
      <c r="M37" s="1">
        <f t="shared" si="15"/>
        <v>31.004574075688943</v>
      </c>
    </row>
    <row r="38">
      <c r="E38" s="1">
        <f>67+459.97</f>
        <v>526.97</v>
      </c>
      <c r="F38" s="1">
        <f t="shared" si="8"/>
        <v>67.30000000000001</v>
      </c>
      <c r="G38" s="1">
        <f t="shared" si="9"/>
        <v>292.761778559555</v>
      </c>
      <c r="H38" s="2">
        <f t="shared" si="10"/>
        <v>-296835.4463237552</v>
      </c>
      <c r="I38" s="2">
        <f t="shared" si="11"/>
        <v>-1176707.1966195756</v>
      </c>
      <c r="J38" s="2">
        <f t="shared" si="12"/>
        <v>271411.44001071906</v>
      </c>
      <c r="K38" s="5">
        <f t="shared" si="13"/>
        <v>0.3311872626987805</v>
      </c>
      <c r="L38" s="6">
        <f t="shared" si="14"/>
        <v>0.01433922361997261</v>
      </c>
      <c r="M38" s="1">
        <f t="shared" si="15"/>
        <v>31.794389469624065</v>
      </c>
    </row>
    <row r="39">
      <c r="E39" s="1">
        <f>68+459.97</f>
        <v>527.97</v>
      </c>
      <c r="F39" s="1">
        <f t="shared" si="8"/>
        <v>68.30000000000001</v>
      </c>
      <c r="G39" s="1">
        <f t="shared" si="9"/>
        <v>293.31733515419046</v>
      </c>
      <c r="H39" s="2">
        <f t="shared" si="10"/>
        <v>-295861.4826915615</v>
      </c>
      <c r="I39" s="2">
        <f t="shared" si="11"/>
        <v>-1175588.194737696</v>
      </c>
      <c r="J39" s="2">
        <f t="shared" si="12"/>
        <v>273588.2040270102</v>
      </c>
      <c r="K39" s="5">
        <f t="shared" si="13"/>
        <v>0.3427929162011009</v>
      </c>
      <c r="L39" s="6">
        <f t="shared" si="14"/>
        <v>0.014853707538807832</v>
      </c>
      <c r="M39" s="1">
        <f t="shared" si="15"/>
        <v>32.60222535053097</v>
      </c>
    </row>
    <row r="40">
      <c r="E40" s="1">
        <f>69+459.97</f>
        <v>528.97</v>
      </c>
      <c r="F40" s="1">
        <f t="shared" si="8"/>
        <v>69.30000000000001</v>
      </c>
      <c r="G40" s="1">
        <f t="shared" si="9"/>
        <v>293.8728917520662</v>
      </c>
      <c r="H40" s="2">
        <f t="shared" si="10"/>
        <v>-294886.90176742204</v>
      </c>
      <c r="I40" s="2">
        <f t="shared" si="11"/>
        <v>-1174479.7323004988</v>
      </c>
      <c r="J40" s="2">
        <f t="shared" si="12"/>
        <v>275774.1749476863</v>
      </c>
      <c r="K40" s="5">
        <f t="shared" si="13"/>
        <v>0.354752914249118</v>
      </c>
      <c r="L40" s="6">
        <f t="shared" si="14"/>
        <v>0.01538477092915351</v>
      </c>
      <c r="M40" s="1">
        <f t="shared" si="15"/>
        <v>33.42861904950519</v>
      </c>
    </row>
    <row r="41">
      <c r="E41" s="1">
        <f>70+459.97</f>
        <v>529.97</v>
      </c>
      <c r="F41" s="1">
        <f t="shared" si="8"/>
        <v>70.30000000000001</v>
      </c>
      <c r="G41" s="1">
        <f t="shared" si="9"/>
        <v>294.4284483531975</v>
      </c>
      <c r="H41" s="2">
        <f t="shared" si="10"/>
        <v>-293911.7035512993</v>
      </c>
      <c r="I41" s="2">
        <f t="shared" si="11"/>
        <v>-1173381.809308137</v>
      </c>
      <c r="J41" s="2">
        <f t="shared" si="12"/>
        <v>277969.35277297004</v>
      </c>
      <c r="K41" s="5">
        <f t="shared" si="13"/>
        <v>0.3670763546858923</v>
      </c>
      <c r="L41" s="6">
        <f t="shared" si="14"/>
        <v>0.015932899711540938</v>
      </c>
      <c r="M41" s="1">
        <f t="shared" si="15"/>
        <v>34.27412337922121</v>
      </c>
    </row>
    <row r="42">
      <c r="E42" s="1">
        <f>71+459.97</f>
        <v>530.97</v>
      </c>
      <c r="F42" s="1">
        <f t="shared" si="8"/>
        <v>71.30000000000001</v>
      </c>
      <c r="G42" s="1">
        <f t="shared" si="9"/>
        <v>294.9840049575996</v>
      </c>
      <c r="H42" s="2">
        <f t="shared" si="10"/>
        <v>-292935.8880431555</v>
      </c>
      <c r="I42" s="2">
        <f t="shared" si="11"/>
        <v>-1172294.4257607677</v>
      </c>
      <c r="J42" s="2">
        <f t="shared" si="12"/>
        <v>280173.7375030828</v>
      </c>
      <c r="K42" s="5">
        <f t="shared" si="13"/>
        <v>0.37977251960826647</v>
      </c>
      <c r="L42" s="6">
        <f t="shared" si="14"/>
        <v>0.016498593643560926</v>
      </c>
      <c r="M42" s="1">
        <f t="shared" si="15"/>
        <v>35.139307134511085</v>
      </c>
    </row>
    <row r="43">
      <c r="E43" s="1">
        <f>72+459.97</f>
        <v>531.97</v>
      </c>
      <c r="F43" s="1">
        <f t="shared" si="8"/>
        <v>72.30000000000001</v>
      </c>
      <c r="G43" s="1">
        <f t="shared" si="9"/>
        <v>295.5395615652878</v>
      </c>
      <c r="H43" s="2">
        <f t="shared" si="10"/>
        <v>-291959.455242953</v>
      </c>
      <c r="I43" s="2">
        <f t="shared" si="11"/>
        <v>-1171217.5816585463</v>
      </c>
      <c r="J43" s="2">
        <f t="shared" si="12"/>
        <v>282387.329138249</v>
      </c>
      <c r="K43" s="5">
        <f t="shared" si="13"/>
        <v>0.39285087789834744</v>
      </c>
      <c r="L43" s="6">
        <f t="shared" si="14"/>
        <v>0.017082366768933363</v>
      </c>
      <c r="M43" s="1">
        <f t="shared" si="15"/>
        <v>36.02475561396118</v>
      </c>
    </row>
    <row r="44">
      <c r="E44" s="1">
        <f>73+459.97</f>
        <v>532.97</v>
      </c>
      <c r="F44" s="1">
        <f t="shared" si="8"/>
        <v>73.30000000000001</v>
      </c>
      <c r="G44" s="1">
        <f t="shared" si="9"/>
        <v>296.09511817627754</v>
      </c>
      <c r="H44" s="2">
        <f t="shared" si="10"/>
        <v>-290982.4051506535</v>
      </c>
      <c r="I44" s="2">
        <f t="shared" si="11"/>
        <v>-1170151.277001631</v>
      </c>
      <c r="J44" s="2">
        <f t="shared" si="12"/>
        <v>284610.1276786931</v>
      </c>
      <c r="K44" s="5">
        <f t="shared" si="13"/>
        <v>0.40632108776579173</v>
      </c>
      <c r="L44" s="6">
        <f t="shared" si="14"/>
        <v>0.017684747885702068</v>
      </c>
      <c r="M44" s="1">
        <f t="shared" si="15"/>
        <v>36.93107116361965</v>
      </c>
    </row>
    <row r="45">
      <c r="E45" s="1">
        <f>74+459.97</f>
        <v>533.97</v>
      </c>
      <c r="F45" s="1">
        <f t="shared" si="8"/>
        <v>74.30000000000001</v>
      </c>
      <c r="G45" s="1">
        <f t="shared" si="9"/>
        <v>296.65067479058456</v>
      </c>
      <c r="H45" s="2">
        <f t="shared" si="10"/>
        <v>-290004.73776621843</v>
      </c>
      <c r="I45" s="2">
        <f t="shared" si="11"/>
        <v>-1169095.5117901794</v>
      </c>
      <c r="J45" s="2">
        <f t="shared" si="12"/>
        <v>286842.13312464353</v>
      </c>
      <c r="K45" s="5">
        <f t="shared" si="13"/>
        <v>0.4201929993006337</v>
      </c>
      <c r="L45" s="6">
        <f t="shared" si="14"/>
        <v>0.01830628103456637</v>
      </c>
      <c r="M45" s="1">
        <f t="shared" si="15"/>
        <v>37.85887374398044</v>
      </c>
    </row>
    <row r="46">
      <c r="E46" s="1">
        <f>75+459.97</f>
        <v>534.97</v>
      </c>
      <c r="F46" s="1">
        <f t="shared" si="8"/>
        <v>75.30000000000001</v>
      </c>
      <c r="G46" s="1">
        <f t="shared" si="9"/>
        <v>297.20623140822437</v>
      </c>
      <c r="H46" s="2">
        <f t="shared" si="10"/>
        <v>-289026.4530896094</v>
      </c>
      <c r="I46" s="2">
        <f t="shared" si="11"/>
        <v>-1168050.2860243516</v>
      </c>
      <c r="J46" s="2">
        <f t="shared" si="12"/>
        <v>289083.3454763273</v>
      </c>
      <c r="K46" s="5">
        <f t="shared" si="13"/>
        <v>0.4344766570362063</v>
      </c>
      <c r="L46" s="6">
        <f t="shared" si="14"/>
        <v>0.018947526008412142</v>
      </c>
      <c r="M46" s="1">
        <f t="shared" si="15"/>
        <v>38.80880152146973</v>
      </c>
    </row>
    <row r="47">
      <c r="E47" s="1">
        <f>76+459.97</f>
        <v>535.97</v>
      </c>
      <c r="F47" s="1">
        <f t="shared" si="8"/>
        <v>76.30000000000001</v>
      </c>
      <c r="G47" s="1">
        <f t="shared" si="9"/>
        <v>297.7617880292127</v>
      </c>
      <c r="H47" s="2">
        <f t="shared" si="10"/>
        <v>-288047.55112078745</v>
      </c>
      <c r="I47" s="2">
        <f t="shared" si="11"/>
        <v>-1167015.5997043082</v>
      </c>
      <c r="J47" s="2">
        <f t="shared" si="12"/>
        <v>291333.7647339742</v>
      </c>
      <c r="K47" s="5">
        <f t="shared" si="13"/>
        <v>0.4491823025219071</v>
      </c>
      <c r="L47" s="6">
        <f t="shared" si="14"/>
        <v>0.01960905888417732</v>
      </c>
      <c r="M47" s="1">
        <f t="shared" si="15"/>
        <v>39.78151148574319</v>
      </c>
    </row>
    <row r="48">
      <c r="E48" s="1">
        <f>77+459.97</f>
        <v>536.97</v>
      </c>
      <c r="F48" s="1">
        <f t="shared" si="8"/>
        <v>77.30000000000001</v>
      </c>
      <c r="G48" s="1">
        <f t="shared" si="9"/>
        <v>298.3173446535656</v>
      </c>
      <c r="H48" s="2">
        <f t="shared" si="10"/>
        <v>-287068.0318597133</v>
      </c>
      <c r="I48" s="2">
        <f t="shared" si="11"/>
        <v>-1165991.4528302106</v>
      </c>
      <c r="J48" s="2">
        <f t="shared" si="12"/>
        <v>293593.3908978161</v>
      </c>
      <c r="K48" s="5">
        <f t="shared" si="13"/>
        <v>0.4643203769053734</v>
      </c>
      <c r="L48" s="6">
        <f t="shared" si="14"/>
        <v>0.020291472578246383</v>
      </c>
      <c r="M48" s="1">
        <f t="shared" si="15"/>
        <v>40.77768009417193</v>
      </c>
    </row>
    <row r="49">
      <c r="E49" s="1">
        <f>78+459.97</f>
        <v>537.97</v>
      </c>
      <c r="F49" s="1">
        <f t="shared" si="8"/>
        <v>78.30000000000001</v>
      </c>
      <c r="G49" s="1">
        <f t="shared" si="9"/>
        <v>298.8729012812989</v>
      </c>
      <c r="H49" s="2">
        <f t="shared" si="10"/>
        <v>-286087.8953063477</v>
      </c>
      <c r="I49" s="2">
        <f t="shared" si="11"/>
        <v>-1164977.8454022205</v>
      </c>
      <c r="J49" s="2">
        <f t="shared" si="12"/>
        <v>295862.2239680847</v>
      </c>
      <c r="K49" s="5">
        <f t="shared" si="13"/>
        <v>0.4799015235237119</v>
      </c>
      <c r="L49" s="6">
        <f t="shared" si="14"/>
        <v>0.020995377426643758</v>
      </c>
      <c r="M49" s="1">
        <f t="shared" si="15"/>
        <v>41.79800394498179</v>
      </c>
    </row>
    <row r="50">
      <c r="E50" s="1">
        <f>79+459.97</f>
        <v>538.97</v>
      </c>
      <c r="F50" s="1">
        <f t="shared" si="8"/>
        <v>79.30000000000001</v>
      </c>
      <c r="G50" s="1">
        <f t="shared" si="9"/>
        <v>299.42845791242866</v>
      </c>
      <c r="H50" s="2">
        <f t="shared" si="10"/>
        <v>-285107.141460651</v>
      </c>
      <c r="I50" s="2">
        <f t="shared" si="11"/>
        <v>-1163974.7774205026</v>
      </c>
      <c r="J50" s="2">
        <f t="shared" si="12"/>
        <v>298140.263945015</v>
      </c>
      <c r="K50" s="5">
        <f t="shared" si="13"/>
        <v>0.49593659050346844</v>
      </c>
      <c r="L50" s="6">
        <f t="shared" si="14"/>
        <v>0.02172140179137522</v>
      </c>
      <c r="M50" s="1">
        <f t="shared" si="15"/>
        <v>42.843200480602</v>
      </c>
    </row>
    <row r="51">
      <c r="E51" s="1">
        <f>80+459.97</f>
        <v>539.97</v>
      </c>
      <c r="F51" s="1">
        <f t="shared" si="8"/>
        <v>80.30000000000001</v>
      </c>
      <c r="G51" s="1">
        <f t="shared" si="9"/>
        <v>299.9840145469711</v>
      </c>
      <c r="H51" s="2">
        <f t="shared" si="10"/>
        <v>-284125.77032258327</v>
      </c>
      <c r="I51" s="2">
        <f t="shared" si="11"/>
        <v>-1162982.248885221</v>
      </c>
      <c r="J51" s="2">
        <f t="shared" si="12"/>
        <v>300427.51082884154</v>
      </c>
      <c r="K51" s="5">
        <f t="shared" si="13"/>
        <v>0.5124366333688987</v>
      </c>
      <c r="L51" s="6">
        <f t="shared" si="14"/>
        <v>0.022470192694342608</v>
      </c>
      <c r="M51" s="1">
        <f t="shared" si="15"/>
        <v>43.91400872286744</v>
      </c>
    </row>
    <row r="52">
      <c r="E52" s="1">
        <f>81+459.97</f>
        <v>540.97</v>
      </c>
      <c r="F52" s="1">
        <f t="shared" si="8"/>
        <v>81.30000000000001</v>
      </c>
      <c r="G52" s="1">
        <f t="shared" si="9"/>
        <v>300.5395711849424</v>
      </c>
      <c r="H52" s="2">
        <f t="shared" si="10"/>
        <v>-283143.7818921044</v>
      </c>
      <c r="I52" s="2">
        <f t="shared" si="11"/>
        <v>-1162000.2597965412</v>
      </c>
      <c r="J52" s="2">
        <f t="shared" si="12"/>
        <v>302723.96461980214</v>
      </c>
      <c r="K52" s="5">
        <f t="shared" si="13"/>
        <v>0.5294129176582392</v>
      </c>
      <c r="L52" s="6">
        <f t="shared" si="14"/>
        <v>0.023242416480351413</v>
      </c>
      <c r="M52" s="1">
        <f t="shared" si="15"/>
        <v>45.01119004182739</v>
      </c>
    </row>
    <row r="53">
      <c r="E53" s="1">
        <f>82+459.97</f>
        <v>541.97</v>
      </c>
      <c r="F53" s="1">
        <f t="shared" si="8"/>
        <v>82.30000000000001</v>
      </c>
      <c r="G53" s="1">
        <f t="shared" si="9"/>
        <v>301.09512782635903</v>
      </c>
      <c r="H53" s="2">
        <f t="shared" si="10"/>
        <v>-282161.17616917397</v>
      </c>
      <c r="I53" s="2">
        <f t="shared" si="11"/>
        <v>-1161028.8101546296</v>
      </c>
      <c r="J53" s="2">
        <f t="shared" si="12"/>
        <v>305029.62531813496</v>
      </c>
      <c r="K53" s="5">
        <f t="shared" si="13"/>
        <v>0.5468769215475405</v>
      </c>
      <c r="L53" s="6">
        <f t="shared" si="14"/>
        <v>0.024038759510818106</v>
      </c>
      <c r="M53" s="1">
        <f t="shared" si="15"/>
        <v>46.135528960014724</v>
      </c>
    </row>
    <row r="54">
      <c r="E54" s="1">
        <f>83+459.97</f>
        <v>542.97</v>
      </c>
      <c r="F54" s="1">
        <f t="shared" si="8"/>
        <v>83.30000000000001</v>
      </c>
      <c r="G54" s="1">
        <f t="shared" si="9"/>
        <v>301.6506844712374</v>
      </c>
      <c r="H54" s="2">
        <f t="shared" si="10"/>
        <v>-281177.95315375144</v>
      </c>
      <c r="I54" s="2">
        <f t="shared" si="11"/>
        <v>-1160067.8999596545</v>
      </c>
      <c r="J54" s="2">
        <f t="shared" si="12"/>
        <v>307344.4929240803</v>
      </c>
      <c r="K54" s="5">
        <f t="shared" si="13"/>
        <v>0.5648403384817394</v>
      </c>
      <c r="L54" s="6">
        <f t="shared" si="14"/>
        <v>0.024859928889889957</v>
      </c>
      <c r="M54" s="1">
        <f t="shared" si="15"/>
        <v>47.287833994151605</v>
      </c>
    </row>
    <row r="55">
      <c r="E55" s="1">
        <f>84+459.97</f>
        <v>543.97</v>
      </c>
      <c r="F55" s="1">
        <f t="shared" si="8"/>
        <v>84.30000000000001</v>
      </c>
      <c r="G55" s="1">
        <f t="shared" si="9"/>
        <v>302.2062411195942</v>
      </c>
      <c r="H55" s="2">
        <f t="shared" si="10"/>
        <v>-280194.1128457956</v>
      </c>
      <c r="I55" s="2">
        <f t="shared" si="11"/>
        <v>-1159117.5292117847</v>
      </c>
      <c r="J55" s="2">
        <f t="shared" si="12"/>
        <v>309668.5674378798</v>
      </c>
      <c r="K55" s="5">
        <f t="shared" si="13"/>
        <v>0.5833150798125625</v>
      </c>
      <c r="L55" s="6">
        <f t="shared" si="14"/>
        <v>0.025706653224793017</v>
      </c>
      <c r="M55" s="1">
        <f t="shared" si="15"/>
        <v>48.468938536386815</v>
      </c>
    </row>
    <row r="56">
      <c r="E56" s="1">
        <f>85+459.97</f>
        <v>544.97</v>
      </c>
      <c r="F56" s="1">
        <f t="shared" si="8"/>
        <v>85.30000000000001</v>
      </c>
      <c r="G56" s="1">
        <f t="shared" si="9"/>
        <v>302.7617977714459</v>
      </c>
      <c r="H56" s="2">
        <f t="shared" si="10"/>
        <v>-279209.6552452657</v>
      </c>
      <c r="I56" s="2">
        <f t="shared" si="11"/>
        <v>-1158177.69791119</v>
      </c>
      <c r="J56" s="2">
        <f t="shared" si="12"/>
        <v>312001.84885977587</v>
      </c>
      <c r="K56" s="5">
        <f t="shared" si="13"/>
        <v>0.6023132774428853</v>
      </c>
      <c r="L56" s="6">
        <f t="shared" si="14"/>
        <v>0.026579683422340752</v>
      </c>
      <c r="M56" s="1">
        <f t="shared" si="15"/>
        <v>49.67970177729454</v>
      </c>
    </row>
    <row r="57">
      <c r="E57" s="1">
        <f>86+459.97</f>
        <v>545.97</v>
      </c>
      <c r="F57" s="1">
        <f t="shared" si="8"/>
        <v>86.30000000000001</v>
      </c>
      <c r="G57" s="1">
        <f t="shared" si="9"/>
        <v>303.3173544268095</v>
      </c>
      <c r="H57" s="2">
        <f t="shared" si="10"/>
        <v>-278224.58035212</v>
      </c>
      <c r="I57" s="2">
        <f t="shared" si="11"/>
        <v>-1157248.4060580411</v>
      </c>
      <c r="J57" s="2">
        <f t="shared" si="12"/>
        <v>314344.33719001414</v>
      </c>
      <c r="K57" s="5">
        <f t="shared" si="13"/>
        <v>0.6218472864771958</v>
      </c>
      <c r="L57" s="6">
        <f t="shared" si="14"/>
        <v>0.027479793523659556</v>
      </c>
      <c r="M57" s="1">
        <f t="shared" si="15"/>
        <v>50.92100967300756</v>
      </c>
    </row>
    <row r="58">
      <c r="E58" s="1">
        <f>87+459.97</f>
        <v>546.97</v>
      </c>
      <c r="F58" s="1">
        <f t="shared" si="8"/>
        <v>87.30000000000001</v>
      </c>
      <c r="G58" s="1">
        <f t="shared" si="9"/>
        <v>303.87291108570184</v>
      </c>
      <c r="H58" s="2">
        <f t="shared" si="10"/>
        <v>-277238.88816631684</v>
      </c>
      <c r="I58" s="2">
        <f t="shared" si="11"/>
        <v>-1156329.6536525106</v>
      </c>
      <c r="J58" s="2">
        <f t="shared" si="12"/>
        <v>316696.03242884093</v>
      </c>
      <c r="K58" s="5">
        <f t="shared" si="13"/>
        <v>0.6419296878777093</v>
      </c>
      <c r="L58" s="6">
        <f t="shared" si="14"/>
        <v>0.02840778157931475</v>
      </c>
      <c r="M58" s="1">
        <f t="shared" si="15"/>
        <v>52.19377595900508</v>
      </c>
    </row>
    <row r="59">
      <c r="E59" s="1">
        <f>88+459.97</f>
        <v>547.97</v>
      </c>
      <c r="F59" s="1">
        <f t="shared" si="8"/>
        <v>88.30000000000001</v>
      </c>
      <c r="G59" s="1">
        <f t="shared" si="9"/>
        <v>304.4284677481399</v>
      </c>
      <c r="H59" s="2">
        <f t="shared" si="10"/>
        <v>-276252.5786878144</v>
      </c>
      <c r="I59" s="2">
        <f t="shared" si="11"/>
        <v>-1155421.440694771</v>
      </c>
      <c r="J59" s="2">
        <f t="shared" si="12"/>
        <v>319056.9345765033</v>
      </c>
      <c r="K59" s="5">
        <f t="shared" si="13"/>
        <v>0.6625732911258254</v>
      </c>
      <c r="L59" s="6">
        <f t="shared" si="14"/>
        <v>0.029364470567168465</v>
      </c>
      <c r="M59" s="1">
        <f t="shared" si="15"/>
        <v>53.498943213245695</v>
      </c>
    </row>
    <row r="60">
      <c r="E60" s="1">
        <f>89+459.97</f>
        <v>548.97</v>
      </c>
      <c r="F60" s="1">
        <f t="shared" si="8"/>
        <v>89.30000000000001</v>
      </c>
      <c r="G60" s="1">
        <f t="shared" si="9"/>
        <v>304.9840244141408</v>
      </c>
      <c r="H60" s="2">
        <f t="shared" si="10"/>
        <v>-275265.65191657026</v>
      </c>
      <c r="I60" s="2">
        <f t="shared" si="11"/>
        <v>-1154523.767184997</v>
      </c>
      <c r="J60" s="2">
        <f t="shared" si="12"/>
        <v>321427.0436332513</v>
      </c>
      <c r="K60" s="5">
        <f t="shared" si="13"/>
        <v>0.6837911368885108</v>
      </c>
      <c r="L60" s="6">
        <f t="shared" si="14"/>
        <v>0.03035070935544768</v>
      </c>
      <c r="M60" s="1">
        <f t="shared" si="15"/>
        <v>54.83748397150601</v>
      </c>
    </row>
    <row r="61">
      <c r="E61" s="1">
        <f>90+459.97</f>
        <v>549.97</v>
      </c>
      <c r="F61" s="1">
        <f t="shared" si="8"/>
        <v>90.30000000000001</v>
      </c>
      <c r="G61" s="1">
        <f t="shared" si="9"/>
        <v>305.53958108372177</v>
      </c>
      <c r="H61" s="2">
        <f t="shared" si="10"/>
        <v>-274278.1078525421</v>
      </c>
      <c r="I61" s="2">
        <f t="shared" si="11"/>
        <v>-1153636.6331233643</v>
      </c>
      <c r="J61" s="2">
        <f t="shared" si="12"/>
        <v>323806.3595993359</v>
      </c>
      <c r="K61" s="5">
        <f t="shared" si="13"/>
        <v>0.7055964996891957</v>
      </c>
      <c r="L61" s="6">
        <f t="shared" si="14"/>
        <v>0.03136737371366363</v>
      </c>
      <c r="M61" s="1">
        <f t="shared" si="15"/>
        <v>56.21040189797377</v>
      </c>
    </row>
    <row r="62">
      <c r="E62" s="1">
        <f>91+459.97</f>
        <v>550.97</v>
      </c>
      <c r="F62" s="1">
        <f t="shared" si="8"/>
        <v>91.30000000000001</v>
      </c>
      <c r="G62" s="1">
        <f t="shared" si="9"/>
        <v>306.0951377569002</v>
      </c>
      <c r="H62" s="2">
        <f t="shared" si="10"/>
        <v>-273289.94649568683</v>
      </c>
      <c r="I62" s="2">
        <f t="shared" si="11"/>
        <v>-1152760.0385100485</v>
      </c>
      <c r="J62" s="2">
        <f t="shared" si="12"/>
        <v>326194.8824750097</v>
      </c>
      <c r="K62" s="5">
        <f t="shared" si="13"/>
        <v>0.7280028905828329</v>
      </c>
      <c r="L62" s="6">
        <f t="shared" si="14"/>
        <v>0.032415367374201344</v>
      </c>
      <c r="M62" s="1">
        <f t="shared" si="15"/>
        <v>57.618733014349104</v>
      </c>
    </row>
    <row r="63">
      <c r="E63" s="1">
        <f>92+459.97</f>
        <v>551.97</v>
      </c>
      <c r="F63" s="1">
        <f t="shared" si="8"/>
        <v>92.30000000000001</v>
      </c>
      <c r="G63" s="1">
        <f t="shared" si="9"/>
        <v>306.6506944336935</v>
      </c>
      <c r="H63" s="2">
        <f t="shared" si="10"/>
        <v>-272301.1678459617</v>
      </c>
      <c r="I63" s="2">
        <f t="shared" si="11"/>
        <v>-1151893.9833452282</v>
      </c>
      <c r="J63" s="2">
        <f t="shared" si="12"/>
        <v>328592.61226052704</v>
      </c>
      <c r="K63" s="5">
        <f t="shared" si="13"/>
        <v>0.7510240598347058</v>
      </c>
      <c r="L63" s="6">
        <f t="shared" si="14"/>
        <v>0.03349562314758353</v>
      </c>
      <c r="M63" s="1">
        <f t="shared" si="15"/>
        <v>59.06354699092188</v>
      </c>
    </row>
    <row r="64">
      <c r="E64" s="1">
        <f>93+459.97</f>
        <v>552.97</v>
      </c>
      <c r="F64" s="1">
        <f t="shared" si="8"/>
        <v>93.30000000000001</v>
      </c>
      <c r="G64" s="1">
        <f t="shared" si="9"/>
        <v>307.2062511141192</v>
      </c>
      <c r="H64" s="2">
        <f t="shared" si="10"/>
        <v>-271311.7719033233</v>
      </c>
      <c r="I64" s="2">
        <f t="shared" si="11"/>
        <v>-1151038.4676290827</v>
      </c>
      <c r="J64" s="2">
        <f t="shared" si="12"/>
        <v>330999.5489561435</v>
      </c>
      <c r="K64" s="5">
        <f t="shared" si="13"/>
        <v>0.7746739996026079</v>
      </c>
      <c r="L64" s="6">
        <f t="shared" si="14"/>
        <v>0.034609104094616455</v>
      </c>
      <c r="M64" s="1">
        <f t="shared" si="15"/>
        <v>60.54594850332836</v>
      </c>
    </row>
    <row r="65">
      <c r="E65" s="1">
        <f>94+459.97</f>
        <v>553.97</v>
      </c>
      <c r="F65" s="1">
        <f t="shared" si="8"/>
        <v>94.30000000000001</v>
      </c>
      <c r="G65" s="1">
        <f t="shared" si="9"/>
        <v>307.76180779819515</v>
      </c>
      <c r="H65" s="2">
        <f t="shared" si="10"/>
        <v>-270321.7586677277</v>
      </c>
      <c r="I65" s="2">
        <f t="shared" si="11"/>
        <v>-1150193.4913617903</v>
      </c>
      <c r="J65" s="2">
        <f t="shared" si="12"/>
        <v>333415.69256211823</v>
      </c>
      <c r="K65" s="5">
        <f t="shared" si="13"/>
        <v>0.798966946622012</v>
      </c>
      <c r="L65" s="6">
        <f t="shared" si="14"/>
        <v>0.03575680475884319</v>
      </c>
      <c r="M65" s="1">
        <f t="shared" si="15"/>
        <v>62.0670786589416</v>
      </c>
    </row>
    <row r="66">
      <c r="E66" s="1">
        <f>95+459.97</f>
        <v>554.97</v>
      </c>
      <c r="F66" s="1">
        <f t="shared" si="8"/>
        <v>95.30000000000001</v>
      </c>
      <c r="G66" s="1">
        <f t="shared" si="9"/>
        <v>308.3173644859389</v>
      </c>
      <c r="H66" s="2">
        <f t="shared" si="10"/>
        <v>-269331.1281391314</v>
      </c>
      <c r="I66" s="2">
        <f t="shared" si="11"/>
        <v>-1149359.0545435336</v>
      </c>
      <c r="J66" s="2">
        <f t="shared" si="12"/>
        <v>335841.043078709</v>
      </c>
      <c r="K66" s="5">
        <f t="shared" si="13"/>
        <v>0.8239173848937524</v>
      </c>
      <c r="L66" s="6">
        <f t="shared" si="14"/>
        <v>0.03693975246295922</v>
      </c>
      <c r="M66" s="1">
        <f t="shared" si="15"/>
        <v>63.62811649711543</v>
      </c>
    </row>
    <row r="67">
      <c r="E67" s="1">
        <f>96+459.97</f>
        <v>555.97</v>
      </c>
      <c r="F67" s="1">
        <f ref="F67:F71" t="shared" si="16">(E67)-459.67</f>
        <v>96.30000000000001</v>
      </c>
      <c r="G67" s="1">
        <f t="shared" si="9"/>
        <v>308.87292117736854</v>
      </c>
      <c r="H67" s="2">
        <f ref="H67:H71" t="shared" si="17">G67*G67+$B$1*G67+$B$2</f>
        <v>-268339.8803174901</v>
      </c>
      <c r="I67" s="2">
        <f t="shared" si="11"/>
        <v>-1148535.1571744948</v>
      </c>
      <c r="J67" s="2">
        <f t="shared" si="12"/>
        <v>338275.60050617676</v>
      </c>
      <c r="K67" s="5">
        <f ref="K67:K71" t="shared" si="18">145.03774*((2*J67)/(-I67+SQRT(I67*I67-4*H67*J67)))^4</f>
        <v>0.8495400483739977</v>
      </c>
      <c r="L67" s="6">
        <f ref="L67:L71" t="shared" si="19">0.621945*K67/($B$12-K67)</f>
        <v>0.03815900867310993</v>
      </c>
      <c r="M67" s="1">
        <f ref="M67:M71" t="shared" si="20">0.24*F67+L67*(1061+0.444*F67)</f>
        <v>65.23028056780754</v>
      </c>
    </row>
    <row r="68">
      <c r="E68" s="1">
        <f>97+459.97</f>
        <v>556.97</v>
      </c>
      <c r="F68" s="1">
        <f t="shared" si="16"/>
        <v>97.30000000000001</v>
      </c>
      <c r="G68" s="1">
        <f t="shared" si="9"/>
        <v>309.42847787250207</v>
      </c>
      <c r="H68" s="2">
        <f t="shared" si="17"/>
        <v>-267348.015202759</v>
      </c>
      <c r="I68" s="2">
        <f t="shared" si="11"/>
        <v>-1147721.799254857</v>
      </c>
      <c r="J68" s="2">
        <f t="shared" si="12"/>
        <v>340719.36484478513</v>
      </c>
      <c r="K68" s="5">
        <f t="shared" si="18"/>
        <v>0.8758499236659545</v>
      </c>
      <c r="L68" s="6">
        <f t="shared" si="19"/>
        <v>0.03941567043524596</v>
      </c>
      <c r="M68" s="1">
        <f t="shared" si="20"/>
        <v>66.8748305934031</v>
      </c>
    </row>
    <row r="69">
      <c r="E69" s="1">
        <f>98+459.97</f>
        <v>557.97</v>
      </c>
      <c r="F69" s="1">
        <f t="shared" si="16"/>
        <v>98.30000000000001</v>
      </c>
      <c r="G69" s="1">
        <f t="shared" si="9"/>
        <v>309.98403457135754</v>
      </c>
      <c r="H69" s="2">
        <f t="shared" si="17"/>
        <v>-266355.53279489384</v>
      </c>
      <c r="I69" s="2">
        <f t="shared" si="11"/>
        <v>-1146918.9807848048</v>
      </c>
      <c r="J69" s="2">
        <f t="shared" si="12"/>
        <v>343172.3360947981</v>
      </c>
      <c r="K69" s="5">
        <f t="shared" si="18"/>
        <v>0.9028622527129736</v>
      </c>
      <c r="L69" s="6">
        <f t="shared" si="19"/>
        <v>0.04071087188801677</v>
      </c>
      <c r="M69" s="1">
        <f t="shared" si="20"/>
        <v>68.56306921891266</v>
      </c>
    </row>
    <row r="70">
      <c r="E70" s="1">
        <f>99+459.97</f>
        <v>558.97</v>
      </c>
      <c r="F70" s="1">
        <f t="shared" si="16"/>
        <v>99.30000000000001</v>
      </c>
      <c r="G70" s="1">
        <f t="shared" si="9"/>
        <v>310.5395912739533</v>
      </c>
      <c r="H70" s="2">
        <f t="shared" si="17"/>
        <v>-265362.4330938492</v>
      </c>
      <c r="I70" s="2">
        <f t="shared" si="11"/>
        <v>-1146126.701764525</v>
      </c>
      <c r="J70" s="2">
        <f t="shared" si="12"/>
        <v>345634.51425648184</v>
      </c>
      <c r="K70" s="5">
        <f t="shared" si="18"/>
        <v>0.9305925354926882</v>
      </c>
      <c r="L70" s="6">
        <f t="shared" si="19"/>
        <v>0.042045785856998266</v>
      </c>
      <c r="M70" s="1">
        <f t="shared" si="20"/>
        <v>70.29634385608153</v>
      </c>
    </row>
    <row r="71">
      <c r="E71" s="1">
        <f>100+459.97</f>
        <v>559.97</v>
      </c>
      <c r="F71" s="1">
        <f t="shared" si="16"/>
        <v>100.30000000000001</v>
      </c>
      <c r="G71" s="1">
        <f t="shared" si="9"/>
        <v>311.09514798030773</v>
      </c>
      <c r="H71" s="2">
        <f t="shared" si="17"/>
        <v>-264368.7160995798</v>
      </c>
      <c r="I71" s="2">
        <f t="shared" si="11"/>
        <v>-1145344.962194204</v>
      </c>
      <c r="J71" s="2">
        <f t="shared" si="12"/>
        <v>348105.8993301038</v>
      </c>
      <c r="K71" s="5">
        <f t="shared" si="18"/>
        <v>0.9590565327117627</v>
      </c>
      <c r="L71" s="6">
        <f t="shared" si="19"/>
        <v>0.0434216255353904</v>
      </c>
      <c r="M71" s="1">
        <f t="shared" si="20"/>
        <v>72.07604862734186</v>
      </c>
    </row>
  </sheetData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0A51D-E722-436A-85E9-E32E6D741286}">
  <dimension ref="A1:M36"/>
  <sheetViews>
    <sheetView workbookViewId="0">
      <selection activeCell="P20" sqref="P20"/>
    </sheetView>
  </sheetViews>
  <sheetFormatPr defaultRowHeight="14.5"/>
  <cols>
    <col min="1" max="1" width="9.1796875" customWidth="1"/>
    <col min="2" max="2" width="11.08984375" customWidth="1"/>
    <col min="3" max="4" width="9.1796875" customWidth="1"/>
    <col min="5" max="7" width="9.1796875" customWidth="1" style="1"/>
    <col min="8" max="8" width="9.453125" customWidth="1" style="2"/>
    <col min="9" max="9" width="11.1796875" customWidth="1" style="2"/>
    <col min="10" max="10" width="9.1796875" customWidth="1" style="2"/>
    <col min="11" max="11" width="9.1796875" customWidth="1" style="5"/>
    <col min="12" max="12" width="9.1796875" customWidth="1" style="6"/>
    <col min="13" max="13" width="9.1796875" customWidth="1" style="1"/>
  </cols>
  <sheetData>
    <row r="1">
      <c r="A1" s="0" t="s">
        <v>0</v>
      </c>
      <c r="B1" s="2">
        <f>1167.0521452767</f>
        <v>1167.0521452767</v>
      </c>
      <c r="C1" s="0" t="s">
        <v>1</v>
      </c>
      <c r="E1" s="1" t="s">
        <v>2</v>
      </c>
      <c r="F1" s="1" t="s">
        <v>3</v>
      </c>
      <c r="G1" s="1" t="s">
        <v>4</v>
      </c>
      <c r="H1" s="2" t="s">
        <v>5</v>
      </c>
      <c r="I1" s="2" t="s">
        <v>6</v>
      </c>
      <c r="J1" s="2" t="s">
        <v>7</v>
      </c>
      <c r="K1" s="5" t="s">
        <v>8</v>
      </c>
      <c r="L1" s="6" t="s">
        <v>9</v>
      </c>
      <c r="M1" s="1" t="s">
        <v>10</v>
      </c>
    </row>
    <row r="2">
      <c r="A2" s="0" t="s">
        <v>14</v>
      </c>
      <c r="B2" s="2">
        <f>-724213.16703206</f>
        <v>-724213.16703206</v>
      </c>
      <c r="C2" s="0" t="s">
        <v>1</v>
      </c>
      <c r="E2" s="1" t="s">
        <v>15</v>
      </c>
      <c r="F2" s="1" t="s">
        <v>16</v>
      </c>
      <c r="G2" s="1" t="s">
        <v>1</v>
      </c>
      <c r="H2" s="2" t="s">
        <v>1</v>
      </c>
      <c r="I2" s="2" t="s">
        <v>1</v>
      </c>
      <c r="J2" s="2" t="s">
        <v>1</v>
      </c>
      <c r="K2" s="5" t="s">
        <v>17</v>
      </c>
      <c r="L2" s="6" t="s">
        <v>1</v>
      </c>
      <c r="M2" s="1" t="s">
        <v>18</v>
      </c>
    </row>
    <row r="3">
      <c r="A3" s="0" t="s">
        <v>20</v>
      </c>
      <c r="B3" s="3">
        <f>-17.073846940092</f>
        <v>-17.073846940092</v>
      </c>
      <c r="C3" s="0" t="s">
        <v>1</v>
      </c>
      <c r="E3" s="1">
        <f>60</f>
        <v>60</v>
      </c>
      <c r="F3" s="1">
        <f ref="F3:F36" t="shared" si="0">E3+459.67</f>
        <v>519.6700000000001</v>
      </c>
      <c r="G3" s="1">
        <f ref="G3:G36" t="shared" si="1">$B$11*(F3/1)+$B$9/($B$11*(F3/1)-$B$10)</f>
        <v>288.7062155154781</v>
      </c>
      <c r="H3" s="2">
        <f ref="H3:H36" t="shared" si="2">G3*G3+$B$1*G3+$B$2</f>
        <v>-303926.67998273426</v>
      </c>
      <c r="I3" s="2">
        <f ref="I3:I36" t="shared" si="3">$B$3*G3*G3+$B$4*G3+$B$5</f>
        <v>-1185195.2028196396</v>
      </c>
      <c r="J3" s="2">
        <f ref="J3:J36" t="shared" si="4">$B$6*G3*G3+$B$7*G3+$B$8</f>
        <v>255799.98583970597</v>
      </c>
      <c r="K3" s="5">
        <f ref="K3:K36" t="shared" si="5">145.03774*((2*J3)/(-I3+SQRT(I3*I3-4*H3*J3)))^4</f>
        <v>0.25638962818190436</v>
      </c>
      <c r="L3" s="6">
        <f ref="L3:L36" t="shared" si="6">0.621945*K3/($B$12-K3)</f>
        <v>0.011043251389304407</v>
      </c>
      <c r="M3" s="1">
        <f ref="M3:M36" t="shared" si="7">0.24*E3+L3*(1061+0.444*E3)</f>
        <v>26.411081941063046</v>
      </c>
    </row>
    <row r="4">
      <c r="A4" s="0" t="s">
        <v>21</v>
      </c>
      <c r="B4" s="2">
        <f>12020.82470247</f>
        <v>12020.82470247</v>
      </c>
      <c r="C4" s="0" t="s">
        <v>1</v>
      </c>
      <c r="E4" s="1">
        <f>61</f>
        <v>61</v>
      </c>
      <c r="F4" s="1">
        <f t="shared" si="0"/>
        <v>520.6700000000001</v>
      </c>
      <c r="G4" s="1">
        <f t="shared" si="1"/>
        <v>289.26177208691047</v>
      </c>
      <c r="H4" s="2">
        <f t="shared" si="2"/>
        <v>-302957.22258063155</v>
      </c>
      <c r="I4" s="2">
        <f t="shared" si="3"/>
        <v>-1183999.2629961772</v>
      </c>
      <c r="J4" s="2">
        <f t="shared" si="4"/>
        <v>257909.5394605571</v>
      </c>
      <c r="K4" s="5">
        <f t="shared" si="5"/>
        <v>0.2656674874218404</v>
      </c>
      <c r="L4" s="6">
        <f t="shared" si="6"/>
        <v>0.011450225787974999</v>
      </c>
      <c r="M4" s="1">
        <f t="shared" si="7"/>
        <v>27.09880747628299</v>
      </c>
    </row>
    <row r="5">
      <c r="A5" s="0" t="s">
        <v>22</v>
      </c>
      <c r="B5" s="2">
        <f>-3232555.0322333</f>
        <v>-3232555.0322333</v>
      </c>
      <c r="C5" s="0" t="s">
        <v>1</v>
      </c>
      <c r="E5" s="1">
        <f>62</f>
        <v>62</v>
      </c>
      <c r="F5" s="1">
        <f t="shared" si="0"/>
        <v>521.6700000000001</v>
      </c>
      <c r="G5" s="1">
        <f t="shared" si="1"/>
        <v>289.8173286614752</v>
      </c>
      <c r="H5" s="2">
        <f t="shared" si="2"/>
        <v>-301987.14788684936</v>
      </c>
      <c r="I5" s="2">
        <f t="shared" si="3"/>
        <v>-1182813.862616297</v>
      </c>
      <c r="J5" s="2">
        <f t="shared" si="4"/>
        <v>260028.29998422</v>
      </c>
      <c r="K5" s="5">
        <f t="shared" si="5"/>
        <v>0.2752386239916733</v>
      </c>
      <c r="L5" s="6">
        <f t="shared" si="6"/>
        <v>0.01187061359210181</v>
      </c>
      <c r="M5" s="1">
        <f t="shared" si="7"/>
        <v>27.8014952721834</v>
      </c>
    </row>
    <row r="6">
      <c r="A6" s="0" t="s">
        <v>23</v>
      </c>
      <c r="B6" s="3">
        <f>14.91510861353</f>
        <v>14.91510861353</v>
      </c>
      <c r="C6" s="0" t="s">
        <v>1</v>
      </c>
      <c r="E6" s="1">
        <f>63</f>
        <v>63</v>
      </c>
      <c r="F6" s="1">
        <f t="shared" si="0"/>
        <v>522.6700000000001</v>
      </c>
      <c r="G6" s="1">
        <f t="shared" si="1"/>
        <v>290.37288523918664</v>
      </c>
      <c r="H6" s="2">
        <f t="shared" si="2"/>
        <v>-301016.45590135234</v>
      </c>
      <c r="I6" s="2">
        <f t="shared" si="3"/>
        <v>-1181639.0016801471</v>
      </c>
      <c r="J6" s="2">
        <f t="shared" si="4"/>
        <v>262156.26741090586</v>
      </c>
      <c r="K6" s="5">
        <f t="shared" si="5"/>
        <v>0.2851108662710013</v>
      </c>
      <c r="L6" s="6">
        <f t="shared" si="6"/>
        <v>0.01230481173489073</v>
      </c>
      <c r="M6" s="1">
        <f t="shared" si="7"/>
        <v>28.51959544456743</v>
      </c>
    </row>
    <row r="7">
      <c r="A7" s="0" t="s">
        <v>24</v>
      </c>
      <c r="B7" s="2">
        <f>-4823.2657361591</f>
        <v>-4823.2657361591</v>
      </c>
      <c r="C7" s="0" t="s">
        <v>1</v>
      </c>
      <c r="E7" s="1">
        <f>64</f>
        <v>64</v>
      </c>
      <c r="F7" s="1">
        <f t="shared" si="0"/>
        <v>523.6700000000001</v>
      </c>
      <c r="G7" s="1">
        <f t="shared" si="1"/>
        <v>290.9284418200595</v>
      </c>
      <c r="H7" s="2">
        <f t="shared" si="2"/>
        <v>-300045.1466241042</v>
      </c>
      <c r="I7" s="2">
        <f t="shared" si="3"/>
        <v>-1180474.680187875</v>
      </c>
      <c r="J7" s="2">
        <f t="shared" si="4"/>
        <v>264293.44174082746</v>
      </c>
      <c r="K7" s="5">
        <f t="shared" si="5"/>
        <v>0.2952922087741088</v>
      </c>
      <c r="L7" s="6">
        <f t="shared" si="6"/>
        <v>0.012753228205763004</v>
      </c>
      <c r="M7" s="1">
        <f t="shared" si="7"/>
        <v>29.253570859009507</v>
      </c>
    </row>
    <row r="8">
      <c r="A8" s="0" t="s">
        <v>25</v>
      </c>
      <c r="B8" s="2">
        <f>405113.40542057</f>
        <v>405113.40542057</v>
      </c>
      <c r="C8" s="0" t="s">
        <v>1</v>
      </c>
      <c r="E8" s="1">
        <f>65</f>
        <v>65</v>
      </c>
      <c r="F8" s="1">
        <f t="shared" si="0"/>
        <v>524.6700000000001</v>
      </c>
      <c r="G8" s="1">
        <f t="shared" si="1"/>
        <v>291.4839984041085</v>
      </c>
      <c r="H8" s="2">
        <f t="shared" si="2"/>
        <v>-299073.2200550686</v>
      </c>
      <c r="I8" s="2">
        <f t="shared" si="3"/>
        <v>-1179320.898139631</v>
      </c>
      <c r="J8" s="2">
        <f t="shared" si="4"/>
        <v>266439.822974199</v>
      </c>
      <c r="K8" s="5">
        <f t="shared" si="5"/>
        <v>0.30579081459201546</v>
      </c>
      <c r="L8" s="6">
        <f t="shared" si="6"/>
        <v>0.013216282385546087</v>
      </c>
      <c r="M8" s="1">
        <f t="shared" si="7"/>
        <v>30.003897520711256</v>
      </c>
    </row>
    <row r="9">
      <c r="A9" s="0" t="s">
        <v>26</v>
      </c>
      <c r="B9" s="4">
        <f>-0.23855557567849</f>
        <v>-0.23855557567849</v>
      </c>
      <c r="C9" s="0" t="s">
        <v>1</v>
      </c>
      <c r="E9" s="1">
        <f>66</f>
        <v>66</v>
      </c>
      <c r="F9" s="1">
        <f t="shared" si="0"/>
        <v>525.6700000000001</v>
      </c>
      <c r="G9" s="1">
        <f t="shared" si="1"/>
        <v>292.0395549913483</v>
      </c>
      <c r="H9" s="2">
        <f t="shared" si="2"/>
        <v>-298100.6761942093</v>
      </c>
      <c r="I9" s="2">
        <f t="shared" si="3"/>
        <v>-1178177.655535565</v>
      </c>
      <c r="J9" s="2">
        <f t="shared" si="4"/>
        <v>268595.41111123544</v>
      </c>
      <c r="K9" s="5">
        <f t="shared" si="5"/>
        <v>0.3166150178478005</v>
      </c>
      <c r="L9" s="6">
        <f t="shared" si="6"/>
        <v>0.013694405394929289</v>
      </c>
      <c r="M9" s="1">
        <f t="shared" si="7"/>
        <v>30.771064979712982</v>
      </c>
    </row>
    <row r="10">
      <c r="A10" s="0" t="s">
        <v>27</v>
      </c>
      <c r="B10" s="2">
        <f>650.17534844798</f>
        <v>650.17534844798</v>
      </c>
      <c r="C10" s="0" t="s">
        <v>1</v>
      </c>
      <c r="E10" s="1">
        <f>67</f>
        <v>67</v>
      </c>
      <c r="F10" s="1">
        <f t="shared" si="0"/>
        <v>526.6700000000001</v>
      </c>
      <c r="G10" s="1">
        <f t="shared" si="1"/>
        <v>292.59511158179396</v>
      </c>
      <c r="H10" s="2">
        <f t="shared" si="2"/>
        <v>-297127.5150414895</v>
      </c>
      <c r="I10" s="2">
        <f t="shared" si="3"/>
        <v>-1177044.9523758288</v>
      </c>
      <c r="J10" s="2">
        <f t="shared" si="4"/>
        <v>270760.20615215396</v>
      </c>
      <c r="K10" s="5">
        <f t="shared" si="5"/>
        <v>0.32777332616489663</v>
      </c>
      <c r="L10" s="6">
        <f t="shared" si="6"/>
        <v>0.014188040456854376</v>
      </c>
      <c r="M10" s="1">
        <f t="shared" si="7"/>
        <v>31.555576752232994</v>
      </c>
    </row>
    <row r="11">
      <c r="A11" s="0" t="s">
        <v>28</v>
      </c>
      <c r="B11" s="4">
        <f>0.55555555555556</f>
        <v>0.55555555555556</v>
      </c>
      <c r="C11" s="0" t="s">
        <v>1</v>
      </c>
      <c r="E11" s="1">
        <f>68</f>
        <v>68</v>
      </c>
      <c r="F11" s="1">
        <f t="shared" si="0"/>
        <v>527.6700000000001</v>
      </c>
      <c r="G11" s="1">
        <f t="shared" si="1"/>
        <v>293.15066817546034</v>
      </c>
      <c r="H11" s="2">
        <f t="shared" si="2"/>
        <v>-296153.7365968721</v>
      </c>
      <c r="I11" s="2">
        <f t="shared" si="3"/>
        <v>-1175922.7886605752</v>
      </c>
      <c r="J11" s="2">
        <f t="shared" si="4"/>
        <v>272934.2080971727</v>
      </c>
      <c r="K11" s="5">
        <f t="shared" si="5"/>
        <v>0.3392744231480006</v>
      </c>
      <c r="L11" s="6">
        <f t="shared" si="6"/>
        <v>0.014697643273547296</v>
      </c>
      <c r="M11" s="1">
        <f t="shared" si="7"/>
        <v>32.35795075894862</v>
      </c>
    </row>
    <row r="12">
      <c r="A12" s="0" t="s">
        <v>29</v>
      </c>
      <c r="B12" s="3">
        <f>14.696</f>
        <v>14.696</v>
      </c>
      <c r="C12" s="0" t="s">
        <v>17</v>
      </c>
      <c r="E12" s="1">
        <f>69</f>
        <v>69</v>
      </c>
      <c r="F12" s="1">
        <f t="shared" si="0"/>
        <v>528.6700000000001</v>
      </c>
      <c r="G12" s="1">
        <f t="shared" si="1"/>
        <v>293.7062247723624</v>
      </c>
      <c r="H12" s="2">
        <f t="shared" si="2"/>
        <v>-295179.3408603203</v>
      </c>
      <c r="I12" s="2">
        <f t="shared" si="3"/>
        <v>-1174811.1643899572</v>
      </c>
      <c r="J12" s="2">
        <f t="shared" si="4"/>
        <v>275117.4169465104</v>
      </c>
      <c r="K12" s="5">
        <f t="shared" si="5"/>
        <v>0.35112717087629913</v>
      </c>
      <c r="L12" s="6">
        <f t="shared" si="6"/>
        <v>0.01522368241893995</v>
      </c>
      <c r="M12" s="1">
        <f t="shared" si="7"/>
        <v>33.178719781081924</v>
      </c>
    </row>
    <row r="13">
      <c r="E13" s="1">
        <f>70</f>
        <v>70</v>
      </c>
      <c r="F13" s="1">
        <f t="shared" si="0"/>
        <v>529.6700000000001</v>
      </c>
      <c r="G13" s="1">
        <f t="shared" si="1"/>
        <v>294.26178137251543</v>
      </c>
      <c r="H13" s="2">
        <f t="shared" si="2"/>
        <v>-294204.3278317965</v>
      </c>
      <c r="I13" s="2">
        <f t="shared" si="3"/>
        <v>-1173710.0795641288</v>
      </c>
      <c r="J13" s="2">
        <f t="shared" si="4"/>
        <v>277309.83270038833</v>
      </c>
      <c r="K13" s="5">
        <f t="shared" si="5"/>
        <v>0.36334061240867743</v>
      </c>
      <c r="L13" s="6">
        <f t="shared" si="6"/>
        <v>0.015766639747272444</v>
      </c>
      <c r="M13" s="1">
        <f t="shared" si="7"/>
        <v>34.01843193520129</v>
      </c>
    </row>
    <row r="14">
      <c r="E14" s="1">
        <f>71</f>
        <v>71</v>
      </c>
      <c r="F14" s="1">
        <f t="shared" si="0"/>
        <v>530.6700000000001</v>
      </c>
      <c r="G14" s="1">
        <f t="shared" si="1"/>
        <v>294.8173379759346</v>
      </c>
      <c r="H14" s="2">
        <f t="shared" si="2"/>
        <v>-293228.69751126313</v>
      </c>
      <c r="I14" s="2">
        <f t="shared" si="3"/>
        <v>-1172619.5341832454</v>
      </c>
      <c r="J14" s="2">
        <f t="shared" si="4"/>
        <v>279511.4553590285</v>
      </c>
      <c r="K14" s="5">
        <f t="shared" si="5"/>
        <v>0.37592397430054436</v>
      </c>
      <c r="L14" s="6">
        <f t="shared" si="6"/>
        <v>0.016327010818710512</v>
      </c>
      <c r="M14" s="1">
        <f t="shared" si="7"/>
        <v>34.877651167700876</v>
      </c>
    </row>
    <row r="15">
      <c r="E15" s="1">
        <f>72</f>
        <v>72</v>
      </c>
      <c r="F15" s="1">
        <f t="shared" si="0"/>
        <v>531.6700000000001</v>
      </c>
      <c r="G15" s="1">
        <f t="shared" si="1"/>
        <v>295.3728945826354</v>
      </c>
      <c r="H15" s="2">
        <f t="shared" si="2"/>
        <v>-292252.44989868207</v>
      </c>
      <c r="I15" s="2">
        <f t="shared" si="3"/>
        <v>-1171539.5282474628</v>
      </c>
      <c r="J15" s="2">
        <f t="shared" si="4"/>
        <v>281722.28492265526</v>
      </c>
      <c r="K15" s="5">
        <f t="shared" si="5"/>
        <v>0.3888866691319771</v>
      </c>
      <c r="L15" s="6">
        <f t="shared" si="6"/>
        <v>0.01690530534286425</v>
      </c>
      <c r="M15" s="1">
        <f t="shared" si="7"/>
        <v>35.75695776997966</v>
      </c>
    </row>
    <row r="16">
      <c r="E16" s="1">
        <f>73</f>
        <v>73</v>
      </c>
      <c r="F16" s="1">
        <f t="shared" si="0"/>
        <v>532.6700000000001</v>
      </c>
      <c r="G16" s="1">
        <f t="shared" si="1"/>
        <v>295.9284511926331</v>
      </c>
      <c r="H16" s="2">
        <f t="shared" si="2"/>
        <v>-291275.5849940157</v>
      </c>
      <c r="I16" s="2">
        <f t="shared" si="3"/>
        <v>-1170470.0617569387</v>
      </c>
      <c r="J16" s="2">
        <f t="shared" si="4"/>
        <v>283942.32139149244</v>
      </c>
      <c r="K16" s="5">
        <f t="shared" si="5"/>
        <v>0.4022382980467902</v>
      </c>
      <c r="L16" s="6">
        <f t="shared" si="6"/>
        <v>0.01750204764114164</v>
      </c>
      <c r="M16" s="1">
        <f t="shared" si="7"/>
        <v>36.65694891539596</v>
      </c>
    </row>
    <row r="17">
      <c r="E17" s="1">
        <f>74</f>
        <v>74</v>
      </c>
      <c r="F17" s="1">
        <f t="shared" si="0"/>
        <v>533.6700000000001</v>
      </c>
      <c r="G17" s="1">
        <f t="shared" si="1"/>
        <v>296.48400780594324</v>
      </c>
      <c r="H17" s="2">
        <f t="shared" si="2"/>
        <v>-290298.10279722547</v>
      </c>
      <c r="I17" s="2">
        <f t="shared" si="3"/>
        <v>-1169411.1347118318</v>
      </c>
      <c r="J17" s="2">
        <f t="shared" si="4"/>
        <v>286171.5647657668</v>
      </c>
      <c r="K17" s="5">
        <f t="shared" si="5"/>
        <v>0.41598865330224527</v>
      </c>
      <c r="L17" s="6">
        <f t="shared" si="6"/>
        <v>0.018117777128930243</v>
      </c>
      <c r="M17" s="1">
        <f t="shared" si="7"/>
        <v>37.578239219143114</v>
      </c>
    </row>
    <row r="18">
      <c r="E18" s="1">
        <f>75</f>
        <v>75</v>
      </c>
      <c r="F18" s="1">
        <f t="shared" si="0"/>
        <v>534.6700000000001</v>
      </c>
      <c r="G18" s="1">
        <f t="shared" si="1"/>
        <v>297.0395644225816</v>
      </c>
      <c r="H18" s="2">
        <f t="shared" si="2"/>
        <v>-289320.0033082727</v>
      </c>
      <c r="I18" s="2">
        <f t="shared" si="3"/>
        <v>-1168362.7471123</v>
      </c>
      <c r="J18" s="2">
        <f t="shared" si="4"/>
        <v>288410.0150457067</v>
      </c>
      <c r="K18" s="5">
        <f t="shared" si="5"/>
        <v>0.4301477208289944</v>
      </c>
      <c r="L18" s="6">
        <f t="shared" si="6"/>
        <v>0.0187530488186532</v>
      </c>
      <c r="M18" s="1">
        <f t="shared" si="7"/>
        <v>38.52146132225219</v>
      </c>
    </row>
    <row r="19">
      <c r="E19" s="1">
        <f>76</f>
        <v>76</v>
      </c>
      <c r="F19" s="1">
        <f t="shared" si="0"/>
        <v>535.6700000000001</v>
      </c>
      <c r="G19" s="1">
        <f t="shared" si="1"/>
        <v>297.59512104256373</v>
      </c>
      <c r="H19" s="2">
        <f t="shared" si="2"/>
        <v>-288341.28652711865</v>
      </c>
      <c r="I19" s="2">
        <f t="shared" si="3"/>
        <v>-1167324.8989585042</v>
      </c>
      <c r="J19" s="2">
        <f t="shared" si="4"/>
        <v>290657.6722315406</v>
      </c>
      <c r="K19" s="5">
        <f t="shared" si="5"/>
        <v>0.4447256828009053</v>
      </c>
      <c r="L19" s="6">
        <f t="shared" si="6"/>
        <v>0.019408433844810745</v>
      </c>
      <c r="M19" s="1">
        <f t="shared" si="7"/>
        <v>39.48726650100349</v>
      </c>
    </row>
    <row r="20">
      <c r="E20" s="1">
        <f>77</f>
        <v>77</v>
      </c>
      <c r="F20" s="1">
        <f t="shared" si="0"/>
        <v>536.6700000000001</v>
      </c>
      <c r="G20" s="1">
        <f t="shared" si="1"/>
        <v>298.15067766590556</v>
      </c>
      <c r="H20" s="2">
        <f t="shared" si="2"/>
        <v>-287361.95245372434</v>
      </c>
      <c r="I20" s="2">
        <f t="shared" si="3"/>
        <v>-1166297.5902506055</v>
      </c>
      <c r="J20" s="2">
        <f t="shared" si="4"/>
        <v>292914.53632349946</v>
      </c>
      <c r="K20" s="5">
        <f t="shared" si="5"/>
        <v>0.45973292021446627</v>
      </c>
      <c r="L20" s="6">
        <f t="shared" si="6"/>
        <v>0.020084520012186628</v>
      </c>
      <c r="M20" s="1">
        <f t="shared" si="7"/>
        <v>40.47632530310665</v>
      </c>
    </row>
    <row r="21">
      <c r="E21" s="1">
        <f>78</f>
        <v>78</v>
      </c>
      <c r="F21" s="1">
        <f t="shared" si="0"/>
        <v>537.6700000000001</v>
      </c>
      <c r="G21" s="1">
        <f t="shared" si="1"/>
        <v>298.70623429262304</v>
      </c>
      <c r="H21" s="2">
        <f t="shared" si="2"/>
        <v>-286382.0010880503</v>
      </c>
      <c r="I21" s="2">
        <f t="shared" si="3"/>
        <v>-1165280.8209887666</v>
      </c>
      <c r="J21" s="2">
        <f t="shared" si="4"/>
        <v>295180.6073218156</v>
      </c>
      <c r="K21" s="5">
        <f t="shared" si="5"/>
        <v>0.47518001547733985</v>
      </c>
      <c r="L21" s="6">
        <f t="shared" si="6"/>
        <v>0.020781912368464182</v>
      </c>
      <c r="M21" s="1">
        <f t="shared" si="7"/>
        <v>41.48932821208515</v>
      </c>
    </row>
    <row r="22">
      <c r="E22" s="1">
        <f>79</f>
        <v>79</v>
      </c>
      <c r="F22" s="1">
        <f t="shared" si="0"/>
        <v>538.6700000000001</v>
      </c>
      <c r="G22" s="1">
        <f t="shared" si="1"/>
        <v>299.2617909227322</v>
      </c>
      <c r="H22" s="2">
        <f t="shared" si="2"/>
        <v>-285401.4324300571</v>
      </c>
      <c r="I22" s="2">
        <f t="shared" si="3"/>
        <v>-1164274.5911731494</v>
      </c>
      <c r="J22" s="2">
        <f t="shared" si="4"/>
        <v>297455.88522672286</v>
      </c>
      <c r="K22" s="5">
        <f t="shared" si="5"/>
        <v>0.49107775500574385</v>
      </c>
      <c r="L22" s="6">
        <f t="shared" si="6"/>
        <v>0.021501233802576923</v>
      </c>
      <c r="M22" s="1">
        <f t="shared" si="7"/>
        <v>42.526986341393304</v>
      </c>
    </row>
    <row r="23">
      <c r="E23" s="1">
        <f>80</f>
        <v>80</v>
      </c>
      <c r="F23" s="1">
        <f t="shared" si="0"/>
        <v>539.6700000000001</v>
      </c>
      <c r="G23" s="1">
        <f t="shared" si="1"/>
        <v>299.8173475562491</v>
      </c>
      <c r="H23" s="2">
        <f t="shared" si="2"/>
        <v>-284420.2464797048</v>
      </c>
      <c r="I23" s="2">
        <f t="shared" si="3"/>
        <v>-1163278.9008039194</v>
      </c>
      <c r="J23" s="2">
        <f t="shared" si="4"/>
        <v>299740.3700384554</v>
      </c>
      <c r="K23" s="5">
        <f t="shared" si="5"/>
        <v>0.5074371318302645</v>
      </c>
      <c r="L23" s="6">
        <f t="shared" si="6"/>
        <v>0.02224312567019585</v>
      </c>
      <c r="M23" s="1">
        <f t="shared" si="7"/>
        <v>43.59003215988315</v>
      </c>
    </row>
    <row r="24">
      <c r="E24" s="1">
        <f>81</f>
        <v>81</v>
      </c>
      <c r="F24" s="1">
        <f t="shared" si="0"/>
        <v>540.6700000000001</v>
      </c>
      <c r="G24" s="1">
        <f t="shared" si="1"/>
        <v>300.37290419319004</v>
      </c>
      <c r="H24" s="2">
        <f t="shared" si="2"/>
        <v>-283438.4432369535</v>
      </c>
      <c r="I24" s="2">
        <f t="shared" si="3"/>
        <v>-1162293.7498812415</v>
      </c>
      <c r="J24" s="2">
        <f t="shared" si="4"/>
        <v>302034.061757251</v>
      </c>
      <c r="K24" s="5">
        <f t="shared" si="5"/>
        <v>0.524269348209784</v>
      </c>
      <c r="L24" s="6">
        <f t="shared" si="6"/>
        <v>0.023008248447845315</v>
      </c>
      <c r="M24" s="1">
        <f t="shared" si="7"/>
        <v>44.67922025034218</v>
      </c>
    </row>
    <row r="25">
      <c r="E25" s="1">
        <f>82</f>
        <v>82</v>
      </c>
      <c r="F25" s="1">
        <f t="shared" si="0"/>
        <v>541.6700000000001</v>
      </c>
      <c r="G25" s="1">
        <f t="shared" si="1"/>
        <v>300.92846083357136</v>
      </c>
      <c r="H25" s="2">
        <f t="shared" si="2"/>
        <v>-282456.02270176285</v>
      </c>
      <c r="I25" s="2">
        <f t="shared" si="3"/>
        <v>-1161319.1384052825</v>
      </c>
      <c r="J25" s="2">
        <f t="shared" si="4"/>
        <v>304336.9603833468</v>
      </c>
      <c r="K25" s="5">
        <f t="shared" si="5"/>
        <v>0.5415858182530618</v>
      </c>
      <c r="L25" s="6">
        <f t="shared" si="6"/>
        <v>0.02379728241722457</v>
      </c>
      <c r="M25" s="1">
        <f t="shared" si="7"/>
        <v>45.79532810292158</v>
      </c>
    </row>
    <row r="26">
      <c r="E26" s="1">
        <f>83</f>
        <v>83</v>
      </c>
      <c r="F26" s="1">
        <f t="shared" si="0"/>
        <v>542.6700000000001</v>
      </c>
      <c r="G26" s="1">
        <f t="shared" si="1"/>
        <v>301.48401747740945</v>
      </c>
      <c r="H26" s="2">
        <f t="shared" si="2"/>
        <v>-281472.9848740922</v>
      </c>
      <c r="I26" s="2">
        <f t="shared" si="3"/>
        <v>-1160355.0663762088</v>
      </c>
      <c r="J26" s="2">
        <f t="shared" si="4"/>
        <v>306649.06591698324</v>
      </c>
      <c r="K26" s="5">
        <f t="shared" si="5"/>
        <v>0.5593981705476997</v>
      </c>
      <c r="L26" s="6">
        <f t="shared" si="6"/>
        <v>0.02461092838141912</v>
      </c>
      <c r="M26" s="1">
        <f t="shared" si="7"/>
        <v>46.93915694539774</v>
      </c>
    </row>
    <row r="27">
      <c r="E27" s="1">
        <f>84</f>
        <v>84</v>
      </c>
      <c r="F27" s="1">
        <f t="shared" si="0"/>
        <v>543.6700000000001</v>
      </c>
      <c r="G27" s="1">
        <f t="shared" si="1"/>
        <v>302.03957412472096</v>
      </c>
      <c r="H27" s="2">
        <f t="shared" si="2"/>
        <v>-280489.32975390076</v>
      </c>
      <c r="I27" s="2">
        <f t="shared" si="3"/>
        <v>-1159401.5337941898</v>
      </c>
      <c r="J27" s="2">
        <f t="shared" si="4"/>
        <v>308970.3783584007</v>
      </c>
      <c r="K27" s="5">
        <f t="shared" si="5"/>
        <v>0.5777182507960082</v>
      </c>
      <c r="L27" s="6">
        <f t="shared" si="6"/>
        <v>0.025449908414781543</v>
      </c>
      <c r="M27" s="1">
        <f t="shared" si="7"/>
        <v>48.111532612320914</v>
      </c>
    </row>
    <row r="28">
      <c r="E28" s="1">
        <f>85</f>
        <v>85</v>
      </c>
      <c r="F28" s="1">
        <f t="shared" si="0"/>
        <v>544.6700000000001</v>
      </c>
      <c r="G28" s="1">
        <f t="shared" si="1"/>
        <v>302.5951307755225</v>
      </c>
      <c r="H28" s="2">
        <f t="shared" si="2"/>
        <v>-279505.05734114733</v>
      </c>
      <c r="I28" s="2">
        <f t="shared" si="3"/>
        <v>-1158458.5406593943</v>
      </c>
      <c r="J28" s="2">
        <f t="shared" si="4"/>
        <v>311300.89770784235</v>
      </c>
      <c r="K28" s="5">
        <f t="shared" si="5"/>
        <v>0.5965581244575001</v>
      </c>
      <c r="L28" s="6">
        <f t="shared" si="6"/>
        <v>0.026314966648383308</v>
      </c>
      <c r="M28" s="1">
        <f t="shared" si="7"/>
        <v>49.31330645524467</v>
      </c>
    </row>
    <row r="29">
      <c r="E29" s="1">
        <f>86</f>
        <v>86</v>
      </c>
      <c r="F29" s="1">
        <f t="shared" si="0"/>
        <v>545.6700000000001</v>
      </c>
      <c r="G29" s="1">
        <f t="shared" si="1"/>
        <v>303.1506874298307</v>
      </c>
      <c r="H29" s="2">
        <f t="shared" si="2"/>
        <v>-278520.16763579077</v>
      </c>
      <c r="I29" s="2">
        <f t="shared" si="3"/>
        <v>-1157526.0869719936</v>
      </c>
      <c r="J29" s="2">
        <f t="shared" si="4"/>
        <v>313640.62396555237</v>
      </c>
      <c r="K29" s="5">
        <f t="shared" si="5"/>
        <v>0.6159300793975295</v>
      </c>
      <c r="L29" s="6">
        <f t="shared" si="6"/>
        <v>0.0272068700930503</v>
      </c>
      <c r="M29" s="1">
        <f t="shared" si="7"/>
        <v>50.5453562963594</v>
      </c>
    </row>
    <row r="30">
      <c r="E30" s="1">
        <f>87</f>
        <v>87</v>
      </c>
      <c r="F30" s="1">
        <f t="shared" si="0"/>
        <v>546.6700000000001</v>
      </c>
      <c r="G30" s="1">
        <f t="shared" si="1"/>
        <v>303.70624408766264</v>
      </c>
      <c r="H30" s="2">
        <f t="shared" si="2"/>
        <v>-277534.6606377893</v>
      </c>
      <c r="I30" s="2">
        <f t="shared" si="3"/>
        <v>-1156604.1727321595</v>
      </c>
      <c r="J30" s="2">
        <f t="shared" si="4"/>
        <v>315989.5571317764</v>
      </c>
      <c r="K30" s="5">
        <f t="shared" si="5"/>
        <v>0.6358466285417744</v>
      </c>
      <c r="L30" s="6">
        <f t="shared" si="6"/>
        <v>0.028126409502131855</v>
      </c>
      <c r="M30" s="1">
        <f t="shared" si="7"/>
        <v>51.80858742801024</v>
      </c>
    </row>
    <row r="31">
      <c r="E31" s="1">
        <f>88</f>
        <v>88</v>
      </c>
      <c r="F31" s="1">
        <f t="shared" si="0"/>
        <v>547.6700000000001</v>
      </c>
      <c r="G31" s="1">
        <f t="shared" si="1"/>
        <v>304.2618007490352</v>
      </c>
      <c r="H31" s="2">
        <f t="shared" si="2"/>
        <v>-276548.536347101</v>
      </c>
      <c r="I31" s="2">
        <f t="shared" si="3"/>
        <v>-1155692.797940064</v>
      </c>
      <c r="J31" s="2">
        <f t="shared" si="4"/>
        <v>318347.6972067622</v>
      </c>
      <c r="K31" s="5">
        <f t="shared" si="5"/>
        <v>0.6563205125361343</v>
      </c>
      <c r="L31" s="6">
        <f t="shared" si="6"/>
        <v>0.02907440027628598</v>
      </c>
      <c r="M31" s="1">
        <f t="shared" si="7"/>
        <v>53.10393366073447</v>
      </c>
    </row>
    <row r="32">
      <c r="E32" s="1">
        <f>89</f>
        <v>89</v>
      </c>
      <c r="F32" s="1">
        <f t="shared" si="0"/>
        <v>548.6700000000001</v>
      </c>
      <c r="G32" s="1">
        <f t="shared" si="1"/>
        <v>304.8173574139654</v>
      </c>
      <c r="H32" s="2">
        <f t="shared" si="2"/>
        <v>-275561.7947636839</v>
      </c>
      <c r="I32" s="2">
        <f t="shared" si="3"/>
        <v>-1154791.9625958824</v>
      </c>
      <c r="J32" s="2">
        <f t="shared" si="4"/>
        <v>320715.04419075773</v>
      </c>
      <c r="K32" s="5">
        <f t="shared" si="5"/>
        <v>0.6773647024116464</v>
      </c>
      <c r="L32" s="6">
        <f t="shared" si="6"/>
        <v>0.03005168341271318</v>
      </c>
      <c r="M32" s="1">
        <f t="shared" si="7"/>
        <v>54.432358422625455</v>
      </c>
    </row>
    <row r="33">
      <c r="E33" s="1">
        <f>90</f>
        <v>90</v>
      </c>
      <c r="F33" s="1">
        <f t="shared" si="0"/>
        <v>549.6700000000001</v>
      </c>
      <c r="G33" s="1">
        <f t="shared" si="1"/>
        <v>305.3729140824706</v>
      </c>
      <c r="H33" s="2">
        <f t="shared" si="2"/>
        <v>-274574.4358874954</v>
      </c>
      <c r="I33" s="2">
        <f t="shared" si="3"/>
        <v>-1153901.6666997888</v>
      </c>
      <c r="J33" s="2">
        <f t="shared" si="4"/>
        <v>323091.59808401513</v>
      </c>
      <c r="K33" s="5">
        <f t="shared" si="5"/>
        <v>0.6989924022541174</v>
      </c>
      <c r="L33" s="6">
        <f t="shared" si="6"/>
        <v>0.03105912650143506</v>
      </c>
      <c r="M33" s="1">
        <f t="shared" si="7"/>
        <v>55.794855913019944</v>
      </c>
    </row>
    <row r="34">
      <c r="E34" s="1">
        <f>91</f>
        <v>91</v>
      </c>
      <c r="F34" s="1">
        <f t="shared" si="0"/>
        <v>550.6700000000001</v>
      </c>
      <c r="G34" s="1">
        <f t="shared" si="1"/>
        <v>305.9284707545679</v>
      </c>
      <c r="H34" s="2">
        <f t="shared" si="2"/>
        <v>-273586.4597184928</v>
      </c>
      <c r="I34" s="2">
        <f t="shared" si="3"/>
        <v>-1153021.9102519592</v>
      </c>
      <c r="J34" s="2">
        <f t="shared" si="4"/>
        <v>325477.3588867854</v>
      </c>
      <c r="K34" s="5">
        <f t="shared" si="5"/>
        <v>0.7212170518779214</v>
      </c>
      <c r="L34" s="6">
        <f t="shared" si="6"/>
        <v>0.032097624771373685</v>
      </c>
      <c r="M34" s="1">
        <f t="shared" si="7"/>
        <v>57.19245231369007</v>
      </c>
    </row>
    <row r="35">
      <c r="E35" s="1">
        <f>92</f>
        <v>92</v>
      </c>
      <c r="F35" s="1">
        <f t="shared" si="0"/>
        <v>551.6700000000001</v>
      </c>
      <c r="G35" s="1">
        <f t="shared" si="1"/>
        <v>306.4840274302749</v>
      </c>
      <c r="H35" s="2">
        <f t="shared" si="2"/>
        <v>-272597.86625663313</v>
      </c>
      <c r="I35" s="2">
        <f t="shared" si="3"/>
        <v>-1152152.693252572</v>
      </c>
      <c r="J35" s="2">
        <f t="shared" si="4"/>
        <v>327872.326599323</v>
      </c>
      <c r="K35" s="5">
        <f t="shared" si="5"/>
        <v>0.7440523295037638</v>
      </c>
      <c r="L35" s="6">
        <f t="shared" si="6"/>
        <v>0.0331681021891877</v>
      </c>
      <c r="M35" s="1">
        <f t="shared" si="7"/>
        <v>58.62620706095208</v>
      </c>
    </row>
    <row r="36">
      <c r="E36" s="1">
        <f>93</f>
        <v>93</v>
      </c>
      <c r="F36" s="1">
        <f t="shared" si="0"/>
        <v>552.6700000000001</v>
      </c>
      <c r="G36" s="1">
        <f t="shared" si="1"/>
        <v>307.03958410960905</v>
      </c>
      <c r="H36" s="2">
        <f t="shared" si="2"/>
        <v>-271608.6555018733</v>
      </c>
      <c r="I36" s="2">
        <f t="shared" si="3"/>
        <v>-1151294.0157018048</v>
      </c>
      <c r="J36" s="2">
        <f t="shared" si="4"/>
        <v>330276.50122188317</v>
      </c>
      <c r="K36" s="5">
        <f t="shared" si="5"/>
        <v>0.767512154439875</v>
      </c>
      <c r="L36" s="6">
        <f t="shared" si="6"/>
        <v>0.034271512614003484</v>
      </c>
      <c r="M36" s="1">
        <f t="shared" si="7"/>
        <v>60.09721418231513</v>
      </c>
    </row>
  </sheetData>
  <pageMargins left="0.7" right="0.7" top="0.75" bottom="0.75" header="0.3" footer="0.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P26"/>
  <sheetViews>
    <sheetView workbookViewId="0"/>
  </sheetViews>
  <sheetFormatPr defaultRowHeight="15"/>
  <cols>
    <col min="1" max="1" width="13.6666898727417" customWidth="1"/>
    <col min="2" max="2" width="11.134364128112793" customWidth="1"/>
    <col min="3" max="3" width="9.768630027770996" customWidth="1"/>
    <col min="4" max="4" width="9.140625" customWidth="1"/>
    <col min="5" max="5" width="9.140625" customWidth="1" style="7"/>
    <col min="6" max="6" width="9.140625" customWidth="1" style="7"/>
    <col min="7" max="7" width="9.140625" customWidth="1" style="7"/>
    <col min="8" max="8" width="9.502785682678223" customWidth="1" style="11"/>
    <col min="9" max="9" width="11.221824645996094" customWidth="1" style="11"/>
    <col min="10" max="10" width="9.140625" customWidth="1" style="11"/>
    <col min="11" max="11" width="9.140625" customWidth="1" style="12"/>
    <col min="12" max="12" width="9.140625" customWidth="1" style="13"/>
    <col min="13" max="13" width="9.140625" customWidth="1" style="7"/>
    <col min="14" max="14" width="9.140625" customWidth="1" style="7"/>
    <col min="15" max="15" width="9.140625" customWidth="1" style="15"/>
    <col min="16" max="16" width="12.838656425476074" customWidth="1" style="15"/>
  </cols>
  <sheetData>
    <row r="1">
      <c r="A1" s="0" t="s">
        <v>0</v>
      </c>
      <c r="B1" s="8">
        <f>1167.0521452767</f>
        <v>1167.0521452767</v>
      </c>
      <c r="C1" s="0" t="s">
        <v>1</v>
      </c>
      <c r="E1" s="7" t="s">
        <v>2</v>
      </c>
      <c r="F1" s="7" t="s">
        <v>3</v>
      </c>
      <c r="G1" s="7" t="s">
        <v>4</v>
      </c>
      <c r="H1" s="11" t="s">
        <v>5</v>
      </c>
      <c r="I1" s="11" t="s">
        <v>6</v>
      </c>
      <c r="J1" s="11" t="s">
        <v>7</v>
      </c>
      <c r="K1" s="12" t="s">
        <v>8</v>
      </c>
      <c r="L1" s="13" t="s">
        <v>9</v>
      </c>
      <c r="M1" s="7" t="s">
        <v>10</v>
      </c>
      <c r="N1" s="7" t="s">
        <v>11</v>
      </c>
      <c r="O1" s="15" t="s">
        <v>12</v>
      </c>
      <c r="P1" s="15" t="s">
        <v>13</v>
      </c>
    </row>
    <row r="2">
      <c r="A2" s="0" t="s">
        <v>14</v>
      </c>
      <c r="B2" s="8">
        <f>-724213.16703206</f>
        <v>-724213.16703206</v>
      </c>
      <c r="C2" s="0" t="s">
        <v>1</v>
      </c>
      <c r="E2" s="7" t="s">
        <v>15</v>
      </c>
      <c r="F2" s="7" t="s">
        <v>16</v>
      </c>
      <c r="G2" s="7" t="s">
        <v>1</v>
      </c>
      <c r="H2" s="11" t="s">
        <v>1</v>
      </c>
      <c r="I2" s="11" t="s">
        <v>1</v>
      </c>
      <c r="J2" s="11" t="s">
        <v>1</v>
      </c>
      <c r="K2" s="12" t="s">
        <v>17</v>
      </c>
      <c r="L2" s="13" t="s">
        <v>1</v>
      </c>
      <c r="M2" s="7" t="s">
        <v>18</v>
      </c>
      <c r="N2" s="7" t="s">
        <v>18</v>
      </c>
      <c r="O2" s="15" t="s">
        <v>18</v>
      </c>
      <c r="P2" s="15" t="s">
        <v>19</v>
      </c>
    </row>
    <row r="3">
      <c r="A3" s="0" t="s">
        <v>20</v>
      </c>
      <c r="B3" s="9">
        <f>-17.073846940092</f>
        <v>-17.073846940092</v>
      </c>
      <c r="C3" s="0" t="s">
        <v>1</v>
      </c>
      <c r="E3" s="7">
        <f>70</f>
        <v>70</v>
      </c>
      <c r="F3" s="7">
        <f>E3+459.67</f>
        <v>529.6700000000001</v>
      </c>
      <c r="G3" s="7">
        <f>$B$11*(F3/1)+$B$9/($B$11*(F3/1)-$B$10)</f>
        <v>294.26178137251543</v>
      </c>
      <c r="H3" s="11">
        <f>G3*G3+$B$1*G3+$B$2</f>
        <v>-294204.3278317965</v>
      </c>
      <c r="I3" s="11">
        <f>$B$3*G3*G3+$B$4*G3+$B$5</f>
        <v>-1173710.0795641288</v>
      </c>
      <c r="J3" s="11">
        <f>$B$6*G3*G3+$B$7*G3+$B$8</f>
        <v>277309.83270038833</v>
      </c>
      <c r="K3" s="12">
        <f>145.03774*((2*J3)/(-I3+SQRT(I3*I3-4*H3*J3)))^4</f>
        <v>0.36334061240867743</v>
      </c>
      <c r="L3" s="13">
        <f>0.621945*K3/($B$12-K3)</f>
        <v>0.015766639747272444</v>
      </c>
      <c r="M3" s="7">
        <f>0.24*E3+L3*(1061+0.444*E3)</f>
        <v>34.01843193520129</v>
      </c>
      <c r="N3" s="7">
        <f>$B$18*F3+$B$19</f>
        <v>32.9247427058732</v>
      </c>
      <c r="O3" s="15">
        <f>N3-M3</f>
        <v>-1.093689229328092</v>
      </c>
      <c r="P3" s="15">
        <f>(O3/M3)*100</f>
        <v>-3.214990130677875</v>
      </c>
    </row>
    <row r="4">
      <c r="A4" s="0" t="s">
        <v>21</v>
      </c>
      <c r="B4" s="8">
        <f>12020.824702470</f>
        <v>12020.82470247</v>
      </c>
      <c r="C4" s="0" t="s">
        <v>1</v>
      </c>
      <c r="E4" s="7">
        <f>71</f>
        <v>71</v>
      </c>
      <c r="F4" s="7">
        <f>E4+459.67</f>
        <v>530.6700000000001</v>
      </c>
      <c r="G4" s="7">
        <f>$B$11*(F4/1)+$B$9/($B$11*(F4/1)-$B$10)</f>
        <v>294.8173379759346</v>
      </c>
      <c r="H4" s="11">
        <f>G4*G4+$B$1*G4+$B$2</f>
        <v>-293228.69751126313</v>
      </c>
      <c r="I4" s="11">
        <f>$B$3*G4*G4+$B$4*G4+$B$5</f>
        <v>-1172619.5341832454</v>
      </c>
      <c r="J4" s="11">
        <f>$B$6*G4*G4+$B$7*G4+$B$8</f>
        <v>279511.4553590285</v>
      </c>
      <c r="K4" s="12">
        <f>145.03774*((2*J4)/(-I4+SQRT(I4*I4-4*H4*J4)))^4</f>
        <v>0.3759239743005443</v>
      </c>
      <c r="L4" s="13">
        <f>0.621945*K4/($B$12-K4)</f>
        <v>0.01632701081871051</v>
      </c>
      <c r="M4" s="7">
        <f>0.24*E4+L4*(1061+0.444*E4)</f>
        <v>34.877651167700876</v>
      </c>
      <c r="N4" s="7">
        <f>$B$18*F4+$B$19</f>
        <v>34.05237065351855</v>
      </c>
      <c r="O4" s="15">
        <f>N4-M4</f>
        <v>-0.8252805141823245</v>
      </c>
      <c r="P4" s="15">
        <f>(O4/M4)*100</f>
        <v>-2.3662158618828997</v>
      </c>
    </row>
    <row r="5">
      <c r="A5" s="0" t="s">
        <v>22</v>
      </c>
      <c r="B5" s="8">
        <f>-3232555.0322333</f>
        <v>-3232555.0322333</v>
      </c>
      <c r="C5" s="0" t="s">
        <v>1</v>
      </c>
      <c r="E5" s="7">
        <f>72</f>
        <v>72</v>
      </c>
      <c r="F5" s="7">
        <f>E5+459.67</f>
        <v>531.6700000000001</v>
      </c>
      <c r="G5" s="7">
        <f>$B$11*(F5/1)+$B$9/($B$11*(F5/1)-$B$10)</f>
        <v>295.3728945826354</v>
      </c>
      <c r="H5" s="11">
        <f>G5*G5+$B$1*G5+$B$2</f>
        <v>-292252.44989868207</v>
      </c>
      <c r="I5" s="11">
        <f>$B$3*G5*G5+$B$4*G5+$B$5</f>
        <v>-1171539.5282474628</v>
      </c>
      <c r="J5" s="11">
        <f>$B$6*G5*G5+$B$7*G5+$B$8</f>
        <v>281722.28492265526</v>
      </c>
      <c r="K5" s="12">
        <f>145.03774*((2*J5)/(-I5+SQRT(I5*I5-4*H5*J5)))^4</f>
        <v>0.3888866691319771</v>
      </c>
      <c r="L5" s="13">
        <f>0.621945*K5/($B$12-K5)</f>
        <v>0.01690530534286425</v>
      </c>
      <c r="M5" s="7">
        <f>0.24*E5+L5*(1061+0.444*E5)</f>
        <v>35.75695776997966</v>
      </c>
      <c r="N5" s="7">
        <f>$B$18*F5+$B$19</f>
        <v>35.179998601164016</v>
      </c>
      <c r="O5" s="15">
        <f>N5-M5</f>
        <v>-0.576959168815641</v>
      </c>
      <c r="P5" s="15">
        <f>(O5/M5)*100</f>
        <v>-1.6135577655323814</v>
      </c>
    </row>
    <row r="6">
      <c r="A6" s="0" t="s">
        <v>23</v>
      </c>
      <c r="B6" s="9">
        <f>14.915108613530</f>
        <v>14.91510861353</v>
      </c>
      <c r="C6" s="0" t="s">
        <v>1</v>
      </c>
      <c r="E6" s="7">
        <f>73</f>
        <v>73</v>
      </c>
      <c r="F6" s="7">
        <f>E6+459.67</f>
        <v>532.6700000000001</v>
      </c>
      <c r="G6" s="7">
        <f>$B$11*(F6/1)+$B$9/($B$11*(F6/1)-$B$10)</f>
        <v>295.9284511926331</v>
      </c>
      <c r="H6" s="11">
        <f>G6*G6+$B$1*G6+$B$2</f>
        <v>-291275.5849940157</v>
      </c>
      <c r="I6" s="11">
        <f>$B$3*G6*G6+$B$4*G6+$B$5</f>
        <v>-1170470.0617569387</v>
      </c>
      <c r="J6" s="11">
        <f>$B$6*G6*G6+$B$7*G6+$B$8</f>
        <v>283942.32139149244</v>
      </c>
      <c r="K6" s="12">
        <f>145.03774*((2*J6)/(-I6+SQRT(I6*I6-4*H6*J6)))^4</f>
        <v>0.4022382980467902</v>
      </c>
      <c r="L6" s="13">
        <f>0.621945*K6/($B$12-K6)</f>
        <v>0.01750204764114164</v>
      </c>
      <c r="M6" s="7">
        <f>0.24*E6+L6*(1061+0.444*E6)</f>
        <v>36.65694891539596</v>
      </c>
      <c r="N6" s="7">
        <f>$B$18*F6+$B$19</f>
        <v>36.30762654880937</v>
      </c>
      <c r="O6" s="15">
        <f>N6-M6</f>
        <v>-0.3493223665865912</v>
      </c>
      <c r="P6" s="15">
        <f>(O6/M6)*100</f>
        <v>-0.9529499233360239</v>
      </c>
    </row>
    <row r="7">
      <c r="A7" s="0" t="s">
        <v>24</v>
      </c>
      <c r="B7" s="8">
        <f>-4823.2657361591</f>
        <v>-4823.2657361591</v>
      </c>
      <c r="C7" s="0" t="s">
        <v>1</v>
      </c>
      <c r="E7" s="7">
        <f>74</f>
        <v>74</v>
      </c>
      <c r="F7" s="7">
        <f>E7+459.67</f>
        <v>533.6700000000001</v>
      </c>
      <c r="G7" s="7">
        <f>$B$11*(F7/1)+$B$9/($B$11*(F7/1)-$B$10)</f>
        <v>296.48400780594324</v>
      </c>
      <c r="H7" s="11">
        <f>G7*G7+$B$1*G7+$B$2</f>
        <v>-290298.10279722547</v>
      </c>
      <c r="I7" s="11">
        <f>$B$3*G7*G7+$B$4*G7+$B$5</f>
        <v>-1169411.1347118318</v>
      </c>
      <c r="J7" s="11">
        <f>$B$6*G7*G7+$B$7*G7+$B$8</f>
        <v>286171.5647657668</v>
      </c>
      <c r="K7" s="12">
        <f>145.03774*((2*J7)/(-I7+SQRT(I7*I7-4*H7*J7)))^4</f>
        <v>0.41598865330224527</v>
      </c>
      <c r="L7" s="13">
        <f>0.621945*K7/($B$12-K7)</f>
        <v>0.018117777128930243</v>
      </c>
      <c r="M7" s="7">
        <f>0.24*E7+L7*(1061+0.444*E7)</f>
        <v>37.578239219143114</v>
      </c>
      <c r="N7" s="7">
        <f>$B$18*F7+$B$19</f>
        <v>37.43525449645472</v>
      </c>
      <c r="O7" s="15">
        <f>N7-M7</f>
        <v>-0.14298472268839646</v>
      </c>
      <c r="P7" s="15">
        <f>(O7/M7)*100</f>
        <v>-0.3804987292101679</v>
      </c>
    </row>
    <row r="8">
      <c r="A8" s="0" t="s">
        <v>25</v>
      </c>
      <c r="B8" s="8">
        <f>405113.40542057</f>
        <v>405113.40542057</v>
      </c>
      <c r="C8" s="0" t="s">
        <v>1</v>
      </c>
      <c r="E8" s="7">
        <f>75</f>
        <v>75</v>
      </c>
      <c r="F8" s="7">
        <f>E8+459.67</f>
        <v>534.6700000000001</v>
      </c>
      <c r="G8" s="7">
        <f>$B$11*(F8/1)+$B$9/($B$11*(F8/1)-$B$10)</f>
        <v>297.0395644225816</v>
      </c>
      <c r="H8" s="11">
        <f>G8*G8+$B$1*G8+$B$2</f>
        <v>-289320.0033082727</v>
      </c>
      <c r="I8" s="11">
        <f>$B$3*G8*G8+$B$4*G8+$B$5</f>
        <v>-1168362.7471123</v>
      </c>
      <c r="J8" s="11">
        <f>$B$6*G8*G8+$B$7*G8+$B$8</f>
        <v>288410.0150457067</v>
      </c>
      <c r="K8" s="12">
        <f>145.03774*((2*J8)/(-I8+SQRT(I8*I8-4*H8*J8)))^4</f>
        <v>0.4301477208289944</v>
      </c>
      <c r="L8" s="13">
        <f>0.621945*K8/($B$12-K8)</f>
        <v>0.0187530488186532</v>
      </c>
      <c r="M8" s="7">
        <f>0.24*E8+L8*(1061+0.444*E8)</f>
        <v>38.52146132225219</v>
      </c>
      <c r="N8" s="7">
        <f>$B$18*F8+$B$19</f>
        <v>38.56288244410007</v>
      </c>
      <c r="O8" s="15">
        <f>N8-M8</f>
        <v>0.0414211218478755</v>
      </c>
      <c r="P8" s="15">
        <f>(O8/M8)*100</f>
        <v>0.10752738973572712</v>
      </c>
    </row>
    <row r="9">
      <c r="A9" s="0" t="s">
        <v>26</v>
      </c>
      <c r="B9" s="10">
        <f>-0.23855557567849</f>
        <v>-0.23855557567849</v>
      </c>
      <c r="C9" s="0" t="s">
        <v>1</v>
      </c>
      <c r="E9" s="7">
        <f>76</f>
        <v>76</v>
      </c>
      <c r="F9" s="7">
        <f>E9+459.67</f>
        <v>535.6700000000001</v>
      </c>
      <c r="G9" s="7">
        <f>$B$11*(F9/1)+$B$9/($B$11*(F9/1)-$B$10)</f>
        <v>297.59512104256373</v>
      </c>
      <c r="H9" s="11">
        <f>G9*G9+$B$1*G9+$B$2</f>
        <v>-288341.28652711865</v>
      </c>
      <c r="I9" s="11">
        <f>$B$3*G9*G9+$B$4*G9+$B$5</f>
        <v>-1167324.8989585042</v>
      </c>
      <c r="J9" s="11">
        <f>$B$6*G9*G9+$B$7*G9+$B$8</f>
        <v>290657.6722315406</v>
      </c>
      <c r="K9" s="12">
        <f>145.03774*((2*J9)/(-I9+SQRT(I9*I9-4*H9*J9)))^4</f>
        <v>0.44472568280090535</v>
      </c>
      <c r="L9" s="13">
        <f>0.621945*K9/($B$12-K9)</f>
        <v>0.01940843384481075</v>
      </c>
      <c r="M9" s="7">
        <f>0.24*E9+L9*(1061+0.444*E9)</f>
        <v>39.487266501003496</v>
      </c>
      <c r="N9" s="7">
        <f>$B$18*F9+$B$19</f>
        <v>39.69051039174542</v>
      </c>
      <c r="O9" s="15">
        <f>N9-M9</f>
        <v>0.2032438907419234</v>
      </c>
      <c r="P9" s="15">
        <f>(O9/M9)*100</f>
        <v>0.5147074202686538</v>
      </c>
    </row>
    <row r="10">
      <c r="A10" s="0" t="s">
        <v>27</v>
      </c>
      <c r="B10" s="8">
        <f>650.17534844798</f>
        <v>650.17534844798</v>
      </c>
      <c r="C10" s="0" t="s">
        <v>1</v>
      </c>
      <c r="E10" s="7">
        <f>77</f>
        <v>77</v>
      </c>
      <c r="F10" s="7">
        <f>E10+459.67</f>
        <v>536.6700000000001</v>
      </c>
      <c r="G10" s="7">
        <f>$B$11*(F10/1)+$B$9/($B$11*(F10/1)-$B$10)</f>
        <v>298.15067766590556</v>
      </c>
      <c r="H10" s="11">
        <f>G10*G10+$B$1*G10+$B$2</f>
        <v>-287361.95245372434</v>
      </c>
      <c r="I10" s="11">
        <f>$B$3*G10*G10+$B$4*G10+$B$5</f>
        <v>-1166297.5902506055</v>
      </c>
      <c r="J10" s="11">
        <f>$B$6*G10*G10+$B$7*G10+$B$8</f>
        <v>292914.53632349946</v>
      </c>
      <c r="K10" s="12">
        <f>145.03774*((2*J10)/(-I10+SQRT(I10*I10-4*H10*J10)))^4</f>
        <v>0.45973292021446627</v>
      </c>
      <c r="L10" s="13">
        <f>0.621945*K10/($B$12-K10)</f>
        <v>0.020084520012186628</v>
      </c>
      <c r="M10" s="7">
        <f>0.24*E10+L10*(1061+0.444*E10)</f>
        <v>40.47632530310665</v>
      </c>
      <c r="N10" s="7">
        <f>$B$18*F10+$B$19</f>
        <v>40.81813833939077</v>
      </c>
      <c r="O10" s="15">
        <f>N10-M10</f>
        <v>0.3418130362841225</v>
      </c>
      <c r="P10" s="15">
        <f>(O10/M10)*100</f>
        <v>0.8444764531475085</v>
      </c>
    </row>
    <row r="11">
      <c r="A11" s="0" t="s">
        <v>28</v>
      </c>
      <c r="B11" s="10">
        <f>0.55555555555556</f>
        <v>0.55555555555556</v>
      </c>
      <c r="C11" s="0" t="s">
        <v>1</v>
      </c>
      <c r="E11" s="7">
        <f>78</f>
        <v>78</v>
      </c>
      <c r="F11" s="7">
        <f>E11+459.67</f>
        <v>537.6700000000001</v>
      </c>
      <c r="G11" s="7">
        <f>$B$11*(F11/1)+$B$9/($B$11*(F11/1)-$B$10)</f>
        <v>298.70623429262304</v>
      </c>
      <c r="H11" s="11">
        <f>G11*G11+$B$1*G11+$B$2</f>
        <v>-286382.0010880503</v>
      </c>
      <c r="I11" s="11">
        <f>$B$3*G11*G11+$B$4*G11+$B$5</f>
        <v>-1165280.8209887666</v>
      </c>
      <c r="J11" s="11">
        <f>$B$6*G11*G11+$B$7*G11+$B$8</f>
        <v>295180.6073218156</v>
      </c>
      <c r="K11" s="12">
        <f>145.03774*((2*J11)/(-I11+SQRT(I11*I11-4*H11*J11)))^4</f>
        <v>0.47518001547733985</v>
      </c>
      <c r="L11" s="13">
        <f>0.621945*K11/($B$12-K11)</f>
        <v>0.020781912368464182</v>
      </c>
      <c r="M11" s="7">
        <f>0.24*E11+L11*(1061+0.444*E11)</f>
        <v>41.48932821208515</v>
      </c>
      <c r="N11" s="7">
        <f>$B$18*F11+$B$19</f>
        <v>41.94576628703612</v>
      </c>
      <c r="O11" s="15">
        <f>N11-M11</f>
        <v>0.45643807495097377</v>
      </c>
      <c r="P11" s="15">
        <f>(O11/M11)*100</f>
        <v>1.1001336840590756</v>
      </c>
    </row>
    <row r="12">
      <c r="A12" s="0" t="s">
        <v>29</v>
      </c>
      <c r="B12" s="9">
        <f>14.696</f>
        <v>14.696</v>
      </c>
      <c r="C12" s="0" t="s">
        <v>17</v>
      </c>
      <c r="E12" s="7">
        <f>79</f>
        <v>79</v>
      </c>
      <c r="F12" s="7">
        <f>E12+459.67</f>
        <v>538.6700000000001</v>
      </c>
      <c r="G12" s="7">
        <f>$B$11*(F12/1)+$B$9/($B$11*(F12/1)-$B$10)</f>
        <v>299.2617909227322</v>
      </c>
      <c r="H12" s="11">
        <f>G12*G12+$B$1*G12+$B$2</f>
        <v>-285401.4324300571</v>
      </c>
      <c r="I12" s="11">
        <f>$B$3*G12*G12+$B$4*G12+$B$5</f>
        <v>-1164274.5911731494</v>
      </c>
      <c r="J12" s="11">
        <f>$B$6*G12*G12+$B$7*G12+$B$8</f>
        <v>297455.88522672286</v>
      </c>
      <c r="K12" s="12">
        <f>145.03774*((2*J12)/(-I12+SQRT(I12*I12-4*H12*J12)))^4</f>
        <v>0.49107775500574385</v>
      </c>
      <c r="L12" s="13">
        <f>0.621945*K12/($B$12-K12)</f>
        <v>0.021501233802576923</v>
      </c>
      <c r="M12" s="7">
        <f>0.24*E12+L12*(1061+0.444*E12)</f>
        <v>42.526986341393304</v>
      </c>
      <c r="N12" s="7">
        <f>$B$18*F12+$B$19</f>
        <v>43.07339423468159</v>
      </c>
      <c r="O12" s="15">
        <f>N12-M12</f>
        <v>0.5464078932882828</v>
      </c>
      <c r="P12" s="15">
        <f>(O12/M12)*100</f>
        <v>1.2848497866787258</v>
      </c>
    </row>
    <row r="13">
      <c r="A13" s="0" t="s">
        <v>30</v>
      </c>
      <c r="B13" s="8">
        <f>SUM(F3:F26)</f>
        <v>12988.080000000002</v>
      </c>
      <c r="C13" s="0" t="s">
        <v>16</v>
      </c>
      <c r="E13" s="7">
        <f>80</f>
        <v>80</v>
      </c>
      <c r="F13" s="7">
        <f>E13+459.67</f>
        <v>539.6700000000001</v>
      </c>
      <c r="G13" s="7">
        <f>$B$11*(F13/1)+$B$9/($B$11*(F13/1)-$B$10)</f>
        <v>299.8173475562491</v>
      </c>
      <c r="H13" s="11">
        <f>G13*G13+$B$1*G13+$B$2</f>
        <v>-284420.2464797048</v>
      </c>
      <c r="I13" s="11">
        <f>$B$3*G13*G13+$B$4*G13+$B$5</f>
        <v>-1163278.9008039194</v>
      </c>
      <c r="J13" s="11">
        <f>$B$6*G13*G13+$B$7*G13+$B$8</f>
        <v>299740.3700384554</v>
      </c>
      <c r="K13" s="12">
        <f>145.03774*((2*J13)/(-I13+SQRT(I13*I13-4*H13*J13)))^4</f>
        <v>0.5074371318302645</v>
      </c>
      <c r="L13" s="13">
        <f>0.621945*K13/($B$12-K13)</f>
        <v>0.02224312567019585</v>
      </c>
      <c r="M13" s="7">
        <f>0.24*E13+L13*(1061+0.444*E13)</f>
        <v>43.59003215988315</v>
      </c>
      <c r="N13" s="7">
        <f>$B$18*F13+$B$19</f>
        <v>44.20102218232694</v>
      </c>
      <c r="O13" s="15">
        <f>N13-M13</f>
        <v>0.6109900224437865</v>
      </c>
      <c r="P13" s="15">
        <f>(O13/M13)*100</f>
        <v>1.4016737133910488</v>
      </c>
    </row>
    <row r="14">
      <c r="A14" s="0" t="s">
        <v>31</v>
      </c>
      <c r="B14" s="8">
        <f>SUM(M3:M26)</f>
        <v>1101.4191384910785</v>
      </c>
      <c r="C14" s="0" t="s">
        <v>18</v>
      </c>
      <c r="E14" s="7">
        <f>81</f>
        <v>81</v>
      </c>
      <c r="F14" s="7">
        <f>E14+459.67</f>
        <v>540.6700000000001</v>
      </c>
      <c r="G14" s="7">
        <f>$B$11*(F14/1)+$B$9/($B$11*(F14/1)-$B$10)</f>
        <v>300.37290419319004</v>
      </c>
      <c r="H14" s="11">
        <f>G14*G14+$B$1*G14+$B$2</f>
        <v>-283438.4432369535</v>
      </c>
      <c r="I14" s="11">
        <f>$B$3*G14*G14+$B$4*G14+$B$5</f>
        <v>-1162293.7498812415</v>
      </c>
      <c r="J14" s="11">
        <f>$B$6*G14*G14+$B$7*G14+$B$8</f>
        <v>302034.061757251</v>
      </c>
      <c r="K14" s="12">
        <f>145.03774*((2*J14)/(-I14+SQRT(I14*I14-4*H14*J14)))^4</f>
        <v>0.524269348209784</v>
      </c>
      <c r="L14" s="13">
        <f>0.621945*K14/($B$12-K14)</f>
        <v>0.023008248447845315</v>
      </c>
      <c r="M14" s="7">
        <f>0.24*E14+L14*(1061+0.444*E14)</f>
        <v>44.67922025034218</v>
      </c>
      <c r="N14" s="7">
        <f>$B$18*F14+$B$19</f>
        <v>45.32865012997229</v>
      </c>
      <c r="O14" s="15">
        <f>N14-M14</f>
        <v>0.6494298796301052</v>
      </c>
      <c r="P14" s="15">
        <f>(O14/M14)*100</f>
        <v>1.45353897402704</v>
      </c>
    </row>
    <row r="15">
      <c r="A15" s="0" t="s">
        <v>32</v>
      </c>
      <c r="B15" s="9">
        <f>24</f>
        <v>24</v>
      </c>
      <c r="C15" s="0" t="s">
        <v>1</v>
      </c>
      <c r="E15" s="7">
        <f>82</f>
        <v>82</v>
      </c>
      <c r="F15" s="7">
        <f>E15+459.67</f>
        <v>541.6700000000001</v>
      </c>
      <c r="G15" s="7">
        <f>$B$11*(F15/1)+$B$9/($B$11*(F15/1)-$B$10)</f>
        <v>300.92846083357136</v>
      </c>
      <c r="H15" s="11">
        <f>G15*G15+$B$1*G15+$B$2</f>
        <v>-282456.02270176285</v>
      </c>
      <c r="I15" s="11">
        <f>$B$3*G15*G15+$B$4*G15+$B$5</f>
        <v>-1161319.1384052825</v>
      </c>
      <c r="J15" s="11">
        <f>$B$6*G15*G15+$B$7*G15+$B$8</f>
        <v>304336.9603833468</v>
      </c>
      <c r="K15" s="12">
        <f>145.03774*((2*J15)/(-I15+SQRT(I15*I15-4*H15*J15)))^4</f>
        <v>0.5415858182530617</v>
      </c>
      <c r="L15" s="13">
        <f>0.621945*K15/($B$12-K15)</f>
        <v>0.023797282417224567</v>
      </c>
      <c r="M15" s="7">
        <f>0.24*E15+L15*(1061+0.444*E15)</f>
        <v>45.79532810292157</v>
      </c>
      <c r="N15" s="7">
        <f>$B$18*F15+$B$19</f>
        <v>46.45627807761764</v>
      </c>
      <c r="O15" s="15">
        <f>N15-M15</f>
        <v>0.6609499746960665</v>
      </c>
      <c r="P15" s="15">
        <f>(O15/M15)*100</f>
        <v>1.4432694383379696</v>
      </c>
    </row>
    <row r="16">
      <c r="A16" s="0" t="s">
        <v>33</v>
      </c>
      <c r="B16" s="8">
        <f>SUM(F3*F3,F4*F4,F5*F5,F6*F6,F7*F7,F8*F8,F9*F9,F10*F10,F11*F11,F12*F12,F13*F13,F14*F14,F15*F15,F16*F16,F17*F17,F18*F18,F19*F19,F20*F20,F21*F21,F22*F22,F23*F23,F24*F24,F25*F25,F26*F26)</f>
        <v>7029909.253600002</v>
      </c>
      <c r="C16" s="0" t="s">
        <v>34</v>
      </c>
      <c r="E16" s="7">
        <f>83</f>
        <v>83</v>
      </c>
      <c r="F16" s="7">
        <f>E16+459.67</f>
        <v>542.6700000000001</v>
      </c>
      <c r="G16" s="7">
        <f>$B$11*(F16/1)+$B$9/($B$11*(F16/1)-$B$10)</f>
        <v>301.48401747740945</v>
      </c>
      <c r="H16" s="11">
        <f>G16*G16+$B$1*G16+$B$2</f>
        <v>-281472.9848740922</v>
      </c>
      <c r="I16" s="11">
        <f>$B$3*G16*G16+$B$4*G16+$B$5</f>
        <v>-1160355.0663762088</v>
      </c>
      <c r="J16" s="11">
        <f>$B$6*G16*G16+$B$7*G16+$B$8</f>
        <v>306649.06591698324</v>
      </c>
      <c r="K16" s="12">
        <f>145.03774*((2*J16)/(-I16+SQRT(I16*I16-4*H16*J16)))^4</f>
        <v>0.5593981705476998</v>
      </c>
      <c r="L16" s="13">
        <f>0.621945*K16/($B$12-K16)</f>
        <v>0.024610928381419126</v>
      </c>
      <c r="M16" s="7">
        <f>0.24*E16+L16*(1061+0.444*E16)</f>
        <v>46.939156945397755</v>
      </c>
      <c r="N16" s="7">
        <f>$B$18*F16+$B$19</f>
        <v>47.58390602526299</v>
      </c>
      <c r="O16" s="15">
        <f>N16-M16</f>
        <v>0.6447490798652353</v>
      </c>
      <c r="P16" s="15">
        <f>(O16/M16)*100</f>
        <v>1.3735847037373157</v>
      </c>
    </row>
    <row r="17">
      <c r="A17" s="0" t="s">
        <v>35</v>
      </c>
      <c r="B17" s="8">
        <f>SUM(F3*M3,F4*M4,F5*M5,F6*M6,F7*M7,F8*M8,F9*M9,F10*M10,F11*M11,F12*M12,F13*M13,F14*M14,F15*M15,F16*M16,F17*M17,F18*M18,F19*M19,F20*M20,F21*M21,F22*M22,F23*M23,F24*M24,F25*M25,F26*M26)</f>
        <v>597351.7673170106</v>
      </c>
      <c r="C17" s="0" t="s">
        <v>36</v>
      </c>
      <c r="E17" s="7">
        <f>84</f>
        <v>84</v>
      </c>
      <c r="F17" s="7">
        <f>E17+459.67</f>
        <v>543.6700000000001</v>
      </c>
      <c r="G17" s="7">
        <f>$B$11*(F17/1)+$B$9/($B$11*(F17/1)-$B$10)</f>
        <v>302.03957412472096</v>
      </c>
      <c r="H17" s="11">
        <f>G17*G17+$B$1*G17+$B$2</f>
        <v>-280489.32975390076</v>
      </c>
      <c r="I17" s="11">
        <f>$B$3*G17*G17+$B$4*G17+$B$5</f>
        <v>-1159401.5337941898</v>
      </c>
      <c r="J17" s="11">
        <f>$B$6*G17*G17+$B$7*G17+$B$8</f>
        <v>308970.3783584007</v>
      </c>
      <c r="K17" s="12">
        <f>145.03774*((2*J17)/(-I17+SQRT(I17*I17-4*H17*J17)))^4</f>
        <v>0.5777182507960082</v>
      </c>
      <c r="L17" s="13">
        <f>0.621945*K17/($B$12-K17)</f>
        <v>0.025449908414781543</v>
      </c>
      <c r="M17" s="7">
        <f>0.24*E17+L17*(1061+0.444*E17)</f>
        <v>48.111532612320914</v>
      </c>
      <c r="N17" s="7">
        <f>$B$18*F17+$B$19</f>
        <v>48.71153397290834</v>
      </c>
      <c r="O17" s="15">
        <f>N17-M17</f>
        <v>0.6000013605874273</v>
      </c>
      <c r="P17" s="15">
        <f>(O17/M17)*100</f>
        <v>1.2471050661017031</v>
      </c>
    </row>
    <row r="18">
      <c r="A18" s="0" t="s">
        <v>37</v>
      </c>
      <c r="B18" s="14">
        <f>($B$15*$B$17-$B$13*$B$14)/($B$15*$B$16-$B$13*$B$13)</f>
        <v>1.127627947645367</v>
      </c>
      <c r="C18" s="0" t="s">
        <v>38</v>
      </c>
      <c r="E18" s="7">
        <f>85</f>
        <v>85</v>
      </c>
      <c r="F18" s="7">
        <f>E18+459.67</f>
        <v>544.6700000000001</v>
      </c>
      <c r="G18" s="7">
        <f>$B$11*(F18/1)+$B$9/($B$11*(F18/1)-$B$10)</f>
        <v>302.5951307755225</v>
      </c>
      <c r="H18" s="11">
        <f>G18*G18+$B$1*G18+$B$2</f>
        <v>-279505.05734114733</v>
      </c>
      <c r="I18" s="11">
        <f>$B$3*G18*G18+$B$4*G18+$B$5</f>
        <v>-1158458.5406593943</v>
      </c>
      <c r="J18" s="11">
        <f>$B$6*G18*G18+$B$7*G18+$B$8</f>
        <v>311300.89770784235</v>
      </c>
      <c r="K18" s="12">
        <f>145.03774*((2*J18)/(-I18+SQRT(I18*I18-4*H18*J18)))^4</f>
        <v>0.5965581244575</v>
      </c>
      <c r="L18" s="13">
        <f>0.621945*K18/($B$12-K18)</f>
        <v>0.026314966648383304</v>
      </c>
      <c r="M18" s="7">
        <f>0.24*E18+L18*(1061+0.444*E18)</f>
        <v>49.31330645524467</v>
      </c>
      <c r="N18" s="7">
        <f>$B$18*F18+$B$19</f>
        <v>49.83916192055369</v>
      </c>
      <c r="O18" s="15">
        <f>N18-M18</f>
        <v>0.5258554653090215</v>
      </c>
      <c r="P18" s="15">
        <f>(O18/M18)*100</f>
        <v>1.066356128008315</v>
      </c>
    </row>
    <row r="19">
      <c r="A19" s="0" t="s">
        <v>39</v>
      </c>
      <c r="B19" s="8">
        <f>($B$14-$B$18*$B$13)/$B$15</f>
        <v>-564.3459523234484</v>
      </c>
      <c r="C19" s="0" t="s">
        <v>18</v>
      </c>
      <c r="E19" s="7">
        <f>86</f>
        <v>86</v>
      </c>
      <c r="F19" s="7">
        <f>E19+459.67</f>
        <v>545.6700000000001</v>
      </c>
      <c r="G19" s="7">
        <f>$B$11*(F19/1)+$B$9/($B$11*(F19/1)-$B$10)</f>
        <v>303.1506874298307</v>
      </c>
      <c r="H19" s="11">
        <f>G19*G19+$B$1*G19+$B$2</f>
        <v>-278520.16763579077</v>
      </c>
      <c r="I19" s="11">
        <f>$B$3*G19*G19+$B$4*G19+$B$5</f>
        <v>-1157526.0869719936</v>
      </c>
      <c r="J19" s="11">
        <f>$B$6*G19*G19+$B$7*G19+$B$8</f>
        <v>313640.62396555237</v>
      </c>
      <c r="K19" s="12">
        <f>145.03774*((2*J19)/(-I19+SQRT(I19*I19-4*H19*J19)))^4</f>
        <v>0.6159300793975296</v>
      </c>
      <c r="L19" s="13">
        <f>0.621945*K19/($B$12-K19)</f>
        <v>0.027206870093050308</v>
      </c>
      <c r="M19" s="7">
        <f>0.24*E19+L19*(1061+0.444*E19)</f>
        <v>50.54535629635941</v>
      </c>
      <c r="N19" s="7">
        <f>$B$18*F19+$B$19</f>
        <v>50.96678986819916</v>
      </c>
      <c r="O19" s="15">
        <f>N19-M19</f>
        <v>0.4214335718397493</v>
      </c>
      <c r="P19" s="15">
        <f>(O19/M19)*100</f>
        <v>0.8337730757476203</v>
      </c>
    </row>
    <row r="20">
      <c r="E20" s="7">
        <f>87</f>
        <v>87</v>
      </c>
      <c r="F20" s="7">
        <f>E20+459.67</f>
        <v>546.6700000000001</v>
      </c>
      <c r="G20" s="7">
        <f>$B$11*(F20/1)+$B$9/($B$11*(F20/1)-$B$10)</f>
        <v>303.70624408766264</v>
      </c>
      <c r="H20" s="11">
        <f>G20*G20+$B$1*G20+$B$2</f>
        <v>-277534.6606377893</v>
      </c>
      <c r="I20" s="11">
        <f>$B$3*G20*G20+$B$4*G20+$B$5</f>
        <v>-1156604.1727321595</v>
      </c>
      <c r="J20" s="11">
        <f>$B$6*G20*G20+$B$7*G20+$B$8</f>
        <v>315989.5571317764</v>
      </c>
      <c r="K20" s="12">
        <f>145.03774*((2*J20)/(-I20+SQRT(I20*I20-4*H20*J20)))^4</f>
        <v>0.6358466285417743</v>
      </c>
      <c r="L20" s="13">
        <f>0.621945*K20/($B$12-K20)</f>
        <v>0.028126409502131848</v>
      </c>
      <c r="M20" s="7">
        <f>0.24*E20+L20*(1061+0.444*E20)</f>
        <v>51.80858742801024</v>
      </c>
      <c r="N20" s="7">
        <f>$B$18*F20+$B$19</f>
        <v>52.09441781584451</v>
      </c>
      <c r="O20" s="15">
        <f>N20-M20</f>
        <v>0.28583038783426673</v>
      </c>
      <c r="P20" s="15">
        <f>(O20/M20)*100</f>
        <v>0.551704653656959</v>
      </c>
    </row>
    <row r="21">
      <c r="E21" s="7">
        <f>88</f>
        <v>88</v>
      </c>
      <c r="F21" s="7">
        <f>E21+459.67</f>
        <v>547.6700000000001</v>
      </c>
      <c r="G21" s="7">
        <f>$B$11*(F21/1)+$B$9/($B$11*(F21/1)-$B$10)</f>
        <v>304.2618007490352</v>
      </c>
      <c r="H21" s="11">
        <f>G21*G21+$B$1*G21+$B$2</f>
        <v>-276548.536347101</v>
      </c>
      <c r="I21" s="11">
        <f>$B$3*G21*G21+$B$4*G21+$B$5</f>
        <v>-1155692.797940064</v>
      </c>
      <c r="J21" s="11">
        <f>$B$6*G21*G21+$B$7*G21+$B$8</f>
        <v>318347.6972067622</v>
      </c>
      <c r="K21" s="12">
        <f>145.03774*((2*J21)/(-I21+SQRT(I21*I21-4*H21*J21)))^4</f>
        <v>0.6563205125361344</v>
      </c>
      <c r="L21" s="13">
        <f>0.621945*K21/($B$12-K21)</f>
        <v>0.02907440027628599</v>
      </c>
      <c r="M21" s="7">
        <f>0.24*E21+L21*(1061+0.444*E21)</f>
        <v>53.103933660734484</v>
      </c>
      <c r="N21" s="7">
        <f>$B$18*F21+$B$19</f>
        <v>53.22204576348986</v>
      </c>
      <c r="O21" s="15">
        <f>N21-M21</f>
        <v>0.11811210275537576</v>
      </c>
      <c r="P21" s="15">
        <f>(O21/M21)*100</f>
        <v>0.22241686182790052</v>
      </c>
    </row>
    <row r="22">
      <c r="E22" s="7">
        <f>89</f>
        <v>89</v>
      </c>
      <c r="F22" s="7">
        <f>E22+459.67</f>
        <v>548.6700000000001</v>
      </c>
      <c r="G22" s="7">
        <f>$B$11*(F22/1)+$B$9/($B$11*(F22/1)-$B$10)</f>
        <v>304.8173574139654</v>
      </c>
      <c r="H22" s="11">
        <f>G22*G22+$B$1*G22+$B$2</f>
        <v>-275561.7947636839</v>
      </c>
      <c r="I22" s="11">
        <f>$B$3*G22*G22+$B$4*G22+$B$5</f>
        <v>-1154791.9625958824</v>
      </c>
      <c r="J22" s="11">
        <f>$B$6*G22*G22+$B$7*G22+$B$8</f>
        <v>320715.04419075773</v>
      </c>
      <c r="K22" s="12">
        <f>145.03774*((2*J22)/(-I22+SQRT(I22*I22-4*H22*J22)))^4</f>
        <v>0.6773647024116464</v>
      </c>
      <c r="L22" s="13">
        <f>0.621945*K22/($B$12-K22)</f>
        <v>0.03005168341271318</v>
      </c>
      <c r="M22" s="7">
        <f>0.24*E22+L22*(1061+0.444*E22)</f>
        <v>54.432358422625455</v>
      </c>
      <c r="N22" s="7">
        <f>$B$18*F22+$B$19</f>
        <v>54.34967371113521</v>
      </c>
      <c r="O22" s="15">
        <f>N22-M22</f>
        <v>-0.08268471149024492</v>
      </c>
      <c r="P22" s="15">
        <f>(O22/M22)*100</f>
        <v>-0.15190359904720946</v>
      </c>
    </row>
    <row r="23">
      <c r="E23" s="7">
        <f>90</f>
        <v>90</v>
      </c>
      <c r="F23" s="7">
        <f>E23+459.67</f>
        <v>549.6700000000001</v>
      </c>
      <c r="G23" s="7">
        <f>$B$11*(F23/1)+$B$9/($B$11*(F23/1)-$B$10)</f>
        <v>305.3729140824706</v>
      </c>
      <c r="H23" s="11">
        <f>G23*G23+$B$1*G23+$B$2</f>
        <v>-274574.4358874954</v>
      </c>
      <c r="I23" s="11">
        <f>$B$3*G23*G23+$B$4*G23+$B$5</f>
        <v>-1153901.6666997888</v>
      </c>
      <c r="J23" s="11">
        <f>$B$6*G23*G23+$B$7*G23+$B$8</f>
        <v>323091.59808401513</v>
      </c>
      <c r="K23" s="12">
        <f>145.03774*((2*J23)/(-I23+SQRT(I23*I23-4*H23*J23)))^4</f>
        <v>0.6989924022541175</v>
      </c>
      <c r="L23" s="13">
        <f>0.621945*K23/($B$12-K23)</f>
        <v>0.031059126501435063</v>
      </c>
      <c r="M23" s="7">
        <f>0.24*E23+L23*(1061+0.444*E23)</f>
        <v>55.794855913019944</v>
      </c>
      <c r="N23" s="7">
        <f>$B$18*F23+$B$19</f>
        <v>55.47730165878056</v>
      </c>
      <c r="O23" s="15">
        <f>N23-M23</f>
        <v>-0.31755425423938277</v>
      </c>
      <c r="P23" s="15">
        <f>(O23/M23)*100</f>
        <v>-0.5691461139973663</v>
      </c>
    </row>
    <row r="24">
      <c r="E24" s="7">
        <f>91</f>
        <v>91</v>
      </c>
      <c r="F24" s="7">
        <f>E24+459.67</f>
        <v>550.6700000000001</v>
      </c>
      <c r="G24" s="7">
        <f>$B$11*(F24/1)+$B$9/($B$11*(F24/1)-$B$10)</f>
        <v>305.9284707545679</v>
      </c>
      <c r="H24" s="11">
        <f>G24*G24+$B$1*G24+$B$2</f>
        <v>-273586.4597184928</v>
      </c>
      <c r="I24" s="11">
        <f>$B$3*G24*G24+$B$4*G24+$B$5</f>
        <v>-1153021.9102519592</v>
      </c>
      <c r="J24" s="11">
        <f>$B$6*G24*G24+$B$7*G24+$B$8</f>
        <v>325477.3588867854</v>
      </c>
      <c r="K24" s="12">
        <f>145.03774*((2*J24)/(-I24+SQRT(I24*I24-4*H24*J24)))^4</f>
        <v>0.7212170518779213</v>
      </c>
      <c r="L24" s="13">
        <f>0.621945*K24/($B$12-K24)</f>
        <v>0.032097624771373685</v>
      </c>
      <c r="M24" s="7">
        <f>0.24*E24+L24*(1061+0.444*E24)</f>
        <v>57.19245231369007</v>
      </c>
      <c r="N24" s="7">
        <f>$B$18*F24+$B$19</f>
        <v>56.60492960642591</v>
      </c>
      <c r="O24" s="15">
        <f>N24-M24</f>
        <v>-0.5875227072641565</v>
      </c>
      <c r="P24" s="15">
        <f>(O24/M24)*100</f>
        <v>-1.02727315143212</v>
      </c>
    </row>
    <row r="25">
      <c r="E25" s="7">
        <f>92</f>
        <v>92</v>
      </c>
      <c r="F25" s="7">
        <f>E25+459.67</f>
        <v>551.6700000000001</v>
      </c>
      <c r="G25" s="7">
        <f>$B$11*(F25/1)+$B$9/($B$11*(F25/1)-$B$10)</f>
        <v>306.4840274302749</v>
      </c>
      <c r="H25" s="11">
        <f>G25*G25+$B$1*G25+$B$2</f>
        <v>-272597.86625663313</v>
      </c>
      <c r="I25" s="11">
        <f>$B$3*G25*G25+$B$4*G25+$B$5</f>
        <v>-1152152.693252572</v>
      </c>
      <c r="J25" s="11">
        <f>$B$6*G25*G25+$B$7*G25+$B$8</f>
        <v>327872.326599323</v>
      </c>
      <c r="K25" s="12">
        <f>145.03774*((2*J25)/(-I25+SQRT(I25*I25-4*H25*J25)))^4</f>
        <v>0.7440523295037639</v>
      </c>
      <c r="L25" s="13">
        <f>0.621945*K25/($B$12-K25)</f>
        <v>0.0331681021891877</v>
      </c>
      <c r="M25" s="7">
        <f>0.24*E25+L25*(1061+0.444*E25)</f>
        <v>58.62620706095208</v>
      </c>
      <c r="N25" s="7">
        <f>$B$18*F25+$B$19</f>
        <v>57.73255755407126</v>
      </c>
      <c r="O25" s="15">
        <f>N25-M25</f>
        <v>-0.8936495068808199</v>
      </c>
      <c r="P25" s="15">
        <f>(O25/M25)*100</f>
        <v>-1.524317454055516</v>
      </c>
    </row>
    <row r="26">
      <c r="E26" s="7">
        <f>93</f>
        <v>93</v>
      </c>
      <c r="F26" s="7">
        <f>E26+459.67</f>
        <v>552.6700000000001</v>
      </c>
      <c r="G26" s="7">
        <f>$B$11*(F26/1)+$B$9/($B$11*(F26/1)-$B$10)</f>
        <v>307.03958410960905</v>
      </c>
      <c r="H26" s="11">
        <f>G26*G26+$B$1*G26+$B$2</f>
        <v>-271608.6555018733</v>
      </c>
      <c r="I26" s="11">
        <f>$B$3*G26*G26+$B$4*G26+$B$5</f>
        <v>-1151294.0157018048</v>
      </c>
      <c r="J26" s="11">
        <f>$B$6*G26*G26+$B$7*G26+$B$8</f>
        <v>330276.50122188317</v>
      </c>
      <c r="K26" s="12">
        <f>145.03774*((2*J26)/(-I26+SQRT(I26*I26-4*H26*J26)))^4</f>
        <v>0.767512154439875</v>
      </c>
      <c r="L26" s="13">
        <f>0.621945*K26/($B$12-K26)</f>
        <v>0.034271512614003484</v>
      </c>
      <c r="M26" s="7">
        <f>0.24*E26+L26*(1061+0.444*E26)</f>
        <v>60.09721418231513</v>
      </c>
      <c r="N26" s="7">
        <f>$B$18*F26+$B$19</f>
        <v>58.86018550171673</v>
      </c>
      <c r="O26" s="15">
        <f>N26-M26</f>
        <v>-1.2370286805983994</v>
      </c>
      <c r="P26" s="15">
        <f>(O26/M26)*100</f>
        <v>-2.0583794064824077</v>
      </c>
    </row>
  </sheetData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2023-04-12 1641</vt:lpstr>
      <vt:lpstr>YYYY-04-12 1402</vt:lpstr>
      <vt:lpstr>YYYY-04-12 1422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Mitchell Paulus</cp:lastModifiedBy>
  <dcterms:modified xsi:type="dcterms:W3CDTF">2023-04-12T22:06:04Z</dcterms:modified>
</cp:coreProperties>
</file>