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commandcx.sharepoint.com/sites/Development/Shared Documents/Methods/modeling/"/>
    </mc:Choice>
  </mc:AlternateContent>
  <xr:revisionPtr revIDLastSave="1562" documentId="11_AF49C2BD257008D99C1B7D287AD3C45822F28C5B" xr6:coauthVersionLast="45" xr6:coauthVersionMax="45" xr10:uidLastSave="{CA6C8D38-A949-4E85-859B-48120E249399}"/>
  <bookViews>
    <workbookView xWindow="4200" yWindow="-110" windowWidth="34310" windowHeight="21820" activeTab="2" xr2:uid="{3BDC426B-7C2A-47D7-B80C-62BCA2540226}"/>
  </bookViews>
  <sheets>
    <sheet name="Sheet1" sheetId="1" r:id="rId1"/>
    <sheet name="Sheet2" sheetId="2" r:id="rId2"/>
    <sheet name="Air Side h" sheetId="3" r:id="rId3"/>
    <sheet name="Saturated Air Enthalp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0" i="3"/>
  <c r="B15" i="3"/>
  <c r="B16" i="3" s="1"/>
  <c r="B17" i="3" s="1"/>
  <c r="B171" i="3"/>
  <c r="B4" i="3"/>
  <c r="B2" i="3"/>
  <c r="F190" i="3" s="1"/>
  <c r="B5" i="3"/>
  <c r="B8" i="3" s="1"/>
  <c r="B14" i="3"/>
  <c r="F191" i="3" s="1"/>
  <c r="B9" i="3" l="1"/>
  <c r="B7" i="3"/>
  <c r="B10" i="3" s="1"/>
  <c r="B11" i="3" s="1"/>
  <c r="B172" i="3"/>
  <c r="I6" i="3"/>
  <c r="B20" i="3"/>
  <c r="B21" i="3" s="1"/>
  <c r="F176" i="3" s="1"/>
  <c r="I3" i="4"/>
  <c r="I4" i="4"/>
  <c r="G4" i="4"/>
  <c r="G5" i="4"/>
  <c r="G6" i="4"/>
  <c r="G7" i="4"/>
  <c r="G8" i="4"/>
  <c r="G9" i="4"/>
  <c r="G10" i="4"/>
  <c r="G11" i="4"/>
  <c r="G12" i="4"/>
  <c r="G13" i="4"/>
  <c r="G14" i="4"/>
  <c r="G1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I1" i="4"/>
  <c r="E3" i="4"/>
  <c r="D9" i="4"/>
  <c r="E9" i="4" s="1"/>
  <c r="C4" i="4"/>
  <c r="C5" i="4"/>
  <c r="C9" i="4"/>
  <c r="C10" i="4"/>
  <c r="D10" i="4" s="1"/>
  <c r="E10" i="4" s="1"/>
  <c r="C11" i="4"/>
  <c r="C12" i="4"/>
  <c r="C13" i="4"/>
  <c r="D3" i="4"/>
  <c r="C3" i="4"/>
  <c r="B4" i="4"/>
  <c r="D4" i="4" s="1"/>
  <c r="E4" i="4" s="1"/>
  <c r="B5" i="4"/>
  <c r="D5" i="4" s="1"/>
  <c r="E5" i="4" s="1"/>
  <c r="B6" i="4"/>
  <c r="C6" i="4" s="1"/>
  <c r="B7" i="4"/>
  <c r="B8" i="4"/>
  <c r="C8" i="4" s="1"/>
  <c r="D8" i="4" s="1"/>
  <c r="E8" i="4" s="1"/>
  <c r="B9" i="4"/>
  <c r="B10" i="4"/>
  <c r="B11" i="4"/>
  <c r="D11" i="4" s="1"/>
  <c r="E11" i="4" s="1"/>
  <c r="B12" i="4"/>
  <c r="D12" i="4" s="1"/>
  <c r="E12" i="4" s="1"/>
  <c r="B13" i="4"/>
  <c r="D13" i="4" s="1"/>
  <c r="E13" i="4" s="1"/>
  <c r="B14" i="4"/>
  <c r="C14" i="4" s="1"/>
  <c r="B15" i="4"/>
  <c r="B3" i="4"/>
  <c r="B26" i="3"/>
  <c r="B32" i="3" s="1"/>
  <c r="B66" i="3"/>
  <c r="B67" i="3" s="1"/>
  <c r="B96" i="3"/>
  <c r="F175" i="3" l="1"/>
  <c r="F177" i="3" s="1"/>
  <c r="B33" i="3"/>
  <c r="B176" i="3"/>
  <c r="B177" i="3"/>
  <c r="D6" i="4"/>
  <c r="E6" i="4" s="1"/>
  <c r="C15" i="4"/>
  <c r="D15" i="4" s="1"/>
  <c r="E15" i="4" s="1"/>
  <c r="C7" i="4"/>
  <c r="D7" i="4" s="1"/>
  <c r="E7" i="4" s="1"/>
  <c r="D14" i="4"/>
  <c r="E14" i="4" s="1"/>
  <c r="B71" i="3"/>
  <c r="B85" i="3"/>
  <c r="B83" i="3"/>
  <c r="B81" i="3"/>
  <c r="B50" i="3"/>
  <c r="B48" i="3"/>
  <c r="B49" i="3" s="1"/>
  <c r="B88" i="3" s="1"/>
  <c r="B41" i="3"/>
  <c r="B38" i="3"/>
  <c r="B39" i="3" s="1"/>
  <c r="B36" i="3"/>
  <c r="B178" i="3" l="1"/>
  <c r="B90" i="3"/>
  <c r="B93" i="3"/>
  <c r="B94" i="3" s="1"/>
  <c r="B107" i="3" s="1"/>
  <c r="B56" i="3"/>
  <c r="B57" i="3" s="1"/>
  <c r="B52" i="3"/>
  <c r="B109" i="3"/>
  <c r="I2" i="4"/>
  <c r="B51" i="3"/>
  <c r="B89" i="3"/>
  <c r="B58" i="3" l="1"/>
  <c r="B59" i="3" s="1"/>
  <c r="B78" i="3"/>
  <c r="B125" i="3" s="1"/>
  <c r="B106" i="3"/>
  <c r="B108" i="3"/>
  <c r="B112" i="3" s="1"/>
  <c r="B130" i="3"/>
  <c r="B91" i="3"/>
  <c r="B55" i="3"/>
  <c r="B74" i="3" s="1"/>
  <c r="B53" i="3"/>
  <c r="B127" i="3"/>
  <c r="B73" i="3"/>
  <c r="B77" i="3"/>
  <c r="B61" i="3" l="1"/>
  <c r="B62" i="3" s="1"/>
  <c r="B63" i="3" s="1"/>
  <c r="B64" i="3" s="1"/>
  <c r="B170" i="3" s="1"/>
  <c r="B60" i="3"/>
  <c r="B102" i="3"/>
  <c r="B75" i="3"/>
  <c r="B98" i="3" l="1"/>
  <c r="B99" i="3" s="1"/>
  <c r="L193" i="3"/>
  <c r="M182" i="3"/>
  <c r="M190" i="3"/>
  <c r="L178" i="3"/>
  <c r="M185" i="3"/>
  <c r="M193" i="3"/>
  <c r="L181" i="3"/>
  <c r="L189" i="3"/>
  <c r="L177" i="3"/>
  <c r="M178" i="3"/>
  <c r="M186" i="3"/>
  <c r="M194" i="3"/>
  <c r="L182" i="3"/>
  <c r="L190" i="3"/>
  <c r="M179" i="3"/>
  <c r="M187" i="3"/>
  <c r="M195" i="3"/>
  <c r="L183" i="3"/>
  <c r="L191" i="3"/>
  <c r="M180" i="3"/>
  <c r="M188" i="3"/>
  <c r="M196" i="3"/>
  <c r="L184" i="3"/>
  <c r="L192" i="3"/>
  <c r="M181" i="3"/>
  <c r="M189" i="3"/>
  <c r="M177" i="3"/>
  <c r="L185" i="3"/>
  <c r="M191" i="3"/>
  <c r="L195" i="3"/>
  <c r="M192" i="3"/>
  <c r="L196" i="3"/>
  <c r="L186" i="3"/>
  <c r="L179" i="3"/>
  <c r="L180" i="3"/>
  <c r="L187" i="3"/>
  <c r="M183" i="3"/>
  <c r="L188" i="3"/>
  <c r="M184" i="3"/>
  <c r="L194" i="3"/>
  <c r="B103" i="3"/>
  <c r="E18" i="1"/>
  <c r="C18" i="1"/>
  <c r="B115" i="3" l="1"/>
  <c r="B105" i="3"/>
  <c r="B111" i="3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8" i="1"/>
  <c r="B8" i="1"/>
  <c r="B9" i="1" s="1"/>
  <c r="B6" i="1"/>
  <c r="B4" i="1"/>
  <c r="B117" i="3" l="1"/>
  <c r="B118" i="3" s="1"/>
  <c r="B141" i="3" s="1"/>
  <c r="B143" i="3" s="1"/>
  <c r="D18" i="1"/>
  <c r="B27" i="2"/>
  <c r="B26" i="2"/>
  <c r="B20" i="2"/>
  <c r="B11" i="2"/>
  <c r="B21" i="2"/>
  <c r="B8" i="2"/>
  <c r="B24" i="2"/>
  <c r="B17" i="2"/>
  <c r="B121" i="3" l="1"/>
  <c r="B180" i="3" s="1"/>
  <c r="B133" i="3"/>
  <c r="B134" i="3" s="1"/>
  <c r="B135" i="3" s="1"/>
  <c r="B137" i="3" s="1"/>
  <c r="B142" i="3"/>
  <c r="B144" i="3"/>
  <c r="B147" i="3" s="1"/>
  <c r="B155" i="3" l="1"/>
  <c r="B158" i="3" s="1"/>
  <c r="B146" i="3"/>
  <c r="B149" i="3" s="1"/>
  <c r="B151" i="3" s="1"/>
  <c r="F179" i="3" s="1"/>
  <c r="B156" i="3" l="1"/>
  <c r="B157" i="3"/>
  <c r="B161" i="3" s="1"/>
  <c r="F181" i="3"/>
  <c r="AB182" i="3"/>
  <c r="AB190" i="3"/>
  <c r="AB183" i="3"/>
  <c r="AB191" i="3"/>
  <c r="AB184" i="3"/>
  <c r="AB192" i="3"/>
  <c r="AB187" i="3"/>
  <c r="AB178" i="3"/>
  <c r="AB186" i="3"/>
  <c r="AB194" i="3"/>
  <c r="AB179" i="3"/>
  <c r="AB180" i="3"/>
  <c r="AB188" i="3"/>
  <c r="AB196" i="3"/>
  <c r="AB181" i="3"/>
  <c r="AB189" i="3"/>
  <c r="AB177" i="3"/>
  <c r="AB185" i="3"/>
  <c r="AB193" i="3"/>
  <c r="AB195" i="3"/>
  <c r="B160" i="3" l="1"/>
  <c r="B163" i="3" s="1"/>
  <c r="B166" i="3" s="1"/>
  <c r="B211" i="3" s="1"/>
  <c r="F182" i="3"/>
  <c r="AC178" i="3"/>
  <c r="AC186" i="3"/>
  <c r="AC194" i="3"/>
  <c r="AC187" i="3"/>
  <c r="AC195" i="3"/>
  <c r="AC188" i="3"/>
  <c r="AC177" i="3"/>
  <c r="AC179" i="3"/>
  <c r="AC180" i="3"/>
  <c r="AC191" i="3"/>
  <c r="AC181" i="3"/>
  <c r="AC182" i="3"/>
  <c r="AC190" i="3"/>
  <c r="AC183" i="3"/>
  <c r="AC184" i="3"/>
  <c r="AC192" i="3"/>
  <c r="AC185" i="3"/>
  <c r="AC193" i="3"/>
  <c r="AC196" i="3"/>
  <c r="AC189" i="3"/>
  <c r="B186" i="3" l="1"/>
  <c r="B179" i="3"/>
  <c r="B199" i="3" s="1"/>
  <c r="N194" i="3"/>
  <c r="P194" i="3" s="1"/>
  <c r="N191" i="3"/>
  <c r="P191" i="3" s="1"/>
  <c r="N188" i="3"/>
  <c r="P188" i="3" s="1"/>
  <c r="Q188" i="3" s="1"/>
  <c r="R188" i="3" s="1"/>
  <c r="N184" i="3"/>
  <c r="P184" i="3" s="1"/>
  <c r="N196" i="3"/>
  <c r="P196" i="3" s="1"/>
  <c r="N185" i="3"/>
  <c r="P185" i="3" s="1"/>
  <c r="Q185" i="3" s="1"/>
  <c r="R185" i="3" s="1"/>
  <c r="N177" i="3"/>
  <c r="P177" i="3" s="1"/>
  <c r="N180" i="3"/>
  <c r="P180" i="3" s="1"/>
  <c r="N179" i="3"/>
  <c r="P179" i="3" s="1"/>
  <c r="Q179" i="3" s="1"/>
  <c r="R179" i="3" s="1"/>
  <c r="N181" i="3"/>
  <c r="P181" i="3" s="1"/>
  <c r="Q181" i="3" s="1"/>
  <c r="S181" i="3" s="1"/>
  <c r="N189" i="3"/>
  <c r="P189" i="3" s="1"/>
  <c r="N193" i="3"/>
  <c r="P193" i="3" s="1"/>
  <c r="F184" i="3"/>
  <c r="N195" i="3"/>
  <c r="P195" i="3" s="1"/>
  <c r="N186" i="3"/>
  <c r="P186" i="3" s="1"/>
  <c r="Q186" i="3" s="1"/>
  <c r="R186" i="3" s="1"/>
  <c r="N187" i="3"/>
  <c r="P187" i="3" s="1"/>
  <c r="Q187" i="3" s="1"/>
  <c r="R187" i="3" s="1"/>
  <c r="N192" i="3"/>
  <c r="P192" i="3" s="1"/>
  <c r="N190" i="3"/>
  <c r="P190" i="3" s="1"/>
  <c r="N178" i="3"/>
  <c r="P178" i="3" s="1"/>
  <c r="N182" i="3"/>
  <c r="P182" i="3" s="1"/>
  <c r="N183" i="3"/>
  <c r="P183" i="3" s="1"/>
  <c r="B181" i="3"/>
  <c r="B184" i="3" s="1"/>
  <c r="B188" i="3" s="1"/>
  <c r="B189" i="3" s="1"/>
  <c r="R181" i="3" l="1"/>
  <c r="S188" i="3"/>
  <c r="S179" i="3"/>
  <c r="Q177" i="3"/>
  <c r="R177" i="3" s="1"/>
  <c r="Q180" i="3"/>
  <c r="R180" i="3" s="1"/>
  <c r="Q196" i="3"/>
  <c r="R196" i="3" s="1"/>
  <c r="S196" i="3"/>
  <c r="Q184" i="3"/>
  <c r="R184" i="3" s="1"/>
  <c r="S186" i="3"/>
  <c r="S187" i="3"/>
  <c r="Q183" i="3"/>
  <c r="S183" i="3" s="1"/>
  <c r="Q182" i="3"/>
  <c r="S182" i="3" s="1"/>
  <c r="Q189" i="3"/>
  <c r="S189" i="3" s="1"/>
  <c r="Q195" i="3"/>
  <c r="R195" i="3" s="1"/>
  <c r="F185" i="3"/>
  <c r="F187" i="3" s="1"/>
  <c r="F193" i="3" s="1"/>
  <c r="F194" i="3" s="1"/>
  <c r="Q190" i="3"/>
  <c r="R190" i="3" s="1"/>
  <c r="Q191" i="3"/>
  <c r="R191" i="3" s="1"/>
  <c r="Q193" i="3"/>
  <c r="R193" i="3" s="1"/>
  <c r="Q178" i="3"/>
  <c r="R178" i="3" s="1"/>
  <c r="S185" i="3"/>
  <c r="Q192" i="3"/>
  <c r="R192" i="3" s="1"/>
  <c r="Q194" i="3"/>
  <c r="R194" i="3" s="1"/>
  <c r="B191" i="3"/>
  <c r="B192" i="3" s="1"/>
  <c r="B194" i="3" s="1"/>
  <c r="O182" i="3"/>
  <c r="T182" i="3" s="1"/>
  <c r="O190" i="3"/>
  <c r="T190" i="3" s="1"/>
  <c r="O183" i="3"/>
  <c r="T183" i="3" s="1"/>
  <c r="O191" i="3"/>
  <c r="T191" i="3" s="1"/>
  <c r="O184" i="3"/>
  <c r="T184" i="3" s="1"/>
  <c r="O192" i="3"/>
  <c r="T192" i="3" s="1"/>
  <c r="O185" i="3"/>
  <c r="T185" i="3" s="1"/>
  <c r="O193" i="3"/>
  <c r="T193" i="3" s="1"/>
  <c r="O178" i="3"/>
  <c r="T178" i="3" s="1"/>
  <c r="O186" i="3"/>
  <c r="T186" i="3" s="1"/>
  <c r="O194" i="3"/>
  <c r="T194" i="3" s="1"/>
  <c r="O179" i="3"/>
  <c r="T179" i="3" s="1"/>
  <c r="O187" i="3"/>
  <c r="T187" i="3" s="1"/>
  <c r="O195" i="3"/>
  <c r="T195" i="3" s="1"/>
  <c r="O180" i="3"/>
  <c r="T180" i="3" s="1"/>
  <c r="O188" i="3"/>
  <c r="T188" i="3" s="1"/>
  <c r="O196" i="3"/>
  <c r="T196" i="3" s="1"/>
  <c r="O181" i="3"/>
  <c r="T181" i="3" s="1"/>
  <c r="O189" i="3"/>
  <c r="T189" i="3" s="1"/>
  <c r="O177" i="3"/>
  <c r="T177" i="3" s="1"/>
  <c r="B200" i="3"/>
  <c r="B201" i="3"/>
  <c r="R183" i="3" l="1"/>
  <c r="S190" i="3"/>
  <c r="F188" i="3"/>
  <c r="F195" i="3" s="1"/>
  <c r="F196" i="3" s="1"/>
  <c r="S178" i="3"/>
  <c r="S195" i="3"/>
  <c r="S191" i="3"/>
  <c r="S194" i="3"/>
  <c r="S177" i="3"/>
  <c r="S193" i="3"/>
  <c r="U183" i="3"/>
  <c r="V183" i="3" s="1"/>
  <c r="U186" i="3"/>
  <c r="V186" i="3" s="1"/>
  <c r="S180" i="3"/>
  <c r="U189" i="3"/>
  <c r="V189" i="3" s="1"/>
  <c r="U190" i="3"/>
  <c r="V190" i="3" s="1"/>
  <c r="U182" i="3"/>
  <c r="V182" i="3" s="1"/>
  <c r="U180" i="3"/>
  <c r="V180" i="3" s="1"/>
  <c r="R189" i="3"/>
  <c r="U181" i="3"/>
  <c r="V181" i="3" s="1"/>
  <c r="U196" i="3"/>
  <c r="V196" i="3" s="1"/>
  <c r="U195" i="3"/>
  <c r="V195" i="3" s="1"/>
  <c r="U192" i="3"/>
  <c r="V192" i="3" s="1"/>
  <c r="U178" i="3"/>
  <c r="V178" i="3" s="1"/>
  <c r="U188" i="3"/>
  <c r="V188" i="3" s="1"/>
  <c r="U185" i="3"/>
  <c r="V185" i="3" s="1"/>
  <c r="U187" i="3"/>
  <c r="V187" i="3" s="1"/>
  <c r="U184" i="3"/>
  <c r="V184" i="3" s="1"/>
  <c r="R182" i="3"/>
  <c r="S184" i="3"/>
  <c r="U194" i="3"/>
  <c r="V194" i="3" s="1"/>
  <c r="U193" i="3"/>
  <c r="V193" i="3" s="1"/>
  <c r="U177" i="3"/>
  <c r="V177" i="3" s="1"/>
  <c r="W177" i="3"/>
  <c r="U179" i="3"/>
  <c r="V179" i="3" s="1"/>
  <c r="U191" i="3"/>
  <c r="V191" i="3" s="1"/>
  <c r="S192" i="3"/>
  <c r="B195" i="3"/>
  <c r="B203" i="3" s="1"/>
  <c r="B197" i="3"/>
  <c r="B196" i="3"/>
  <c r="B204" i="3" s="1"/>
  <c r="B205" i="3" s="1"/>
  <c r="W188" i="3" l="1"/>
  <c r="Y179" i="3"/>
  <c r="Y196" i="3"/>
  <c r="B209" i="3"/>
  <c r="B216" i="3"/>
  <c r="B217" i="3" s="1"/>
  <c r="Y178" i="3"/>
  <c r="W180" i="3"/>
  <c r="Y177" i="3"/>
  <c r="Y186" i="3"/>
  <c r="X184" i="3"/>
  <c r="W179" i="3"/>
  <c r="Y184" i="3"/>
  <c r="Y192" i="3"/>
  <c r="Y194" i="3"/>
  <c r="Y180" i="3"/>
  <c r="W182" i="3"/>
  <c r="W186" i="3"/>
  <c r="X196" i="3"/>
  <c r="Y189" i="3"/>
  <c r="X183" i="3"/>
  <c r="X178" i="3"/>
  <c r="W189" i="3"/>
  <c r="Y191" i="3"/>
  <c r="W194" i="3"/>
  <c r="Y185" i="3"/>
  <c r="W195" i="3"/>
  <c r="W181" i="3"/>
  <c r="W190" i="3"/>
  <c r="Y195" i="3"/>
  <c r="Y190" i="3"/>
  <c r="X195" i="3"/>
  <c r="Y181" i="3"/>
  <c r="X180" i="3"/>
  <c r="X190" i="3"/>
  <c r="X191" i="3"/>
  <c r="Y193" i="3"/>
  <c r="Y187" i="3"/>
  <c r="Y188" i="3"/>
  <c r="X181" i="3"/>
  <c r="X186" i="3"/>
  <c r="X194" i="3"/>
  <c r="W187" i="3"/>
  <c r="W191" i="3"/>
  <c r="X177" i="3"/>
  <c r="X187" i="3"/>
  <c r="W192" i="3"/>
  <c r="Y182" i="3"/>
  <c r="Y183" i="3"/>
  <c r="X185" i="3"/>
  <c r="W193" i="3"/>
  <c r="X188" i="3"/>
  <c r="X179" i="3"/>
  <c r="X193" i="3"/>
  <c r="W184" i="3"/>
  <c r="W185" i="3"/>
  <c r="W178" i="3"/>
  <c r="X192" i="3"/>
  <c r="W196" i="3"/>
  <c r="X182" i="3"/>
  <c r="X189" i="3"/>
  <c r="W183" i="3"/>
  <c r="B207" i="3"/>
  <c r="B208" i="3" s="1"/>
  <c r="B210" i="3"/>
  <c r="B224" i="3"/>
  <c r="Z189" i="3" l="1"/>
  <c r="Z186" i="3"/>
  <c r="AA186" i="3" s="1"/>
  <c r="AD186" i="3" s="1"/>
  <c r="AE186" i="3" s="1"/>
  <c r="Z178" i="3"/>
  <c r="AA178" i="3" s="1"/>
  <c r="AD178" i="3" s="1"/>
  <c r="AE178" i="3" s="1"/>
  <c r="Z196" i="3"/>
  <c r="AA196" i="3" s="1"/>
  <c r="AD196" i="3" s="1"/>
  <c r="AE196" i="3" s="1"/>
  <c r="Z179" i="3"/>
  <c r="AA179" i="3" s="1"/>
  <c r="AD179" i="3" s="1"/>
  <c r="AE179" i="3" s="1"/>
  <c r="Z184" i="3"/>
  <c r="AA184" i="3" s="1"/>
  <c r="AD184" i="3" s="1"/>
  <c r="AE184" i="3" s="1"/>
  <c r="Z177" i="3"/>
  <c r="AA177" i="3" s="1"/>
  <c r="AD177" i="3" s="1"/>
  <c r="AE177" i="3" s="1"/>
  <c r="Z194" i="3"/>
  <c r="AA194" i="3" s="1"/>
  <c r="AD194" i="3" s="1"/>
  <c r="AE194" i="3" s="1"/>
  <c r="Z182" i="3"/>
  <c r="AA182" i="3" s="1"/>
  <c r="AD182" i="3" s="1"/>
  <c r="AE182" i="3" s="1"/>
  <c r="B212" i="3"/>
  <c r="Z192" i="3"/>
  <c r="AA192" i="3" s="1"/>
  <c r="AD192" i="3" s="1"/>
  <c r="AE192" i="3" s="1"/>
  <c r="Z180" i="3"/>
  <c r="AA180" i="3" s="1"/>
  <c r="AD180" i="3" s="1"/>
  <c r="AE180" i="3" s="1"/>
  <c r="Z183" i="3"/>
  <c r="AA183" i="3" s="1"/>
  <c r="AD183" i="3" s="1"/>
  <c r="AE183" i="3" s="1"/>
  <c r="Z191" i="3"/>
  <c r="AA191" i="3" s="1"/>
  <c r="AD191" i="3" s="1"/>
  <c r="AE191" i="3" s="1"/>
  <c r="Z185" i="3"/>
  <c r="AA185" i="3" s="1"/>
  <c r="AD185" i="3" s="1"/>
  <c r="AE185" i="3" s="1"/>
  <c r="Z190" i="3"/>
  <c r="AA190" i="3" s="1"/>
  <c r="AD190" i="3" s="1"/>
  <c r="AE190" i="3" s="1"/>
  <c r="AA189" i="3"/>
  <c r="AD189" i="3" s="1"/>
  <c r="AE189" i="3" s="1"/>
  <c r="Z181" i="3"/>
  <c r="Z188" i="3"/>
  <c r="Z187" i="3"/>
  <c r="Z193" i="3"/>
  <c r="Z195" i="3"/>
  <c r="B222" i="3"/>
  <c r="B213" i="3" l="1"/>
  <c r="B218" i="3"/>
  <c r="B219" i="3" s="1"/>
  <c r="AA195" i="3"/>
  <c r="AD195" i="3" s="1"/>
  <c r="AE195" i="3" s="1"/>
  <c r="AA193" i="3"/>
  <c r="AD193" i="3" s="1"/>
  <c r="AE193" i="3" s="1"/>
  <c r="AA187" i="3"/>
  <c r="AD187" i="3" s="1"/>
  <c r="AE187" i="3" s="1"/>
  <c r="AA188" i="3"/>
  <c r="AD188" i="3" s="1"/>
  <c r="AE188" i="3" s="1"/>
  <c r="AA181" i="3"/>
  <c r="AD181" i="3" s="1"/>
  <c r="AE18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tc={637E471D-F22F-4BF8-BE90-97D8BA0ADA31}</author>
  </authors>
  <commentList>
    <comment ref="C24" authorId="0" shapeId="0" xr:uid="{637E471D-F22F-4BF8-BE90-97D8BA0A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Coil manufacturers recommend speeds &gt; 2.5 because this is the transition to turbulent flow, as evidenced by this Reynolds number calculation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tc={C354CDA8-FD93-48E9-B63C-01FD27B7A8EE}</author>
    <author>tc={38DEF251-737A-40C0-AC0C-F4491D1B4ECC}</author>
    <author>tc={63497A73-B59D-4AD0-956E-4036EE837206}</author>
  </authors>
  <commentList>
    <comment ref="H3" authorId="0" shapeId="0" xr:uid="{C354CDA8-FD93-48E9-B63C-01FD27B7A8E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EnergyPlus engineering reference, pg. 815, assumes some water vapor</t>
      </text>
    </comment>
    <comment ref="H4" authorId="1" shapeId="0" xr:uid="{38DEF251-737A-40C0-AC0C-F4491D1B4E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EnergyPlus engineering reference, pg. 815</t>
      </text>
    </comment>
    <comment ref="D74" authorId="2" shapeId="0" xr:uid="{63497A73-B59D-4AD0-956E-4036EE837206}">
      <text>
        <t>[Threaded comment]
Your version of Excel allows you to read this threaded comment; however, any edits to it will get removed if the file is opened in a newer version of Excel. Learn more: https://go.microsoft.com/fwlink/?linkid=870924
Comment:
    I actually think the equation as written is incorrect. It only subtracts the tube area from 1 fin side, instead of all fin sides</t>
      </text>
    </comment>
  </commentList>
</comments>
</file>

<file path=xl/sharedStrings.xml><?xml version="1.0" encoding="utf-8"?>
<sst xmlns="http://schemas.openxmlformats.org/spreadsheetml/2006/main" count="379" uniqueCount="252">
  <si>
    <t>Example Coil</t>
  </si>
  <si>
    <t>1st floor 1P-6</t>
  </si>
  <si>
    <t>Air flow</t>
  </si>
  <si>
    <t>CFM</t>
  </si>
  <si>
    <t>Entering Air Temp</t>
  </si>
  <si>
    <t>Leaving Air Temp</t>
  </si>
  <si>
    <t>Specific Heat Air</t>
  </si>
  <si>
    <t>BTU/lb-°F</t>
  </si>
  <si>
    <t>Specific Heat Water</t>
  </si>
  <si>
    <t>Air specific volume</t>
  </si>
  <si>
    <t>ft³/lb</t>
  </si>
  <si>
    <t>Water density</t>
  </si>
  <si>
    <t>lb/ft³</t>
  </si>
  <si>
    <t>gal/min</t>
  </si>
  <si>
    <t>Water flow</t>
  </si>
  <si>
    <t>Air energy</t>
  </si>
  <si>
    <t>BTU/hr</t>
  </si>
  <si>
    <t>Water energy</t>
  </si>
  <si>
    <t>lb/gal</t>
  </si>
  <si>
    <t>Water entering temp</t>
  </si>
  <si>
    <t>Water leaving temp</t>
  </si>
  <si>
    <t>°F</t>
  </si>
  <si>
    <t>Entering Air Wetbulb</t>
  </si>
  <si>
    <t>Entering Air Specific Volume</t>
  </si>
  <si>
    <t>Air Capacity</t>
  </si>
  <si>
    <t>Mass flow rate</t>
  </si>
  <si>
    <t>lb/hr</t>
  </si>
  <si>
    <t>Water mass flow rate</t>
  </si>
  <si>
    <t>BTU/°F</t>
  </si>
  <si>
    <t>Water capacity</t>
  </si>
  <si>
    <t>Pr</t>
  </si>
  <si>
    <t>Prantl number water ~ 60°F</t>
  </si>
  <si>
    <t>mu</t>
  </si>
  <si>
    <t>N s /m2</t>
  </si>
  <si>
    <t>specific volume water</t>
  </si>
  <si>
    <t>m3/kg</t>
  </si>
  <si>
    <t>kinematic viscosity</t>
  </si>
  <si>
    <t>m2/s</t>
  </si>
  <si>
    <t>Outer Diameter Coil Tube</t>
  </si>
  <si>
    <t>in</t>
  </si>
  <si>
    <t>Wall thickness</t>
  </si>
  <si>
    <t>Inner Diameter Coil Tube</t>
  </si>
  <si>
    <t>m</t>
  </si>
  <si>
    <t>Velocity (fps)</t>
  </si>
  <si>
    <t>Re</t>
  </si>
  <si>
    <t>Velocity (m/s)</t>
  </si>
  <si>
    <t>NuD</t>
  </si>
  <si>
    <t>Thermal conductivity water</t>
  </si>
  <si>
    <t>W/m-K</t>
  </si>
  <si>
    <t>dh/dV (W/m2-K) / (m/s)</t>
  </si>
  <si>
    <t>h (W/m2-K)</t>
  </si>
  <si>
    <t>Air Volumetric Flow Rate</t>
  </si>
  <si>
    <t>Coil Height</t>
  </si>
  <si>
    <t>Coil Width</t>
  </si>
  <si>
    <t>Fin thickness</t>
  </si>
  <si>
    <t>Fins per inch</t>
  </si>
  <si>
    <t>Fin spacing</t>
  </si>
  <si>
    <t>Rows</t>
  </si>
  <si>
    <t>1/2" tube</t>
  </si>
  <si>
    <t>5/8" tube</t>
  </si>
  <si>
    <t>Coil Depth</t>
  </si>
  <si>
    <t>fins/in</t>
  </si>
  <si>
    <t>Total # of Fins</t>
  </si>
  <si>
    <t>Ap</t>
  </si>
  <si>
    <t>Number of Rows</t>
  </si>
  <si>
    <t>Number of Tubes/Row</t>
  </si>
  <si>
    <t>Count</t>
  </si>
  <si>
    <t>Tube OD</t>
  </si>
  <si>
    <t>Percent fins</t>
  </si>
  <si>
    <t>Number of Tubes</t>
  </si>
  <si>
    <t>Percent non-fin</t>
  </si>
  <si>
    <t>As</t>
  </si>
  <si>
    <t>Tube Outer Area</t>
  </si>
  <si>
    <t>Ao</t>
  </si>
  <si>
    <t>Am,f</t>
  </si>
  <si>
    <t>Min cross-sectional area: This accounts for the cross-sectional area of the tubes</t>
  </si>
  <si>
    <t>Equation 77, Area of exposed tube</t>
  </si>
  <si>
    <t>Equation 78, Fin area</t>
  </si>
  <si>
    <t>Equation 79, Total air side heat transfer area</t>
  </si>
  <si>
    <t>Ai,w</t>
  </si>
  <si>
    <t>Tube thickness</t>
  </si>
  <si>
    <t>Tube ID</t>
  </si>
  <si>
    <t>Equivalent Fin Diameter</t>
  </si>
  <si>
    <t>Distance between tube rows</t>
  </si>
  <si>
    <t>C1</t>
  </si>
  <si>
    <t>C2</t>
  </si>
  <si>
    <t>Fin Length</t>
  </si>
  <si>
    <t>Fin thickness/Hydraulic Diameter</t>
  </si>
  <si>
    <t>Fin thickness/Fin length</t>
  </si>
  <si>
    <t>Fin spacing/Fin length</t>
  </si>
  <si>
    <t>Fin thickness/Fin spacing</t>
  </si>
  <si>
    <t>Fin Diameter, eq/Distance between tube rows</t>
  </si>
  <si>
    <t>Hydraulic Diameter</t>
  </si>
  <si>
    <t>From Dissertation:</t>
  </si>
  <si>
    <t>Air density</t>
  </si>
  <si>
    <t>Air Velocity</t>
  </si>
  <si>
    <t>m/s</t>
  </si>
  <si>
    <t>ft/min</t>
  </si>
  <si>
    <t>Reynolds Number</t>
  </si>
  <si>
    <t>Stanton Number</t>
  </si>
  <si>
    <t>Dry heat transfer coefficient, h</t>
  </si>
  <si>
    <t>Specific heat air</t>
  </si>
  <si>
    <t>J/kg-K</t>
  </si>
  <si>
    <t>Tube Material</t>
  </si>
  <si>
    <t>Copper</t>
  </si>
  <si>
    <t>Copper thermal conductivity</t>
  </si>
  <si>
    <t>Aluminum thermal conductivity</t>
  </si>
  <si>
    <t>K/W</t>
  </si>
  <si>
    <t>ρ = Dfin/Dtube</t>
  </si>
  <si>
    <t>fai</t>
  </si>
  <si>
    <t>ue</t>
  </si>
  <si>
    <t>ub</t>
  </si>
  <si>
    <t>Numerator</t>
  </si>
  <si>
    <t>Denominator</t>
  </si>
  <si>
    <t>Tube Outer Radius</t>
  </si>
  <si>
    <t>Equivalent Fin Radius</t>
  </si>
  <si>
    <t>1/m</t>
  </si>
  <si>
    <t>C2 (circular fin)</t>
  </si>
  <si>
    <t>m r1</t>
  </si>
  <si>
    <t>m r2</t>
  </si>
  <si>
    <t>Fin Numerator</t>
  </si>
  <si>
    <t>Fin Denominator</t>
  </si>
  <si>
    <t>Dry Fin efficiency</t>
  </si>
  <si>
    <t>Dry Overall efficiency</t>
  </si>
  <si>
    <t>Dry</t>
  </si>
  <si>
    <t>m (Dry)</t>
  </si>
  <si>
    <t>Wet</t>
  </si>
  <si>
    <t>m (Wet)</t>
  </si>
  <si>
    <t>Temperature (C)</t>
  </si>
  <si>
    <t>Temperature (F)</t>
  </si>
  <si>
    <t>Saturated Partial Pressure (psia)</t>
  </si>
  <si>
    <t>Saturated Air Enthalpy (BTU/lb)</t>
  </si>
  <si>
    <t>Saturated Air Enthalpy (J/kg)</t>
  </si>
  <si>
    <t>See Incropera pg. 151</t>
  </si>
  <si>
    <t>Wet Fin Efficiency</t>
  </si>
  <si>
    <t>Wet Overall Efficiency</t>
  </si>
  <si>
    <t>All Wet Case</t>
  </si>
  <si>
    <t>Wall Resistance, Rm</t>
  </si>
  <si>
    <t>Wall Resistance calc 2, Rm</t>
  </si>
  <si>
    <t>a</t>
  </si>
  <si>
    <t>b</t>
  </si>
  <si>
    <t>Average Temp</t>
  </si>
  <si>
    <t>Average Enthalpy</t>
  </si>
  <si>
    <t>Total Resistance</t>
  </si>
  <si>
    <t>Wet air side resistance, Re,w</t>
  </si>
  <si>
    <t>Wet air side resistance, Ra,w</t>
  </si>
  <si>
    <t>Total Resistance, wet air side</t>
  </si>
  <si>
    <t>All Cases</t>
  </si>
  <si>
    <t>GPM</t>
  </si>
  <si>
    <t>Water flow, GPM</t>
  </si>
  <si>
    <t>Tube Inner Area</t>
  </si>
  <si>
    <t>Water Velocity</t>
  </si>
  <si>
    <t>fps</t>
  </si>
  <si>
    <t>Water Re</t>
  </si>
  <si>
    <t>Air</t>
  </si>
  <si>
    <t>Water</t>
  </si>
  <si>
    <t>Property</t>
  </si>
  <si>
    <t>Water Nu</t>
  </si>
  <si>
    <t>Thermal Conductivity</t>
  </si>
  <si>
    <t xml:space="preserve">Water h </t>
  </si>
  <si>
    <t>Internal Thermal Resistance, Ri</t>
  </si>
  <si>
    <t>N</t>
  </si>
  <si>
    <t>Mass flow rate, air</t>
  </si>
  <si>
    <t>kg/s</t>
  </si>
  <si>
    <t>lbm/hr</t>
  </si>
  <si>
    <t>s/kg</t>
  </si>
  <si>
    <t>J/kg</t>
  </si>
  <si>
    <t>X'</t>
  </si>
  <si>
    <t>Y'</t>
  </si>
  <si>
    <t>Mass flow rate, water</t>
  </si>
  <si>
    <t>Specific Heat</t>
  </si>
  <si>
    <t>1/UcAo</t>
  </si>
  <si>
    <t>(J/kg) / W</t>
  </si>
  <si>
    <t>UcAo</t>
  </si>
  <si>
    <t>W / (J/kg)</t>
  </si>
  <si>
    <t>Z'</t>
  </si>
  <si>
    <t>W'</t>
  </si>
  <si>
    <t>K3</t>
  </si>
  <si>
    <t>K4</t>
  </si>
  <si>
    <t>K5</t>
  </si>
  <si>
    <t>K6</t>
  </si>
  <si>
    <t>Unitless</t>
  </si>
  <si>
    <t>kg-K/J</t>
  </si>
  <si>
    <t>Entering Air Dry Bulb</t>
  </si>
  <si>
    <t>Entering Air Wet Bulb</t>
  </si>
  <si>
    <t>Entering Air Enthalpy</t>
  </si>
  <si>
    <t>specific volume</t>
  </si>
  <si>
    <t>Entering Water Temperature</t>
  </si>
  <si>
    <t>°C</t>
  </si>
  <si>
    <t>Entering Air w*</t>
  </si>
  <si>
    <t>BTU/lb</t>
  </si>
  <si>
    <t>Sum of Constant Resistances (Rm + Ri + Rf)</t>
  </si>
  <si>
    <t>Rx</t>
  </si>
  <si>
    <t>1/(Rx+1)</t>
  </si>
  <si>
    <t>Rx/b</t>
  </si>
  <si>
    <t>Leaving Air Enthalpy ha,3</t>
  </si>
  <si>
    <t>Sat. Partial pressue @ Water Ent. Temp</t>
  </si>
  <si>
    <t>psia</t>
  </si>
  <si>
    <t>Leaving Water Temperature, Tw,2</t>
  </si>
  <si>
    <t>Ent. Air side Coil Surface Temp Ts,2</t>
  </si>
  <si>
    <t>Leav. Air Side Coil Surface Temp, Ts,3</t>
  </si>
  <si>
    <t>Entering Air Dew Point Temperature</t>
  </si>
  <si>
    <t>Entering Air Partial Pressure</t>
  </si>
  <si>
    <t>Is coil completely Wet?</t>
  </si>
  <si>
    <t>Is coil completely Dry?</t>
  </si>
  <si>
    <t>m³/s</t>
  </si>
  <si>
    <t>kg/m³</t>
  </si>
  <si>
    <t>m³/kg</t>
  </si>
  <si>
    <t>N s /m²</t>
  </si>
  <si>
    <t>m²/s</t>
  </si>
  <si>
    <t>m²</t>
  </si>
  <si>
    <t>W/m²-K</t>
  </si>
  <si>
    <t>All Dry Case</t>
  </si>
  <si>
    <t>X</t>
  </si>
  <si>
    <t>Y</t>
  </si>
  <si>
    <t>1/UAo</t>
  </si>
  <si>
    <t>Ro</t>
  </si>
  <si>
    <t>UAo</t>
  </si>
  <si>
    <t>W/K</t>
  </si>
  <si>
    <t>Z</t>
  </si>
  <si>
    <t>W</t>
  </si>
  <si>
    <t>K1</t>
  </si>
  <si>
    <t>K2</t>
  </si>
  <si>
    <t>Leaving Air Temp, Ta,2</t>
  </si>
  <si>
    <t>Adjusted wet heat transfer coefficient, h</t>
  </si>
  <si>
    <t>Entering Air Temp, Ta,1</t>
  </si>
  <si>
    <t>Entering Water Temp, Tw,2</t>
  </si>
  <si>
    <t>Leaving Water Temp, Tw,3</t>
  </si>
  <si>
    <t>Partial Wet/Partial Dry</t>
  </si>
  <si>
    <t>% Wet</t>
  </si>
  <si>
    <t>Dry Overall Area, Ao (m²)</t>
  </si>
  <si>
    <t>Wet Overall Area, Ao (m2)</t>
  </si>
  <si>
    <t>Modified Dry Uao (W/K)</t>
  </si>
  <si>
    <t>Modified Wet UcAo (W / (J/kg))</t>
  </si>
  <si>
    <t>X+Y</t>
  </si>
  <si>
    <t>X'+Y'</t>
  </si>
  <si>
    <t>Test fractions of %wet until Ts,2 = Entering Dew Point Temperature</t>
  </si>
  <si>
    <t>W (K/W)</t>
  </si>
  <si>
    <t>W' (s/kg)</t>
  </si>
  <si>
    <t>K6 (kg-K/J)</t>
  </si>
  <si>
    <t>Tw,2 (°C)</t>
  </si>
  <si>
    <t>Ts,2 (°C)</t>
  </si>
  <si>
    <t>Modified Total Dry Resistance (K/W)</t>
  </si>
  <si>
    <t>Modified dry, air-side resistance (K/W)</t>
  </si>
  <si>
    <t>Ta,2 (°C)</t>
  </si>
  <si>
    <t>Ts,2 - Tdp</t>
  </si>
  <si>
    <t>Q sensible</t>
  </si>
  <si>
    <t>Q total</t>
  </si>
  <si>
    <t>kW</t>
  </si>
  <si>
    <t>Leaving Air Temperature, Ta,3</t>
  </si>
  <si>
    <t>Entering Air w</t>
  </si>
  <si>
    <t>Sat. Air Enthalpy @ Water Ent.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</si>
</sst>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0"/>
    <numFmt numFmtId="166" formatCode="#,##0.00000"/>
    <numFmt numFmtId="167" formatCode="0.0000"/>
    <numFmt numFmtId="168" formatCode="0.00000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0" fontId="0" fillId="0" borderId="0" xfId="0" applyFill="1" applyBorder="1"/>
    <xf numFmtId="11" fontId="0" fillId="0" borderId="0" xfId="0" applyNumberFormat="1" applyBorder="1"/>
    <xf numFmtId="3" fontId="0" fillId="0" borderId="0" xfId="0" applyNumberFormat="1" applyBorder="1"/>
    <xf numFmtId="0" fontId="0" fillId="3" borderId="0" xfId="0" applyFill="1"/>
    <xf numFmtId="3" fontId="0" fillId="3" borderId="0" xfId="0" applyNumberFormat="1" applyFill="1"/>
    <xf numFmtId="164" fontId="0" fillId="0" borderId="3" xfId="0" applyNumberFormat="1" applyBorder="1"/>
    <xf numFmtId="164" fontId="0" fillId="0" borderId="1" xfId="0" applyNumberFormat="1" applyBorder="1"/>
    <xf numFmtId="171" fontId="0" fillId="0" borderId="0" xfId="0" applyNumberFormat="1" applyFill="1"/>
    <xf numFmtId="171" fontId="0" fillId="0" borderId="0" xfId="0" applyNumberFormat="1"/>
    <xf numFmtId="0" fontId="0" fillId="3" borderId="3" xfId="0" applyFill="1" applyBorder="1"/>
    <xf numFmtId="4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Sheet1!$A$18:$A$64</c:f>
              <c:numCache>
                <c:formatCode>General</c:formatCode>
                <c:ptCount val="4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</c:numCache>
            </c:numRef>
          </c:xVal>
          <c:yVal>
            <c:numRef>
              <c:f>Sheet1!$E$18:$E$64</c:f>
              <c:numCache>
                <c:formatCode>#,##0</c:formatCode>
                <c:ptCount val="47"/>
                <c:pt idx="0">
                  <c:v>1659.1700197375774</c:v>
                </c:pt>
                <c:pt idx="1">
                  <c:v>1983.4392449408949</c:v>
                </c:pt>
                <c:pt idx="2">
                  <c:v>2294.9007025399715</c:v>
                </c:pt>
                <c:pt idx="3">
                  <c:v>2596.0994825194202</c:v>
                </c:pt>
                <c:pt idx="4">
                  <c:v>2888.7827905731742</c:v>
                </c:pt>
                <c:pt idx="5">
                  <c:v>3174.2191408156232</c:v>
                </c:pt>
                <c:pt idx="6">
                  <c:v>3453.3683038938711</c:v>
                </c:pt>
                <c:pt idx="7">
                  <c:v>3726.9798670556288</c:v>
                </c:pt>
                <c:pt idx="8">
                  <c:v>3995.6541986096854</c:v>
                </c:pt>
                <c:pt idx="9">
                  <c:v>4259.8821104545568</c:v>
                </c:pt>
                <c:pt idx="10">
                  <c:v>4520.0717337601136</c:v>
                </c:pt>
                <c:pt idx="11">
                  <c:v>4776.5673514211585</c:v>
                </c:pt>
                <c:pt idx="12">
                  <c:v>5029.6629711472533</c:v>
                </c:pt>
                <c:pt idx="13">
                  <c:v>5279.612345299005</c:v>
                </c:pt>
                <c:pt idx="14">
                  <c:v>5526.6365221247606</c:v>
                </c:pt>
                <c:pt idx="15">
                  <c:v>5770.9296400000749</c:v>
                </c:pt>
                <c:pt idx="16">
                  <c:v>6012.6634444475803</c:v>
                </c:pt>
                <c:pt idx="17">
                  <c:v>6251.9908592476977</c:v>
                </c:pt>
                <c:pt idx="18">
                  <c:v>6489.0488453171893</c:v>
                </c:pt>
                <c:pt idx="19">
                  <c:v>6723.9607153052057</c:v>
                </c:pt>
                <c:pt idx="20">
                  <c:v>6956.8380266723661</c:v>
                </c:pt>
                <c:pt idx="21">
                  <c:v>7187.7821443670164</c:v>
                </c:pt>
                <c:pt idx="22">
                  <c:v>7416.8855416625929</c:v>
                </c:pt>
                <c:pt idx="23">
                  <c:v>7644.2328914026566</c:v>
                </c:pt>
                <c:pt idx="24">
                  <c:v>7869.9019879275102</c:v>
                </c:pt>
                <c:pt idx="25">
                  <c:v>8093.9645310561054</c:v>
                </c:pt>
                <c:pt idx="26">
                  <c:v>8316.4867968031249</c:v>
                </c:pt>
                <c:pt idx="27">
                  <c:v>8537.530214420658</c:v>
                </c:pt>
                <c:pt idx="28">
                  <c:v>8757.1518654437969</c:v>
                </c:pt>
                <c:pt idx="29">
                  <c:v>8975.4049173875155</c:v>
                </c:pt>
                <c:pt idx="30">
                  <c:v>9192.3390023704414</c:v>
                </c:pt>
                <c:pt idx="31">
                  <c:v>9408.0005490713302</c:v>
                </c:pt>
                <c:pt idx="32">
                  <c:v>9622.4330749372857</c:v>
                </c:pt>
                <c:pt idx="33">
                  <c:v>9835.6774443739268</c:v>
                </c:pt>
                <c:pt idx="34">
                  <c:v>10047.772097688718</c:v>
                </c:pt>
                <c:pt idx="35">
                  <c:v>10258.753254782263</c:v>
                </c:pt>
                <c:pt idx="36">
                  <c:v>10468.655096947712</c:v>
                </c:pt>
                <c:pt idx="37">
                  <c:v>10677.509929619126</c:v>
                </c:pt>
                <c:pt idx="38">
                  <c:v>10885.348328480606</c:v>
                </c:pt>
                <c:pt idx="39">
                  <c:v>11092.19927099228</c:v>
                </c:pt>
                <c:pt idx="40">
                  <c:v>11298.090255093866</c:v>
                </c:pt>
                <c:pt idx="41">
                  <c:v>11503.047406598267</c:v>
                </c:pt>
                <c:pt idx="42">
                  <c:v>11707.095576579914</c:v>
                </c:pt>
                <c:pt idx="43">
                  <c:v>11910.258429887219</c:v>
                </c:pt>
                <c:pt idx="44">
                  <c:v>12112.55852575905</c:v>
                </c:pt>
                <c:pt idx="45">
                  <c:v>12314.017391399484</c:v>
                </c:pt>
                <c:pt idx="46">
                  <c:v>12514.655589257061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8-4BEC-9B9F-CBB350E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33359"/>
        <c:axId val="185561995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Sheet1!$A$18:$A$64</c:f>
              <c:numCache>
                <c:formatCode>General</c:formatCode>
                <c:ptCount val="4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</c:numCache>
            </c:numRef>
          </c:xVal>
          <c:yVal>
            <c:numRef>
              <c:f>Sheet1!$F$18:$F$64</c:f>
              <c:numCache>
                <c:formatCode>#,##0.00</c:formatCode>
                <c:ptCount val="47"/>
                <c:pt idx="0">
                  <c:v>4354.7769546917989</c:v>
                </c:pt>
                <c:pt idx="1">
                  <c:v>4164.701826647547</c:v>
                </c:pt>
                <c:pt idx="2">
                  <c:v>4015.5742826596124</c:v>
                </c:pt>
                <c:pt idx="3">
                  <c:v>3893.662515964631</c:v>
                </c:pt>
                <c:pt idx="4">
                  <c:v>3791.0535309359261</c:v>
                </c:pt>
                <c:pt idx="5">
                  <c:v>3702.7928151829938</c:v>
                </c:pt>
                <c:pt idx="6">
                  <c:v>3625.5835211484186</c:v>
                </c:pt>
                <c:pt idx="7">
                  <c:v>3557.127050399069</c:v>
                </c:pt>
                <c:pt idx="8">
                  <c:v>3495.7604537267557</c:v>
                </c:pt>
                <c:pt idx="9">
                  <c:v>3440.2439817924906</c:v>
                </c:pt>
                <c:pt idx="10">
                  <c:v>3389.630096558014</c:v>
                </c:pt>
                <c:pt idx="11">
                  <c:v>3343.1792485887372</c:v>
                </c:pt>
                <c:pt idx="12">
                  <c:v>3300.303786842032</c:v>
                </c:pt>
                <c:pt idx="13">
                  <c:v>3260.5294706184968</c:v>
                </c:pt>
                <c:pt idx="14">
                  <c:v>3223.4683710263962</c:v>
                </c:pt>
                <c:pt idx="15">
                  <c:v>3188.7993590275273</c:v>
                </c:pt>
                <c:pt idx="16">
                  <c:v>3156.2537766129017</c:v>
                </c:pt>
                <c:pt idx="17">
                  <c:v>3125.6047290327174</c:v>
                </c:pt>
                <c:pt idx="18">
                  <c:v>3096.6589574407899</c:v>
                </c:pt>
                <c:pt idx="19">
                  <c:v>3069.2505832729453</c:v>
                </c:pt>
                <c:pt idx="20">
                  <c:v>3043.2362321401424</c:v>
                </c:pt>
                <c:pt idx="21">
                  <c:v>3018.4911892354935</c:v>
                </c:pt>
                <c:pt idx="22">
                  <c:v>2994.9063362255538</c:v>
                </c:pt>
                <c:pt idx="23">
                  <c:v>2972.3856873345567</c:v>
                </c:pt>
                <c:pt idx="24">
                  <c:v>2950.8443899240756</c:v>
                </c:pt>
                <c:pt idx="25">
                  <c:v>2930.2070888066296</c:v>
                </c:pt>
                <c:pt idx="26">
                  <c:v>2910.4065780588389</c:v>
                </c:pt>
                <c:pt idx="27">
                  <c:v>2891.3826820491608</c:v>
                </c:pt>
                <c:pt idx="28">
                  <c:v>2873.0813206836619</c:v>
                </c:pt>
                <c:pt idx="29">
                  <c:v>2855.4537238169123</c:v>
                </c:pt>
                <c:pt idx="30">
                  <c:v>2838.4557672905462</c:v>
                </c:pt>
                <c:pt idx="31">
                  <c:v>2822.0474087952953</c:v>
                </c:pt>
                <c:pt idx="32">
                  <c:v>2806.192206164269</c:v>
                </c:pt>
                <c:pt idx="33">
                  <c:v>2790.856904128229</c:v>
                </c:pt>
                <c:pt idx="34">
                  <c:v>2776.0110782397342</c:v>
                </c:pt>
                <c:pt idx="35">
                  <c:v>2761.6268267803398</c:v>
                </c:pt>
                <c:pt idx="36">
                  <c:v>2747.6785031358809</c:v>
                </c:pt>
                <c:pt idx="37">
                  <c:v>2734.1424824580049</c:v>
                </c:pt>
                <c:pt idx="38">
                  <c:v>2720.9969575004611</c:v>
                </c:pt>
                <c:pt idx="39">
                  <c:v>2708.2217593828427</c:v>
                </c:pt>
                <c:pt idx="40">
                  <c:v>2695.7981997360689</c:v>
                </c:pt>
                <c:pt idx="41">
                  <c:v>2683.7089312565167</c:v>
                </c:pt>
                <c:pt idx="42">
                  <c:v>2671.9378241652203</c:v>
                </c:pt>
                <c:pt idx="43">
                  <c:v>2660.4698564555156</c:v>
                </c:pt>
                <c:pt idx="44">
                  <c:v>2649.2910161327754</c:v>
                </c:pt>
                <c:pt idx="45">
                  <c:v>2638.3882139160096</c:v>
                </c:pt>
                <c:pt idx="46">
                  <c:v>2627.7492050933465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8-4BEC-9B9F-CBB350E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40623"/>
        <c:axId val="1852534799"/>
      </c:scatterChart>
      <c:valAx>
        <c:axId val="46873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velocity</a:t>
                </a:r>
                <a:r>
                  <a:rPr lang="en-US" baseline="0"/>
                  <a:t> through coil tube (fps)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19951"/>
        <c:crosses val="autoZero"/>
        <c:crossBetween val="midCat"/>
      </c:valAx>
      <c:valAx>
        <c:axId val="18556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Convective heat transfer coefficient (W/m2-K)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33359"/>
        <c:crosses val="autoZero"/>
        <c:crossBetween val="midCat"/>
      </c:valAx>
      <c:valAx>
        <c:axId val="185253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Derivative</a:t>
                </a:r>
                <a:r>
                  <a:rPr lang="en-US" baseline="0"/>
                  <a:t> (W/m2-K) / (fps)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0623"/>
        <c:crosses val="max"/>
        <c:crossBetween val="midCat"/>
      </c:valAx>
      <c:valAx>
        <c:axId val="1852540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5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59354768153981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'Saturated Air Enthalpy'!$A$3:$A$15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'Saturated Air Enthalpy'!$E$3:$E$15</c:f>
              <c:numCache>
                <c:formatCode>General</c:formatCode>
                <c:ptCount val="13"/>
                <c:pt idx="0">
                  <c:v>42646.702768300784</c:v>
                </c:pt>
                <c:pt idx="1">
                  <c:v>44853.001973461796</c:v>
                </c:pt>
                <c:pt idx="2">
                  <c:v>47136.021749719024</c:v>
                </c:pt>
                <c:pt idx="3">
                  <c:v>49500.094460272703</c:v>
                </c:pt>
                <c:pt idx="4">
                  <c:v>51949.773192453104</c:v>
                </c:pt>
                <c:pt idx="5">
                  <c:v>54489.843024425594</c:v>
                </c:pt>
                <c:pt idx="6">
                  <c:v>57125.333008635127</c:v>
                </c:pt>
                <c:pt idx="7">
                  <c:v>59861.528933651978</c:v>
                </c:pt>
                <c:pt idx="8">
                  <c:v>62703.986932209962</c:v>
                </c:pt>
                <c:pt idx="9">
                  <c:v>65658.548010041355</c:v>
                </c:pt>
                <c:pt idx="10">
                  <c:v>68731.35357764423</c:v>
                </c:pt>
                <c:pt idx="11">
                  <c:v>71928.862075481447</c:v>
                </c:pt>
                <c:pt idx="12">
                  <c:v>75257.86679241313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F-4F83-9E65-5F258CCD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6320"/>
        <c:axId val="1055402975"/>
      </c:scatterChart>
      <c:valAx>
        <c:axId val="1614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02975"/>
        <c:crosses val="autoZero"/>
        <c:crossBetween val="midCat"/>
      </c:valAx>
      <c:valAx>
        <c:axId val="10554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(J/kg)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23</xdr:row>
      <xdr:rowOff>101600</xdr:rowOff>
    </xdr:from>
    <xdr:to>
      <xdr:col>18</xdr:col>
      <xdr:colOff>63500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F67D-8EC3-433E-A329-72C0CB04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234950</xdr:colOff>
      <xdr:row>13</xdr:row>
      <xdr:rowOff>172369</xdr:rowOff>
    </xdr:from>
    <xdr:to>
      <xdr:col>5</xdr:col>
      <xdr:colOff>400438</xdr:colOff>
      <xdr:row>15</xdr:row>
      <xdr:rowOff>57193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3E1A-6407-4BA2-82DD-6FF64BA2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8750" y="2566319"/>
          <a:ext cx="2260988" cy="253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1259541</xdr:colOff>
      <xdr:row>0</xdr:row>
      <xdr:rowOff>0</xdr:rowOff>
    </xdr:from>
    <xdr:to>
      <xdr:col>28</xdr:col>
      <xdr:colOff>74105</xdr:colOff>
      <xdr:row>69</xdr:row>
      <xdr:rowOff>172112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2A0EE-1F02-48E7-A6F4-683D8D11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7241" y="0"/>
          <a:ext cx="10103370" cy="12878462"/>
        </a:xfrm>
        <a:prstGeom prst="rect">
          <a:avLst/>
        </a:prstGeom>
      </xdr:spPr>
    </xdr:pic>
    <xdr:clientData/>
  </xdr:twoCellAnchor>
  <xdr:twoCellAnchor editAs="oneCell">
    <xdr:from>
      <xdr:col>4</xdr:col>
      <xdr:colOff>15688</xdr:colOff>
      <xdr:row>72</xdr:row>
      <xdr:rowOff>98506</xdr:rowOff>
    </xdr:from>
    <xdr:to>
      <xdr:col>7</xdr:col>
      <xdr:colOff>227188</xdr:colOff>
      <xdr:row>74</xdr:row>
      <xdr:rowOff>126301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EEEB1-489B-4852-A544-69337FED9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488" y="13357306"/>
          <a:ext cx="3697650" cy="396095"/>
        </a:xfrm>
        <a:prstGeom prst="rect">
          <a:avLst/>
        </a:prstGeom>
      </xdr:spPr>
    </xdr:pic>
    <xdr:clientData/>
  </xdr:twoCellAnchor>
  <xdr:twoCellAnchor editAs="oneCell">
    <xdr:from>
      <xdr:col>3</xdr:col>
      <xdr:colOff>1212529</xdr:colOff>
      <xdr:row>96</xdr:row>
      <xdr:rowOff>112058</xdr:rowOff>
    </xdr:from>
    <xdr:to>
      <xdr:col>3</xdr:col>
      <xdr:colOff>2241176</xdr:colOff>
      <xdr:row>98</xdr:row>
      <xdr:rowOff>116020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8CBDFF-7E0D-4C1F-BC4C-B1377C63F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1117" y="10197352"/>
          <a:ext cx="1028647" cy="377492"/>
        </a:xfrm>
        <a:prstGeom prst="rect">
          <a:avLst/>
        </a:prstGeom>
      </xdr:spPr>
    </xdr:pic>
    <xdr:clientData/>
  </xdr:twoCellAnchor>
  <xdr:twoCellAnchor editAs="oneCell">
    <xdr:from>
      <xdr:col>3</xdr:col>
      <xdr:colOff>398507</xdr:colOff>
      <xdr:row>116</xdr:row>
      <xdr:rowOff>134470</xdr:rowOff>
    </xdr:from>
    <xdr:to>
      <xdr:col>4</xdr:col>
      <xdr:colOff>1106279</xdr:colOff>
      <xdr:row>121</xdr:row>
      <xdr:rowOff>37352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AB650-BB92-4560-A459-28A632CC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26860" y="14328588"/>
          <a:ext cx="3387472" cy="836706"/>
        </a:xfrm>
        <a:prstGeom prst="rect">
          <a:avLst/>
        </a:prstGeom>
      </xdr:spPr>
    </xdr:pic>
    <xdr:clientData/>
  </xdr:twoCellAnchor>
  <xdr:twoCellAnchor editAs="oneCell">
    <xdr:from>
      <xdr:col>4</xdr:col>
      <xdr:colOff>146600</xdr:colOff>
      <xdr:row>139</xdr:row>
      <xdr:rowOff>120650</xdr:rowOff>
    </xdr:from>
    <xdr:to>
      <xdr:col>5</xdr:col>
      <xdr:colOff>108497</xdr:colOff>
      <xdr:row>142</xdr:row>
      <xdr:rowOff>31908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8CA254-0A05-408D-89BC-C478CB69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55400" y="25717500"/>
          <a:ext cx="1612897" cy="463708"/>
        </a:xfrm>
        <a:prstGeom prst="rect">
          <a:avLst/>
        </a:prstGeom>
      </xdr:spPr>
    </xdr:pic>
    <xdr:clientData/>
  </xdr:twoCellAnchor>
  <xdr:twoCellAnchor editAs="oneCell">
    <xdr:from>
      <xdr:col>3</xdr:col>
      <xdr:colOff>1869620</xdr:colOff>
      <xdr:row>139</xdr:row>
      <xdr:rowOff>50800</xdr:rowOff>
    </xdr:from>
    <xdr:to>
      <xdr:col>4</xdr:col>
      <xdr:colOff>51680</xdr:colOff>
      <xdr:row>141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5CD127-D0FD-4BDE-A718-4ED7D7C7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8720" y="19939000"/>
          <a:ext cx="86176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16829</xdr:colOff>
      <xdr:row>148</xdr:row>
      <xdr:rowOff>19050</xdr:rowOff>
    </xdr:from>
    <xdr:to>
      <xdr:col>7</xdr:col>
      <xdr:colOff>1111713</xdr:colOff>
      <xdr:row>164</xdr:row>
      <xdr:rowOff>165413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5782D8-1079-41B2-94F1-251CE3809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5629" y="27273250"/>
          <a:ext cx="4581034" cy="3092763"/>
        </a:xfrm>
        <a:prstGeom prst="rect">
          <a:avLst/>
        </a:prstGeom>
      </xdr:spPr>
    </xdr:pic>
    <xdr:clientData/>
  </xdr:twoCellAnchor>
  <xdr:twoCellAnchor editAs="oneCell">
    <xdr:from>
      <xdr:col>3</xdr:col>
      <xdr:colOff>774700</xdr:colOff>
      <xdr:row>108</xdr:row>
      <xdr:rowOff>131710</xdr:rowOff>
    </xdr:from>
    <xdr:to>
      <xdr:col>4</xdr:col>
      <xdr:colOff>304997</xdr:colOff>
      <xdr:row>111</xdr:row>
      <xdr:rowOff>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D60EDD-A560-4F41-A42F-39651E5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03800" y="20019910"/>
          <a:ext cx="2209997" cy="420778"/>
        </a:xfrm>
        <a:prstGeom prst="rect">
          <a:avLst/>
        </a:prstGeom>
      </xdr:spPr>
    </xdr:pic>
    <xdr:clientData/>
  </xdr:twoCellAnchor>
  <xdr:twoCellAnchor editAs="oneCell">
    <xdr:from>
      <xdr:col>3</xdr:col>
      <xdr:colOff>463549</xdr:colOff>
      <xdr:row>111</xdr:row>
      <xdr:rowOff>72276</xdr:rowOff>
    </xdr:from>
    <xdr:to>
      <xdr:col>4</xdr:col>
      <xdr:colOff>1336216</xdr:colOff>
      <xdr:row>113</xdr:row>
      <xdr:rowOff>146049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0C46B4-A19B-4D0F-97C4-D042B6703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92649" y="20512926"/>
          <a:ext cx="3552367" cy="442073"/>
        </a:xfrm>
        <a:prstGeom prst="rect">
          <a:avLst/>
        </a:prstGeom>
      </xdr:spPr>
    </xdr:pic>
    <xdr:clientData/>
  </xdr:twoCellAnchor>
  <xdr:twoCellAnchor editAs="oneCell">
    <xdr:from>
      <xdr:col>7</xdr:col>
      <xdr:colOff>110286</xdr:colOff>
      <xdr:row>173</xdr:row>
      <xdr:rowOff>165100</xdr:rowOff>
    </xdr:from>
    <xdr:to>
      <xdr:col>7</xdr:col>
      <xdr:colOff>870267</xdr:colOff>
      <xdr:row>175</xdr:row>
      <xdr:rowOff>177960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BD4DC3-2391-418B-BB47-961F9D19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60936" y="32575500"/>
          <a:ext cx="759981" cy="381160"/>
        </a:xfrm>
        <a:prstGeom prst="rect">
          <a:avLst/>
        </a:prstGeom>
      </xdr:spPr>
    </xdr:pic>
    <xdr:clientData/>
  </xdr:twoCellAnchor>
  <xdr:twoCellAnchor editAs="oneCell">
    <xdr:from>
      <xdr:col>7</xdr:col>
      <xdr:colOff>1057717</xdr:colOff>
      <xdr:row>173</xdr:row>
      <xdr:rowOff>152400</xdr:rowOff>
    </xdr:from>
    <xdr:to>
      <xdr:col>8</xdr:col>
      <xdr:colOff>609930</xdr:colOff>
      <xdr:row>176</xdr:row>
      <xdr:rowOff>31902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D263B08-C4B1-4F85-9094-C8F36AFE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8367" y="32562800"/>
          <a:ext cx="942863" cy="431952"/>
        </a:xfrm>
        <a:prstGeom prst="rect">
          <a:avLst/>
        </a:prstGeom>
      </xdr:spPr>
    </xdr:pic>
    <xdr:clientData/>
  </xdr:twoCellAnchor>
  <xdr:twoCellAnchor editAs="oneCell">
    <xdr:from>
      <xdr:col>20</xdr:col>
      <xdr:colOff>120650</xdr:colOff>
      <xdr:row>168</xdr:row>
      <xdr:rowOff>143844</xdr:rowOff>
    </xdr:from>
    <xdr:to>
      <xdr:col>27</xdr:col>
      <xdr:colOff>781447</xdr:colOff>
      <xdr:row>171</xdr:row>
      <xdr:rowOff>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562F19-1524-4EC2-ABF4-D74920C7C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472900" y="31449344"/>
          <a:ext cx="5118497" cy="408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6</xdr:row>
      <xdr:rowOff>101600</xdr:rowOff>
    </xdr:from>
    <xdr:to>
      <xdr:col>20</xdr:col>
      <xdr:colOff>514350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16AB8-8746-4361-B6EC-E333294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tchell Paulus" id="{4176BC63-03BC-4EF6-9C7E-0AFFF97FD95E}" userId="S::mpaulus@command-cx.com::d54dc7aa-ab16-4733-8eb5-9745357662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0-11-25T22:18:42.39" personId="{4176BC63-03BC-4EF6-9C7E-0AFFF97FD95E}" id="{637E471D-F22F-4BF8-BE90-97D8BA0ADA31}">
    <text>Coil manufacturers recommend speeds &gt; 2.5 because this is the transition to turbulent flow, as evidenced by this Reynolds number calculation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20-12-06T15:21:37.62" personId="{4176BC63-03BC-4EF6-9C7E-0AFFF97FD95E}" id="{C354CDA8-FD93-48E9-B63C-01FD27B7A8EE}">
    <text>From EnergyPlus engineering reference, pg. 815, assumes some water vapor</text>
  </threadedComment>
  <threadedComment ref="H4" dT="2020-12-06T15:21:13.89" personId="{4176BC63-03BC-4EF6-9C7E-0AFFF97FD95E}" id="{38DEF251-737A-40C0-AC0C-F4491D1B4ECC}">
    <text>From EnergyPlus engineering reference, pg. 815</text>
  </threadedComment>
  <threadedComment ref="D74" dT="2020-12-04T16:41:24.52" personId="{4176BC63-03BC-4EF6-9C7E-0AFFF97FD95E}" id="{63497A73-B59D-4AD0-956E-4036EE837206}">
    <text>I actually think the equation as written is incorrect. It only subtracts the tube area from 1 fin side, instead of all fin sides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workbookViewId="0">
      <selection activeCell="E24" sqref="E24"/>
    </sheetView>
  </sheetViews>
  <sheetFormatPr defaultRowHeight="14.5" x14ac:dyDescent="0.35"/>
  <cols>
    <col min="1" max="1" width="22.26953125" bestFit="1" customWidth="1"/>
    <col min="2" max="2" width="13" bestFit="1" customWidth="1"/>
    <col min="3" max="4" width="9.7265625" customWidth="1"/>
    <col min="5" max="5" width="10.54296875" bestFit="1" customWidth="1"/>
  </cols>
  <sheetData>
    <row r="1" spans="1:5" x14ac:dyDescent="0.35">
      <c r="A1" t="s">
        <v>30</v>
      </c>
      <c r="B1">
        <v>8</v>
      </c>
      <c r="C1" t="s">
        <v>31</v>
      </c>
    </row>
    <row r="2" spans="1:5" x14ac:dyDescent="0.35">
      <c r="A2" t="s">
        <v>32</v>
      </c>
      <c r="B2" s="2">
        <v>1.08E-3</v>
      </c>
      <c r="C2" t="s">
        <v>33</v>
      </c>
    </row>
    <row r="3" spans="1:5" x14ac:dyDescent="0.35">
      <c r="A3" t="s">
        <v>34</v>
      </c>
      <c r="B3">
        <v>1E-3</v>
      </c>
      <c r="C3" t="s">
        <v>35</v>
      </c>
    </row>
    <row r="4" spans="1:5" x14ac:dyDescent="0.35">
      <c r="A4" t="s">
        <v>36</v>
      </c>
      <c r="B4" s="2">
        <f>B2*B3</f>
        <v>1.08E-6</v>
      </c>
      <c r="C4" t="s">
        <v>37</v>
      </c>
    </row>
    <row r="6" spans="1:5" x14ac:dyDescent="0.35">
      <c r="A6" t="s">
        <v>38</v>
      </c>
      <c r="B6">
        <f>5/8</f>
        <v>0.625</v>
      </c>
      <c r="C6" t="s">
        <v>39</v>
      </c>
    </row>
    <row r="7" spans="1:5" x14ac:dyDescent="0.35">
      <c r="A7" t="s">
        <v>40</v>
      </c>
      <c r="B7">
        <v>0.02</v>
      </c>
      <c r="C7" t="s">
        <v>39</v>
      </c>
    </row>
    <row r="8" spans="1:5" x14ac:dyDescent="0.35">
      <c r="A8" t="s">
        <v>41</v>
      </c>
      <c r="B8">
        <f>B6-2*B7</f>
        <v>0.58499999999999996</v>
      </c>
      <c r="C8" t="s">
        <v>39</v>
      </c>
    </row>
    <row r="9" spans="1:5" x14ac:dyDescent="0.35">
      <c r="B9">
        <f>B8*0.0254</f>
        <v>1.4858999999999999E-2</v>
      </c>
      <c r="C9" t="s">
        <v>42</v>
      </c>
    </row>
    <row r="11" spans="1:5" x14ac:dyDescent="0.35">
      <c r="A11" t="s">
        <v>47</v>
      </c>
      <c r="B11" s="2">
        <v>0.59</v>
      </c>
      <c r="C11" t="s">
        <v>48</v>
      </c>
      <c r="E11" s="1"/>
    </row>
    <row r="17" spans="1:6" x14ac:dyDescent="0.35">
      <c r="A17" t="s">
        <v>43</v>
      </c>
      <c r="B17" t="s">
        <v>45</v>
      </c>
      <c r="C17" t="s">
        <v>44</v>
      </c>
      <c r="D17" t="s">
        <v>46</v>
      </c>
      <c r="E17" t="s">
        <v>50</v>
      </c>
      <c r="F17" t="s">
        <v>49</v>
      </c>
    </row>
    <row r="18" spans="1:6" x14ac:dyDescent="0.35">
      <c r="A18">
        <v>1</v>
      </c>
      <c r="B18">
        <f>A18*0.3048</f>
        <v>0.30480000000000002</v>
      </c>
      <c r="C18" s="1">
        <f>B18*$B$9/$B$4</f>
        <v>4193.54</v>
      </c>
      <c r="D18" s="1">
        <f>0.023*C18^(4/5)*$B$1^0.4</f>
        <v>41.785775124204513</v>
      </c>
      <c r="E18" s="1">
        <f>D18*$B$11/$B$9</f>
        <v>1659.1700197375774</v>
      </c>
      <c r="F18" s="3">
        <f>0.023*$B$1^0.4*(4/5)*(C18^(-1/5))*$B$11/$B$4</f>
        <v>4354.7769546917989</v>
      </c>
    </row>
    <row r="19" spans="1:6" x14ac:dyDescent="0.35">
      <c r="A19">
        <v>1.25</v>
      </c>
      <c r="B19">
        <f t="shared" ref="B19:B64" si="0">A19*0.3048</f>
        <v>0.38100000000000001</v>
      </c>
      <c r="C19" s="1">
        <f t="shared" ref="C19:C64" si="1">B19*$B$9/$B$4</f>
        <v>5241.9250000000002</v>
      </c>
      <c r="D19" s="1">
        <f t="shared" ref="D19:D64" si="2">0.023*C19^(4/5)*$B$1^0.4</f>
        <v>49.952413119621625</v>
      </c>
      <c r="E19" s="1">
        <f t="shared" ref="E19:E64" si="3">D19*$B$11/$B$9</f>
        <v>1983.4392449408949</v>
      </c>
      <c r="F19" s="3">
        <f t="shared" ref="F19:F64" si="4">0.023*$B$1^0.4*(4/5)*(C19^(-1/5))*$B$11/$B$4</f>
        <v>4164.701826647547</v>
      </c>
    </row>
    <row r="20" spans="1:6" x14ac:dyDescent="0.35">
      <c r="A20">
        <v>1.5</v>
      </c>
      <c r="B20">
        <f t="shared" si="0"/>
        <v>0.45720000000000005</v>
      </c>
      <c r="C20" s="1">
        <f t="shared" si="1"/>
        <v>6290.31</v>
      </c>
      <c r="D20" s="1">
        <f t="shared" si="2"/>
        <v>57.796490744138026</v>
      </c>
      <c r="E20" s="1">
        <f t="shared" si="3"/>
        <v>2294.9007025399715</v>
      </c>
      <c r="F20" s="3">
        <f t="shared" si="4"/>
        <v>4015.5742826596124</v>
      </c>
    </row>
    <row r="21" spans="1:6" x14ac:dyDescent="0.35">
      <c r="A21">
        <v>1.75</v>
      </c>
      <c r="B21">
        <f t="shared" si="0"/>
        <v>0.53339999999999999</v>
      </c>
      <c r="C21" s="1">
        <f t="shared" si="1"/>
        <v>7338.6949999999997</v>
      </c>
      <c r="D21" s="1">
        <f t="shared" si="2"/>
        <v>65.382105441959439</v>
      </c>
      <c r="E21" s="1">
        <f t="shared" si="3"/>
        <v>2596.0994825194202</v>
      </c>
      <c r="F21" s="3">
        <f t="shared" si="4"/>
        <v>3893.662515964631</v>
      </c>
    </row>
    <row r="22" spans="1:6" x14ac:dyDescent="0.35">
      <c r="A22">
        <v>2</v>
      </c>
      <c r="B22">
        <f t="shared" si="0"/>
        <v>0.60960000000000003</v>
      </c>
      <c r="C22" s="1">
        <f t="shared" si="1"/>
        <v>8387.08</v>
      </c>
      <c r="D22" s="1">
        <f t="shared" si="2"/>
        <v>72.753260144282706</v>
      </c>
      <c r="E22" s="1">
        <f t="shared" si="3"/>
        <v>2888.7827905731742</v>
      </c>
      <c r="F22" s="3">
        <f t="shared" si="4"/>
        <v>3791.0535309359261</v>
      </c>
    </row>
    <row r="23" spans="1:6" x14ac:dyDescent="0.35">
      <c r="A23">
        <v>2.25</v>
      </c>
      <c r="B23">
        <f t="shared" si="0"/>
        <v>0.68580000000000008</v>
      </c>
      <c r="C23" s="1">
        <f t="shared" si="1"/>
        <v>9435.4650000000001</v>
      </c>
      <c r="D23" s="1">
        <f t="shared" si="2"/>
        <v>79.941902056575159</v>
      </c>
      <c r="E23" s="1">
        <f t="shared" si="3"/>
        <v>3174.2191408156232</v>
      </c>
      <c r="F23" s="3">
        <f t="shared" si="4"/>
        <v>3702.7928151829938</v>
      </c>
    </row>
    <row r="24" spans="1:6" x14ac:dyDescent="0.35">
      <c r="A24" s="4">
        <v>2.5</v>
      </c>
      <c r="B24" s="4">
        <f t="shared" si="0"/>
        <v>0.76200000000000001</v>
      </c>
      <c r="C24" s="5">
        <f t="shared" si="1"/>
        <v>10483.85</v>
      </c>
      <c r="D24" s="5">
        <f t="shared" si="2"/>
        <v>86.972202758574625</v>
      </c>
      <c r="E24" s="5">
        <f t="shared" si="3"/>
        <v>3453.3683038938711</v>
      </c>
      <c r="F24" s="6">
        <f t="shared" si="4"/>
        <v>3625.5835211484186</v>
      </c>
    </row>
    <row r="25" spans="1:6" x14ac:dyDescent="0.35">
      <c r="A25">
        <v>2.75</v>
      </c>
      <c r="B25">
        <f t="shared" si="0"/>
        <v>0.83820000000000006</v>
      </c>
      <c r="C25" s="1">
        <f t="shared" si="1"/>
        <v>11532.235000000001</v>
      </c>
      <c r="D25" s="1">
        <f t="shared" si="2"/>
        <v>93.863040414541672</v>
      </c>
      <c r="E25" s="1">
        <f t="shared" si="3"/>
        <v>3726.9798670556288</v>
      </c>
      <c r="F25" s="3">
        <f t="shared" si="4"/>
        <v>3557.127050399069</v>
      </c>
    </row>
    <row r="26" spans="1:6" x14ac:dyDescent="0.35">
      <c r="A26">
        <v>3</v>
      </c>
      <c r="B26">
        <f t="shared" si="0"/>
        <v>0.9144000000000001</v>
      </c>
      <c r="C26" s="1">
        <f t="shared" si="1"/>
        <v>12580.62</v>
      </c>
      <c r="D26" s="1">
        <f t="shared" si="2"/>
        <v>100.62953514769714</v>
      </c>
      <c r="E26" s="1">
        <f t="shared" si="3"/>
        <v>3995.6541986096854</v>
      </c>
      <c r="F26" s="3">
        <f t="shared" si="4"/>
        <v>3495.7604537267557</v>
      </c>
    </row>
    <row r="27" spans="1:6" x14ac:dyDescent="0.35">
      <c r="A27">
        <v>3.25</v>
      </c>
      <c r="B27">
        <f t="shared" si="0"/>
        <v>0.99060000000000004</v>
      </c>
      <c r="C27" s="1">
        <f t="shared" si="1"/>
        <v>13629.004999999999</v>
      </c>
      <c r="D27" s="1">
        <f t="shared" si="2"/>
        <v>107.28404793092248</v>
      </c>
      <c r="E27" s="1">
        <f t="shared" si="3"/>
        <v>4259.8821104545568</v>
      </c>
      <c r="F27" s="3">
        <f t="shared" si="4"/>
        <v>3440.2439817924906</v>
      </c>
    </row>
    <row r="28" spans="1:6" x14ac:dyDescent="0.35">
      <c r="A28">
        <v>3.5</v>
      </c>
      <c r="B28">
        <f t="shared" si="0"/>
        <v>1.0668</v>
      </c>
      <c r="C28" s="1">
        <f t="shared" si="1"/>
        <v>14677.39</v>
      </c>
      <c r="D28" s="1">
        <f t="shared" si="2"/>
        <v>113.83685744396867</v>
      </c>
      <c r="E28" s="1">
        <f t="shared" si="3"/>
        <v>4520.0717337601136</v>
      </c>
      <c r="F28" s="3">
        <f t="shared" si="4"/>
        <v>3389.630096558014</v>
      </c>
    </row>
    <row r="29" spans="1:6" x14ac:dyDescent="0.35">
      <c r="A29">
        <v>3.75</v>
      </c>
      <c r="B29">
        <f t="shared" si="0"/>
        <v>1.143</v>
      </c>
      <c r="C29" s="1">
        <f t="shared" si="1"/>
        <v>15725.774999999998</v>
      </c>
      <c r="D29" s="1">
        <f t="shared" si="2"/>
        <v>120.29663436401187</v>
      </c>
      <c r="E29" s="1">
        <f t="shared" si="3"/>
        <v>4776.5673514211585</v>
      </c>
      <c r="F29" s="3">
        <f t="shared" si="4"/>
        <v>3343.1792485887372</v>
      </c>
    </row>
    <row r="30" spans="1:6" x14ac:dyDescent="0.35">
      <c r="A30">
        <v>4</v>
      </c>
      <c r="B30">
        <f t="shared" si="0"/>
        <v>1.2192000000000001</v>
      </c>
      <c r="C30" s="1">
        <f t="shared" si="1"/>
        <v>16774.16</v>
      </c>
      <c r="D30" s="1">
        <f t="shared" si="2"/>
        <v>126.67078320046954</v>
      </c>
      <c r="E30" s="1">
        <f t="shared" si="3"/>
        <v>5029.6629711472533</v>
      </c>
      <c r="F30" s="3">
        <f t="shared" si="4"/>
        <v>3300.303786842032</v>
      </c>
    </row>
    <row r="31" spans="1:6" x14ac:dyDescent="0.35">
      <c r="A31">
        <v>4.25</v>
      </c>
      <c r="B31">
        <f t="shared" si="0"/>
        <v>1.2954000000000001</v>
      </c>
      <c r="C31" s="1">
        <f t="shared" si="1"/>
        <v>17822.544999999998</v>
      </c>
      <c r="D31" s="1">
        <f t="shared" si="2"/>
        <v>132.96569464203037</v>
      </c>
      <c r="E31" s="1">
        <f t="shared" si="3"/>
        <v>5279.612345299005</v>
      </c>
      <c r="F31" s="3">
        <f t="shared" si="4"/>
        <v>3260.5294706184968</v>
      </c>
    </row>
    <row r="32" spans="1:6" x14ac:dyDescent="0.35">
      <c r="A32">
        <v>4.5</v>
      </c>
      <c r="B32">
        <f t="shared" si="0"/>
        <v>1.3716000000000002</v>
      </c>
      <c r="C32" s="1">
        <f t="shared" si="1"/>
        <v>18870.93</v>
      </c>
      <c r="D32" s="1">
        <f t="shared" si="2"/>
        <v>139.18693573263019</v>
      </c>
      <c r="E32" s="1">
        <f t="shared" si="3"/>
        <v>5526.6365221247606</v>
      </c>
      <c r="F32" s="3">
        <f t="shared" si="4"/>
        <v>3223.4683710263962</v>
      </c>
    </row>
    <row r="33" spans="1:6" x14ac:dyDescent="0.35">
      <c r="A33">
        <v>4.75</v>
      </c>
      <c r="B33">
        <f t="shared" si="0"/>
        <v>1.4478</v>
      </c>
      <c r="C33" s="1">
        <f t="shared" si="1"/>
        <v>19919.314999999999</v>
      </c>
      <c r="D33" s="1">
        <f t="shared" si="2"/>
        <v>145.33939579790018</v>
      </c>
      <c r="E33" s="1">
        <f t="shared" si="3"/>
        <v>5770.9296400000749</v>
      </c>
      <c r="F33" s="3">
        <f t="shared" si="4"/>
        <v>3188.7993590275273</v>
      </c>
    </row>
    <row r="34" spans="1:6" x14ac:dyDescent="0.35">
      <c r="A34">
        <v>5</v>
      </c>
      <c r="B34">
        <f t="shared" si="0"/>
        <v>1.524</v>
      </c>
      <c r="C34" s="1">
        <f t="shared" si="1"/>
        <v>20967.7</v>
      </c>
      <c r="D34" s="1">
        <f t="shared" si="2"/>
        <v>151.42740020516371</v>
      </c>
      <c r="E34" s="1">
        <f t="shared" si="3"/>
        <v>6012.6634444475803</v>
      </c>
      <c r="F34" s="3">
        <f t="shared" si="4"/>
        <v>3156.2537766129017</v>
      </c>
    </row>
    <row r="35" spans="1:6" x14ac:dyDescent="0.35">
      <c r="A35">
        <v>5.25</v>
      </c>
      <c r="B35">
        <f t="shared" si="0"/>
        <v>1.6002000000000001</v>
      </c>
      <c r="C35" s="1">
        <f t="shared" si="1"/>
        <v>22016.084999999999</v>
      </c>
      <c r="D35" s="1">
        <f t="shared" si="2"/>
        <v>157.45480030095175</v>
      </c>
      <c r="E35" s="1">
        <f t="shared" si="3"/>
        <v>6251.9908592476977</v>
      </c>
      <c r="F35" s="3">
        <f t="shared" si="4"/>
        <v>3125.6047290327174</v>
      </c>
    </row>
    <row r="36" spans="1:6" x14ac:dyDescent="0.35">
      <c r="A36">
        <v>5.5</v>
      </c>
      <c r="B36">
        <f t="shared" si="0"/>
        <v>1.6764000000000001</v>
      </c>
      <c r="C36" s="1">
        <f t="shared" si="1"/>
        <v>23064.47</v>
      </c>
      <c r="D36" s="1">
        <f t="shared" si="2"/>
        <v>163.4250454111324</v>
      </c>
      <c r="E36" s="1">
        <f t="shared" si="3"/>
        <v>6489.0488453171893</v>
      </c>
      <c r="F36" s="3">
        <f t="shared" si="4"/>
        <v>3096.6589574407899</v>
      </c>
    </row>
    <row r="37" spans="1:6" x14ac:dyDescent="0.35">
      <c r="A37">
        <v>5.75</v>
      </c>
      <c r="B37">
        <f t="shared" si="0"/>
        <v>1.7526000000000002</v>
      </c>
      <c r="C37" s="1">
        <f t="shared" si="1"/>
        <v>24112.855</v>
      </c>
      <c r="D37" s="1">
        <f t="shared" si="2"/>
        <v>169.34124113342381</v>
      </c>
      <c r="E37" s="1">
        <f t="shared" si="3"/>
        <v>6723.9607153052057</v>
      </c>
      <c r="F37" s="3">
        <f t="shared" si="4"/>
        <v>3069.2505832729453</v>
      </c>
    </row>
    <row r="38" spans="1:6" x14ac:dyDescent="0.35">
      <c r="A38">
        <v>6</v>
      </c>
      <c r="B38">
        <f t="shared" si="0"/>
        <v>1.8288000000000002</v>
      </c>
      <c r="C38" s="1">
        <f t="shared" si="1"/>
        <v>25161.24</v>
      </c>
      <c r="D38" s="1">
        <f t="shared" si="2"/>
        <v>175.20619701410962</v>
      </c>
      <c r="E38" s="1">
        <f t="shared" si="3"/>
        <v>6956.8380266723661</v>
      </c>
      <c r="F38" s="3">
        <f t="shared" si="4"/>
        <v>3043.2362321401424</v>
      </c>
    </row>
    <row r="39" spans="1:6" x14ac:dyDescent="0.35">
      <c r="A39">
        <v>6.25</v>
      </c>
      <c r="B39">
        <f t="shared" si="0"/>
        <v>1.905</v>
      </c>
      <c r="C39" s="1">
        <f t="shared" si="1"/>
        <v>26209.624999999996</v>
      </c>
      <c r="D39" s="1">
        <f t="shared" si="2"/>
        <v>181.02246590364322</v>
      </c>
      <c r="E39" s="1">
        <f t="shared" si="3"/>
        <v>7187.7821443670164</v>
      </c>
      <c r="F39" s="3">
        <f t="shared" si="4"/>
        <v>3018.4911892354935</v>
      </c>
    </row>
    <row r="40" spans="1:6" x14ac:dyDescent="0.35">
      <c r="A40">
        <v>6.5</v>
      </c>
      <c r="B40">
        <f t="shared" si="0"/>
        <v>1.9812000000000001</v>
      </c>
      <c r="C40" s="1">
        <f t="shared" si="1"/>
        <v>27258.01</v>
      </c>
      <c r="D40" s="1">
        <f t="shared" si="2"/>
        <v>186.79237671790588</v>
      </c>
      <c r="E40" s="1">
        <f t="shared" si="3"/>
        <v>7416.8855416625929</v>
      </c>
      <c r="F40" s="3">
        <f t="shared" si="4"/>
        <v>2994.9063362255538</v>
      </c>
    </row>
    <row r="41" spans="1:6" x14ac:dyDescent="0.35">
      <c r="A41">
        <v>6.75</v>
      </c>
      <c r="B41">
        <f t="shared" si="0"/>
        <v>2.0573999999999999</v>
      </c>
      <c r="C41" s="1">
        <f t="shared" si="1"/>
        <v>28306.394999999997</v>
      </c>
      <c r="D41" s="1">
        <f t="shared" si="2"/>
        <v>192.51806192093571</v>
      </c>
      <c r="E41" s="1">
        <f t="shared" si="3"/>
        <v>7644.2328914026566</v>
      </c>
      <c r="F41" s="3">
        <f t="shared" si="4"/>
        <v>2972.3856873345567</v>
      </c>
    </row>
    <row r="42" spans="1:6" x14ac:dyDescent="0.35">
      <c r="A42">
        <v>7</v>
      </c>
      <c r="B42">
        <f t="shared" si="0"/>
        <v>2.1335999999999999</v>
      </c>
      <c r="C42" s="1">
        <f t="shared" si="1"/>
        <v>29354.78</v>
      </c>
      <c r="D42" s="1">
        <f t="shared" si="2"/>
        <v>198.20148074341503</v>
      </c>
      <c r="E42" s="1">
        <f t="shared" si="3"/>
        <v>7869.9019879275102</v>
      </c>
      <c r="F42" s="3">
        <f t="shared" si="4"/>
        <v>2950.8443899240756</v>
      </c>
    </row>
    <row r="43" spans="1:6" x14ac:dyDescent="0.35">
      <c r="A43">
        <v>7.25</v>
      </c>
      <c r="B43">
        <f t="shared" si="0"/>
        <v>2.2098</v>
      </c>
      <c r="C43" s="1">
        <f t="shared" si="1"/>
        <v>30403.165000000001</v>
      </c>
      <c r="D43" s="1">
        <f t="shared" si="2"/>
        <v>203.84443892705536</v>
      </c>
      <c r="E43" s="1">
        <f t="shared" si="3"/>
        <v>8093.9645310561054</v>
      </c>
      <c r="F43" s="3">
        <f t="shared" si="4"/>
        <v>2930.2070888066296</v>
      </c>
    </row>
    <row r="44" spans="1:6" x14ac:dyDescent="0.35">
      <c r="A44">
        <v>7.5</v>
      </c>
      <c r="B44">
        <f t="shared" si="0"/>
        <v>2.286</v>
      </c>
      <c r="C44" s="1">
        <f t="shared" si="1"/>
        <v>31451.549999999996</v>
      </c>
      <c r="D44" s="1">
        <f t="shared" si="2"/>
        <v>209.44860561643665</v>
      </c>
      <c r="E44" s="1">
        <f t="shared" si="3"/>
        <v>8316.4867968031249</v>
      </c>
      <c r="F44" s="3">
        <f t="shared" si="4"/>
        <v>2910.4065780588389</v>
      </c>
    </row>
    <row r="45" spans="1:6" x14ac:dyDescent="0.35">
      <c r="A45">
        <v>7.75</v>
      </c>
      <c r="B45">
        <f t="shared" si="0"/>
        <v>2.3622000000000001</v>
      </c>
      <c r="C45" s="1">
        <f t="shared" si="1"/>
        <v>32499.934999999998</v>
      </c>
      <c r="D45" s="1">
        <f t="shared" si="2"/>
        <v>215.01552789165518</v>
      </c>
      <c r="E45" s="1">
        <f t="shared" si="3"/>
        <v>8537.530214420658</v>
      </c>
      <c r="F45" s="3">
        <f t="shared" si="4"/>
        <v>2891.3826820491608</v>
      </c>
    </row>
    <row r="46" spans="1:6" x14ac:dyDescent="0.35">
      <c r="A46">
        <v>8</v>
      </c>
      <c r="B46">
        <f t="shared" si="0"/>
        <v>2.4384000000000001</v>
      </c>
      <c r="C46" s="1">
        <f t="shared" si="1"/>
        <v>33548.32</v>
      </c>
      <c r="D46" s="1">
        <f t="shared" si="2"/>
        <v>220.54664333665994</v>
      </c>
      <c r="E46" s="1">
        <f t="shared" si="3"/>
        <v>8757.1518654437969</v>
      </c>
      <c r="F46" s="3">
        <f t="shared" si="4"/>
        <v>2873.0813206836619</v>
      </c>
    </row>
    <row r="47" spans="1:6" x14ac:dyDescent="0.35">
      <c r="A47">
        <v>8.25</v>
      </c>
      <c r="B47">
        <f t="shared" si="0"/>
        <v>2.5146000000000002</v>
      </c>
      <c r="C47" s="1">
        <f t="shared" si="1"/>
        <v>34596.704999999994</v>
      </c>
      <c r="D47" s="1">
        <f t="shared" si="2"/>
        <v>226.04329096179845</v>
      </c>
      <c r="E47" s="1">
        <f t="shared" si="3"/>
        <v>8975.4049173875155</v>
      </c>
      <c r="F47" s="3">
        <f t="shared" si="4"/>
        <v>2855.4537238169123</v>
      </c>
    </row>
    <row r="48" spans="1:6" x14ac:dyDescent="0.35">
      <c r="A48">
        <v>8.5</v>
      </c>
      <c r="B48">
        <f t="shared" si="0"/>
        <v>2.5908000000000002</v>
      </c>
      <c r="C48" s="1">
        <f t="shared" si="1"/>
        <v>35645.089999999997</v>
      </c>
      <c r="D48" s="1">
        <f t="shared" si="2"/>
        <v>231.50672073935996</v>
      </c>
      <c r="E48" s="1">
        <f t="shared" si="3"/>
        <v>9192.3390023704414</v>
      </c>
      <c r="F48" s="3">
        <f t="shared" si="4"/>
        <v>2838.4557672905462</v>
      </c>
    </row>
    <row r="49" spans="1:6" x14ac:dyDescent="0.35">
      <c r="A49">
        <v>8.75</v>
      </c>
      <c r="B49">
        <f t="shared" si="0"/>
        <v>2.6670000000000003</v>
      </c>
      <c r="C49" s="1">
        <f t="shared" si="1"/>
        <v>36693.474999999999</v>
      </c>
      <c r="D49" s="1">
        <f t="shared" si="2"/>
        <v>236.93810196381506</v>
      </c>
      <c r="E49" s="1">
        <f t="shared" si="3"/>
        <v>9408.0005490713302</v>
      </c>
      <c r="F49" s="3">
        <f t="shared" si="4"/>
        <v>2822.0474087952953</v>
      </c>
    </row>
    <row r="50" spans="1:6" x14ac:dyDescent="0.35">
      <c r="A50">
        <v>9</v>
      </c>
      <c r="B50">
        <f t="shared" si="0"/>
        <v>2.7432000000000003</v>
      </c>
      <c r="C50" s="1">
        <f t="shared" si="1"/>
        <v>37741.86</v>
      </c>
      <c r="D50" s="1">
        <f t="shared" si="2"/>
        <v>242.3385306110053</v>
      </c>
      <c r="E50" s="1">
        <f t="shared" si="3"/>
        <v>9622.4330749372857</v>
      </c>
      <c r="F50" s="3">
        <f t="shared" si="4"/>
        <v>2806.192206164269</v>
      </c>
    </row>
    <row r="51" spans="1:6" x14ac:dyDescent="0.35">
      <c r="A51">
        <v>9.25</v>
      </c>
      <c r="B51">
        <f t="shared" si="0"/>
        <v>2.8194000000000004</v>
      </c>
      <c r="C51" s="1">
        <f t="shared" si="1"/>
        <v>38790.244999999995</v>
      </c>
      <c r="D51" s="1">
        <f t="shared" si="2"/>
        <v>247.7090358405969</v>
      </c>
      <c r="E51" s="1">
        <f t="shared" si="3"/>
        <v>9835.6774443739268</v>
      </c>
      <c r="F51" s="3">
        <f t="shared" si="4"/>
        <v>2790.856904128229</v>
      </c>
    </row>
    <row r="52" spans="1:6" x14ac:dyDescent="0.35">
      <c r="A52">
        <v>9.5</v>
      </c>
      <c r="B52">
        <f t="shared" si="0"/>
        <v>2.8956</v>
      </c>
      <c r="C52" s="1">
        <f t="shared" si="1"/>
        <v>39838.629999999997</v>
      </c>
      <c r="D52" s="1">
        <f t="shared" si="2"/>
        <v>253.05058576196043</v>
      </c>
      <c r="E52" s="1">
        <f t="shared" si="3"/>
        <v>10047.772097688718</v>
      </c>
      <c r="F52" s="3">
        <f t="shared" si="4"/>
        <v>2776.0110782397342</v>
      </c>
    </row>
    <row r="53" spans="1:6" x14ac:dyDescent="0.35">
      <c r="A53">
        <v>9.75</v>
      </c>
      <c r="B53">
        <f t="shared" si="0"/>
        <v>2.9718</v>
      </c>
      <c r="C53" s="1">
        <f t="shared" si="1"/>
        <v>40887.014999999999</v>
      </c>
      <c r="D53" s="1">
        <f t="shared" si="2"/>
        <v>258.36409256408416</v>
      </c>
      <c r="E53" s="1">
        <f t="shared" si="3"/>
        <v>10258.753254782263</v>
      </c>
      <c r="F53" s="3">
        <f t="shared" si="4"/>
        <v>2761.6268267803398</v>
      </c>
    </row>
    <row r="54" spans="1:6" x14ac:dyDescent="0.35">
      <c r="A54">
        <v>10</v>
      </c>
      <c r="B54">
        <f t="shared" si="0"/>
        <v>3.048</v>
      </c>
      <c r="C54" s="1">
        <f t="shared" si="1"/>
        <v>41935.4</v>
      </c>
      <c r="D54" s="1">
        <f t="shared" si="2"/>
        <v>263.65041709414584</v>
      </c>
      <c r="E54" s="1">
        <f t="shared" si="3"/>
        <v>10468.655096947712</v>
      </c>
      <c r="F54" s="3">
        <f t="shared" si="4"/>
        <v>2747.6785031358809</v>
      </c>
    </row>
    <row r="55" spans="1:6" x14ac:dyDescent="0.35">
      <c r="A55">
        <v>10.25</v>
      </c>
      <c r="B55">
        <f t="shared" si="0"/>
        <v>3.1242000000000001</v>
      </c>
      <c r="C55" s="1">
        <f t="shared" si="1"/>
        <v>42983.784999999996</v>
      </c>
      <c r="D55" s="1">
        <f t="shared" si="2"/>
        <v>268.91037295628917</v>
      </c>
      <c r="E55" s="1">
        <f t="shared" si="3"/>
        <v>10677.509929619126</v>
      </c>
      <c r="F55" s="3">
        <f t="shared" si="4"/>
        <v>2734.1424824580049</v>
      </c>
    </row>
    <row r="56" spans="1:6" x14ac:dyDescent="0.35">
      <c r="A56">
        <v>10.5</v>
      </c>
      <c r="B56">
        <f t="shared" si="0"/>
        <v>3.2004000000000001</v>
      </c>
      <c r="C56" s="1">
        <f t="shared" si="1"/>
        <v>44032.17</v>
      </c>
      <c r="D56" s="1">
        <f t="shared" si="2"/>
        <v>274.14473019134459</v>
      </c>
      <c r="E56" s="1">
        <f t="shared" si="3"/>
        <v>10885.348328480606</v>
      </c>
      <c r="F56" s="3">
        <f t="shared" si="4"/>
        <v>2720.9969575004611</v>
      </c>
    </row>
    <row r="57" spans="1:6" x14ac:dyDescent="0.35">
      <c r="A57">
        <v>10.75</v>
      </c>
      <c r="B57">
        <f t="shared" si="0"/>
        <v>3.2766000000000002</v>
      </c>
      <c r="C57" s="1">
        <f t="shared" si="1"/>
        <v>45080.555</v>
      </c>
      <c r="D57" s="1">
        <f t="shared" si="2"/>
        <v>279.35421858927845</v>
      </c>
      <c r="E57" s="1">
        <f t="shared" si="3"/>
        <v>11092.19927099228</v>
      </c>
      <c r="F57" s="3">
        <f t="shared" si="4"/>
        <v>2708.2217593828427</v>
      </c>
    </row>
    <row r="58" spans="1:6" x14ac:dyDescent="0.35">
      <c r="A58">
        <v>11</v>
      </c>
      <c r="B58">
        <f t="shared" si="0"/>
        <v>3.3528000000000002</v>
      </c>
      <c r="C58" s="1">
        <f t="shared" si="1"/>
        <v>46128.94</v>
      </c>
      <c r="D58" s="1">
        <f t="shared" si="2"/>
        <v>284.53953067871146</v>
      </c>
      <c r="E58" s="1">
        <f t="shared" si="3"/>
        <v>11298.090255093866</v>
      </c>
      <c r="F58" s="3">
        <f t="shared" si="4"/>
        <v>2695.7981997360689</v>
      </c>
    </row>
    <row r="59" spans="1:6" x14ac:dyDescent="0.35">
      <c r="A59">
        <v>11.25</v>
      </c>
      <c r="B59">
        <f t="shared" si="0"/>
        <v>3.4290000000000003</v>
      </c>
      <c r="C59" s="1">
        <f t="shared" si="1"/>
        <v>47177.324999999997</v>
      </c>
      <c r="D59" s="1">
        <f t="shared" si="2"/>
        <v>289.7013244315994</v>
      </c>
      <c r="E59" s="1">
        <f t="shared" si="3"/>
        <v>11503.047406598267</v>
      </c>
      <c r="F59" s="3">
        <f t="shared" si="4"/>
        <v>2683.7089312565167</v>
      </c>
    </row>
    <row r="60" spans="1:6" x14ac:dyDescent="0.35">
      <c r="A60">
        <v>11.5</v>
      </c>
      <c r="B60">
        <f t="shared" si="0"/>
        <v>3.5052000000000003</v>
      </c>
      <c r="C60" s="1">
        <f t="shared" si="1"/>
        <v>48225.71</v>
      </c>
      <c r="D60" s="1">
        <f t="shared" si="2"/>
        <v>294.8402257159338</v>
      </c>
      <c r="E60" s="1">
        <f t="shared" si="3"/>
        <v>11707.095576579914</v>
      </c>
      <c r="F60" s="3">
        <f t="shared" si="4"/>
        <v>2671.9378241652203</v>
      </c>
    </row>
    <row r="61" spans="1:6" x14ac:dyDescent="0.35">
      <c r="A61">
        <v>11.75</v>
      </c>
      <c r="B61">
        <f t="shared" si="0"/>
        <v>3.5814000000000004</v>
      </c>
      <c r="C61" s="1">
        <f t="shared" si="1"/>
        <v>49274.095000000001</v>
      </c>
      <c r="D61" s="1">
        <f t="shared" si="2"/>
        <v>299.9568305249054</v>
      </c>
      <c r="E61" s="1">
        <f t="shared" si="3"/>
        <v>11910.258429887219</v>
      </c>
      <c r="F61" s="3">
        <f t="shared" si="4"/>
        <v>2660.4698564555156</v>
      </c>
    </row>
    <row r="62" spans="1:6" x14ac:dyDescent="0.35">
      <c r="A62">
        <v>12</v>
      </c>
      <c r="B62">
        <f t="shared" si="0"/>
        <v>3.6576000000000004</v>
      </c>
      <c r="C62" s="1">
        <f t="shared" si="1"/>
        <v>50322.48</v>
      </c>
      <c r="D62" s="1">
        <f t="shared" si="2"/>
        <v>305.0517070072097</v>
      </c>
      <c r="E62" s="1">
        <f t="shared" si="3"/>
        <v>12112.55852575905</v>
      </c>
      <c r="F62" s="3">
        <f t="shared" si="4"/>
        <v>2649.2910161327754</v>
      </c>
    </row>
    <row r="63" spans="1:6" x14ac:dyDescent="0.35">
      <c r="A63">
        <v>12.25</v>
      </c>
      <c r="B63">
        <f t="shared" si="0"/>
        <v>3.7338</v>
      </c>
      <c r="C63" s="1">
        <f t="shared" si="1"/>
        <v>51370.864999999991</v>
      </c>
      <c r="D63" s="1">
        <f t="shared" si="2"/>
        <v>310.12539732000835</v>
      </c>
      <c r="E63" s="1">
        <f t="shared" si="3"/>
        <v>12314.017391399484</v>
      </c>
      <c r="F63" s="3">
        <f t="shared" si="4"/>
        <v>2638.3882139160096</v>
      </c>
    </row>
    <row r="64" spans="1:6" x14ac:dyDescent="0.35">
      <c r="A64">
        <v>12.5</v>
      </c>
      <c r="B64">
        <f t="shared" si="0"/>
        <v>3.81</v>
      </c>
      <c r="C64" s="1">
        <f t="shared" si="1"/>
        <v>52419.249999999993</v>
      </c>
      <c r="D64" s="1">
        <f t="shared" si="2"/>
        <v>315.17841932334011</v>
      </c>
      <c r="E64" s="1">
        <f t="shared" si="3"/>
        <v>12514.655589257061</v>
      </c>
      <c r="F64" s="3">
        <f t="shared" si="4"/>
        <v>2627.7492050933465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646F-532C-4884-AB4E-E021B96C1647}">
  <dimension ref="A1:C27"/>
  <sheetViews>
    <sheetView workbookViewId="0"/>
  </sheetViews>
  <sheetFormatPr defaultRowHeight="14.5" x14ac:dyDescent="0.35"/>
  <cols>
    <col min="1" max="1" width="24.269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</row>
    <row r="4" spans="1:3" x14ac:dyDescent="0.35">
      <c r="A4" t="s">
        <v>2</v>
      </c>
      <c r="B4">
        <v>11700</v>
      </c>
      <c r="C4" t="s">
        <v>3</v>
      </c>
    </row>
    <row r="5" spans="1:3" x14ac:dyDescent="0.35">
      <c r="A5" t="s">
        <v>4</v>
      </c>
      <c r="B5">
        <v>76</v>
      </c>
      <c r="C5" t="s">
        <v>21</v>
      </c>
    </row>
    <row r="6" spans="1:3" x14ac:dyDescent="0.35">
      <c r="A6" t="s">
        <v>5</v>
      </c>
      <c r="B6">
        <v>56</v>
      </c>
      <c r="C6" t="s">
        <v>21</v>
      </c>
    </row>
    <row r="7" spans="1:3" x14ac:dyDescent="0.35">
      <c r="A7" t="s">
        <v>22</v>
      </c>
      <c r="B7">
        <v>63.5</v>
      </c>
      <c r="C7" t="s">
        <v>21</v>
      </c>
    </row>
    <row r="8" spans="1:3" x14ac:dyDescent="0.35">
      <c r="A8" t="s">
        <v>23</v>
      </c>
      <c r="B8">
        <f>0.370486*((B5) + 459.67) * (1 + 1.607858*(IF((B7) &gt; 32,((1093 - 0.556*(B7))*(0.621945*(IF((B7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+ 459.67)))))/((14.696)-(IF((B7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+ 459.67))))))) - 0.24*((B5) - (B7))) / (1093 + 0.444*(B5) - (B7)),((1220 - 0.04*(B7))*(0.621945*(IF((B7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+ 459.67)))))/((14.696)-(IF((B7 + 459.67) &gt; 491.67, EXP(-10440.397/(B7 + 459.67) + -11.29465 + -0.027022355*(B7 + 459.67) + 0.00001289036*(B7 + 459.67)*(B7 + 459.67) + -0.0000000024780681*(B7 + 459.67)*(B7 + 459.67)*(B7 + 459.67) + 6.5459673*LN((B7 + 459.67))), EXP(-10214.165/(B7 + 459.67) + -4.8932428 + -0.005376579*(B7 + 459.67) + 0.00000019202377*(B7 + 459.67)*(B7 + 459.67) + 0.00000000035575832*(B7 + 459.67)*(B7 + 459.67)*(B7 + 459.67) + -9.0344688E-14*(B7 + 459.67)*(B7 + 459.67)*(B7 + 459.67)*(B7 + 459.67) + 4.1635019*LN((B7 + 459.67))))))) - 0.24*((B5) - (B7))) / (1220 + 0.444*(B5) - 0.48*(B7)))))/(14.696)</f>
        <v>13.713504179731201</v>
      </c>
      <c r="C8" t="s">
        <v>10</v>
      </c>
    </row>
    <row r="9" spans="1:3" x14ac:dyDescent="0.35">
      <c r="A9" t="s">
        <v>9</v>
      </c>
      <c r="B9">
        <v>13.5</v>
      </c>
      <c r="C9" t="s">
        <v>10</v>
      </c>
    </row>
    <row r="10" spans="1:3" x14ac:dyDescent="0.35">
      <c r="A10" t="s">
        <v>6</v>
      </c>
      <c r="B10">
        <v>0.24</v>
      </c>
      <c r="C10" t="s">
        <v>7</v>
      </c>
    </row>
    <row r="11" spans="1:3" x14ac:dyDescent="0.35">
      <c r="A11" t="s">
        <v>25</v>
      </c>
      <c r="B11" s="1">
        <f>B4/B8*60</f>
        <v>51190.417182908532</v>
      </c>
      <c r="C11" t="s">
        <v>26</v>
      </c>
    </row>
    <row r="14" spans="1:3" x14ac:dyDescent="0.35">
      <c r="A14" t="s">
        <v>14</v>
      </c>
      <c r="B14">
        <v>49</v>
      </c>
      <c r="C14" t="s">
        <v>13</v>
      </c>
    </row>
    <row r="15" spans="1:3" x14ac:dyDescent="0.35">
      <c r="A15" t="s">
        <v>8</v>
      </c>
      <c r="B15">
        <v>1</v>
      </c>
      <c r="C15" t="s">
        <v>7</v>
      </c>
    </row>
    <row r="16" spans="1:3" x14ac:dyDescent="0.35">
      <c r="A16" t="s">
        <v>11</v>
      </c>
      <c r="B16">
        <v>62.4</v>
      </c>
      <c r="C16" t="s">
        <v>12</v>
      </c>
    </row>
    <row r="17" spans="1:3" x14ac:dyDescent="0.35">
      <c r="A17" t="s">
        <v>11</v>
      </c>
      <c r="B17">
        <f>B16/7.4805195</f>
        <v>8.3416666449435759</v>
      </c>
      <c r="C17" t="s">
        <v>18</v>
      </c>
    </row>
    <row r="18" spans="1:3" x14ac:dyDescent="0.35">
      <c r="A18" t="s">
        <v>19</v>
      </c>
      <c r="B18">
        <v>45</v>
      </c>
      <c r="C18" t="s">
        <v>21</v>
      </c>
    </row>
    <row r="19" spans="1:3" x14ac:dyDescent="0.35">
      <c r="A19" t="s">
        <v>20</v>
      </c>
      <c r="B19">
        <v>57</v>
      </c>
      <c r="C19" t="s">
        <v>21</v>
      </c>
    </row>
    <row r="20" spans="1:3" x14ac:dyDescent="0.35">
      <c r="A20" t="s">
        <v>27</v>
      </c>
      <c r="B20" s="1">
        <f>B14*B17*60</f>
        <v>24524.499936134114</v>
      </c>
      <c r="C20" t="s">
        <v>26</v>
      </c>
    </row>
    <row r="21" spans="1:3" x14ac:dyDescent="0.35">
      <c r="A21" t="s">
        <v>15</v>
      </c>
      <c r="B21">
        <f>B4*(B5-B6)*B10/B8*60</f>
        <v>245714.00247796092</v>
      </c>
      <c r="C21" t="s">
        <v>16</v>
      </c>
    </row>
    <row r="24" spans="1:3" x14ac:dyDescent="0.35">
      <c r="A24" t="s">
        <v>17</v>
      </c>
      <c r="B24">
        <f>B14*B17*(B19-B18)*60</f>
        <v>294293.99923360941</v>
      </c>
    </row>
    <row r="26" spans="1:3" x14ac:dyDescent="0.35">
      <c r="A26" t="s">
        <v>24</v>
      </c>
      <c r="B26" s="1">
        <f>B11*B10</f>
        <v>12285.700123898047</v>
      </c>
      <c r="C26" t="s">
        <v>28</v>
      </c>
    </row>
    <row r="27" spans="1:3" x14ac:dyDescent="0.35">
      <c r="A27" t="s">
        <v>29</v>
      </c>
      <c r="B27" s="1">
        <f>B20*B15</f>
        <v>24524.499936134114</v>
      </c>
      <c r="C2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4C94-5BA5-4D14-8BA9-D44140050F99}">
  <dimension ref="A1:AE224"/>
  <sheetViews>
    <sheetView tabSelected="1" zoomScaleNormal="100" workbookViewId="0">
      <selection activeCell="F194" sqref="F194"/>
    </sheetView>
  </sheetViews>
  <sheetFormatPr defaultRowHeight="14.5" x14ac:dyDescent="0.35"/>
  <cols>
    <col min="1" max="1" width="39.54296875" bestFit="1" customWidth="1"/>
    <col min="2" max="2" width="12.7265625" customWidth="1"/>
    <col min="3" max="3" width="8.26953125" customWidth="1"/>
    <col min="4" max="4" width="38.36328125" customWidth="1"/>
    <col min="5" max="5" width="23.6328125" bestFit="1" customWidth="1"/>
    <col min="6" max="6" width="19" bestFit="1" customWidth="1"/>
    <col min="7" max="7" width="7.26953125" bestFit="1" customWidth="1"/>
    <col min="8" max="8" width="19.90625" customWidth="1"/>
    <col min="9" max="9" width="16.36328125" customWidth="1"/>
    <col min="11" max="11" width="20.08984375" bestFit="1" customWidth="1"/>
    <col min="12" max="12" width="24.08984375" bestFit="1" customWidth="1"/>
    <col min="13" max="13" width="22.81640625" bestFit="1" customWidth="1"/>
    <col min="14" max="14" width="21.1796875" bestFit="1" customWidth="1"/>
    <col min="15" max="15" width="27.26953125" bestFit="1" customWidth="1"/>
    <col min="16" max="16" width="4.7265625" bestFit="1" customWidth="1"/>
    <col min="17" max="17" width="8.453125" bestFit="1" customWidth="1"/>
    <col min="25" max="25" width="12.453125" bestFit="1" customWidth="1"/>
    <col min="27" max="27" width="7.7265625" bestFit="1" customWidth="1"/>
    <col min="28" max="29" width="31.36328125" bestFit="1" customWidth="1"/>
  </cols>
  <sheetData>
    <row r="1" spans="1:14" x14ac:dyDescent="0.35">
      <c r="A1" t="s">
        <v>183</v>
      </c>
      <c r="B1" s="24">
        <v>81</v>
      </c>
      <c r="C1" t="s">
        <v>21</v>
      </c>
    </row>
    <row r="2" spans="1:14" x14ac:dyDescent="0.35">
      <c r="B2" s="28">
        <f>(B1-32)*5/9</f>
        <v>27.222222222222221</v>
      </c>
      <c r="C2" t="s">
        <v>188</v>
      </c>
      <c r="F2" t="s">
        <v>156</v>
      </c>
      <c r="H2" t="s">
        <v>154</v>
      </c>
      <c r="I2" t="s">
        <v>155</v>
      </c>
      <c r="L2" t="s">
        <v>57</v>
      </c>
      <c r="M2" t="s">
        <v>58</v>
      </c>
      <c r="N2" t="s">
        <v>59</v>
      </c>
    </row>
    <row r="3" spans="1:14" x14ac:dyDescent="0.35">
      <c r="A3" t="s">
        <v>184</v>
      </c>
      <c r="B3" s="24">
        <v>68</v>
      </c>
      <c r="C3" t="s">
        <v>21</v>
      </c>
      <c r="F3" t="s">
        <v>30</v>
      </c>
      <c r="H3">
        <v>0.73299999999999998</v>
      </c>
      <c r="I3">
        <v>8</v>
      </c>
      <c r="L3">
        <v>1</v>
      </c>
      <c r="M3">
        <v>5.5</v>
      </c>
      <c r="N3">
        <v>5.5</v>
      </c>
    </row>
    <row r="4" spans="1:14" x14ac:dyDescent="0.35">
      <c r="B4" s="28">
        <f>(B3-32)*5/9</f>
        <v>20</v>
      </c>
      <c r="C4" t="s">
        <v>188</v>
      </c>
      <c r="F4" t="s">
        <v>32</v>
      </c>
      <c r="G4" t="s">
        <v>208</v>
      </c>
      <c r="H4" s="2">
        <v>1.8459999999999999E-5</v>
      </c>
      <c r="I4" s="2">
        <v>1.08E-3</v>
      </c>
      <c r="L4">
        <v>2</v>
      </c>
      <c r="M4">
        <v>6.5</v>
      </c>
      <c r="N4">
        <v>6.5</v>
      </c>
    </row>
    <row r="5" spans="1:14" x14ac:dyDescent="0.35">
      <c r="A5" t="s">
        <v>189</v>
      </c>
      <c r="B5" s="18">
        <f>0.621945*(IF((B3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+ 459.67)))))/((14.696)-(IF((B3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+ 459.67))))))</f>
        <v>1.4694993007785812E-2</v>
      </c>
      <c r="F5" t="s">
        <v>186</v>
      </c>
      <c r="G5" t="s">
        <v>207</v>
      </c>
      <c r="I5">
        <v>1E-3</v>
      </c>
      <c r="L5">
        <v>3</v>
      </c>
      <c r="M5">
        <v>6.5</v>
      </c>
      <c r="N5">
        <v>6.5</v>
      </c>
    </row>
    <row r="6" spans="1:14" x14ac:dyDescent="0.35">
      <c r="A6" t="s">
        <v>250</v>
      </c>
      <c r="B6" s="18">
        <f>IF((B3) &gt; 32,((1093 - 0.556*(B3))*(B5) - 0.24*((B1) - (B3))) / (1093 + 0.444*(B1) - (B3)),((1220 - 0.04*(B3))*(B5) - 0.24*((B1) - (B3))) / (1220 + 0.444*(B1) - 0.48*(B3)))</f>
        <v>1.1674325483118678E-2</v>
      </c>
      <c r="F6" t="s">
        <v>36</v>
      </c>
      <c r="G6" t="s">
        <v>209</v>
      </c>
      <c r="I6" s="2">
        <f>I4*I5</f>
        <v>1.08E-6</v>
      </c>
      <c r="L6">
        <v>4</v>
      </c>
      <c r="M6">
        <v>6.5</v>
      </c>
      <c r="N6">
        <v>7.5</v>
      </c>
    </row>
    <row r="7" spans="1:14" x14ac:dyDescent="0.35">
      <c r="A7" t="s">
        <v>202</v>
      </c>
      <c r="B7" s="18">
        <f>(14.696*(IF((B3) &gt; 32,((1093 - 0.556*(B3))*(B5) - 0.24*((B1) - (B3))) / (1093 + 0.444*(B1) - (B3)),((1220 - 0.04*(B3))*(B5) - 0.24*((B1) - (B3))) / (1220 + 0.444*(B1) - 0.48*(B3))))) / (0.621945 + (IF((B3) &gt; 32,((1093 - 0.556*(B3))*(B5) - 0.24*((B1) - (B3))) / (1093 + 0.444*(B1) - (B3)),((1220 - 0.04*(B3))*(B5) - 0.24*((B1) - (B3))) / (1220 + 0.444*(B1) - 0.48*(B3)))))</f>
        <v>0.27077123502995665</v>
      </c>
      <c r="C7" t="s">
        <v>197</v>
      </c>
      <c r="F7" t="s">
        <v>158</v>
      </c>
      <c r="G7" t="s">
        <v>48</v>
      </c>
      <c r="I7">
        <v>0.59</v>
      </c>
      <c r="L7">
        <v>5</v>
      </c>
      <c r="M7">
        <v>7.5</v>
      </c>
      <c r="N7">
        <v>8.75</v>
      </c>
    </row>
    <row r="8" spans="1:14" x14ac:dyDescent="0.35">
      <c r="A8" t="s">
        <v>185</v>
      </c>
      <c r="B8" s="14">
        <f>0.24*(B1) + ((IF((B3) &gt; 32,((1093 - 0.556*(B3))*(B5) - 0.24*((B1) - (B3))) / (1093 + 0.444*(B1) - (B3)),((1220 - 0.04*(B3))*(B5) - 0.24*((B1) - (B3))) / (1220 + 0.444*(B1) - 0.48*(B3)))))*(1061 + 0.444*(B1))</f>
        <v>32.246314779263798</v>
      </c>
      <c r="C8" t="s">
        <v>190</v>
      </c>
      <c r="F8" t="s">
        <v>170</v>
      </c>
      <c r="G8" t="s">
        <v>102</v>
      </c>
      <c r="H8">
        <v>1007</v>
      </c>
      <c r="I8" s="2">
        <v>4189</v>
      </c>
      <c r="L8">
        <v>6</v>
      </c>
      <c r="M8">
        <v>8.5</v>
      </c>
      <c r="N8">
        <v>10</v>
      </c>
    </row>
    <row r="9" spans="1:14" x14ac:dyDescent="0.35">
      <c r="B9" s="1">
        <f>B8*2326</f>
        <v>75004.928176567599</v>
      </c>
      <c r="C9" t="s">
        <v>166</v>
      </c>
      <c r="D9" s="14"/>
      <c r="L9">
        <v>8</v>
      </c>
      <c r="M9">
        <v>10.5</v>
      </c>
      <c r="N9">
        <v>12.5</v>
      </c>
    </row>
    <row r="10" spans="1:14" x14ac:dyDescent="0.35">
      <c r="A10" t="s">
        <v>201</v>
      </c>
      <c r="B10" s="14">
        <f>IF((100.45 + 33.193*LN((B7)) + 2.319*LN((B7))*LN((B7)) + 0.17074*LN((B7))*LN((B7))*LN((B7)) + 1.2063*(((B7))^0.1984)) &gt; 32, 100.45 + 33.193*LN((B7)) + 2.319*LN((B7))*LN((B7)) + 0.17074*LN((B7))*LN((B7))*LN((B7)) + 1.2063*(((B7))^0.1984), 90.12 + 26.142*LN((B7)) + 0.8927*LN((B7))*LN((B7)))</f>
        <v>61.592365487708527</v>
      </c>
      <c r="C10" t="s">
        <v>21</v>
      </c>
      <c r="L10">
        <v>10</v>
      </c>
      <c r="M10">
        <v>13</v>
      </c>
      <c r="N10">
        <v>15</v>
      </c>
    </row>
    <row r="11" spans="1:14" x14ac:dyDescent="0.35">
      <c r="B11" s="28">
        <f>(B10-32)*5/9</f>
        <v>16.440203048726957</v>
      </c>
      <c r="C11" t="s">
        <v>188</v>
      </c>
      <c r="L11">
        <v>12</v>
      </c>
      <c r="M11">
        <v>15</v>
      </c>
      <c r="N11">
        <v>17.5</v>
      </c>
    </row>
    <row r="13" spans="1:14" x14ac:dyDescent="0.35">
      <c r="A13" t="s">
        <v>187</v>
      </c>
      <c r="B13" s="24">
        <v>45</v>
      </c>
      <c r="C13" t="s">
        <v>21</v>
      </c>
    </row>
    <row r="14" spans="1:14" x14ac:dyDescent="0.35">
      <c r="B14" s="14">
        <f>(B13-32)*5/9</f>
        <v>7.2222222222222223</v>
      </c>
      <c r="C14" t="s">
        <v>188</v>
      </c>
    </row>
    <row r="15" spans="1:14" x14ac:dyDescent="0.35">
      <c r="A15" t="s">
        <v>196</v>
      </c>
      <c r="B15" s="14">
        <f>IF((B13 + 459.67) &gt; 491.67, EXP(-10440.397/(B13 + 459.67) + -11.29465 + -0.027022355*(B13 + 459.67) + 0.00001289036*(B13 + 459.67)*(B13 + 459.67) + -0.0000000024780681*(B13 + 459.67)*(B13 + 459.67)*(B13 + 459.67) + 6.5459673*LN((B13 + 459.67))), EXP(-10214.165/(B13 + 459.67) + -4.8932428 + -0.005376579*(B13 + 459.67) + 0.00000019202377*(B13 + 459.67)*(B13 + 459.67) + 0.00000000035575832*(B13 + 459.67)*(B13 + 459.67)*(B13 + 459.67) + -9.0344688E-14*(B13 + 459.67)*(B13 + 459.67)*(B13 + 459.67)*(B13 + 459.67) + 4.1635019*LN((B13 + 459.67))))</f>
        <v>0.14755310129091478</v>
      </c>
      <c r="C15" t="s">
        <v>197</v>
      </c>
    </row>
    <row r="16" spans="1:14" x14ac:dyDescent="0.35">
      <c r="A16" t="s">
        <v>251</v>
      </c>
      <c r="B16" s="14">
        <f>0.24*(B13) + ((0.621945*((1*B15))/((14.696)-((1*B15)))))*(1061 + 0.444*(B13))</f>
        <v>17.618696309987651</v>
      </c>
      <c r="C16" t="s">
        <v>190</v>
      </c>
    </row>
    <row r="17" spans="1:3" x14ac:dyDescent="0.35">
      <c r="B17" s="1">
        <f>B16*2326</f>
        <v>40981.087617031277</v>
      </c>
      <c r="C17" t="s">
        <v>166</v>
      </c>
    </row>
    <row r="18" spans="1:3" x14ac:dyDescent="0.35">
      <c r="B18" s="14"/>
    </row>
    <row r="19" spans="1:3" x14ac:dyDescent="0.35">
      <c r="A19" t="s">
        <v>149</v>
      </c>
      <c r="B19" s="24">
        <v>100</v>
      </c>
      <c r="C19" t="s">
        <v>148</v>
      </c>
    </row>
    <row r="20" spans="1:3" x14ac:dyDescent="0.35">
      <c r="B20" s="19">
        <f>B19/15850.323</f>
        <v>6.3090196963178601E-3</v>
      </c>
      <c r="C20" t="s">
        <v>205</v>
      </c>
    </row>
    <row r="21" spans="1:3" x14ac:dyDescent="0.35">
      <c r="A21" t="s">
        <v>169</v>
      </c>
      <c r="B21" s="15">
        <f>B20/I5</f>
        <v>6.3090196963178595</v>
      </c>
      <c r="C21" t="s">
        <v>163</v>
      </c>
    </row>
    <row r="24" spans="1:3" x14ac:dyDescent="0.35">
      <c r="B24" s="2"/>
    </row>
    <row r="25" spans="1:3" x14ac:dyDescent="0.35">
      <c r="A25" t="s">
        <v>51</v>
      </c>
      <c r="B25" s="25">
        <v>12000</v>
      </c>
      <c r="C25" t="s">
        <v>3</v>
      </c>
    </row>
    <row r="26" spans="1:3" x14ac:dyDescent="0.35">
      <c r="B26" s="15">
        <f>B25/2118.88</f>
        <v>5.6633693271917238</v>
      </c>
      <c r="C26" t="s">
        <v>205</v>
      </c>
    </row>
    <row r="27" spans="1:3" x14ac:dyDescent="0.35">
      <c r="A27" t="s">
        <v>94</v>
      </c>
      <c r="B27">
        <v>1.2250000000000001</v>
      </c>
      <c r="C27" t="s">
        <v>206</v>
      </c>
    </row>
    <row r="29" spans="1:3" x14ac:dyDescent="0.35">
      <c r="B29" s="2"/>
    </row>
    <row r="30" spans="1:3" x14ac:dyDescent="0.35">
      <c r="A30" t="s">
        <v>101</v>
      </c>
      <c r="B30">
        <v>1007</v>
      </c>
      <c r="C30" t="s">
        <v>102</v>
      </c>
    </row>
    <row r="32" spans="1:3" x14ac:dyDescent="0.35">
      <c r="A32" t="s">
        <v>162</v>
      </c>
      <c r="B32" s="14">
        <f>B26*B27</f>
        <v>6.937627425809862</v>
      </c>
      <c r="C32" t="s">
        <v>163</v>
      </c>
    </row>
    <row r="33" spans="1:3" x14ac:dyDescent="0.35">
      <c r="B33" s="1">
        <f>B32* 7936.6414</f>
        <v>55061.461045457982</v>
      </c>
      <c r="C33" t="s">
        <v>164</v>
      </c>
    </row>
    <row r="35" spans="1:3" x14ac:dyDescent="0.35">
      <c r="A35" t="s">
        <v>54</v>
      </c>
      <c r="B35" s="24">
        <v>8.0000000000000002E-3</v>
      </c>
      <c r="C35" t="s">
        <v>39</v>
      </c>
    </row>
    <row r="36" spans="1:3" x14ac:dyDescent="0.35">
      <c r="B36">
        <f>B35* 0.0254</f>
        <v>2.0320000000000001E-4</v>
      </c>
      <c r="C36" t="s">
        <v>42</v>
      </c>
    </row>
    <row r="37" spans="1:3" x14ac:dyDescent="0.35">
      <c r="A37" t="s">
        <v>55</v>
      </c>
      <c r="B37" s="24">
        <v>8</v>
      </c>
      <c r="C37" t="s">
        <v>61</v>
      </c>
    </row>
    <row r="38" spans="1:3" x14ac:dyDescent="0.35">
      <c r="A38" t="s">
        <v>56</v>
      </c>
      <c r="B38">
        <f>(1-B37*B35)/B37</f>
        <v>0.11699999999999999</v>
      </c>
      <c r="C38" t="s">
        <v>39</v>
      </c>
    </row>
    <row r="39" spans="1:3" x14ac:dyDescent="0.35">
      <c r="B39">
        <f>B38* 0.0254</f>
        <v>2.9717999999999997E-3</v>
      </c>
      <c r="C39" t="s">
        <v>42</v>
      </c>
    </row>
    <row r="40" spans="1:3" x14ac:dyDescent="0.35">
      <c r="A40" t="s">
        <v>80</v>
      </c>
      <c r="B40" s="24">
        <v>0.02</v>
      </c>
      <c r="C40" t="s">
        <v>39</v>
      </c>
    </row>
    <row r="41" spans="1:3" x14ac:dyDescent="0.35">
      <c r="B41">
        <f>B40* 0.0254</f>
        <v>5.0799999999999999E-4</v>
      </c>
      <c r="C41" t="s">
        <v>42</v>
      </c>
    </row>
    <row r="42" spans="1:3" x14ac:dyDescent="0.35">
      <c r="A42" t="s">
        <v>103</v>
      </c>
      <c r="B42" t="s">
        <v>104</v>
      </c>
    </row>
    <row r="43" spans="1:3" x14ac:dyDescent="0.35">
      <c r="A43" t="s">
        <v>105</v>
      </c>
      <c r="B43">
        <v>385</v>
      </c>
      <c r="C43" t="s">
        <v>48</v>
      </c>
    </row>
    <row r="44" spans="1:3" x14ac:dyDescent="0.35">
      <c r="A44" t="s">
        <v>106</v>
      </c>
      <c r="B44">
        <v>237</v>
      </c>
      <c r="C44" t="s">
        <v>48</v>
      </c>
    </row>
    <row r="47" spans="1:3" x14ac:dyDescent="0.35">
      <c r="A47" t="s">
        <v>64</v>
      </c>
      <c r="B47" s="24">
        <v>6</v>
      </c>
      <c r="C47" t="s">
        <v>66</v>
      </c>
    </row>
    <row r="48" spans="1:3" x14ac:dyDescent="0.35">
      <c r="A48" t="s">
        <v>65</v>
      </c>
      <c r="B48">
        <f>B80/1.5</f>
        <v>28</v>
      </c>
      <c r="C48" t="s">
        <v>66</v>
      </c>
    </row>
    <row r="49" spans="1:3" x14ac:dyDescent="0.35">
      <c r="A49" t="s">
        <v>69</v>
      </c>
      <c r="B49">
        <f>B48*B47</f>
        <v>168</v>
      </c>
      <c r="C49" t="s">
        <v>66</v>
      </c>
    </row>
    <row r="50" spans="1:3" x14ac:dyDescent="0.35">
      <c r="A50" t="s">
        <v>67</v>
      </c>
      <c r="B50">
        <f>5/8</f>
        <v>0.625</v>
      </c>
      <c r="C50" t="s">
        <v>39</v>
      </c>
    </row>
    <row r="51" spans="1:3" x14ac:dyDescent="0.35">
      <c r="B51">
        <f>B50* 0.0254</f>
        <v>1.5875E-2</v>
      </c>
      <c r="C51" t="s">
        <v>42</v>
      </c>
    </row>
    <row r="52" spans="1:3" x14ac:dyDescent="0.35">
      <c r="A52" t="s">
        <v>114</v>
      </c>
      <c r="B52">
        <f>B50/2</f>
        <v>0.3125</v>
      </c>
      <c r="C52" t="s">
        <v>39</v>
      </c>
    </row>
    <row r="53" spans="1:3" x14ac:dyDescent="0.35">
      <c r="B53">
        <f>B51/2</f>
        <v>7.9375000000000001E-3</v>
      </c>
      <c r="C53" t="s">
        <v>42</v>
      </c>
    </row>
    <row r="55" spans="1:3" x14ac:dyDescent="0.35">
      <c r="A55" t="s">
        <v>72</v>
      </c>
      <c r="B55">
        <f>PI()/4*(B51^2)</f>
        <v>1.9793260902246007E-4</v>
      </c>
      <c r="C55" t="s">
        <v>210</v>
      </c>
    </row>
    <row r="56" spans="1:3" x14ac:dyDescent="0.35">
      <c r="A56" t="s">
        <v>81</v>
      </c>
      <c r="B56">
        <f>B50-2*B40</f>
        <v>0.58499999999999996</v>
      </c>
      <c r="C56" t="s">
        <v>39</v>
      </c>
    </row>
    <row r="57" spans="1:3" x14ac:dyDescent="0.35">
      <c r="B57">
        <f>B56* 0.0254</f>
        <v>1.4858999999999999E-2</v>
      </c>
      <c r="C57" t="s">
        <v>42</v>
      </c>
    </row>
    <row r="58" spans="1:3" x14ac:dyDescent="0.35">
      <c r="A58" t="s">
        <v>150</v>
      </c>
      <c r="B58">
        <f>PI()/4*(B57^2)</f>
        <v>1.7340796703414115E-4</v>
      </c>
      <c r="C58" t="s">
        <v>210</v>
      </c>
    </row>
    <row r="59" spans="1:3" x14ac:dyDescent="0.35">
      <c r="A59" s="10" t="s">
        <v>151</v>
      </c>
      <c r="B59" s="26">
        <f>(B20/B48)/B58</f>
        <v>1.2993758929599235</v>
      </c>
      <c r="C59" s="11" t="s">
        <v>96</v>
      </c>
    </row>
    <row r="60" spans="1:3" x14ac:dyDescent="0.35">
      <c r="A60" s="12"/>
      <c r="B60" s="27">
        <f>B59* 3.2808399</f>
        <v>4.2630442747210466</v>
      </c>
      <c r="C60" s="13" t="s">
        <v>152</v>
      </c>
    </row>
    <row r="61" spans="1:3" x14ac:dyDescent="0.35">
      <c r="A61" s="21" t="s">
        <v>153</v>
      </c>
      <c r="B61" s="23">
        <f>B59*B57/I6</f>
        <v>17877.246660640278</v>
      </c>
      <c r="C61" s="8"/>
    </row>
    <row r="62" spans="1:3" x14ac:dyDescent="0.35">
      <c r="A62" s="21" t="s">
        <v>157</v>
      </c>
      <c r="B62" s="23">
        <f>0.023*B61^(4/5)*$I$3^0.4</f>
        <v>133.29207741831164</v>
      </c>
      <c r="C62" s="8"/>
    </row>
    <row r="63" spans="1:3" x14ac:dyDescent="0.35">
      <c r="A63" s="21" t="s">
        <v>159</v>
      </c>
      <c r="B63" s="23">
        <f>B62*I7/B57</f>
        <v>5292.5718875297034</v>
      </c>
      <c r="C63" s="21" t="s">
        <v>211</v>
      </c>
    </row>
    <row r="64" spans="1:3" x14ac:dyDescent="0.35">
      <c r="A64" s="21" t="s">
        <v>160</v>
      </c>
      <c r="B64" s="22">
        <f>1/(B63*B78)</f>
        <v>1.1292016252812179E-5</v>
      </c>
      <c r="C64" s="21" t="s">
        <v>107</v>
      </c>
    </row>
    <row r="65" spans="1:4" x14ac:dyDescent="0.35">
      <c r="A65" s="21"/>
      <c r="B65" s="23"/>
      <c r="C65" s="21"/>
    </row>
    <row r="66" spans="1:4" x14ac:dyDescent="0.35">
      <c r="A66" t="s">
        <v>83</v>
      </c>
      <c r="B66" s="15">
        <f>B84/B47</f>
        <v>1.6666666666666667</v>
      </c>
      <c r="C66" t="s">
        <v>39</v>
      </c>
    </row>
    <row r="67" spans="1:4" x14ac:dyDescent="0.35">
      <c r="B67" s="15">
        <f>B66* 0.0254</f>
        <v>4.2333333333333334E-2</v>
      </c>
      <c r="C67" t="s">
        <v>42</v>
      </c>
    </row>
    <row r="68" spans="1:4" x14ac:dyDescent="0.35">
      <c r="B68" s="2"/>
    </row>
    <row r="70" spans="1:4" x14ac:dyDescent="0.35">
      <c r="A70" t="s">
        <v>68</v>
      </c>
      <c r="B70">
        <f>B37*B35</f>
        <v>6.4000000000000001E-2</v>
      </c>
    </row>
    <row r="71" spans="1:4" x14ac:dyDescent="0.35">
      <c r="A71" t="s">
        <v>70</v>
      </c>
      <c r="B71">
        <f>1-B70</f>
        <v>0.93599999999999994</v>
      </c>
    </row>
    <row r="73" spans="1:4" x14ac:dyDescent="0.35">
      <c r="A73" t="s">
        <v>63</v>
      </c>
      <c r="B73" s="14">
        <f>PI()*B51*B83*B71*B49</f>
        <v>16.732534911355899</v>
      </c>
      <c r="C73" t="s">
        <v>210</v>
      </c>
      <c r="D73" t="s">
        <v>76</v>
      </c>
    </row>
    <row r="74" spans="1:4" x14ac:dyDescent="0.35">
      <c r="A74" t="s">
        <v>71</v>
      </c>
      <c r="B74" s="14">
        <f>2*B96*(B81*B85-B55*B49)</f>
        <v>319.48831714360074</v>
      </c>
      <c r="C74" t="s">
        <v>210</v>
      </c>
      <c r="D74" t="s">
        <v>77</v>
      </c>
    </row>
    <row r="75" spans="1:4" x14ac:dyDescent="0.35">
      <c r="A75" t="s">
        <v>73</v>
      </c>
      <c r="B75" s="14">
        <f>B73+B74</f>
        <v>336.22085205495665</v>
      </c>
      <c r="C75" t="s">
        <v>210</v>
      </c>
      <c r="D75" t="s">
        <v>78</v>
      </c>
    </row>
    <row r="77" spans="1:4" x14ac:dyDescent="0.35">
      <c r="A77" t="s">
        <v>74</v>
      </c>
      <c r="B77" s="14">
        <f>(B83-B96*B36)*(B81-B51*B48)</f>
        <v>1.2427639660799998</v>
      </c>
      <c r="C77" t="s">
        <v>210</v>
      </c>
      <c r="D77" t="s">
        <v>75</v>
      </c>
    </row>
    <row r="78" spans="1:4" x14ac:dyDescent="0.35">
      <c r="A78" t="s">
        <v>79</v>
      </c>
      <c r="B78" s="14">
        <f>PI()*B57*B83*B49</f>
        <v>16.732534911355895</v>
      </c>
      <c r="C78" t="s">
        <v>210</v>
      </c>
    </row>
    <row r="80" spans="1:4" x14ac:dyDescent="0.35">
      <c r="A80" s="10" t="s">
        <v>52</v>
      </c>
      <c r="B80" s="30">
        <v>42</v>
      </c>
      <c r="C80" s="11" t="s">
        <v>39</v>
      </c>
    </row>
    <row r="81" spans="1:3" x14ac:dyDescent="0.35">
      <c r="A81" s="12"/>
      <c r="B81" s="9">
        <f>B80* 0.0254</f>
        <v>1.0668</v>
      </c>
      <c r="C81" s="13" t="s">
        <v>42</v>
      </c>
    </row>
    <row r="82" spans="1:3" x14ac:dyDescent="0.35">
      <c r="A82" s="10" t="s">
        <v>53</v>
      </c>
      <c r="B82" s="30">
        <v>84</v>
      </c>
      <c r="C82" s="11" t="s">
        <v>39</v>
      </c>
    </row>
    <row r="83" spans="1:3" x14ac:dyDescent="0.35">
      <c r="A83" s="12"/>
      <c r="B83" s="9">
        <f>B82* 0.0254</f>
        <v>2.1335999999999999</v>
      </c>
      <c r="C83" s="13" t="s">
        <v>42</v>
      </c>
    </row>
    <row r="84" spans="1:3" x14ac:dyDescent="0.35">
      <c r="A84" s="10" t="s">
        <v>60</v>
      </c>
      <c r="B84" s="30">
        <v>10</v>
      </c>
      <c r="C84" s="11" t="s">
        <v>39</v>
      </c>
    </row>
    <row r="85" spans="1:3" x14ac:dyDescent="0.35">
      <c r="A85" s="12"/>
      <c r="B85" s="9">
        <f>B84* 0.0254</f>
        <v>0.254</v>
      </c>
      <c r="C85" s="13" t="s">
        <v>42</v>
      </c>
    </row>
    <row r="88" spans="1:3" x14ac:dyDescent="0.35">
      <c r="A88" t="s">
        <v>82</v>
      </c>
      <c r="B88" s="15">
        <f>SQRT((4*B84*B80)/(PI()*B49))</f>
        <v>1.784124116152771</v>
      </c>
      <c r="C88" t="s">
        <v>39</v>
      </c>
    </row>
    <row r="89" spans="1:3" x14ac:dyDescent="0.35">
      <c r="B89" s="15">
        <f>SQRT((4*B85*B81)/(PI()*B49))</f>
        <v>4.5316752550280386E-2</v>
      </c>
      <c r="C89" t="s">
        <v>42</v>
      </c>
    </row>
    <row r="90" spans="1:3" x14ac:dyDescent="0.35">
      <c r="A90" t="s">
        <v>115</v>
      </c>
      <c r="B90" s="14">
        <f>B88/2</f>
        <v>0.8920620580763855</v>
      </c>
      <c r="C90" t="s">
        <v>39</v>
      </c>
    </row>
    <row r="91" spans="1:3" x14ac:dyDescent="0.35">
      <c r="B91" s="14">
        <f>B89/2</f>
        <v>2.2658376275140193E-2</v>
      </c>
      <c r="C91" t="s">
        <v>42</v>
      </c>
    </row>
    <row r="92" spans="1:3" x14ac:dyDescent="0.35">
      <c r="B92" s="14"/>
    </row>
    <row r="93" spans="1:3" x14ac:dyDescent="0.35">
      <c r="A93" t="s">
        <v>86</v>
      </c>
      <c r="B93" s="15">
        <f>(B88-B50)/2</f>
        <v>0.5795620580763855</v>
      </c>
      <c r="C93" t="s">
        <v>39</v>
      </c>
    </row>
    <row r="94" spans="1:3" x14ac:dyDescent="0.35">
      <c r="B94" s="15">
        <f>B93* 0.0254</f>
        <v>1.4720876275140191E-2</v>
      </c>
      <c r="C94" t="s">
        <v>42</v>
      </c>
    </row>
    <row r="96" spans="1:3" x14ac:dyDescent="0.35">
      <c r="A96" t="s">
        <v>62</v>
      </c>
      <c r="B96">
        <f>B82*B37</f>
        <v>672</v>
      </c>
    </row>
    <row r="97" spans="1:4" x14ac:dyDescent="0.35">
      <c r="B97" s="1"/>
    </row>
    <row r="98" spans="1:4" x14ac:dyDescent="0.35">
      <c r="A98" t="s">
        <v>92</v>
      </c>
      <c r="B98" s="17">
        <f>4*B77*B85/B75</f>
        <v>3.75541309178199E-3</v>
      </c>
      <c r="C98" t="s">
        <v>42</v>
      </c>
      <c r="D98" t="s">
        <v>93</v>
      </c>
    </row>
    <row r="99" spans="1:4" x14ac:dyDescent="0.35">
      <c r="B99" s="16">
        <f>B98/0.0254</f>
        <v>0.14785090912527521</v>
      </c>
      <c r="C99" t="s">
        <v>39</v>
      </c>
    </row>
    <row r="100" spans="1:4" x14ac:dyDescent="0.35">
      <c r="B100" s="1"/>
    </row>
    <row r="102" spans="1:4" x14ac:dyDescent="0.35">
      <c r="A102" t="s">
        <v>95</v>
      </c>
      <c r="B102" s="14">
        <f>B26/B77</f>
        <v>4.5570755845580724</v>
      </c>
      <c r="C102" t="s">
        <v>96</v>
      </c>
    </row>
    <row r="103" spans="1:4" x14ac:dyDescent="0.35">
      <c r="B103" s="1">
        <f>B102* 196.85039</f>
        <v>897.06210607973458</v>
      </c>
      <c r="C103" t="s">
        <v>97</v>
      </c>
    </row>
    <row r="105" spans="1:4" x14ac:dyDescent="0.35">
      <c r="A105" t="s">
        <v>87</v>
      </c>
      <c r="B105" s="18">
        <f>B36/B98</f>
        <v>5.4108561437532586E-2</v>
      </c>
    </row>
    <row r="106" spans="1:4" x14ac:dyDescent="0.35">
      <c r="A106" t="s">
        <v>88</v>
      </c>
      <c r="B106" s="18">
        <f>B36/B94</f>
        <v>1.3803526108235351E-2</v>
      </c>
    </row>
    <row r="107" spans="1:4" x14ac:dyDescent="0.35">
      <c r="A107" t="s">
        <v>89</v>
      </c>
      <c r="B107" s="18">
        <f>B39/B94</f>
        <v>0.20187656933294199</v>
      </c>
    </row>
    <row r="108" spans="1:4" x14ac:dyDescent="0.35">
      <c r="A108" t="s">
        <v>91</v>
      </c>
      <c r="B108" s="18">
        <f>B89/B67</f>
        <v>1.0704744696916626</v>
      </c>
    </row>
    <row r="109" spans="1:4" x14ac:dyDescent="0.35">
      <c r="A109" t="s">
        <v>90</v>
      </c>
      <c r="B109" s="18">
        <f>B36/B39</f>
        <v>6.8376068376068383E-2</v>
      </c>
    </row>
    <row r="111" spans="1:4" x14ac:dyDescent="0.35">
      <c r="A111" t="s">
        <v>84</v>
      </c>
      <c r="B111" s="18">
        <f>0.159*(B105^(-0.065)*(B106^0.141))</f>
        <v>0.10506871743785337</v>
      </c>
    </row>
    <row r="112" spans="1:4" x14ac:dyDescent="0.35">
      <c r="A112" t="s">
        <v>85</v>
      </c>
      <c r="B112" s="18">
        <f>-0.323*(B107^0.049)*(B108^0.549)*(B109^(-0.028))</f>
        <v>-0.33420413048055614</v>
      </c>
    </row>
    <row r="115" spans="1:3" x14ac:dyDescent="0.35">
      <c r="A115" t="s">
        <v>98</v>
      </c>
      <c r="B115" s="1">
        <f>B27*B102*B98/H4</f>
        <v>1135.6600273753836</v>
      </c>
    </row>
    <row r="117" spans="1:3" x14ac:dyDescent="0.35">
      <c r="A117" t="s">
        <v>99</v>
      </c>
      <c r="B117" s="19">
        <f>B111*(B115^B112)*(H3^(-2/3))</f>
        <v>1.2311968612155045E-2</v>
      </c>
    </row>
    <row r="118" spans="1:3" x14ac:dyDescent="0.35">
      <c r="A118" t="s">
        <v>100</v>
      </c>
      <c r="B118" s="14">
        <f>B117*B27*B102*B30</f>
        <v>69.211664012493486</v>
      </c>
      <c r="C118" t="s">
        <v>211</v>
      </c>
    </row>
    <row r="121" spans="1:3" x14ac:dyDescent="0.35">
      <c r="A121" t="s">
        <v>224</v>
      </c>
      <c r="B121" s="14">
        <f>B118*(1.425-(0.00051)*B115+(0.000000263)*B115*B115)</f>
        <v>82.016563703779269</v>
      </c>
      <c r="C121" t="s">
        <v>211</v>
      </c>
    </row>
    <row r="125" spans="1:3" x14ac:dyDescent="0.35">
      <c r="A125" t="s">
        <v>137</v>
      </c>
      <c r="B125" s="2">
        <f>B41/(B43*B78)</f>
        <v>7.8857180126666015E-8</v>
      </c>
      <c r="C125" t="s">
        <v>107</v>
      </c>
    </row>
    <row r="127" spans="1:3" x14ac:dyDescent="0.35">
      <c r="A127" t="s">
        <v>138</v>
      </c>
      <c r="B127" s="2">
        <f>LN(B50/B56)/(2*PI()*B43*B83*B49)</f>
        <v>7.6278125424779155E-8</v>
      </c>
      <c r="C127" t="s">
        <v>107</v>
      </c>
    </row>
    <row r="130" spans="1:4" x14ac:dyDescent="0.35">
      <c r="A130" s="20" t="s">
        <v>108</v>
      </c>
      <c r="B130">
        <f>B89/B51</f>
        <v>2.8545985858444336</v>
      </c>
    </row>
    <row r="133" spans="1:4" x14ac:dyDescent="0.35">
      <c r="A133" t="s">
        <v>109</v>
      </c>
      <c r="B133">
        <f>(B89-B51)/2*SQRT((2*B118)/(B44*B36))</f>
        <v>0.7892276300132649</v>
      </c>
    </row>
    <row r="134" spans="1:4" x14ac:dyDescent="0.35">
      <c r="A134" t="s">
        <v>110</v>
      </c>
      <c r="B134">
        <f>B133/(1-B130)</f>
        <v>-0.42555172641518796</v>
      </c>
    </row>
    <row r="135" spans="1:4" x14ac:dyDescent="0.35">
      <c r="A135" t="s">
        <v>111</v>
      </c>
      <c r="B135">
        <f>B134*B130</f>
        <v>-1.2147793564284528</v>
      </c>
    </row>
    <row r="137" spans="1:4" x14ac:dyDescent="0.35">
      <c r="A137" t="s">
        <v>112</v>
      </c>
      <c r="B137" t="e">
        <f>BESSELI(B135,1)*BESSELK(B134,1)-BESSELK(B135,1)*BESSELI(B134,1)</f>
        <v>#NUM!</v>
      </c>
    </row>
    <row r="138" spans="1:4" x14ac:dyDescent="0.35">
      <c r="A138" t="s">
        <v>113</v>
      </c>
    </row>
    <row r="140" spans="1:4" x14ac:dyDescent="0.35">
      <c r="A140" t="s">
        <v>124</v>
      </c>
    </row>
    <row r="141" spans="1:4" x14ac:dyDescent="0.35">
      <c r="A141" t="s">
        <v>125</v>
      </c>
      <c r="B141">
        <f>SQRT((2*B118)/(B44*B36))</f>
        <v>53.612815926322888</v>
      </c>
      <c r="C141" t="s">
        <v>116</v>
      </c>
      <c r="D141" t="s">
        <v>133</v>
      </c>
    </row>
    <row r="142" spans="1:4" x14ac:dyDescent="0.35">
      <c r="A142" t="s">
        <v>117</v>
      </c>
      <c r="B142">
        <f>2*B53/(B141*(B91^2-B53^2))</f>
        <v>0.65742854505713322</v>
      </c>
    </row>
    <row r="143" spans="1:4" x14ac:dyDescent="0.35">
      <c r="A143" t="s">
        <v>118</v>
      </c>
      <c r="B143">
        <f>B141*B53</f>
        <v>0.4255517264151879</v>
      </c>
    </row>
    <row r="144" spans="1:4" x14ac:dyDescent="0.35">
      <c r="A144" t="s">
        <v>119</v>
      </c>
      <c r="B144">
        <f>B141*B91</f>
        <v>1.2147793564284528</v>
      </c>
    </row>
    <row r="146" spans="1:3" x14ac:dyDescent="0.35">
      <c r="A146" t="s">
        <v>120</v>
      </c>
      <c r="B146">
        <f>BESSELK(B143,1)*BESSELI(B144,1)-BESSELI(B143,1)*BESSELK(B144,1)</f>
        <v>1.3797229028841504</v>
      </c>
    </row>
    <row r="147" spans="1:3" x14ac:dyDescent="0.35">
      <c r="A147" t="s">
        <v>121</v>
      </c>
      <c r="B147">
        <f>BESSELI(B143,0)*BESSELK(B144,1)+BESSELK(B143,0)*BESSELI(B144,1)</f>
        <v>1.214808323766668</v>
      </c>
    </row>
    <row r="149" spans="1:3" x14ac:dyDescent="0.35">
      <c r="A149" t="s">
        <v>122</v>
      </c>
      <c r="B149" s="14">
        <f>B142*B146/B147</f>
        <v>0.74667682372528332</v>
      </c>
    </row>
    <row r="151" spans="1:3" x14ac:dyDescent="0.35">
      <c r="A151" t="s">
        <v>123</v>
      </c>
      <c r="B151" s="14">
        <f>1-(1-B149)*B74/B75</f>
        <v>0.75928383148510969</v>
      </c>
    </row>
    <row r="154" spans="1:3" x14ac:dyDescent="0.35">
      <c r="A154" t="s">
        <v>126</v>
      </c>
    </row>
    <row r="155" spans="1:3" x14ac:dyDescent="0.35">
      <c r="A155" t="s">
        <v>127</v>
      </c>
      <c r="B155">
        <f>SQRT((2*B121)/(B44*B36))</f>
        <v>58.361945102024315</v>
      </c>
      <c r="C155" t="s">
        <v>116</v>
      </c>
    </row>
    <row r="156" spans="1:3" x14ac:dyDescent="0.35">
      <c r="A156" t="s">
        <v>117</v>
      </c>
      <c r="B156" s="15">
        <f>2*B53/(B155*(B91^2-B53^2))</f>
        <v>0.6039311319943621</v>
      </c>
    </row>
    <row r="157" spans="1:3" x14ac:dyDescent="0.35">
      <c r="A157" t="s">
        <v>118</v>
      </c>
      <c r="B157" s="15">
        <f>B155*B53</f>
        <v>0.463247939247318</v>
      </c>
    </row>
    <row r="158" spans="1:3" x14ac:dyDescent="0.35">
      <c r="A158" t="s">
        <v>119</v>
      </c>
      <c r="B158" s="15">
        <f>B155*B91</f>
        <v>1.3223869122707421</v>
      </c>
    </row>
    <row r="159" spans="1:3" x14ac:dyDescent="0.35">
      <c r="B159" s="15"/>
    </row>
    <row r="160" spans="1:3" x14ac:dyDescent="0.35">
      <c r="A160" t="s">
        <v>120</v>
      </c>
      <c r="B160" s="15">
        <f>BESSELK(B157,1)*BESSELI(B158,1)-BESSELI(B157,1)*BESSELK(B158,1)</f>
        <v>1.4041796956795902</v>
      </c>
    </row>
    <row r="161" spans="1:31" x14ac:dyDescent="0.35">
      <c r="A161" t="s">
        <v>121</v>
      </c>
      <c r="B161" s="15">
        <f>BESSELI(B157,0)*BESSELK(B158,1)+BESSELK(B157,0)*BESSELI(B158,1)</f>
        <v>1.186833826732685</v>
      </c>
    </row>
    <row r="163" spans="1:31" x14ac:dyDescent="0.35">
      <c r="A163" t="s">
        <v>134</v>
      </c>
      <c r="B163" s="14">
        <f>B156*B160/B161</f>
        <v>0.71452954409790204</v>
      </c>
    </row>
    <row r="166" spans="1:31" x14ac:dyDescent="0.35">
      <c r="A166" t="s">
        <v>135</v>
      </c>
      <c r="B166" s="14">
        <f>1-(1-B163)*B74/B75</f>
        <v>0.72873640943759788</v>
      </c>
    </row>
    <row r="168" spans="1:31" x14ac:dyDescent="0.35">
      <c r="A168" s="7" t="s">
        <v>147</v>
      </c>
    </row>
    <row r="170" spans="1:31" x14ac:dyDescent="0.35">
      <c r="A170" t="s">
        <v>191</v>
      </c>
      <c r="B170" s="2">
        <f>B127+B64</f>
        <v>1.1368294378236958E-5</v>
      </c>
      <c r="C170" t="s">
        <v>107</v>
      </c>
    </row>
    <row r="171" spans="1:31" x14ac:dyDescent="0.35">
      <c r="A171" t="s">
        <v>139</v>
      </c>
      <c r="B171" s="1">
        <f>'Saturated Air Enthalpy'!I3</f>
        <v>19927.679268783926</v>
      </c>
      <c r="C171" t="s">
        <v>166</v>
      </c>
    </row>
    <row r="172" spans="1:31" x14ac:dyDescent="0.35">
      <c r="A172" t="s">
        <v>140</v>
      </c>
      <c r="B172" s="1">
        <f>'Saturated Air Enthalpy'!I4</f>
        <v>2707.5993736512046</v>
      </c>
      <c r="C172" t="s">
        <v>102</v>
      </c>
    </row>
    <row r="174" spans="1:31" x14ac:dyDescent="0.35">
      <c r="F174" s="7"/>
      <c r="K174" s="7" t="s">
        <v>228</v>
      </c>
      <c r="L174" t="s">
        <v>236</v>
      </c>
    </row>
    <row r="175" spans="1:31" x14ac:dyDescent="0.35">
      <c r="A175" s="7" t="s">
        <v>136</v>
      </c>
      <c r="E175" s="7" t="s">
        <v>212</v>
      </c>
      <c r="F175" s="31">
        <f>1/(B32*H8)</f>
        <v>1.4313951995892696E-4</v>
      </c>
      <c r="G175" t="s">
        <v>107</v>
      </c>
    </row>
    <row r="176" spans="1:31" x14ac:dyDescent="0.35">
      <c r="A176" t="s">
        <v>167</v>
      </c>
      <c r="B176" s="18">
        <f>1/B32</f>
        <v>0.14414149659863945</v>
      </c>
      <c r="C176" t="s">
        <v>165</v>
      </c>
      <c r="E176" t="s">
        <v>213</v>
      </c>
      <c r="F176" s="31">
        <f>-1/(B21*I8)</f>
        <v>-3.7837963714490341E-5</v>
      </c>
      <c r="G176" t="s">
        <v>107</v>
      </c>
      <c r="K176" t="s">
        <v>229</v>
      </c>
      <c r="L176" t="s">
        <v>230</v>
      </c>
      <c r="M176" t="s">
        <v>231</v>
      </c>
      <c r="N176" t="s">
        <v>232</v>
      </c>
      <c r="O176" t="s">
        <v>233</v>
      </c>
      <c r="P176" t="s">
        <v>219</v>
      </c>
      <c r="Q176" t="s">
        <v>237</v>
      </c>
      <c r="R176" t="s">
        <v>221</v>
      </c>
      <c r="S176" t="s">
        <v>222</v>
      </c>
      <c r="T176" t="s">
        <v>175</v>
      </c>
      <c r="U176" t="s">
        <v>238</v>
      </c>
      <c r="V176" t="s">
        <v>177</v>
      </c>
      <c r="W176" t="s">
        <v>178</v>
      </c>
      <c r="X176" t="s">
        <v>179</v>
      </c>
      <c r="Y176" t="s">
        <v>239</v>
      </c>
      <c r="Z176" t="s">
        <v>240</v>
      </c>
      <c r="AA176" t="s">
        <v>244</v>
      </c>
      <c r="AB176" t="s">
        <v>243</v>
      </c>
      <c r="AC176" t="s">
        <v>242</v>
      </c>
      <c r="AD176" t="s">
        <v>241</v>
      </c>
      <c r="AE176" t="s">
        <v>245</v>
      </c>
    </row>
    <row r="177" spans="1:31" x14ac:dyDescent="0.35">
      <c r="A177" t="s">
        <v>168</v>
      </c>
      <c r="B177" s="18">
        <f>-B172/(B21*I8)</f>
        <v>-0.10245004685359105</v>
      </c>
      <c r="C177" t="s">
        <v>165</v>
      </c>
      <c r="E177" t="s">
        <v>214</v>
      </c>
      <c r="F177" s="31">
        <f>F175+F176</f>
        <v>1.0530155624443662E-4</v>
      </c>
      <c r="G177" t="s">
        <v>107</v>
      </c>
      <c r="K177">
        <v>0.05</v>
      </c>
      <c r="L177" s="29">
        <f>(1-K177)*$B$75</f>
        <v>319.40980945220878</v>
      </c>
      <c r="M177" s="29">
        <f>K177*$B$75</f>
        <v>16.811042602747833</v>
      </c>
      <c r="N177" s="1">
        <f>$F$182*(1-K177)</f>
        <v>13977.762305218668</v>
      </c>
      <c r="O177" s="14">
        <f>$B$189*K177</f>
        <v>0.61810997228967079</v>
      </c>
      <c r="P177" s="14">
        <f>EXP(N177*($F$175+$F$176))</f>
        <v>4.3574199322932374</v>
      </c>
      <c r="Q177" s="2">
        <f>$F$175*P177+$F$176</f>
        <v>5.858810336534237E-4</v>
      </c>
      <c r="R177" s="31">
        <f>($F$175*(P177-1))/Q177</f>
        <v>0.82026802337703342</v>
      </c>
      <c r="S177" s="31">
        <f>($F$177*P177)/Q177</f>
        <v>0.78316769740737657</v>
      </c>
      <c r="T177">
        <f>EXP(O177*$B$178)</f>
        <v>1.0261048154581727</v>
      </c>
      <c r="U177">
        <f>$B$176*T177+$B$177</f>
        <v>4.5454236913620716E-2</v>
      </c>
      <c r="V177">
        <f>$B$178/U177</f>
        <v>0.91721812037625994</v>
      </c>
      <c r="W177">
        <f>($B$176*T177-$B$176)/U177</f>
        <v>8.2781879623740076E-2</v>
      </c>
      <c r="X177">
        <f>(T177*$B$178)/U177</f>
        <v>0.94116193014357408</v>
      </c>
      <c r="Y177">
        <f>($B$177*(1-T177))/($B$172*U177)</f>
        <v>2.1730714827682348E-5</v>
      </c>
      <c r="Z177" s="14">
        <f>(1/(1-R177*Y177*$H$8))*(X177*$B$14+Y177*($B$9-$H$8*$B$2*R177-$B$171))</f>
        <v>7.6427003773884303</v>
      </c>
      <c r="AA177" s="14">
        <f>$B$2-R177*($B$2-Z177)</f>
        <v>11.161766539892959</v>
      </c>
      <c r="AB177">
        <f>$F$179/(1-K177)</f>
        <v>5.9575583897279781E-5</v>
      </c>
      <c r="AC177" s="2">
        <f>$F$181/(1-K177)</f>
        <v>7.1542209558581846E-5</v>
      </c>
      <c r="AD177" s="14">
        <f>Z177+((AC177-AB177)/AC177)*(AA177-Z177)</f>
        <v>8.2313227823137893</v>
      </c>
      <c r="AE177" s="14">
        <f>AD177-$B$11</f>
        <v>-8.2088802664131677</v>
      </c>
    </row>
    <row r="178" spans="1:31" x14ac:dyDescent="0.35">
      <c r="A178" t="s">
        <v>235</v>
      </c>
      <c r="B178" s="18">
        <f>B176+B177</f>
        <v>4.1691449745048403E-2</v>
      </c>
      <c r="C178" t="s">
        <v>165</v>
      </c>
      <c r="E178" t="s">
        <v>234</v>
      </c>
      <c r="K178">
        <v>0.1</v>
      </c>
      <c r="L178" s="29">
        <f>(1-K178)*$B$75</f>
        <v>302.59876684946101</v>
      </c>
      <c r="M178" s="29">
        <f t="shared" ref="M178:M196" si="0">K178*$B$75</f>
        <v>33.622085205495665</v>
      </c>
      <c r="N178" s="1">
        <f t="shared" ref="N178:N196" si="1">$F$182*(1-K178)</f>
        <v>13242.090604944004</v>
      </c>
      <c r="O178" s="14">
        <f t="shared" ref="O178:O196" si="2">$B$189*K178</f>
        <v>1.2362199445793416</v>
      </c>
      <c r="P178" s="14">
        <f t="shared" ref="P178:P196" si="3">EXP(N178*($F$175+$F$176))</f>
        <v>4.0326057239111774</v>
      </c>
      <c r="Q178" s="2">
        <f t="shared" ref="Q178:Q196" si="4">$F$175*P178+$F$176</f>
        <v>5.3938728378977673E-4</v>
      </c>
      <c r="R178" s="31">
        <f t="shared" ref="R178:R196" si="5">($F$175*(P178-1))/Q178</f>
        <v>0.80477560482223509</v>
      </c>
      <c r="S178" s="31">
        <f t="shared" ref="S178:S196" si="6">($F$177*P178)/Q178</f>
        <v>0.78726301344095262</v>
      </c>
      <c r="T178">
        <f t="shared" ref="T178:T196" si="7">EXP(O178*$B$178)</f>
        <v>1.0528910923064507</v>
      </c>
      <c r="U178">
        <f>$B$176*T178+$B$177</f>
        <v>4.9315250946837003E-2</v>
      </c>
      <c r="V178">
        <f t="shared" ref="V178:V196" si="8">$B$178/U178</f>
        <v>0.84540682536509371</v>
      </c>
      <c r="W178">
        <f>($B$176*T178-$B$176)/U178</f>
        <v>0.15459317463490627</v>
      </c>
      <c r="X178">
        <f>(T178*$B$178)/U178</f>
        <v>0.89012131580198239</v>
      </c>
      <c r="Y178">
        <f>($B$177*(1-T178))/($B$172*U178)</f>
        <v>4.0581588719251988E-5</v>
      </c>
      <c r="Z178" s="14">
        <f>(1/(1-R178*Y178*$H$8))*(X178*$B$14+Y178*($B$9-$H$8*$B$2*R178-$B$171))</f>
        <v>8.0326764524682197</v>
      </c>
      <c r="AA178" s="14">
        <f t="shared" ref="AA178:AA196" si="9">$B$2-R178*($B$2-Z178)</f>
        <v>11.778943919104481</v>
      </c>
      <c r="AB178">
        <f t="shared" ref="AB178:AB196" si="10">$F$179/(1-K178)</f>
        <v>6.2885338558239771E-5</v>
      </c>
      <c r="AC178" s="2">
        <f t="shared" ref="AC178:AC196" si="11">$F$181/(1-K178)</f>
        <v>7.5516776756280824E-5</v>
      </c>
      <c r="AD178" s="14">
        <f t="shared" ref="AD178:AD196" si="12">Z178+((AC178-AB178)/AC178)*(AA178-Z178)</f>
        <v>8.6593020582043927</v>
      </c>
      <c r="AE178" s="14">
        <f t="shared" ref="AE178:AE196" si="13">AD178-$B$11</f>
        <v>-7.7809009905225643</v>
      </c>
    </row>
    <row r="179" spans="1:31" x14ac:dyDescent="0.35">
      <c r="A179" t="s">
        <v>144</v>
      </c>
      <c r="B179">
        <f>(B30*(1-B166))/('Saturated Air Enthalpy'!I4*B166*'Air Side h'!B75*'Air Side h'!B121)</f>
        <v>5.0204181297385766E-6</v>
      </c>
      <c r="C179" t="s">
        <v>107</v>
      </c>
      <c r="F179">
        <f>1/(B118*B75*B151)</f>
        <v>5.6596804702415791E-5</v>
      </c>
      <c r="G179" t="s">
        <v>107</v>
      </c>
      <c r="K179">
        <v>0.15</v>
      </c>
      <c r="L179" s="29">
        <f>(1-K179)*$B$75</f>
        <v>285.78772424671314</v>
      </c>
      <c r="M179" s="29">
        <f t="shared" si="0"/>
        <v>50.433127808243498</v>
      </c>
      <c r="N179" s="1">
        <f t="shared" si="1"/>
        <v>12506.418904669335</v>
      </c>
      <c r="O179" s="14">
        <f t="shared" si="2"/>
        <v>1.8543299168690122</v>
      </c>
      <c r="P179" s="14">
        <f t="shared" si="3"/>
        <v>3.7320040705745825</v>
      </c>
      <c r="Q179" s="2">
        <f t="shared" si="4"/>
        <v>4.9635930743231673E-4</v>
      </c>
      <c r="R179" s="31">
        <f t="shared" si="5"/>
        <v>0.78785215736325165</v>
      </c>
      <c r="S179" s="31">
        <f t="shared" si="6"/>
        <v>0.79173661228396153</v>
      </c>
      <c r="T179">
        <f t="shared" si="7"/>
        <v>1.0803766199686644</v>
      </c>
      <c r="U179">
        <f>$B$176*T179+$B$177</f>
        <v>5.3277056038871784E-2</v>
      </c>
      <c r="V179">
        <f t="shared" si="8"/>
        <v>0.78254041879922309</v>
      </c>
      <c r="W179">
        <f>($B$176*T179-$B$176)/U179</f>
        <v>0.21745958120077691</v>
      </c>
      <c r="X179">
        <f>(T179*$B$178)/U179</f>
        <v>0.84543837265116772</v>
      </c>
      <c r="Y179">
        <f>($B$177*(1-T179))/($B$172*U179)</f>
        <v>5.7084378454558976E-5</v>
      </c>
      <c r="Z179" s="14">
        <f>(1/(1-R179*Y179*$H$8))*(X179*$B$14+Y179*($B$9-$H$8*$B$2*R179-$B$171))</f>
        <v>8.3974412841516877</v>
      </c>
      <c r="AA179" s="14">
        <f t="shared" si="9"/>
        <v>12.391077948272736</v>
      </c>
      <c r="AB179">
        <f t="shared" si="10"/>
        <v>6.658447612048917E-5</v>
      </c>
      <c r="AC179" s="2">
        <f t="shared" si="11"/>
        <v>7.9958940094885587E-5</v>
      </c>
      <c r="AD179" s="14">
        <f t="shared" si="12"/>
        <v>9.0654435066390278</v>
      </c>
      <c r="AE179" s="14">
        <f t="shared" si="13"/>
        <v>-7.3747595420879293</v>
      </c>
    </row>
    <row r="180" spans="1:31" x14ac:dyDescent="0.35">
      <c r="A180" t="s">
        <v>145</v>
      </c>
      <c r="B180">
        <f>1/(B75*B121)</f>
        <v>3.626383968635633E-5</v>
      </c>
      <c r="C180" t="s">
        <v>107</v>
      </c>
      <c r="E180" t="s">
        <v>216</v>
      </c>
      <c r="K180">
        <v>0.2</v>
      </c>
      <c r="L180" s="29">
        <f>(1-K180)*$B$75</f>
        <v>268.97668164396532</v>
      </c>
      <c r="M180" s="29">
        <f t="shared" si="0"/>
        <v>67.24417041099133</v>
      </c>
      <c r="N180" s="1">
        <f t="shared" si="1"/>
        <v>11770.747204394669</v>
      </c>
      <c r="O180" s="14">
        <f t="shared" si="2"/>
        <v>2.4724398891586832</v>
      </c>
      <c r="P180" s="14">
        <f t="shared" si="3"/>
        <v>3.453810101047218</v>
      </c>
      <c r="Q180" s="2">
        <f t="shared" si="4"/>
        <v>4.565387561787014E-4</v>
      </c>
      <c r="R180" s="31">
        <f t="shared" si="5"/>
        <v>0.76934804587933225</v>
      </c>
      <c r="S180" s="31">
        <f t="shared" si="6"/>
        <v>0.79662804896824224</v>
      </c>
      <c r="T180">
        <f t="shared" si="7"/>
        <v>1.1085796522582709</v>
      </c>
      <c r="U180">
        <f>$B$176*T180+$B$177</f>
        <v>5.7342283321715426E-2</v>
      </c>
      <c r="V180">
        <f t="shared" si="8"/>
        <v>0.72706295128048937</v>
      </c>
      <c r="W180">
        <f>($B$176*T180-$B$176)/U180</f>
        <v>0.27293704871951058</v>
      </c>
      <c r="X180">
        <f>(T180*$B$178)/U180</f>
        <v>0.80600719370039708</v>
      </c>
      <c r="Y180">
        <f>($B$177*(1-T180))/($B$172*U180)</f>
        <v>7.1647529611444286E-5</v>
      </c>
      <c r="Z180" s="14">
        <f>(1/(1-R180*Y180*$H$8))*(X180*$B$14+Y180*($B$9-$H$8*$B$2*R180-$B$171))</f>
        <v>8.7414881010689225</v>
      </c>
      <c r="AA180" s="14">
        <f t="shared" si="9"/>
        <v>13.004105539697434</v>
      </c>
      <c r="AB180">
        <f t="shared" si="10"/>
        <v>7.074600587801974E-5</v>
      </c>
      <c r="AC180" s="2">
        <f t="shared" si="11"/>
        <v>8.4956373850815923E-5</v>
      </c>
      <c r="AD180" s="14">
        <f t="shared" si="12"/>
        <v>9.4544818363775462</v>
      </c>
      <c r="AE180" s="14">
        <f t="shared" si="13"/>
        <v>-6.9857212123494108</v>
      </c>
    </row>
    <row r="181" spans="1:31" x14ac:dyDescent="0.35">
      <c r="A181" t="s">
        <v>146</v>
      </c>
      <c r="B181">
        <f>B179+(B30*B180/'Saturated Air Enthalpy'!I4)</f>
        <v>1.8507526643475832E-5</v>
      </c>
      <c r="C181" t="s">
        <v>107</v>
      </c>
      <c r="F181" s="2">
        <f>B170+F179</f>
        <v>6.7965099080652744E-5</v>
      </c>
      <c r="G181" t="s">
        <v>107</v>
      </c>
      <c r="K181">
        <v>0.25</v>
      </c>
      <c r="L181" s="29">
        <f>(1-K181)*$B$75</f>
        <v>252.1656390412175</v>
      </c>
      <c r="M181" s="29">
        <f t="shared" si="0"/>
        <v>84.055213013739163</v>
      </c>
      <c r="N181" s="1">
        <f t="shared" si="1"/>
        <v>11035.075504120003</v>
      </c>
      <c r="O181" s="14">
        <f t="shared" si="2"/>
        <v>3.0905498614483538</v>
      </c>
      <c r="P181" s="14">
        <f t="shared" si="3"/>
        <v>3.1963534842177244</v>
      </c>
      <c r="Q181" s="2">
        <f t="shared" si="4"/>
        <v>4.1968653963547834E-4</v>
      </c>
      <c r="R181" s="31">
        <f t="shared" si="5"/>
        <v>0.7490947497723015</v>
      </c>
      <c r="S181" s="31">
        <f t="shared" si="6"/>
        <v>0.80198187077382421</v>
      </c>
      <c r="T181">
        <f t="shared" si="7"/>
        <v>1.1375189195011584</v>
      </c>
      <c r="U181">
        <f>$B$176*T181+$B$177</f>
        <v>6.1513632612573199E-2</v>
      </c>
      <c r="V181">
        <f t="shared" si="8"/>
        <v>0.6777595140191216</v>
      </c>
      <c r="W181">
        <f>($B$176*T181-$B$176)/U181</f>
        <v>0.32224048598087834</v>
      </c>
      <c r="X181">
        <f>(T181*$B$178)/U181</f>
        <v>0.77096427006866142</v>
      </c>
      <c r="Y181">
        <f>($B$177*(1-T181))/($B$172*U181)</f>
        <v>8.4589962665888491E-5</v>
      </c>
      <c r="Z181" s="14">
        <f>(1/(1-R181*Y181*$H$8))*(X181*$B$14+Y181*($B$9-$H$8*$B$2*R181-$B$171))</f>
        <v>9.0686907020530505</v>
      </c>
      <c r="AA181" s="14">
        <f t="shared" si="9"/>
        <v>13.623507070637508</v>
      </c>
      <c r="AB181">
        <f t="shared" si="10"/>
        <v>7.5462406269887717E-5</v>
      </c>
      <c r="AC181" s="2">
        <f t="shared" si="11"/>
        <v>9.0620132107536997E-5</v>
      </c>
      <c r="AD181" s="14">
        <f t="shared" si="12"/>
        <v>9.8305595732428586</v>
      </c>
      <c r="AE181" s="14">
        <f t="shared" si="13"/>
        <v>-6.6096434754840985</v>
      </c>
    </row>
    <row r="182" spans="1:31" x14ac:dyDescent="0.35">
      <c r="E182" t="s">
        <v>215</v>
      </c>
      <c r="F182" s="2">
        <f>1/F181</f>
        <v>14713.434005493336</v>
      </c>
      <c r="G182" t="s">
        <v>218</v>
      </c>
      <c r="K182">
        <v>0.3</v>
      </c>
      <c r="L182" s="29">
        <f>(1-K182)*$B$75</f>
        <v>235.35459643846963</v>
      </c>
      <c r="M182" s="29">
        <f t="shared" si="0"/>
        <v>100.866255616487</v>
      </c>
      <c r="N182" s="1">
        <f t="shared" si="1"/>
        <v>10299.403803845335</v>
      </c>
      <c r="O182" s="14">
        <f t="shared" si="2"/>
        <v>3.7086598337380243</v>
      </c>
      <c r="P182" s="14">
        <f t="shared" si="3"/>
        <v>2.9580884001042844</v>
      </c>
      <c r="Q182" s="2">
        <f t="shared" si="4"/>
        <v>3.8558138987250718E-4</v>
      </c>
      <c r="R182" s="31">
        <f t="shared" si="5"/>
        <v>0.72690187075871415</v>
      </c>
      <c r="S182" s="31">
        <f t="shared" si="6"/>
        <v>0.80784840819882864</v>
      </c>
      <c r="T182">
        <f t="shared" si="7"/>
        <v>1.1672136409749161</v>
      </c>
      <c r="U182">
        <f>$B$176*T182+$B$177</f>
        <v>6.5793874206880376E-2</v>
      </c>
      <c r="V182">
        <f t="shared" si="8"/>
        <v>0.63366765139798575</v>
      </c>
      <c r="W182">
        <f>($B$176*T182-$B$176)/U182</f>
        <v>0.36633234860201419</v>
      </c>
      <c r="X182">
        <f>(T182*$B$178)/U182</f>
        <v>0.7396255265562669</v>
      </c>
      <c r="Y182">
        <f>($B$177*(1-T182))/($B$172*U182)</f>
        <v>9.6164327698383873E-5</v>
      </c>
      <c r="Z182" s="14">
        <f>(1/(1-R182*Y182*$H$8))*(X182*$B$14+Y182*($B$9-$H$8*$B$2*R182-$B$171))</f>
        <v>9.3824403022658434</v>
      </c>
      <c r="AA182" s="14">
        <f t="shared" si="9"/>
        <v>14.254451370678444</v>
      </c>
      <c r="AB182">
        <f t="shared" si="10"/>
        <v>8.0852578146308284E-5</v>
      </c>
      <c r="AC182" s="2">
        <f t="shared" si="11"/>
        <v>9.7092998686646779E-5</v>
      </c>
      <c r="AD182" s="14">
        <f t="shared" si="12"/>
        <v>10.197365268004763</v>
      </c>
      <c r="AE182" s="14">
        <f t="shared" si="13"/>
        <v>-6.2428377807221942</v>
      </c>
    </row>
    <row r="183" spans="1:31" x14ac:dyDescent="0.35">
      <c r="E183" t="s">
        <v>217</v>
      </c>
      <c r="K183">
        <v>0.35</v>
      </c>
      <c r="L183" s="29">
        <f>(1-K183)*$B$75</f>
        <v>218.54355383572184</v>
      </c>
      <c r="M183" s="29">
        <f t="shared" si="0"/>
        <v>117.67729821923481</v>
      </c>
      <c r="N183" s="1">
        <f t="shared" si="1"/>
        <v>9563.7321035706682</v>
      </c>
      <c r="O183" s="14">
        <f t="shared" si="2"/>
        <v>4.3267698060276949</v>
      </c>
      <c r="P183" s="14">
        <f t="shared" si="3"/>
        <v>2.7375842584485222</v>
      </c>
      <c r="Q183" s="2">
        <f t="shared" si="4"/>
        <v>3.5401853288694616E-4</v>
      </c>
      <c r="R183" s="31">
        <f t="shared" si="5"/>
        <v>0.70255354886162391</v>
      </c>
      <c r="S183" s="31">
        <f t="shared" si="6"/>
        <v>0.81428472236779592</v>
      </c>
      <c r="T183">
        <f t="shared" si="7"/>
        <v>1.1976835376728281</v>
      </c>
      <c r="U183">
        <f>$B$176*T183+$B$177</f>
        <v>7.018585071812336E-2</v>
      </c>
      <c r="V183">
        <f t="shared" si="8"/>
        <v>0.59401502323434618</v>
      </c>
      <c r="W183">
        <f>($B$176*T183-$B$176)/U183</f>
        <v>0.40598497676565376</v>
      </c>
      <c r="X183">
        <f>(T183*$B$178)/U183</f>
        <v>0.71144201445811894</v>
      </c>
      <c r="Y183">
        <f>($B$177*(1-T183))/($B$172*U183)</f>
        <v>1.065733684052231E-4</v>
      </c>
      <c r="Z183" s="14">
        <f>(1/(1-R183*Y183*$H$8))*(X183*$B$14+Y183*($B$9-$H$8*$B$2*R183-$B$171))</f>
        <v>9.6857522982294952</v>
      </c>
      <c r="AA183" s="14">
        <f t="shared" si="9"/>
        <v>14.901913042616</v>
      </c>
      <c r="AB183">
        <f t="shared" si="10"/>
        <v>8.7072007234485833E-5</v>
      </c>
      <c r="AC183" s="2">
        <f t="shared" si="11"/>
        <v>1.0456169089331191E-4</v>
      </c>
      <c r="AD183" s="14">
        <f t="shared" si="12"/>
        <v>10.558242027053707</v>
      </c>
      <c r="AE183" s="14">
        <f t="shared" si="13"/>
        <v>-5.8819610216732503</v>
      </c>
    </row>
    <row r="184" spans="1:31" x14ac:dyDescent="0.35">
      <c r="A184" t="s">
        <v>143</v>
      </c>
      <c r="B184" s="2">
        <f>B181+B170</f>
        <v>2.9875821021712789E-5</v>
      </c>
      <c r="C184" t="s">
        <v>107</v>
      </c>
      <c r="F184">
        <f>EXP(F182*(F175+F176))</f>
        <v>4.7083969438824873</v>
      </c>
      <c r="K184">
        <v>0.4</v>
      </c>
      <c r="L184" s="29">
        <f>(1-K184)*$B$75</f>
        <v>201.73251123297399</v>
      </c>
      <c r="M184" s="29">
        <f t="shared" si="0"/>
        <v>134.48834082198266</v>
      </c>
      <c r="N184" s="1">
        <f t="shared" si="1"/>
        <v>8828.0604032960018</v>
      </c>
      <c r="O184" s="14">
        <f t="shared" si="2"/>
        <v>4.9448797783173664</v>
      </c>
      <c r="P184" s="14">
        <f t="shared" si="3"/>
        <v>2.5335171091712261</v>
      </c>
      <c r="Q184" s="2">
        <f t="shared" si="4"/>
        <v>3.248084591000073E-4</v>
      </c>
      <c r="R184" s="31">
        <f t="shared" si="5"/>
        <v>0.67580414458351701</v>
      </c>
      <c r="S184" s="31">
        <f t="shared" si="6"/>
        <v>0.82135574642006093</v>
      </c>
      <c r="T184">
        <f t="shared" si="7"/>
        <v>1.2289488454010689</v>
      </c>
      <c r="U184">
        <f>$B$176*T184+$B$177</f>
        <v>7.4692478965689008E-2</v>
      </c>
      <c r="V184">
        <f t="shared" si="8"/>
        <v>0.55817466928899129</v>
      </c>
      <c r="W184">
        <f>($B$176*T184-$B$176)/U184</f>
        <v>0.44182533071100866</v>
      </c>
      <c r="X184">
        <f>(T184*$B$178)/U184</f>
        <v>0.68596811535482938</v>
      </c>
      <c r="Y184">
        <f>($B$177*(1-T184))/($B$172*U184)</f>
        <v>1.1598166541961404E-4</v>
      </c>
      <c r="Z184" s="14">
        <f>(1/(1-R184*Y184*$H$8))*(X184*$B$14+Y184*($B$9-$H$8*$B$2*R184-$B$171))</f>
        <v>9.9813508954307242</v>
      </c>
      <c r="AA184" s="14">
        <f t="shared" si="9"/>
        <v>15.570769923345406</v>
      </c>
      <c r="AB184">
        <f t="shared" si="10"/>
        <v>9.4328007837359649E-5</v>
      </c>
      <c r="AC184" s="2">
        <f t="shared" si="11"/>
        <v>1.1327516513442125E-4</v>
      </c>
      <c r="AD184" s="14">
        <f t="shared" si="12"/>
        <v>10.916274286585486</v>
      </c>
      <c r="AE184" s="14">
        <f t="shared" si="13"/>
        <v>-5.5239287621414714</v>
      </c>
    </row>
    <row r="185" spans="1:31" x14ac:dyDescent="0.35">
      <c r="E185" t="s">
        <v>219</v>
      </c>
      <c r="F185" s="31">
        <f>F175*F184+F176</f>
        <v>6.3611971460892768E-4</v>
      </c>
      <c r="G185" t="s">
        <v>107</v>
      </c>
      <c r="K185">
        <v>0.45</v>
      </c>
      <c r="L185" s="29">
        <f>(1-K185)*$B$75</f>
        <v>184.92146863022617</v>
      </c>
      <c r="M185" s="29">
        <f t="shared" si="0"/>
        <v>151.29938342473051</v>
      </c>
      <c r="N185" s="1">
        <f t="shared" si="1"/>
        <v>8092.3887030213355</v>
      </c>
      <c r="O185" s="14">
        <f t="shared" si="2"/>
        <v>5.5629897506070369</v>
      </c>
      <c r="P185" s="14">
        <f t="shared" si="3"/>
        <v>2.3446616931166231</v>
      </c>
      <c r="Q185" s="2">
        <f t="shared" si="4"/>
        <v>2.9777578550430799E-4</v>
      </c>
      <c r="R185" s="31">
        <f t="shared" si="5"/>
        <v>0.64637300488990501</v>
      </c>
      <c r="S185" s="31">
        <f t="shared" si="6"/>
        <v>0.8291356690865791</v>
      </c>
      <c r="T185">
        <f t="shared" si="7"/>
        <v>1.2610303282177981</v>
      </c>
      <c r="U185">
        <f>$B$176*T185+$B$177</f>
        <v>7.9316751911995886E-2</v>
      </c>
      <c r="V185">
        <f t="shared" si="8"/>
        <v>0.52563233793670994</v>
      </c>
      <c r="W185">
        <f>($B$176*T185-$B$176)/U185</f>
        <v>0.47436766206329012</v>
      </c>
      <c r="X185">
        <f>(T185*$B$178)/U185</f>
        <v>0.66283831963021789</v>
      </c>
      <c r="Y185">
        <f>($B$177*(1-T185))/($B$172*U185)</f>
        <v>1.2452421272173618E-4</v>
      </c>
      <c r="Z185" s="14">
        <f>(1/(1-R185*Y185*$H$8))*(X185*$B$14+Y185*($B$9-$H$8*$B$2*R185-$B$171))</f>
        <v>10.271737298081705</v>
      </c>
      <c r="AA185" s="14">
        <f t="shared" si="9"/>
        <v>16.26588634746448</v>
      </c>
      <c r="AB185">
        <f t="shared" si="10"/>
        <v>1.0290328127711961E-4</v>
      </c>
      <c r="AC185" s="2">
        <f t="shared" si="11"/>
        <v>1.2357290741936861E-4</v>
      </c>
      <c r="AD185" s="14">
        <f t="shared" si="12"/>
        <v>11.274358523713238</v>
      </c>
      <c r="AE185" s="14">
        <f t="shared" si="13"/>
        <v>-5.1658445250137195</v>
      </c>
    </row>
    <row r="186" spans="1:31" x14ac:dyDescent="0.35">
      <c r="A186" t="s">
        <v>161</v>
      </c>
      <c r="B186">
        <f>(B75*B121*B166)/(B30*B32)</f>
        <v>2.8764460886014538</v>
      </c>
      <c r="E186" t="s">
        <v>220</v>
      </c>
      <c r="K186">
        <v>0.5</v>
      </c>
      <c r="L186" s="29">
        <f>(1-K186)*$B$75</f>
        <v>168.11042602747833</v>
      </c>
      <c r="M186" s="29">
        <f t="shared" si="0"/>
        <v>168.11042602747833</v>
      </c>
      <c r="N186" s="1">
        <f t="shared" si="1"/>
        <v>7356.7170027466682</v>
      </c>
      <c r="O186" s="14">
        <f t="shared" si="2"/>
        <v>6.1810997228967075</v>
      </c>
      <c r="P186" s="14">
        <f t="shared" si="3"/>
        <v>2.1698840853562862</v>
      </c>
      <c r="Q186" s="2">
        <f t="shared" si="4"/>
        <v>2.7275820262992375E-4</v>
      </c>
      <c r="R186" s="31">
        <f t="shared" si="5"/>
        <v>0.61393807691529279</v>
      </c>
      <c r="S186" s="31">
        <f t="shared" si="6"/>
        <v>0.83770962286354889</v>
      </c>
      <c r="T186">
        <f t="shared" si="7"/>
        <v>1.2939492922230829</v>
      </c>
      <c r="U186">
        <f>$B$176*T186+$B$177</f>
        <v>8.4061740650194366E-2</v>
      </c>
      <c r="V186">
        <f t="shared" si="8"/>
        <v>0.4959622465889541</v>
      </c>
      <c r="W186">
        <f>($B$176*T186-$B$176)/U186</f>
        <v>0.50403775341104595</v>
      </c>
      <c r="X186">
        <f>(T186*$B$178)/U186</f>
        <v>0.64174999794314713</v>
      </c>
      <c r="Y186">
        <f>($B$177*(1-T186))/($B$172*U186)</f>
        <v>1.3231278066583088E-4</v>
      </c>
      <c r="Z186" s="14">
        <f>(1/(1-R186*Y186*$H$8))*(X186*$B$14+Y186*($B$9-$H$8*$B$2*R186-$B$171))</f>
        <v>10.559245614372612</v>
      </c>
      <c r="AA186" s="14">
        <f t="shared" si="9"/>
        <v>16.992186407914524</v>
      </c>
      <c r="AB186">
        <f t="shared" si="10"/>
        <v>1.1319360940483158E-4</v>
      </c>
      <c r="AC186" s="2">
        <f t="shared" si="11"/>
        <v>1.3593019816130549E-4</v>
      </c>
      <c r="AD186" s="14">
        <f t="shared" si="12"/>
        <v>11.635262064697653</v>
      </c>
      <c r="AE186" s="14">
        <f t="shared" si="13"/>
        <v>-4.8049409840293045</v>
      </c>
    </row>
    <row r="187" spans="1:31" x14ac:dyDescent="0.35">
      <c r="F187" s="31">
        <f>(F175*(F184-1))/F185</f>
        <v>0.83446267451532508</v>
      </c>
      <c r="K187">
        <v>0.55000000000000004</v>
      </c>
      <c r="L187" s="29">
        <f>(1-K187)*$B$75</f>
        <v>151.29938342473048</v>
      </c>
      <c r="M187" s="29">
        <f t="shared" si="0"/>
        <v>184.92146863022617</v>
      </c>
      <c r="N187" s="1">
        <f t="shared" si="1"/>
        <v>6621.0453024720009</v>
      </c>
      <c r="O187" s="14">
        <f t="shared" si="2"/>
        <v>6.799209695186379</v>
      </c>
      <c r="P187" s="14">
        <f t="shared" si="3"/>
        <v>2.0081348868816495</v>
      </c>
      <c r="Q187" s="2">
        <f t="shared" si="4"/>
        <v>2.4960550000652308E-4</v>
      </c>
      <c r="R187" s="31">
        <f t="shared" si="5"/>
        <v>0.57812806111369852</v>
      </c>
      <c r="S187" s="31">
        <f t="shared" si="6"/>
        <v>0.84717575827398517</v>
      </c>
      <c r="T187">
        <f t="shared" si="7"/>
        <v>1.3277275997087996</v>
      </c>
      <c r="U187">
        <f>$B$176*T187+$B$177</f>
        <v>8.8930596443754617E-2</v>
      </c>
      <c r="V187">
        <f t="shared" si="8"/>
        <v>0.46880883983969157</v>
      </c>
      <c r="W187">
        <f>($B$176*T187-$B$176)/U187</f>
        <v>0.53119116016030843</v>
      </c>
      <c r="X187">
        <f>(T187*$B$178)/U187</f>
        <v>0.6224504356426207</v>
      </c>
      <c r="Y187">
        <f>($B$177*(1-T187))/($B$172*U187)</f>
        <v>1.3944070457079944E-4</v>
      </c>
      <c r="Z187" s="14">
        <f>(1/(1-R187*Y187*$H$8))*(X187*$B$14+Y187*($B$9-$H$8*$B$2*R187-$B$171))</f>
        <v>10.846089550463157</v>
      </c>
      <c r="AA187" s="14">
        <f t="shared" si="9"/>
        <v>17.754720392157459</v>
      </c>
      <c r="AB187">
        <f t="shared" si="10"/>
        <v>1.2577067711647954E-4</v>
      </c>
      <c r="AC187" s="2">
        <f t="shared" si="11"/>
        <v>1.5103355351256167E-4</v>
      </c>
      <c r="AD187" s="14">
        <f t="shared" si="12"/>
        <v>12.001673081147734</v>
      </c>
      <c r="AE187" s="14">
        <f t="shared" si="13"/>
        <v>-4.4385299675792229</v>
      </c>
    </row>
    <row r="188" spans="1:31" x14ac:dyDescent="0.35">
      <c r="A188" t="s">
        <v>171</v>
      </c>
      <c r="B188" s="2">
        <f>B172*B184</f>
        <v>8.0891754285705039E-2</v>
      </c>
      <c r="C188" t="s">
        <v>172</v>
      </c>
      <c r="E188" t="s">
        <v>221</v>
      </c>
      <c r="F188" s="31">
        <f>((F175+F176)*F184)/F185</f>
        <v>0.77941543741052433</v>
      </c>
      <c r="K188">
        <v>0.6</v>
      </c>
      <c r="L188" s="29">
        <f>(1-K188)*$B$75</f>
        <v>134.48834082198266</v>
      </c>
      <c r="M188" s="29">
        <f t="shared" si="0"/>
        <v>201.73251123297399</v>
      </c>
      <c r="N188" s="1">
        <f t="shared" si="1"/>
        <v>5885.3736021973345</v>
      </c>
      <c r="O188" s="14">
        <f t="shared" si="2"/>
        <v>7.4173196674760487</v>
      </c>
      <c r="P188" s="14">
        <f t="shared" si="3"/>
        <v>1.8584429238067059</v>
      </c>
      <c r="Q188" s="2">
        <f t="shared" si="4"/>
        <v>2.2817866427026623E-4</v>
      </c>
      <c r="R188" s="31">
        <f t="shared" si="5"/>
        <v>0.53851269757757803</v>
      </c>
      <c r="S188" s="31">
        <f t="shared" si="6"/>
        <v>0.85764781161359527</v>
      </c>
      <c r="T188">
        <f t="shared" si="7"/>
        <v>1.3623876836779205</v>
      </c>
      <c r="U188">
        <f>$B$176*T188+$B$177</f>
        <v>9.3926552819298209E-2</v>
      </c>
      <c r="V188">
        <f t="shared" si="8"/>
        <v>0.44387288251978146</v>
      </c>
      <c r="W188">
        <f>($B$176*T188-$B$176)/U188</f>
        <v>0.55612711748021848</v>
      </c>
      <c r="X188">
        <f>(T188*$B$178)/U188</f>
        <v>0.60472694826356677</v>
      </c>
      <c r="Y188">
        <f>($B$177*(1-T188))/($B$172*U188)</f>
        <v>1.459865353726266E-4</v>
      </c>
      <c r="Z188" s="14">
        <f>(1/(1-R188*Y188*$H$8))*(X188*$B$14+Y188*($B$9-$H$8*$B$2*R188-$B$171))</f>
        <v>11.134402202987959</v>
      </c>
      <c r="AA188" s="14">
        <f t="shared" si="9"/>
        <v>18.558726865521812</v>
      </c>
      <c r="AB188">
        <f t="shared" si="10"/>
        <v>1.4149201175603948E-4</v>
      </c>
      <c r="AC188" s="2">
        <f t="shared" si="11"/>
        <v>1.6991274770163185E-4</v>
      </c>
      <c r="AD188" s="14">
        <f t="shared" si="12"/>
        <v>12.376244111040378</v>
      </c>
      <c r="AE188" s="14">
        <f t="shared" si="13"/>
        <v>-4.0639589376865786</v>
      </c>
    </row>
    <row r="189" spans="1:31" x14ac:dyDescent="0.35">
      <c r="A189" t="s">
        <v>173</v>
      </c>
      <c r="B189" s="3">
        <f>1/B188</f>
        <v>12.362199445793415</v>
      </c>
      <c r="C189" t="s">
        <v>174</v>
      </c>
      <c r="E189" t="s">
        <v>222</v>
      </c>
      <c r="K189">
        <v>0.65</v>
      </c>
      <c r="L189" s="29">
        <f>(1-K189)*$B$75</f>
        <v>117.67729821923481</v>
      </c>
      <c r="M189" s="29">
        <f t="shared" si="0"/>
        <v>218.54355383572184</v>
      </c>
      <c r="N189" s="1">
        <f t="shared" si="1"/>
        <v>5149.7019019226673</v>
      </c>
      <c r="O189" s="14">
        <f t="shared" si="2"/>
        <v>8.0354296397657201</v>
      </c>
      <c r="P189" s="14">
        <f t="shared" si="3"/>
        <v>1.7199094162496711</v>
      </c>
      <c r="Q189" s="2">
        <f t="shared" si="4"/>
        <v>2.0834904450032588E-4</v>
      </c>
      <c r="R189" s="31">
        <f t="shared" si="5"/>
        <v>0.49459064476644665</v>
      </c>
      <c r="S189" s="31">
        <f t="shared" si="6"/>
        <v>0.86925830912686353</v>
      </c>
      <c r="T189">
        <f t="shared" si="7"/>
        <v>1.39795256274282</v>
      </c>
      <c r="U189">
        <f>$B$176*T189+$B$177</f>
        <v>9.9052927714062433E-2</v>
      </c>
      <c r="V189">
        <f t="shared" si="8"/>
        <v>0.42090073163107034</v>
      </c>
      <c r="W189">
        <f>($B$176*T189-$B$176)/U189</f>
        <v>0.57909926836892966</v>
      </c>
      <c r="X189">
        <f>(T189*$B$178)/U189</f>
        <v>0.58839925644398272</v>
      </c>
      <c r="Y189">
        <f>($B$177*(1-T189))/($B$172*U189)</f>
        <v>1.5201685580277437E-4</v>
      </c>
      <c r="Z189" s="14">
        <f>(1/(1-R189*Y189*$H$8))*(X189*$B$14+Y189*($B$9-$H$8*$B$2*R189-$B$171))</f>
        <v>11.426270714847636</v>
      </c>
      <c r="AA189" s="14">
        <f t="shared" si="9"/>
        <v>19.409692381490302</v>
      </c>
      <c r="AB189">
        <f t="shared" si="10"/>
        <v>1.6170515629261657E-4</v>
      </c>
      <c r="AC189" s="2">
        <f t="shared" si="11"/>
        <v>1.9418599737329356E-4</v>
      </c>
      <c r="AD189" s="14">
        <f t="shared" si="12"/>
        <v>12.761630905293153</v>
      </c>
      <c r="AE189" s="14">
        <f t="shared" si="13"/>
        <v>-3.6785721434338043</v>
      </c>
    </row>
    <row r="190" spans="1:31" x14ac:dyDescent="0.35">
      <c r="F190" s="29">
        <f>B2</f>
        <v>27.222222222222221</v>
      </c>
      <c r="G190" t="s">
        <v>188</v>
      </c>
      <c r="K190">
        <v>0.7</v>
      </c>
      <c r="L190" s="29">
        <f>(1-K190)*$B$75</f>
        <v>100.86625561648701</v>
      </c>
      <c r="M190" s="29">
        <f t="shared" si="0"/>
        <v>235.35459643846963</v>
      </c>
      <c r="N190" s="1">
        <f t="shared" si="1"/>
        <v>4414.0302016480018</v>
      </c>
      <c r="O190" s="14">
        <f t="shared" si="2"/>
        <v>8.6535396120553898</v>
      </c>
      <c r="P190" s="14">
        <f t="shared" si="3"/>
        <v>1.5917025818824404</v>
      </c>
      <c r="Q190" s="2">
        <f t="shared" si="4"/>
        <v>1.8999757977354679E-4</v>
      </c>
      <c r="R190" s="31">
        <f t="shared" si="5"/>
        <v>0.44577422317724891</v>
      </c>
      <c r="S190" s="31">
        <f t="shared" si="6"/>
        <v>0.88216259991457435</v>
      </c>
      <c r="T190">
        <f t="shared" si="7"/>
        <v>1.4344458564125009</v>
      </c>
      <c r="U190">
        <f>$B$176*T190+$B$177</f>
        <v>0.10431312567942391</v>
      </c>
      <c r="V190">
        <f t="shared" si="8"/>
        <v>0.39967597053102372</v>
      </c>
      <c r="W190">
        <f>($B$176*T190-$B$176)/U190</f>
        <v>0.60032402946897634</v>
      </c>
      <c r="X190">
        <f>(T190*$B$178)/U190</f>
        <v>0.57331353983587174</v>
      </c>
      <c r="Y190">
        <f>($B$177*(1-T190))/($B$172*U190)</f>
        <v>1.5758847646235799E-4</v>
      </c>
      <c r="Z190" s="14">
        <f>(1/(1-R190*Y190*$H$8))*(X190*$B$14+Y190*($B$9-$H$8*$B$2*R190-$B$171))</f>
        <v>11.723767167142991</v>
      </c>
      <c r="AA190" s="14">
        <f t="shared" si="9"/>
        <v>20.313410459596771</v>
      </c>
      <c r="AB190">
        <f t="shared" si="10"/>
        <v>1.8865601567471927E-4</v>
      </c>
      <c r="AC190" s="2">
        <f t="shared" si="11"/>
        <v>2.2655033026884244E-4</v>
      </c>
      <c r="AD190" s="14">
        <f t="shared" si="12"/>
        <v>13.160528017543347</v>
      </c>
      <c r="AE190" s="14">
        <f t="shared" si="13"/>
        <v>-3.2796750311836096</v>
      </c>
    </row>
    <row r="191" spans="1:31" x14ac:dyDescent="0.35">
      <c r="A191" t="s">
        <v>175</v>
      </c>
      <c r="B191" s="18">
        <f>EXP(B189*(B176+B177))</f>
        <v>1.674304770844617</v>
      </c>
      <c r="E191" t="s">
        <v>225</v>
      </c>
      <c r="F191" s="14">
        <f>B14</f>
        <v>7.2222222222222223</v>
      </c>
      <c r="G191" t="s">
        <v>188</v>
      </c>
      <c r="K191">
        <v>0.75</v>
      </c>
      <c r="L191" s="29">
        <f>(1-K191)*$B$75</f>
        <v>84.055213013739163</v>
      </c>
      <c r="M191" s="29">
        <f t="shared" si="0"/>
        <v>252.1656390412175</v>
      </c>
      <c r="N191" s="1">
        <f t="shared" si="1"/>
        <v>3678.3585013733341</v>
      </c>
      <c r="O191" s="14">
        <f t="shared" si="2"/>
        <v>9.2716495843450613</v>
      </c>
      <c r="P191" s="14">
        <f t="shared" si="3"/>
        <v>1.4730526417464809</v>
      </c>
      <c r="Q191" s="2">
        <f t="shared" si="4"/>
        <v>1.7301408429933014E-4</v>
      </c>
      <c r="R191" s="31">
        <f t="shared" si="5"/>
        <v>0.39137003400107401</v>
      </c>
      <c r="S191" s="31">
        <f t="shared" si="6"/>
        <v>0.89654397926078866</v>
      </c>
      <c r="T191">
        <f t="shared" si="7"/>
        <v>1.4718918007788899</v>
      </c>
      <c r="U191">
        <f>$B$176*T191+$B$177</f>
        <v>0.10971064014194462</v>
      </c>
      <c r="V191">
        <f t="shared" si="8"/>
        <v>0.38001282000640618</v>
      </c>
      <c r="W191">
        <f>($B$176*T191-$B$176)/U191</f>
        <v>0.61998717999359376</v>
      </c>
      <c r="X191">
        <f>(T191*$B$178)/U191</f>
        <v>0.55933775395829333</v>
      </c>
      <c r="Y191">
        <f>($B$177*(1-T191))/($B$172*U191)</f>
        <v>1.6275016545282781E-4</v>
      </c>
      <c r="Z191" s="14">
        <f>(1/(1-R191*Y191*$H$8))*(X191*$B$14+Y191*($B$9-$H$8*$B$2*R191-$B$171))</f>
        <v>12.028976797147994</v>
      </c>
      <c r="AA191" s="14">
        <f t="shared" si="9"/>
        <v>21.27604124362426</v>
      </c>
      <c r="AB191">
        <f t="shared" si="10"/>
        <v>2.2638721880966316E-4</v>
      </c>
      <c r="AC191" s="2">
        <f t="shared" si="11"/>
        <v>2.7186039632261098E-4</v>
      </c>
      <c r="AD191" s="14">
        <f t="shared" si="12"/>
        <v>13.575702281022053</v>
      </c>
      <c r="AE191" s="14">
        <f t="shared" si="13"/>
        <v>-2.8645007677049037</v>
      </c>
    </row>
    <row r="192" spans="1:31" x14ac:dyDescent="0.35">
      <c r="A192" t="s">
        <v>176</v>
      </c>
      <c r="B192" s="18">
        <f>B176*B191+B177</f>
        <v>0.13888674857819414</v>
      </c>
      <c r="C192" t="s">
        <v>165</v>
      </c>
      <c r="E192" t="s">
        <v>226</v>
      </c>
      <c r="K192">
        <v>0.8</v>
      </c>
      <c r="L192" s="29">
        <f>(1-K192)*$B$75</f>
        <v>67.244170410991316</v>
      </c>
      <c r="M192" s="29">
        <f t="shared" si="0"/>
        <v>268.97668164396532</v>
      </c>
      <c r="N192" s="1">
        <f t="shared" si="1"/>
        <v>2942.6868010986668</v>
      </c>
      <c r="O192" s="14">
        <f t="shared" si="2"/>
        <v>9.8897595566347327</v>
      </c>
      <c r="P192" s="14">
        <f t="shared" si="3"/>
        <v>1.363247198349113</v>
      </c>
      <c r="Q192" s="2">
        <f t="shared" si="4"/>
        <v>1.572965858425538E-4</v>
      </c>
      <c r="R192" s="31">
        <f t="shared" si="5"/>
        <v>0.33055408875919057</v>
      </c>
      <c r="S192" s="31">
        <f t="shared" si="6"/>
        <v>0.91262026294530241</v>
      </c>
      <c r="T192">
        <f t="shared" si="7"/>
        <v>1.5103152646126203</v>
      </c>
      <c r="U192">
        <f>$B$176*T192+$B$177</f>
        <v>0.11524905572344221</v>
      </c>
      <c r="V192">
        <f t="shared" si="8"/>
        <v>0.36175090097999096</v>
      </c>
      <c r="W192">
        <f>($B$176*T192-$B$176)/U192</f>
        <v>0.63824909902000904</v>
      </c>
      <c r="X192">
        <f>(T192*$B$178)/U192</f>
        <v>0.54635790773744886</v>
      </c>
      <c r="Y192">
        <f>($B$177*(1-T192))/($B$172*U192)</f>
        <v>1.6754402319528298E-4</v>
      </c>
      <c r="Z192" s="14">
        <f>(1/(1-R192*Y192*$H$8))*(X192*$B$14+Y192*($B$9-$H$8*$B$2*R192-$B$171))</f>
        <v>12.34402442807316</v>
      </c>
      <c r="AA192" s="14">
        <f t="shared" si="9"/>
        <v>22.304173107998281</v>
      </c>
      <c r="AB192">
        <f t="shared" si="10"/>
        <v>2.8298402351207902E-4</v>
      </c>
      <c r="AC192" s="2">
        <f t="shared" si="11"/>
        <v>3.398254954032638E-4</v>
      </c>
      <c r="AD192" s="14">
        <f t="shared" si="12"/>
        <v>14.010025122194557</v>
      </c>
      <c r="AE192" s="14">
        <f t="shared" si="13"/>
        <v>-2.4301779265323997</v>
      </c>
    </row>
    <row r="193" spans="1:31" x14ac:dyDescent="0.35">
      <c r="F193" s="14">
        <f>F190-F187*(F190-F191)</f>
        <v>10.532968731915719</v>
      </c>
      <c r="G193" t="s">
        <v>188</v>
      </c>
      <c r="K193">
        <v>0.85</v>
      </c>
      <c r="L193" s="29">
        <f>(1-K193)*$B$75</f>
        <v>50.433127808243505</v>
      </c>
      <c r="M193" s="29">
        <f t="shared" si="0"/>
        <v>285.78772424671314</v>
      </c>
      <c r="N193" s="1">
        <f t="shared" si="1"/>
        <v>2207.0151008240009</v>
      </c>
      <c r="O193" s="14">
        <f t="shared" si="2"/>
        <v>10.507869528924402</v>
      </c>
      <c r="P193" s="14">
        <f t="shared" si="3"/>
        <v>1.2616269582893511</v>
      </c>
      <c r="Q193" s="2">
        <f t="shared" si="4"/>
        <v>1.4275071346228857E-4</v>
      </c>
      <c r="R193" s="31">
        <f t="shared" si="5"/>
        <v>0.26233954499810697</v>
      </c>
      <c r="S193" s="31">
        <f t="shared" si="6"/>
        <v>0.93065231609437693</v>
      </c>
      <c r="T193">
        <f t="shared" si="7"/>
        <v>1.549741765878994</v>
      </c>
      <c r="U193">
        <f>$B$176*T193+$B$177</f>
        <v>0.12093205062162546</v>
      </c>
      <c r="V193">
        <f t="shared" si="8"/>
        <v>0.34475103606316426</v>
      </c>
      <c r="W193">
        <f>($B$176*T193-$B$176)/U193</f>
        <v>0.65524896393683574</v>
      </c>
      <c r="X193">
        <f>(T193*$B$178)/U193</f>
        <v>0.53427507941714092</v>
      </c>
      <c r="Y193">
        <f>($B$177*(1-T193))/($B$172*U193)</f>
        <v>1.7200658454682232E-4</v>
      </c>
      <c r="Z193" s="14">
        <f>(1/(1-R193*Y193*$H$8))*(X193*$B$14+Y193*($B$9-$H$8*$B$2*R193-$B$171))</f>
        <v>12.671099850285577</v>
      </c>
      <c r="AA193" s="14">
        <f t="shared" si="9"/>
        <v>23.404887399956586</v>
      </c>
      <c r="AB193">
        <f t="shared" si="10"/>
        <v>3.7731203134943854E-4</v>
      </c>
      <c r="AC193" s="2">
        <f t="shared" si="11"/>
        <v>4.5310066053768489E-4</v>
      </c>
      <c r="AD193" s="14">
        <f t="shared" si="12"/>
        <v>14.466504525754532</v>
      </c>
      <c r="AE193" s="14">
        <f t="shared" si="13"/>
        <v>-1.9736985229724251</v>
      </c>
    </row>
    <row r="194" spans="1:31" x14ac:dyDescent="0.35">
      <c r="A194" t="s">
        <v>177</v>
      </c>
      <c r="B194">
        <f>(B176+B177)/B192</f>
        <v>0.30018306405650969</v>
      </c>
      <c r="C194" t="s">
        <v>181</v>
      </c>
      <c r="E194" t="s">
        <v>223</v>
      </c>
      <c r="F194" s="14">
        <f>F193*9/5+32</f>
        <v>50.959343717448291</v>
      </c>
      <c r="G194" t="s">
        <v>21</v>
      </c>
      <c r="K194">
        <v>0.9</v>
      </c>
      <c r="L194" s="29">
        <f>(1-K194)*$B$75</f>
        <v>33.622085205495658</v>
      </c>
      <c r="M194" s="29">
        <f t="shared" si="0"/>
        <v>302.59876684946101</v>
      </c>
      <c r="N194" s="1">
        <f t="shared" si="1"/>
        <v>1471.3434005493334</v>
      </c>
      <c r="O194" s="14">
        <f t="shared" si="2"/>
        <v>11.125979501214074</v>
      </c>
      <c r="P194" s="14">
        <f t="shared" si="3"/>
        <v>1.167581773731122</v>
      </c>
      <c r="Q194" s="2">
        <f t="shared" si="4"/>
        <v>1.2928913089017493E-4</v>
      </c>
      <c r="R194" s="31">
        <f t="shared" si="5"/>
        <v>0.18553434832905363</v>
      </c>
      <c r="S194" s="31">
        <f t="shared" si="6"/>
        <v>0.950955250221038</v>
      </c>
      <c r="T194">
        <f t="shared" si="7"/>
        <v>1.590197488685088</v>
      </c>
      <c r="U194">
        <f>$B$176*T194+$B$177</f>
        <v>0.12676339905287556</v>
      </c>
      <c r="V194">
        <f t="shared" si="8"/>
        <v>0.32889185724388836</v>
      </c>
      <c r="W194">
        <f>($B$176*T194-$B$176)/U194</f>
        <v>0.67110814275611164</v>
      </c>
      <c r="X194">
        <f>(T194*$B$178)/U194</f>
        <v>0.52300300543820577</v>
      </c>
      <c r="Y194">
        <f>($B$177*(1-T194))/($B$172*U194)</f>
        <v>1.7616970930177259E-4</v>
      </c>
      <c r="Z194" s="14">
        <f>(1/(1-R194*Y194*$H$8))*(X194*$B$14+Y194*($B$9-$H$8*$B$2*R194-$B$171))</f>
        <v>13.012482791243494</v>
      </c>
      <c r="AA194" s="14">
        <f t="shared" si="9"/>
        <v>24.585827476969925</v>
      </c>
      <c r="AB194">
        <f t="shared" si="10"/>
        <v>5.6596804702415803E-4</v>
      </c>
      <c r="AC194" s="2">
        <f t="shared" si="11"/>
        <v>6.796509908065276E-4</v>
      </c>
      <c r="AD194" s="14">
        <f t="shared" si="12"/>
        <v>14.948317375579375</v>
      </c>
      <c r="AE194" s="14">
        <f t="shared" si="13"/>
        <v>-1.491885673147582</v>
      </c>
    </row>
    <row r="195" spans="1:31" x14ac:dyDescent="0.35">
      <c r="A195" t="s">
        <v>178</v>
      </c>
      <c r="B195">
        <f>(B176*B191-B176)/B192</f>
        <v>0.69981693594349037</v>
      </c>
      <c r="C195" t="s">
        <v>181</v>
      </c>
      <c r="F195" s="14">
        <f>F190-F188*(F190-F191)</f>
        <v>11.633913474011734</v>
      </c>
      <c r="G195" t="s">
        <v>188</v>
      </c>
      <c r="K195">
        <v>0.95</v>
      </c>
      <c r="L195" s="29">
        <f>(1-K195)*$B$75</f>
        <v>16.811042602747847</v>
      </c>
      <c r="M195" s="29">
        <f t="shared" si="0"/>
        <v>319.40980945220878</v>
      </c>
      <c r="N195" s="1">
        <f t="shared" si="1"/>
        <v>735.6717002746675</v>
      </c>
      <c r="O195" s="14">
        <f t="shared" si="2"/>
        <v>11.744089473503744</v>
      </c>
      <c r="P195" s="14">
        <f t="shared" si="3"/>
        <v>1.0805469789560851</v>
      </c>
      <c r="Q195" s="2">
        <f t="shared" si="4"/>
        <v>1.1683101214635243E-4</v>
      </c>
      <c r="R195" s="31">
        <f t="shared" si="5"/>
        <v>9.8684892736125907E-2</v>
      </c>
      <c r="S195" s="31">
        <f t="shared" si="6"/>
        <v>0.97391331624145894</v>
      </c>
      <c r="T195">
        <f t="shared" si="7"/>
        <v>1.6317093006692618</v>
      </c>
      <c r="U195">
        <f>$B$176*T195+$B$177</f>
        <v>0.13274697375879571</v>
      </c>
      <c r="V195">
        <f t="shared" si="8"/>
        <v>0.31406704472828678</v>
      </c>
      <c r="W195">
        <f>($B$176*T195-$B$176)/U195</f>
        <v>0.68593295527171327</v>
      </c>
      <c r="X195">
        <f>(T195*$B$178)/U195</f>
        <v>0.51246611791685459</v>
      </c>
      <c r="Y195">
        <f>($B$177*(1-T195))/($B$172*U195)</f>
        <v>1.800613070114966E-4</v>
      </c>
      <c r="Z195" s="14">
        <f>(1/(1-R195*Y195*$H$8))*(X195*$B$14+Y195*($B$9-$H$8*$B$2*R195-$B$171))</f>
        <v>13.370568042709841</v>
      </c>
      <c r="AA195" s="14">
        <f t="shared" si="9"/>
        <v>25.855273215299132</v>
      </c>
      <c r="AB195">
        <f t="shared" si="10"/>
        <v>1.1319360940483148E-3</v>
      </c>
      <c r="AC195" s="2">
        <f t="shared" si="11"/>
        <v>1.3593019816130537E-3</v>
      </c>
      <c r="AD195" s="14">
        <f t="shared" si="12"/>
        <v>15.458842841795583</v>
      </c>
      <c r="AE195" s="14">
        <f t="shared" si="13"/>
        <v>-0.98136020693137382</v>
      </c>
    </row>
    <row r="196" spans="1:31" x14ac:dyDescent="0.35">
      <c r="A196" t="s">
        <v>179</v>
      </c>
      <c r="B196">
        <f>(B191*(B176+B177))/B192</f>
        <v>0.50259793627656935</v>
      </c>
      <c r="C196" t="s">
        <v>181</v>
      </c>
      <c r="E196" t="s">
        <v>227</v>
      </c>
      <c r="F196" s="14">
        <f>F195*9/5+32</f>
        <v>52.941044253221122</v>
      </c>
      <c r="G196" t="s">
        <v>21</v>
      </c>
      <c r="K196">
        <v>1</v>
      </c>
      <c r="L196" s="29">
        <f>(1-K196)*$B$75</f>
        <v>0</v>
      </c>
      <c r="M196" s="29">
        <f t="shared" si="0"/>
        <v>336.22085205495665</v>
      </c>
      <c r="N196" s="1">
        <f t="shared" si="1"/>
        <v>0</v>
      </c>
      <c r="O196" s="14">
        <f t="shared" si="2"/>
        <v>12.362199445793415</v>
      </c>
      <c r="P196" s="14">
        <f t="shared" si="3"/>
        <v>1</v>
      </c>
      <c r="Q196" s="2">
        <f t="shared" si="4"/>
        <v>1.0530155624443662E-4</v>
      </c>
      <c r="R196" s="31">
        <f t="shared" si="5"/>
        <v>0</v>
      </c>
      <c r="S196" s="31">
        <f t="shared" si="6"/>
        <v>1</v>
      </c>
      <c r="T196">
        <f t="shared" si="7"/>
        <v>1.674304770844617</v>
      </c>
      <c r="U196">
        <f>$B$176*T196+$B$177</f>
        <v>0.13888674857819414</v>
      </c>
      <c r="V196">
        <f t="shared" si="8"/>
        <v>0.30018306405650969</v>
      </c>
      <c r="W196">
        <f>($B$176*T196-$B$176)/U196</f>
        <v>0.69981693594349037</v>
      </c>
      <c r="X196">
        <f>(T196*$B$178)/U196</f>
        <v>0.50259793627656935</v>
      </c>
      <c r="Y196">
        <f>($B$177*(1-T196))/($B$172*U196)</f>
        <v>1.8370593100436517E-4</v>
      </c>
      <c r="Z196" s="14">
        <f>(1/(1-R196*Y196*$H$8))*(X196*$B$14+Y196*($B$9-$H$8*$B$2*R196-$B$171))</f>
        <v>13.747891271983221</v>
      </c>
      <c r="AA196" s="14">
        <f t="shared" si="9"/>
        <v>27.222222222222221</v>
      </c>
      <c r="AB196" t="e">
        <f t="shared" si="10"/>
        <v>#DIV/0!</v>
      </c>
      <c r="AC196" s="2" t="e">
        <f t="shared" si="11"/>
        <v>#DIV/0!</v>
      </c>
      <c r="AD196" s="14" t="e">
        <f t="shared" si="12"/>
        <v>#DIV/0!</v>
      </c>
      <c r="AE196" s="14" t="e">
        <f t="shared" si="13"/>
        <v>#DIV/0!</v>
      </c>
    </row>
    <row r="197" spans="1:31" x14ac:dyDescent="0.35">
      <c r="A197" t="s">
        <v>180</v>
      </c>
      <c r="B197">
        <f>(B177*(1-B191))/(B172*B192)</f>
        <v>1.8370593100436517E-4</v>
      </c>
      <c r="C197" t="s">
        <v>182</v>
      </c>
    </row>
    <row r="199" spans="1:31" x14ac:dyDescent="0.35">
      <c r="A199" t="s">
        <v>192</v>
      </c>
      <c r="B199" s="18">
        <f>B170/(H8*B180/B172+B179)</f>
        <v>0.6142524929037152</v>
      </c>
    </row>
    <row r="200" spans="1:31" x14ac:dyDescent="0.35">
      <c r="A200" t="s">
        <v>193</v>
      </c>
      <c r="B200">
        <f>1/(B199+1)</f>
        <v>0.61948177524644943</v>
      </c>
    </row>
    <row r="201" spans="1:31" x14ac:dyDescent="0.35">
      <c r="A201" t="s">
        <v>194</v>
      </c>
      <c r="B201">
        <f>B199/B172</f>
        <v>2.2686240028021361E-4</v>
      </c>
      <c r="C201" t="s">
        <v>182</v>
      </c>
    </row>
    <row r="203" spans="1:31" x14ac:dyDescent="0.35">
      <c r="A203" t="s">
        <v>195</v>
      </c>
      <c r="B203" s="1">
        <f>B194*B9+B195*B17</f>
        <v>51194.468327163042</v>
      </c>
      <c r="C203" t="s">
        <v>166</v>
      </c>
    </row>
    <row r="204" spans="1:31" x14ac:dyDescent="0.35">
      <c r="A204" t="s">
        <v>198</v>
      </c>
      <c r="B204" s="14">
        <f>B196*B14+B197*(B9-B171)</f>
        <v>13.747891271983221</v>
      </c>
      <c r="C204" t="s">
        <v>188</v>
      </c>
    </row>
    <row r="205" spans="1:31" x14ac:dyDescent="0.35">
      <c r="B205" s="14">
        <f>B204*9/5+32</f>
        <v>56.746204289569796</v>
      </c>
      <c r="C205" t="s">
        <v>21</v>
      </c>
    </row>
    <row r="207" spans="1:31" x14ac:dyDescent="0.35">
      <c r="A207" t="s">
        <v>199</v>
      </c>
      <c r="B207" s="14">
        <f>B200*(B204+B201*(B9-B171))</f>
        <v>16.256966165700756</v>
      </c>
      <c r="C207" t="s">
        <v>188</v>
      </c>
    </row>
    <row r="208" spans="1:31" x14ac:dyDescent="0.35">
      <c r="B208" s="14">
        <f>B207*9/5+32</f>
        <v>61.262539098261364</v>
      </c>
      <c r="C208" t="s">
        <v>21</v>
      </c>
    </row>
    <row r="209" spans="1:3" x14ac:dyDescent="0.35">
      <c r="A209" t="s">
        <v>200</v>
      </c>
      <c r="B209" s="14">
        <f>B200*(B14+B201*(B203-B171))</f>
        <v>8.8681796063455725</v>
      </c>
      <c r="C209" t="s">
        <v>188</v>
      </c>
    </row>
    <row r="210" spans="1:3" x14ac:dyDescent="0.35">
      <c r="B210" s="14">
        <f>B209*9/5+32</f>
        <v>47.96272329142203</v>
      </c>
      <c r="C210" t="s">
        <v>21</v>
      </c>
    </row>
    <row r="211" spans="1:3" x14ac:dyDescent="0.35">
      <c r="A211" t="s">
        <v>161</v>
      </c>
      <c r="B211">
        <f>(B75*B121*B166)/(H8*B32)</f>
        <v>2.8764460886014538</v>
      </c>
    </row>
    <row r="212" spans="1:3" x14ac:dyDescent="0.35">
      <c r="A212" t="s">
        <v>249</v>
      </c>
      <c r="B212" s="14">
        <f>B209+(B2-B207)*EXP(-B211)</f>
        <v>9.4859030926379972</v>
      </c>
      <c r="C212" t="s">
        <v>188</v>
      </c>
    </row>
    <row r="213" spans="1:3" x14ac:dyDescent="0.35">
      <c r="B213" s="14">
        <f>B212*9/5+32</f>
        <v>49.074625566748395</v>
      </c>
      <c r="C213" t="s">
        <v>21</v>
      </c>
    </row>
    <row r="216" spans="1:3" x14ac:dyDescent="0.35">
      <c r="A216" t="s">
        <v>247</v>
      </c>
      <c r="B216" s="1">
        <f>B32*(B9-B203)/1000</f>
        <v>165.18809927237359</v>
      </c>
      <c r="C216" t="s">
        <v>248</v>
      </c>
    </row>
    <row r="217" spans="1:3" x14ac:dyDescent="0.35">
      <c r="B217" s="1">
        <f>B216* 3412.1416</f>
        <v>563645.18535219564</v>
      </c>
      <c r="C217" t="s">
        <v>16</v>
      </c>
    </row>
    <row r="218" spans="1:3" x14ac:dyDescent="0.35">
      <c r="A218" t="s">
        <v>246</v>
      </c>
      <c r="B218" s="1">
        <f>B32*H8*(B2-B212)/1000</f>
        <v>123.90930984450385</v>
      </c>
      <c r="C218" t="s">
        <v>248</v>
      </c>
    </row>
    <row r="219" spans="1:3" x14ac:dyDescent="0.35">
      <c r="B219" s="1">
        <f>B218* 3412.1416</f>
        <v>422796.1107477211</v>
      </c>
      <c r="C219" t="s">
        <v>16</v>
      </c>
    </row>
    <row r="222" spans="1:3" x14ac:dyDescent="0.35">
      <c r="A222" t="s">
        <v>203</v>
      </c>
      <c r="B222" t="str">
        <f>IF(B11&gt;B207,"YES","NO")</f>
        <v>YES</v>
      </c>
    </row>
    <row r="224" spans="1:3" x14ac:dyDescent="0.35">
      <c r="A224" t="s">
        <v>204</v>
      </c>
      <c r="B224" t="str">
        <f>IF(B209&gt;B10,"YES","NO")</f>
        <v>NO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B86-9F80-40E5-8A82-23843A0B2494}">
  <dimension ref="A1:J15"/>
  <sheetViews>
    <sheetView workbookViewId="0">
      <selection activeCell="H12" sqref="H12"/>
    </sheetView>
  </sheetViews>
  <sheetFormatPr defaultRowHeight="14.5" x14ac:dyDescent="0.35"/>
  <cols>
    <col min="1" max="2" width="14.6328125" bestFit="1" customWidth="1"/>
    <col min="3" max="3" width="27.7265625" bestFit="1" customWidth="1"/>
    <col min="4" max="4" width="27.26953125" bestFit="1" customWidth="1"/>
    <col min="5" max="5" width="24.7265625" bestFit="1" customWidth="1"/>
    <col min="8" max="8" width="19.1796875" customWidth="1"/>
    <col min="9" max="9" width="13.26953125" style="1" customWidth="1"/>
  </cols>
  <sheetData>
    <row r="1" spans="1:10" x14ac:dyDescent="0.35">
      <c r="H1" t="s">
        <v>141</v>
      </c>
      <c r="I1" s="1">
        <f>AVERAGE(A:A)</f>
        <v>14</v>
      </c>
    </row>
    <row r="2" spans="1:10" x14ac:dyDescent="0.35">
      <c r="A2" t="s">
        <v>128</v>
      </c>
      <c r="B2" t="s">
        <v>129</v>
      </c>
      <c r="C2" t="s">
        <v>130</v>
      </c>
      <c r="D2" t="s">
        <v>131</v>
      </c>
      <c r="E2" t="s">
        <v>132</v>
      </c>
      <c r="H2" t="s">
        <v>142</v>
      </c>
      <c r="I2" s="1">
        <f>AVERAGE(E:E)</f>
        <v>57834.070499900794</v>
      </c>
    </row>
    <row r="3" spans="1:10" x14ac:dyDescent="0.35">
      <c r="A3">
        <v>8</v>
      </c>
      <c r="B3">
        <f>A3*9/5+32</f>
        <v>46.4</v>
      </c>
      <c r="C3">
        <f>IF((B3 + 459.67) &gt; 491.67, EXP(-10440.397/(B3 + 459.67) + -11.29465 + -0.027022355*(B3 + 459.67) + 0.00001289036*(B3 + 459.67)*(B3 + 459.67) + -0.0000000024780681*(B3 + 459.67)*(B3 + 459.67)*(B3 + 459.67) + 6.5459673*LN((B3 + 459.67))), EXP(-10214.165/(B3 + 459.67) + -4.8932428 + -0.005376579*(B3 + 459.67) + 0.00000019202377*(B3 + 459.67)*(B3 + 459.67) + 0.00000000035575832*(B3 + 459.67)*(B3 + 459.67)*(B3 + 459.67) + -9.0344688E-14*(B3 + 459.67)*(B3 + 459.67)*(B3 + 459.67)*(B3 + 459.67) + 4.1635019*LN((B3 + 459.67))))</f>
        <v>0.15560229615120816</v>
      </c>
      <c r="D3">
        <f>0.24*(B3) + ((0.621945*((1*C3))/((14.696)-((1*C3)))))*(1061 + 0.444*(B3))</f>
        <v>18.334781929622004</v>
      </c>
      <c r="E3">
        <f>D3*2326</f>
        <v>42646.702768300784</v>
      </c>
      <c r="F3">
        <f>(A3-$I$1)*(E3-$I$2)</f>
        <v>91124.206389600062</v>
      </c>
      <c r="G3">
        <f>(A3-$I$1)^2</f>
        <v>36</v>
      </c>
      <c r="H3" t="s">
        <v>139</v>
      </c>
      <c r="I3" s="1">
        <f>I2-I4*I1</f>
        <v>19927.679268783926</v>
      </c>
      <c r="J3" t="s">
        <v>166</v>
      </c>
    </row>
    <row r="4" spans="1:10" x14ac:dyDescent="0.35">
      <c r="A4">
        <v>9</v>
      </c>
      <c r="B4">
        <f t="shared" ref="B4:B15" si="0">A4*9/5+32</f>
        <v>48.2</v>
      </c>
      <c r="C4">
        <f t="shared" ref="C4:C15" si="1">IF((B4 + 459.67) &gt; 491.67, EXP(-10440.397/(B4 + 459.67) + -11.29465 + -0.027022355*(B4 + 459.67) + 0.00001289036*(B4 + 459.67)*(B4 + 459.67) + -0.0000000024780681*(B4 + 459.67)*(B4 + 459.67)*(B4 + 459.67) + 6.5459673*LN((B4 + 459.67))), EXP(-10214.165/(B4 + 459.67) + -4.8932428 + -0.005376579*(B4 + 459.67) + 0.00000019202377*(B4 + 459.67)*(B4 + 459.67) + 0.00000000035575832*(B4 + 459.67)*(B4 + 459.67)*(B4 + 459.67) + -9.0344688E-14*(B4 + 459.67)*(B4 + 459.67)*(B4 + 459.67)*(B4 + 459.67) + 4.1635019*LN((B4 + 459.67))))</f>
        <v>0.16651905953457261</v>
      </c>
      <c r="D4">
        <f t="shared" ref="D4:D15" si="2">0.24*(B4) + ((0.621945*((1*C4))/((14.696)-((1*C4)))))*(1061 + 0.444*(B4))</f>
        <v>19.283319851015388</v>
      </c>
      <c r="E4">
        <f t="shared" ref="E4:E15" si="3">D4*2326</f>
        <v>44853.001973461796</v>
      </c>
      <c r="F4">
        <f t="shared" ref="F4:F15" si="4">(A4-$I$1)*(E4-$I$2)</f>
        <v>64905.342632194988</v>
      </c>
      <c r="G4">
        <f t="shared" ref="G4:G15" si="5">(A4-$I$1)^2</f>
        <v>25</v>
      </c>
      <c r="H4" t="s">
        <v>140</v>
      </c>
      <c r="I4" s="1">
        <f>SUM(F:F)/SUM(G:G)</f>
        <v>2707.5993736512046</v>
      </c>
      <c r="J4" t="s">
        <v>102</v>
      </c>
    </row>
    <row r="5" spans="1:10" x14ac:dyDescent="0.35">
      <c r="A5">
        <v>10</v>
      </c>
      <c r="B5">
        <f t="shared" si="0"/>
        <v>50</v>
      </c>
      <c r="C5">
        <f t="shared" si="1"/>
        <v>0.17810558582410912</v>
      </c>
      <c r="D5">
        <f t="shared" si="2"/>
        <v>20.264841680876621</v>
      </c>
      <c r="E5">
        <f t="shared" si="3"/>
        <v>47136.021749719024</v>
      </c>
      <c r="F5">
        <f t="shared" si="4"/>
        <v>42792.195000727079</v>
      </c>
      <c r="G5">
        <f t="shared" si="5"/>
        <v>16</v>
      </c>
    </row>
    <row r="6" spans="1:10" x14ac:dyDescent="0.35">
      <c r="A6">
        <v>11</v>
      </c>
      <c r="B6">
        <f t="shared" si="0"/>
        <v>51.8</v>
      </c>
      <c r="C6">
        <f t="shared" si="1"/>
        <v>0.19039667332907387</v>
      </c>
      <c r="D6">
        <f t="shared" si="2"/>
        <v>21.281210000117241</v>
      </c>
      <c r="E6">
        <f t="shared" si="3"/>
        <v>49500.094460272703</v>
      </c>
      <c r="F6">
        <f t="shared" si="4"/>
        <v>25001.928118884272</v>
      </c>
      <c r="G6">
        <f t="shared" si="5"/>
        <v>9</v>
      </c>
    </row>
    <row r="7" spans="1:10" x14ac:dyDescent="0.35">
      <c r="A7">
        <v>12</v>
      </c>
      <c r="B7">
        <f t="shared" si="0"/>
        <v>53.6</v>
      </c>
      <c r="C7">
        <f t="shared" si="1"/>
        <v>0.20342856852969152</v>
      </c>
      <c r="D7">
        <f t="shared" si="2"/>
        <v>22.334382283943725</v>
      </c>
      <c r="E7">
        <f t="shared" si="3"/>
        <v>51949.773192453104</v>
      </c>
      <c r="F7">
        <f t="shared" si="4"/>
        <v>11768.594614895381</v>
      </c>
      <c r="G7">
        <f t="shared" si="5"/>
        <v>4</v>
      </c>
    </row>
    <row r="8" spans="1:10" x14ac:dyDescent="0.35">
      <c r="A8">
        <v>13</v>
      </c>
      <c r="B8">
        <f t="shared" si="0"/>
        <v>55.4</v>
      </c>
      <c r="C8">
        <f t="shared" si="1"/>
        <v>0.21723900884164749</v>
      </c>
      <c r="D8">
        <f t="shared" si="2"/>
        <v>23.426415745668784</v>
      </c>
      <c r="E8">
        <f t="shared" si="3"/>
        <v>54489.843024425594</v>
      </c>
      <c r="F8">
        <f t="shared" si="4"/>
        <v>3344.2274754751998</v>
      </c>
      <c r="G8">
        <f t="shared" si="5"/>
        <v>1</v>
      </c>
    </row>
    <row r="9" spans="1:10" x14ac:dyDescent="0.35">
      <c r="A9">
        <v>14</v>
      </c>
      <c r="B9">
        <f t="shared" si="0"/>
        <v>57.2</v>
      </c>
      <c r="C9">
        <f t="shared" si="1"/>
        <v>0.23186726594281926</v>
      </c>
      <c r="D9">
        <f t="shared" si="2"/>
        <v>24.559472488665143</v>
      </c>
      <c r="E9">
        <f t="shared" si="3"/>
        <v>57125.333008635127</v>
      </c>
      <c r="F9">
        <f t="shared" si="4"/>
        <v>0</v>
      </c>
      <c r="G9">
        <f t="shared" si="5"/>
        <v>0</v>
      </c>
    </row>
    <row r="10" spans="1:10" x14ac:dyDescent="0.35">
      <c r="A10">
        <v>15</v>
      </c>
      <c r="B10">
        <f t="shared" si="0"/>
        <v>59</v>
      </c>
      <c r="C10">
        <f t="shared" si="1"/>
        <v>0.24735418964674571</v>
      </c>
      <c r="D10">
        <f t="shared" si="2"/>
        <v>25.735824992971615</v>
      </c>
      <c r="E10">
        <f t="shared" si="3"/>
        <v>59861.528933651978</v>
      </c>
      <c r="F10">
        <f t="shared" si="4"/>
        <v>2027.4584337511842</v>
      </c>
      <c r="G10">
        <f t="shared" si="5"/>
        <v>1</v>
      </c>
    </row>
    <row r="11" spans="1:10" x14ac:dyDescent="0.35">
      <c r="A11">
        <v>16</v>
      </c>
      <c r="B11">
        <f t="shared" si="0"/>
        <v>60.8</v>
      </c>
      <c r="C11">
        <f t="shared" si="1"/>
        <v>0.26374225230658427</v>
      </c>
      <c r="D11">
        <f t="shared" si="2"/>
        <v>26.957861965696459</v>
      </c>
      <c r="E11">
        <f t="shared" si="3"/>
        <v>62703.986932209962</v>
      </c>
      <c r="F11">
        <f t="shared" si="4"/>
        <v>9739.8328646183363</v>
      </c>
      <c r="G11">
        <f t="shared" si="5"/>
        <v>4</v>
      </c>
    </row>
    <row r="12" spans="1:10" x14ac:dyDescent="0.35">
      <c r="A12">
        <v>17</v>
      </c>
      <c r="B12">
        <f t="shared" si="0"/>
        <v>62.6</v>
      </c>
      <c r="C12">
        <f t="shared" si="1"/>
        <v>0.28107559373281082</v>
      </c>
      <c r="D12">
        <f t="shared" si="2"/>
        <v>28.228094587292073</v>
      </c>
      <c r="E12">
        <f t="shared" si="3"/>
        <v>65658.548010041355</v>
      </c>
      <c r="F12">
        <f t="shared" si="4"/>
        <v>23473.432530421684</v>
      </c>
      <c r="G12">
        <f t="shared" si="5"/>
        <v>9</v>
      </c>
    </row>
    <row r="13" spans="1:10" x14ac:dyDescent="0.35">
      <c r="A13">
        <v>18</v>
      </c>
      <c r="B13">
        <f t="shared" si="0"/>
        <v>64.400000000000006</v>
      </c>
      <c r="C13">
        <f t="shared" si="1"/>
        <v>0.29940006660727048</v>
      </c>
      <c r="D13">
        <f t="shared" si="2"/>
        <v>29.549163189012997</v>
      </c>
      <c r="E13">
        <f t="shared" si="3"/>
        <v>68731.35357764423</v>
      </c>
      <c r="F13">
        <f t="shared" si="4"/>
        <v>43589.132310973742</v>
      </c>
      <c r="G13">
        <f t="shared" si="5"/>
        <v>16</v>
      </c>
    </row>
    <row r="14" spans="1:10" x14ac:dyDescent="0.35">
      <c r="A14">
        <v>19</v>
      </c>
      <c r="B14">
        <f t="shared" si="0"/>
        <v>66.2</v>
      </c>
      <c r="C14">
        <f t="shared" si="1"/>
        <v>0.31876328237561663</v>
      </c>
      <c r="D14">
        <f t="shared" si="2"/>
        <v>30.923844400464937</v>
      </c>
      <c r="E14">
        <f t="shared" si="3"/>
        <v>71928.862075481447</v>
      </c>
      <c r="F14">
        <f t="shared" si="4"/>
        <v>70473.957877903274</v>
      </c>
      <c r="G14">
        <f t="shared" si="5"/>
        <v>25</v>
      </c>
    </row>
    <row r="15" spans="1:10" x14ac:dyDescent="0.35">
      <c r="A15">
        <v>20</v>
      </c>
      <c r="B15">
        <f t="shared" si="0"/>
        <v>68</v>
      </c>
      <c r="C15">
        <f t="shared" si="1"/>
        <v>0.33921465759971386</v>
      </c>
      <c r="D15">
        <f t="shared" si="2"/>
        <v>32.355058810151817</v>
      </c>
      <c r="E15">
        <f t="shared" si="3"/>
        <v>75257.86679241313</v>
      </c>
      <c r="F15">
        <f t="shared" si="4"/>
        <v>104542.77775507401</v>
      </c>
      <c r="G15">
        <f t="shared" si="5"/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A932220DAA742A5EFF8C9A1DFC0BD" ma:contentTypeVersion="11" ma:contentTypeDescription="Create a new document." ma:contentTypeScope="" ma:versionID="16a40acfedab96a7d459a1a605ea426c">
  <xsd:schema xmlns:xsd="http://www.w3.org/2001/XMLSchema" xmlns:xs="http://www.w3.org/2001/XMLSchema" xmlns:p="http://schemas.microsoft.com/office/2006/metadata/properties" xmlns:ns2="eb137863-212c-41d7-8684-d63d1d704100" xmlns:ns3="6cb7bcc1-e860-4414-8374-d3a8ddbcb2e7" targetNamespace="http://schemas.microsoft.com/office/2006/metadata/properties" ma:root="true" ma:fieldsID="c506757909b13af12b22f997036d8c6f" ns2:_="" ns3:_="">
    <xsd:import namespace="eb137863-212c-41d7-8684-d63d1d704100"/>
    <xsd:import namespace="6cb7bcc1-e860-4414-8374-d3a8ddbcb2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37863-212c-41d7-8684-d63d1d7041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7bcc1-e860-4414-8374-d3a8ddbcb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7CBB2-2CEC-4629-901C-4C72CFD007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D90766-81CF-49B4-9CDA-840DEC6FE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37863-212c-41d7-8684-d63d1d704100"/>
    <ds:schemaRef ds:uri="6cb7bcc1-e860-4414-8374-d3a8ddbcb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4911F2-89C8-460D-95D6-6C284C038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Air Side h</vt:lpstr>
      <vt:lpstr>Saturated Air Enthalpy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2015-06-05T18:17:20Z</dcterms:created>
  <dcterms:modified xsi:type="dcterms:W3CDTF">2020-12-06T22:14:36Z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0x010100C5CA932220DAA742A5EFF8C9A1DFC0BD</vt:lpwstr>
  </property>
</Properties>
</file>