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commandcx.sharepoint.com/sites/Development/Shared Documents/Methods/modeling/"/>
    </mc:Choice>
  </mc:AlternateContent>
  <xr:revisionPtr revIDLastSave="2607" documentId="11_AF49C2BD257008D99C1B7D287AD3C45822F28C5B" xr6:coauthVersionLast="45" xr6:coauthVersionMax="45" xr10:uidLastSave="{53B96ADA-3262-4E5C-8EC9-965BB72FF35A}"/>
  <bookViews>
    <workbookView xWindow="4200" yWindow="-110" windowWidth="34310" windowHeight="21820" activeTab="2" xr2:uid="{3BDC426B-7C2A-47D7-B80C-62BCA2540226}"/>
    <workbookView xWindow="-18340" yWindow="-8280" windowWidth="18450" windowHeight="38620" activeTab="3" xr2:uid="{8576AD1B-05B9-4D4B-8AFE-530C0FF49CBF}"/>
  </bookViews>
  <sheets>
    <sheet name="Internal h" sheetId="1" r:id="rId1"/>
    <sheet name="Sheet2" sheetId="2" r:id="rId2"/>
    <sheet name="Full Coil Model" sheetId="3" r:id="rId3"/>
    <sheet name="Elmahdy Data, 1977" sheetId="5" r:id="rId4"/>
    <sheet name="Saturated Air Enthalp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" i="3" l="1"/>
  <c r="K148" i="3"/>
  <c r="K147" i="3"/>
  <c r="Q16" i="5"/>
  <c r="Q15" i="5"/>
  <c r="Q14" i="5"/>
  <c r="Q13" i="5"/>
  <c r="Q12" i="5"/>
  <c r="Q11" i="5"/>
  <c r="Q10" i="5"/>
  <c r="Q9" i="5"/>
  <c r="Q8" i="5"/>
  <c r="Q7" i="5"/>
  <c r="Q6" i="5"/>
  <c r="Q5" i="5"/>
  <c r="B48" i="3"/>
  <c r="D120" i="3"/>
  <c r="B27" i="3" l="1"/>
  <c r="B100" i="3"/>
  <c r="B103" i="3"/>
  <c r="B97" i="3"/>
  <c r="E90" i="3"/>
  <c r="Q23" i="5"/>
  <c r="Q24" i="5"/>
  <c r="Q25" i="5"/>
  <c r="Q26" i="5"/>
  <c r="Q27" i="5"/>
  <c r="Q28" i="5"/>
  <c r="Q29" i="5"/>
  <c r="Q30" i="5"/>
  <c r="Q31" i="5"/>
  <c r="Q32" i="5"/>
  <c r="Q33" i="5"/>
  <c r="Q22" i="5"/>
  <c r="B36" i="3"/>
  <c r="B39" i="3"/>
  <c r="P33" i="5"/>
  <c r="P32" i="5"/>
  <c r="P31" i="5"/>
  <c r="P30" i="5"/>
  <c r="P29" i="5"/>
  <c r="P28" i="5"/>
  <c r="P27" i="5"/>
  <c r="P26" i="5"/>
  <c r="P25" i="5"/>
  <c r="P24" i="5"/>
  <c r="P23" i="5"/>
  <c r="P22" i="5"/>
  <c r="P5" i="5"/>
  <c r="P6" i="5"/>
  <c r="P7" i="5"/>
  <c r="P8" i="5"/>
  <c r="P9" i="5"/>
  <c r="P10" i="5"/>
  <c r="P11" i="5"/>
  <c r="P12" i="5"/>
  <c r="P13" i="5"/>
  <c r="P14" i="5"/>
  <c r="P15" i="5"/>
  <c r="P16" i="5"/>
  <c r="B116" i="3"/>
  <c r="B46" i="3" l="1"/>
  <c r="B104" i="3"/>
  <c r="B105" i="3" s="1"/>
  <c r="B124" i="3" l="1"/>
  <c r="B106" i="3"/>
  <c r="B82" i="3"/>
  <c r="B16" i="3"/>
  <c r="B17" i="3" s="1"/>
  <c r="B18" i="3" s="1"/>
  <c r="B4" i="3"/>
  <c r="B2" i="3"/>
  <c r="F204" i="3" s="1"/>
  <c r="B5" i="3"/>
  <c r="B8" i="3" s="1"/>
  <c r="B15" i="3"/>
  <c r="F205" i="3" s="1"/>
  <c r="B6" i="3" l="1"/>
  <c r="B12" i="3" s="1"/>
  <c r="B9" i="3"/>
  <c r="B7" i="3"/>
  <c r="B10" i="3" s="1"/>
  <c r="B11" i="3" s="1"/>
  <c r="I6" i="3"/>
  <c r="B21" i="3"/>
  <c r="J1" i="4"/>
  <c r="H7" i="4" s="1"/>
  <c r="B4" i="4"/>
  <c r="C4" i="4" s="1"/>
  <c r="D4" i="4" s="1"/>
  <c r="B5" i="4"/>
  <c r="C5" i="4" s="1"/>
  <c r="D5" i="4" s="1"/>
  <c r="B6" i="4"/>
  <c r="C6" i="4" s="1"/>
  <c r="D6" i="4" s="1"/>
  <c r="B7" i="4"/>
  <c r="B8" i="4"/>
  <c r="C8" i="4" s="1"/>
  <c r="B9" i="4"/>
  <c r="C9" i="4" s="1"/>
  <c r="D9" i="4" s="1"/>
  <c r="B10" i="4"/>
  <c r="C10" i="4" s="1"/>
  <c r="B11" i="4"/>
  <c r="B12" i="4"/>
  <c r="B13" i="4"/>
  <c r="B14" i="4"/>
  <c r="C14" i="4" s="1"/>
  <c r="D14" i="4" s="1"/>
  <c r="B15" i="4"/>
  <c r="B3" i="4"/>
  <c r="B79" i="3"/>
  <c r="E10" i="4" l="1"/>
  <c r="F10" i="4" s="1"/>
  <c r="D10" i="4"/>
  <c r="E9" i="4"/>
  <c r="F9" i="4" s="1"/>
  <c r="E8" i="4"/>
  <c r="F8" i="4" s="1"/>
  <c r="D8" i="4"/>
  <c r="H14" i="4"/>
  <c r="C3" i="4"/>
  <c r="D3" i="4" s="1"/>
  <c r="H12" i="4"/>
  <c r="H4" i="4"/>
  <c r="H6" i="4"/>
  <c r="H5" i="4"/>
  <c r="H11" i="4"/>
  <c r="E5" i="4"/>
  <c r="F5" i="4" s="1"/>
  <c r="E4" i="4"/>
  <c r="F4" i="4" s="1"/>
  <c r="H13" i="4"/>
  <c r="C13" i="4"/>
  <c r="H10" i="4"/>
  <c r="H9" i="4"/>
  <c r="C12" i="4"/>
  <c r="C11" i="4"/>
  <c r="H3" i="4"/>
  <c r="H8" i="4"/>
  <c r="H15" i="4"/>
  <c r="B22" i="3"/>
  <c r="F190" i="3" s="1"/>
  <c r="B13" i="3"/>
  <c r="B28" i="3" s="1"/>
  <c r="B31" i="3" s="1"/>
  <c r="F189" i="3" s="1"/>
  <c r="B30" i="3"/>
  <c r="E6" i="4"/>
  <c r="F6" i="4" s="1"/>
  <c r="C15" i="4"/>
  <c r="C7" i="4"/>
  <c r="E14" i="4"/>
  <c r="F14" i="4" s="1"/>
  <c r="B83" i="3"/>
  <c r="B102" i="3"/>
  <c r="B99" i="3"/>
  <c r="B74" i="3" s="1"/>
  <c r="B96" i="3"/>
  <c r="B49" i="3"/>
  <c r="B51" i="3" s="1"/>
  <c r="F88" i="3" s="1"/>
  <c r="B47" i="3"/>
  <c r="B108" i="3" s="1"/>
  <c r="B37" i="3"/>
  <c r="B34" i="3"/>
  <c r="F191" i="3" l="1"/>
  <c r="B189" i="3"/>
  <c r="E3" i="4"/>
  <c r="F3" i="4" s="1"/>
  <c r="E15" i="4"/>
  <c r="F15" i="4" s="1"/>
  <c r="D15" i="4"/>
  <c r="E7" i="4"/>
  <c r="F7" i="4" s="1"/>
  <c r="D7" i="4"/>
  <c r="E12" i="4"/>
  <c r="F12" i="4" s="1"/>
  <c r="D12" i="4"/>
  <c r="E11" i="4"/>
  <c r="F11" i="4" s="1"/>
  <c r="J2" i="4" s="1"/>
  <c r="D11" i="4"/>
  <c r="E13" i="4"/>
  <c r="F13" i="4" s="1"/>
  <c r="D13" i="4"/>
  <c r="B110" i="3"/>
  <c r="B113" i="3"/>
  <c r="B114" i="3" s="1"/>
  <c r="B128" i="3" s="1"/>
  <c r="B55" i="3"/>
  <c r="B56" i="3" s="1"/>
  <c r="B71" i="3" s="1"/>
  <c r="B52" i="3"/>
  <c r="B130" i="3"/>
  <c r="B50" i="3"/>
  <c r="B109" i="3"/>
  <c r="B129" i="3" s="1"/>
  <c r="B85" i="3" l="1"/>
  <c r="B86" i="3" s="1"/>
  <c r="G10" i="4"/>
  <c r="G11" i="4"/>
  <c r="G4" i="4"/>
  <c r="G5" i="4"/>
  <c r="G14" i="4"/>
  <c r="G6" i="4"/>
  <c r="G7" i="4"/>
  <c r="G15" i="4"/>
  <c r="G8" i="4"/>
  <c r="G3" i="4"/>
  <c r="G9" i="4"/>
  <c r="G12" i="4"/>
  <c r="G13" i="4"/>
  <c r="B91" i="3"/>
  <c r="B57" i="3"/>
  <c r="B58" i="3" s="1"/>
  <c r="B60" i="3" s="1"/>
  <c r="B72" i="3" s="1"/>
  <c r="B73" i="3" s="1"/>
  <c r="B76" i="3" s="1"/>
  <c r="B77" i="3" s="1"/>
  <c r="B93" i="3"/>
  <c r="B127" i="3"/>
  <c r="B133" i="3"/>
  <c r="B111" i="3"/>
  <c r="B54" i="3"/>
  <c r="B87" i="3" s="1"/>
  <c r="B53" i="3"/>
  <c r="B148" i="3"/>
  <c r="B146" i="3" l="1"/>
  <c r="B152" i="3"/>
  <c r="J4" i="4"/>
  <c r="B88" i="3"/>
  <c r="E79" i="3"/>
  <c r="B107" i="3"/>
  <c r="B92" i="3"/>
  <c r="B61" i="3"/>
  <c r="B62" i="3" s="1"/>
  <c r="B59" i="3"/>
  <c r="B122" i="3"/>
  <c r="B89" i="3"/>
  <c r="J3" i="4" l="1"/>
  <c r="B184" i="3" s="1"/>
  <c r="B185" i="3"/>
  <c r="B190" i="3" s="1"/>
  <c r="B191" i="3" s="1"/>
  <c r="B118" i="3"/>
  <c r="B119" i="3" s="1"/>
  <c r="B120" i="3" s="1"/>
  <c r="L207" i="3"/>
  <c r="M196" i="3"/>
  <c r="M204" i="3"/>
  <c r="L192" i="3"/>
  <c r="M199" i="3"/>
  <c r="M207" i="3"/>
  <c r="L195" i="3"/>
  <c r="L203" i="3"/>
  <c r="L191" i="3"/>
  <c r="M192" i="3"/>
  <c r="M200" i="3"/>
  <c r="M208" i="3"/>
  <c r="L196" i="3"/>
  <c r="L204" i="3"/>
  <c r="M193" i="3"/>
  <c r="M201" i="3"/>
  <c r="M209" i="3"/>
  <c r="L197" i="3"/>
  <c r="L205" i="3"/>
  <c r="M194" i="3"/>
  <c r="M202" i="3"/>
  <c r="M210" i="3"/>
  <c r="L198" i="3"/>
  <c r="L206" i="3"/>
  <c r="M195" i="3"/>
  <c r="M203" i="3"/>
  <c r="M191" i="3"/>
  <c r="L199" i="3"/>
  <c r="M205" i="3"/>
  <c r="L209" i="3"/>
  <c r="M206" i="3"/>
  <c r="L210" i="3"/>
  <c r="L200" i="3"/>
  <c r="L193" i="3"/>
  <c r="L194" i="3"/>
  <c r="L201" i="3"/>
  <c r="M197" i="3"/>
  <c r="L202" i="3"/>
  <c r="M198" i="3"/>
  <c r="L208" i="3"/>
  <c r="B123" i="3"/>
  <c r="E18" i="1"/>
  <c r="C18" i="1"/>
  <c r="B136" i="3" l="1"/>
  <c r="B126" i="3"/>
  <c r="B132" i="3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8" i="1"/>
  <c r="B8" i="1"/>
  <c r="B9" i="1" s="1"/>
  <c r="B6" i="1"/>
  <c r="B4" i="1"/>
  <c r="B138" i="3" l="1"/>
  <c r="B139" i="3" s="1"/>
  <c r="D18" i="1"/>
  <c r="B27" i="2"/>
  <c r="B26" i="2"/>
  <c r="B20" i="2"/>
  <c r="B11" i="2"/>
  <c r="B21" i="2"/>
  <c r="B8" i="2"/>
  <c r="B24" i="2"/>
  <c r="B17" i="2"/>
  <c r="B155" i="3" l="1"/>
  <c r="B157" i="3" s="1"/>
  <c r="B142" i="3"/>
  <c r="B193" i="3" s="1"/>
  <c r="B158" i="3" l="1"/>
  <c r="B160" i="3" s="1"/>
  <c r="B156" i="3"/>
  <c r="B169" i="3"/>
  <c r="B172" i="3" s="1"/>
  <c r="B161" i="3"/>
  <c r="B163" i="3" l="1"/>
  <c r="B165" i="3" s="1"/>
  <c r="B171" i="3"/>
  <c r="B175" i="3" s="1"/>
  <c r="B170" i="3"/>
  <c r="F193" i="3" l="1"/>
  <c r="AC210" i="3" s="1"/>
  <c r="B166" i="3"/>
  <c r="K144" i="3" s="1"/>
  <c r="B174" i="3"/>
  <c r="B177" i="3" s="1"/>
  <c r="B179" i="3" s="1"/>
  <c r="B180" i="3" s="1"/>
  <c r="K145" i="3" s="1"/>
  <c r="AC200" i="3" l="1"/>
  <c r="AC192" i="3"/>
  <c r="AC205" i="3"/>
  <c r="AC202" i="3"/>
  <c r="AC201" i="3"/>
  <c r="AC195" i="3"/>
  <c r="AC191" i="3"/>
  <c r="AC204" i="3"/>
  <c r="AC203" i="3"/>
  <c r="AC194" i="3"/>
  <c r="AC206" i="3"/>
  <c r="AC207" i="3"/>
  <c r="AC197" i="3"/>
  <c r="AC193" i="3"/>
  <c r="AC199" i="3"/>
  <c r="AC208" i="3"/>
  <c r="AC196" i="3"/>
  <c r="AC198" i="3"/>
  <c r="AC209" i="3"/>
  <c r="B224" i="3"/>
  <c r="B192" i="3"/>
  <c r="B194" i="3" s="1"/>
  <c r="AJ192" i="3" l="1"/>
  <c r="AJ200" i="3"/>
  <c r="AJ208" i="3"/>
  <c r="AJ193" i="3"/>
  <c r="AJ201" i="3"/>
  <c r="AJ209" i="3"/>
  <c r="AJ203" i="3"/>
  <c r="AJ204" i="3"/>
  <c r="AJ207" i="3"/>
  <c r="AJ194" i="3"/>
  <c r="AJ202" i="3"/>
  <c r="AJ210" i="3"/>
  <c r="AJ195" i="3"/>
  <c r="AJ191" i="3"/>
  <c r="AJ196" i="3"/>
  <c r="AJ197" i="3"/>
  <c r="AJ205" i="3"/>
  <c r="AJ198" i="3"/>
  <c r="AJ206" i="3"/>
  <c r="AJ199" i="3"/>
  <c r="B64" i="3" l="1"/>
  <c r="B67" i="3" s="1"/>
  <c r="B68" i="3" s="1"/>
  <c r="B183" i="3" l="1"/>
  <c r="B197" i="3" s="1"/>
  <c r="K146" i="3"/>
  <c r="B201" i="3"/>
  <c r="B202" i="3" s="1"/>
  <c r="F195" i="3"/>
  <c r="B212" i="3"/>
  <c r="AD197" i="3" l="1"/>
  <c r="AD206" i="3"/>
  <c r="AD203" i="3"/>
  <c r="AD198" i="3"/>
  <c r="AD210" i="3"/>
  <c r="AD191" i="3"/>
  <c r="AD193" i="3"/>
  <c r="AD196" i="3"/>
  <c r="AD194" i="3"/>
  <c r="AD199" i="3"/>
  <c r="F196" i="3"/>
  <c r="AD200" i="3"/>
  <c r="AD204" i="3"/>
  <c r="AD208" i="3"/>
  <c r="AD209" i="3"/>
  <c r="AD205" i="3"/>
  <c r="AD192" i="3"/>
  <c r="AD207" i="3"/>
  <c r="AD195" i="3"/>
  <c r="AD202" i="3"/>
  <c r="AD201" i="3"/>
  <c r="B214" i="3"/>
  <c r="B213" i="3"/>
  <c r="O199" i="3"/>
  <c r="T199" i="3" s="1"/>
  <c r="O191" i="3"/>
  <c r="T191" i="3" s="1"/>
  <c r="O203" i="3"/>
  <c r="T203" i="3" s="1"/>
  <c r="O209" i="3"/>
  <c r="T209" i="3" s="1"/>
  <c r="O194" i="3"/>
  <c r="T194" i="3" s="1"/>
  <c r="O196" i="3"/>
  <c r="T196" i="3" s="1"/>
  <c r="O207" i="3"/>
  <c r="T207" i="3" s="1"/>
  <c r="O201" i="3"/>
  <c r="T201" i="3" s="1"/>
  <c r="O204" i="3"/>
  <c r="T204" i="3" s="1"/>
  <c r="O210" i="3"/>
  <c r="T210" i="3" s="1"/>
  <c r="O195" i="3"/>
  <c r="T195" i="3" s="1"/>
  <c r="O193" i="3"/>
  <c r="T193" i="3" s="1"/>
  <c r="O206" i="3"/>
  <c r="T206" i="3" s="1"/>
  <c r="O200" i="3"/>
  <c r="T200" i="3" s="1"/>
  <c r="O198" i="3"/>
  <c r="T198" i="3" s="1"/>
  <c r="B204" i="3"/>
  <c r="O202" i="3"/>
  <c r="T202" i="3" s="1"/>
  <c r="O192" i="3"/>
  <c r="T192" i="3" s="1"/>
  <c r="O208" i="3"/>
  <c r="T208" i="3" s="1"/>
  <c r="O197" i="3"/>
  <c r="T197" i="3" s="1"/>
  <c r="O205" i="3"/>
  <c r="T205" i="3" s="1"/>
  <c r="U201" i="3" l="1"/>
  <c r="V201" i="3" s="1"/>
  <c r="B205" i="3"/>
  <c r="B207" i="3" s="1"/>
  <c r="U198" i="3"/>
  <c r="V198" i="3" s="1"/>
  <c r="U207" i="3"/>
  <c r="V207" i="3" s="1"/>
  <c r="U202" i="3"/>
  <c r="V202" i="3" s="1"/>
  <c r="U200" i="3"/>
  <c r="V200" i="3" s="1"/>
  <c r="U206" i="3"/>
  <c r="V206" i="3" s="1"/>
  <c r="U194" i="3"/>
  <c r="V194" i="3" s="1"/>
  <c r="U204" i="3"/>
  <c r="V204" i="3" s="1"/>
  <c r="Y204" i="3"/>
  <c r="U197" i="3"/>
  <c r="V197" i="3" s="1"/>
  <c r="U193" i="3"/>
  <c r="V193" i="3" s="1"/>
  <c r="U209" i="3"/>
  <c r="V209" i="3" s="1"/>
  <c r="N200" i="3"/>
  <c r="P200" i="3" s="1"/>
  <c r="N191" i="3"/>
  <c r="P191" i="3" s="1"/>
  <c r="N198" i="3"/>
  <c r="P198" i="3" s="1"/>
  <c r="N204" i="3"/>
  <c r="P204" i="3" s="1"/>
  <c r="N206" i="3"/>
  <c r="P206" i="3" s="1"/>
  <c r="N209" i="3"/>
  <c r="P209" i="3" s="1"/>
  <c r="N194" i="3"/>
  <c r="P194" i="3" s="1"/>
  <c r="N195" i="3"/>
  <c r="P195" i="3" s="1"/>
  <c r="N203" i="3"/>
  <c r="P203" i="3" s="1"/>
  <c r="N210" i="3"/>
  <c r="P210" i="3" s="1"/>
  <c r="N208" i="3"/>
  <c r="P208" i="3" s="1"/>
  <c r="N193" i="3"/>
  <c r="P193" i="3" s="1"/>
  <c r="N192" i="3"/>
  <c r="P192" i="3" s="1"/>
  <c r="N201" i="3"/>
  <c r="P201" i="3" s="1"/>
  <c r="N202" i="3"/>
  <c r="P202" i="3" s="1"/>
  <c r="N197" i="3"/>
  <c r="P197" i="3" s="1"/>
  <c r="N205" i="3"/>
  <c r="P205" i="3" s="1"/>
  <c r="N196" i="3"/>
  <c r="P196" i="3" s="1"/>
  <c r="N207" i="3"/>
  <c r="P207" i="3" s="1"/>
  <c r="N199" i="3"/>
  <c r="P199" i="3" s="1"/>
  <c r="F198" i="3"/>
  <c r="U199" i="3"/>
  <c r="V199" i="3" s="1"/>
  <c r="U196" i="3"/>
  <c r="V196" i="3" s="1"/>
  <c r="Y196" i="3"/>
  <c r="X196" i="3"/>
  <c r="U205" i="3"/>
  <c r="V205" i="3" s="1"/>
  <c r="U208" i="3"/>
  <c r="V208" i="3" s="1"/>
  <c r="U195" i="3"/>
  <c r="V195" i="3" s="1"/>
  <c r="U203" i="3"/>
  <c r="V203" i="3" s="1"/>
  <c r="U192" i="3"/>
  <c r="V192" i="3" s="1"/>
  <c r="U210" i="3"/>
  <c r="V210" i="3" s="1"/>
  <c r="U191" i="3"/>
  <c r="V191" i="3" s="1"/>
  <c r="W191" i="3"/>
  <c r="X204" i="3" l="1"/>
  <c r="W201" i="3"/>
  <c r="W196" i="3"/>
  <c r="W209" i="3"/>
  <c r="Y194" i="3"/>
  <c r="W204" i="3"/>
  <c r="W205" i="3"/>
  <c r="X200" i="3"/>
  <c r="W192" i="3"/>
  <c r="Y191" i="3"/>
  <c r="Y197" i="3"/>
  <c r="Y206" i="3"/>
  <c r="W207" i="3"/>
  <c r="W198" i="3"/>
  <c r="X195" i="3"/>
  <c r="Y200" i="3"/>
  <c r="W202" i="3"/>
  <c r="X210" i="3"/>
  <c r="Y210" i="3"/>
  <c r="W193" i="3"/>
  <c r="Y202" i="3"/>
  <c r="X191" i="3"/>
  <c r="X208" i="3"/>
  <c r="Y208" i="3"/>
  <c r="Y193" i="3"/>
  <c r="X202" i="3"/>
  <c r="Y203" i="3"/>
  <c r="F199" i="3"/>
  <c r="F202" i="3" s="1"/>
  <c r="F209" i="3" s="1"/>
  <c r="Q192" i="3"/>
  <c r="S192" i="3" s="1"/>
  <c r="Q206" i="3"/>
  <c r="R206" i="3" s="1"/>
  <c r="B209" i="3"/>
  <c r="W203" i="3"/>
  <c r="Q199" i="3"/>
  <c r="R199" i="3" s="1"/>
  <c r="Q193" i="3"/>
  <c r="S193" i="3" s="1"/>
  <c r="Q204" i="3"/>
  <c r="S204" i="3" s="1"/>
  <c r="Y198" i="3"/>
  <c r="B208" i="3"/>
  <c r="B216" i="3" s="1"/>
  <c r="Q201" i="3"/>
  <c r="R201" i="3" s="1"/>
  <c r="Q198" i="3"/>
  <c r="S198" i="3" s="1"/>
  <c r="W210" i="3"/>
  <c r="Q191" i="3"/>
  <c r="S191" i="3" s="1"/>
  <c r="R191" i="3"/>
  <c r="X206" i="3"/>
  <c r="Q207" i="3"/>
  <c r="S207" i="3" s="1"/>
  <c r="Q196" i="3"/>
  <c r="S196" i="3" s="1"/>
  <c r="W199" i="3"/>
  <c r="Q203" i="3"/>
  <c r="S203" i="3" s="1"/>
  <c r="Q200" i="3"/>
  <c r="S200" i="3" s="1"/>
  <c r="X193" i="3"/>
  <c r="W206" i="3"/>
  <c r="X198" i="3"/>
  <c r="Q208" i="3"/>
  <c r="S208" i="3" s="1"/>
  <c r="Q210" i="3"/>
  <c r="S210" i="3" s="1"/>
  <c r="W195" i="3"/>
  <c r="Y205" i="3"/>
  <c r="X199" i="3"/>
  <c r="Q197" i="3"/>
  <c r="R197" i="3" s="1"/>
  <c r="Q195" i="3"/>
  <c r="R195" i="3" s="1"/>
  <c r="Y209" i="3"/>
  <c r="X197" i="3"/>
  <c r="X194" i="3"/>
  <c r="Y207" i="3"/>
  <c r="Y201" i="3"/>
  <c r="Q209" i="3"/>
  <c r="S209" i="3" s="1"/>
  <c r="B210" i="3"/>
  <c r="X203" i="3"/>
  <c r="W208" i="3"/>
  <c r="Q205" i="3"/>
  <c r="R205" i="3" s="1"/>
  <c r="X192" i="3"/>
  <c r="Y192" i="3"/>
  <c r="Y195" i="3"/>
  <c r="X205" i="3"/>
  <c r="Y199" i="3"/>
  <c r="Q202" i="3"/>
  <c r="R202" i="3" s="1"/>
  <c r="S202" i="3"/>
  <c r="Q194" i="3"/>
  <c r="S194" i="3" s="1"/>
  <c r="X209" i="3"/>
  <c r="W197" i="3"/>
  <c r="W194" i="3"/>
  <c r="W200" i="3"/>
  <c r="X207" i="3"/>
  <c r="X201" i="3"/>
  <c r="S201" i="3" l="1"/>
  <c r="R207" i="3"/>
  <c r="R210" i="3"/>
  <c r="R192" i="3"/>
  <c r="Z192" i="3" s="1"/>
  <c r="AH192" i="3" s="1"/>
  <c r="AI192" i="3" s="1"/>
  <c r="AR192" i="3" s="1"/>
  <c r="S205" i="3"/>
  <c r="R198" i="3"/>
  <c r="Z198" i="3" s="1"/>
  <c r="B217" i="3"/>
  <c r="B230" i="3" s="1"/>
  <c r="B231" i="3" s="1"/>
  <c r="S195" i="3"/>
  <c r="R209" i="3"/>
  <c r="Z209" i="3" s="1"/>
  <c r="R208" i="3"/>
  <c r="Z208" i="3" s="1"/>
  <c r="Z197" i="3"/>
  <c r="Z206" i="3"/>
  <c r="Z202" i="3"/>
  <c r="AH202" i="3" s="1"/>
  <c r="AI202" i="3" s="1"/>
  <c r="AR202" i="3" s="1"/>
  <c r="F210" i="3"/>
  <c r="F215" i="3"/>
  <c r="B234" i="3"/>
  <c r="B235" i="3" s="1"/>
  <c r="B222" i="3"/>
  <c r="Z195" i="3"/>
  <c r="Z199" i="3"/>
  <c r="Z205" i="3"/>
  <c r="R200" i="3"/>
  <c r="R196" i="3"/>
  <c r="S199" i="3"/>
  <c r="S197" i="3"/>
  <c r="R204" i="3"/>
  <c r="F201" i="3"/>
  <c r="F207" i="3" s="1"/>
  <c r="Z210" i="3"/>
  <c r="AH210" i="3" s="1"/>
  <c r="AI210" i="3" s="1"/>
  <c r="AR210" i="3" s="1"/>
  <c r="R203" i="3"/>
  <c r="Z191" i="3"/>
  <c r="AH191" i="3" s="1"/>
  <c r="AI191" i="3" s="1"/>
  <c r="AR191" i="3" s="1"/>
  <c r="R193" i="3"/>
  <c r="S206" i="3"/>
  <c r="Z207" i="3"/>
  <c r="R194" i="3"/>
  <c r="Z201" i="3"/>
  <c r="B218" i="3" l="1"/>
  <c r="AH195" i="3"/>
  <c r="AI195" i="3" s="1"/>
  <c r="AR195" i="3" s="1"/>
  <c r="AH199" i="3"/>
  <c r="AI199" i="3" s="1"/>
  <c r="AR199" i="3" s="1"/>
  <c r="B220" i="3"/>
  <c r="B221" i="3" s="1"/>
  <c r="AA192" i="3"/>
  <c r="AB192" i="3" s="1"/>
  <c r="AK192" i="3" s="1"/>
  <c r="AL192" i="3" s="1"/>
  <c r="AM192" i="3" s="1"/>
  <c r="AA207" i="3"/>
  <c r="AB207" i="3" s="1"/>
  <c r="AK207" i="3" s="1"/>
  <c r="AL207" i="3" s="1"/>
  <c r="AM207" i="3" s="1"/>
  <c r="AH207" i="3"/>
  <c r="AI207" i="3" s="1"/>
  <c r="AR207" i="3" s="1"/>
  <c r="AA198" i="3"/>
  <c r="AB198" i="3" s="1"/>
  <c r="AK198" i="3" s="1"/>
  <c r="AL198" i="3" s="1"/>
  <c r="AM198" i="3" s="1"/>
  <c r="AH198" i="3"/>
  <c r="AI198" i="3" s="1"/>
  <c r="AR198" i="3" s="1"/>
  <c r="AA195" i="3"/>
  <c r="AA197" i="3"/>
  <c r="AH197" i="3"/>
  <c r="AI197" i="3" s="1"/>
  <c r="AR197" i="3" s="1"/>
  <c r="AA208" i="3"/>
  <c r="AH208" i="3"/>
  <c r="AI208" i="3" s="1"/>
  <c r="AR208" i="3" s="1"/>
  <c r="AA209" i="3"/>
  <c r="AB209" i="3" s="1"/>
  <c r="AK209" i="3" s="1"/>
  <c r="AL209" i="3" s="1"/>
  <c r="AM209" i="3" s="1"/>
  <c r="AH209" i="3"/>
  <c r="AI209" i="3" s="1"/>
  <c r="AR209" i="3" s="1"/>
  <c r="AA206" i="3"/>
  <c r="AH206" i="3"/>
  <c r="AI206" i="3" s="1"/>
  <c r="AR206" i="3" s="1"/>
  <c r="AA201" i="3"/>
  <c r="AB201" i="3" s="1"/>
  <c r="AK201" i="3" s="1"/>
  <c r="AL201" i="3" s="1"/>
  <c r="AM201" i="3" s="1"/>
  <c r="AH201" i="3"/>
  <c r="AI201" i="3" s="1"/>
  <c r="AR201" i="3" s="1"/>
  <c r="AA205" i="3"/>
  <c r="AH205" i="3"/>
  <c r="AI205" i="3" s="1"/>
  <c r="AR205" i="3" s="1"/>
  <c r="F216" i="3"/>
  <c r="F221" i="3" s="1"/>
  <c r="F218" i="3"/>
  <c r="F219" i="3" s="1"/>
  <c r="AA210" i="3"/>
  <c r="AB210" i="3" s="1"/>
  <c r="AK210" i="3" s="1"/>
  <c r="AL210" i="3" s="1"/>
  <c r="AM210" i="3" s="1"/>
  <c r="AA199" i="3"/>
  <c r="Z193" i="3"/>
  <c r="AA191" i="3"/>
  <c r="Z196" i="3"/>
  <c r="AH196" i="3" s="1"/>
  <c r="AI196" i="3" s="1"/>
  <c r="AR196" i="3" s="1"/>
  <c r="B242" i="3"/>
  <c r="B223" i="3"/>
  <c r="F212" i="3"/>
  <c r="F213" i="3" s="1"/>
  <c r="F208" i="3"/>
  <c r="Z204" i="3"/>
  <c r="AA202" i="3"/>
  <c r="Z194" i="3"/>
  <c r="AH194" i="3" s="1"/>
  <c r="AI194" i="3" s="1"/>
  <c r="AR194" i="3" s="1"/>
  <c r="Z203" i="3"/>
  <c r="Z200" i="3"/>
  <c r="AE207" i="3" l="1"/>
  <c r="AF207" i="3" s="1"/>
  <c r="AG207" i="3" s="1"/>
  <c r="B225" i="3"/>
  <c r="B228" i="3" s="1"/>
  <c r="B229" i="3" s="1"/>
  <c r="AE209" i="3"/>
  <c r="AF209" i="3" s="1"/>
  <c r="AG209" i="3" s="1"/>
  <c r="AE192" i="3"/>
  <c r="AF192" i="3" s="1"/>
  <c r="AG192" i="3" s="1"/>
  <c r="AE210" i="3"/>
  <c r="AF210" i="3" s="1"/>
  <c r="AG210" i="3" s="1"/>
  <c r="B240" i="3"/>
  <c r="AE201" i="3"/>
  <c r="AF201" i="3" s="1"/>
  <c r="AG201" i="3" s="1"/>
  <c r="AN201" i="3"/>
  <c r="AU201" i="3"/>
  <c r="AS201" i="3" s="1"/>
  <c r="AE198" i="3"/>
  <c r="AF198" i="3" s="1"/>
  <c r="AG198" i="3" s="1"/>
  <c r="AN198" i="3"/>
  <c r="AU198" i="3"/>
  <c r="AS198" i="3" s="1"/>
  <c r="AN207" i="3"/>
  <c r="AO207" i="3" s="1"/>
  <c r="AU207" i="3"/>
  <c r="AS207" i="3" s="1"/>
  <c r="AN209" i="3"/>
  <c r="AO209" i="3" s="1"/>
  <c r="AU209" i="3"/>
  <c r="AS209" i="3" s="1"/>
  <c r="AN210" i="3"/>
  <c r="AU210" i="3"/>
  <c r="AS210" i="3" s="1"/>
  <c r="AN192" i="3"/>
  <c r="AU192" i="3"/>
  <c r="AS192" i="3" s="1"/>
  <c r="AE206" i="3"/>
  <c r="AF206" i="3" s="1"/>
  <c r="AG206" i="3" s="1"/>
  <c r="AB206" i="3"/>
  <c r="AK206" i="3" s="1"/>
  <c r="AL206" i="3" s="1"/>
  <c r="AM206" i="3" s="1"/>
  <c r="AE197" i="3"/>
  <c r="AF197" i="3" s="1"/>
  <c r="AG197" i="3" s="1"/>
  <c r="AB197" i="3"/>
  <c r="AK197" i="3" s="1"/>
  <c r="AL197" i="3" s="1"/>
  <c r="AM197" i="3" s="1"/>
  <c r="AE191" i="3"/>
  <c r="AF191" i="3" s="1"/>
  <c r="AG191" i="3" s="1"/>
  <c r="AB191" i="3"/>
  <c r="AK191" i="3" s="1"/>
  <c r="AL191" i="3" s="1"/>
  <c r="AM191" i="3" s="1"/>
  <c r="AE195" i="3"/>
  <c r="AF195" i="3" s="1"/>
  <c r="AG195" i="3" s="1"/>
  <c r="AB195" i="3"/>
  <c r="AK195" i="3" s="1"/>
  <c r="AL195" i="3" s="1"/>
  <c r="AM195" i="3" s="1"/>
  <c r="AE202" i="3"/>
  <c r="AF202" i="3" s="1"/>
  <c r="AG202" i="3" s="1"/>
  <c r="AB202" i="3"/>
  <c r="AK202" i="3" s="1"/>
  <c r="AL202" i="3" s="1"/>
  <c r="AM202" i="3" s="1"/>
  <c r="AE199" i="3"/>
  <c r="AF199" i="3" s="1"/>
  <c r="AG199" i="3" s="1"/>
  <c r="AB199" i="3"/>
  <c r="AK199" i="3" s="1"/>
  <c r="AL199" i="3" s="1"/>
  <c r="AM199" i="3" s="1"/>
  <c r="AE205" i="3"/>
  <c r="AF205" i="3" s="1"/>
  <c r="AG205" i="3" s="1"/>
  <c r="AB205" i="3"/>
  <c r="AK205" i="3" s="1"/>
  <c r="AL205" i="3" s="1"/>
  <c r="AM205" i="3" s="1"/>
  <c r="AE208" i="3"/>
  <c r="AF208" i="3" s="1"/>
  <c r="AG208" i="3" s="1"/>
  <c r="AB208" i="3"/>
  <c r="AK208" i="3" s="1"/>
  <c r="AL208" i="3" s="1"/>
  <c r="AM208" i="3" s="1"/>
  <c r="AA196" i="3"/>
  <c r="AB196" i="3" s="1"/>
  <c r="AK196" i="3" s="1"/>
  <c r="AL196" i="3" s="1"/>
  <c r="AM196" i="3" s="1"/>
  <c r="AA204" i="3"/>
  <c r="AB204" i="3" s="1"/>
  <c r="AK204" i="3" s="1"/>
  <c r="AL204" i="3" s="1"/>
  <c r="AM204" i="3" s="1"/>
  <c r="AH204" i="3"/>
  <c r="AI204" i="3" s="1"/>
  <c r="AR204" i="3" s="1"/>
  <c r="AA200" i="3"/>
  <c r="AB200" i="3" s="1"/>
  <c r="AK200" i="3" s="1"/>
  <c r="AL200" i="3" s="1"/>
  <c r="AM200" i="3" s="1"/>
  <c r="AH200" i="3"/>
  <c r="AI200" i="3" s="1"/>
  <c r="AR200" i="3" s="1"/>
  <c r="AA203" i="3"/>
  <c r="AB203" i="3" s="1"/>
  <c r="AK203" i="3" s="1"/>
  <c r="AL203" i="3" s="1"/>
  <c r="AM203" i="3" s="1"/>
  <c r="AH203" i="3"/>
  <c r="AI203" i="3" s="1"/>
  <c r="AR203" i="3" s="1"/>
  <c r="AA193" i="3"/>
  <c r="AH193" i="3"/>
  <c r="AI193" i="3" s="1"/>
  <c r="AR193" i="3" s="1"/>
  <c r="AA194" i="3"/>
  <c r="AO192" i="3" l="1"/>
  <c r="AO210" i="3"/>
  <c r="B236" i="3"/>
  <c r="B237" i="3" s="1"/>
  <c r="B226" i="3"/>
  <c r="AO201" i="3"/>
  <c r="AP201" i="3" s="1"/>
  <c r="AQ201" i="3" s="1"/>
  <c r="AO198" i="3"/>
  <c r="AP198" i="3" s="1"/>
  <c r="AQ198" i="3" s="1"/>
  <c r="AE203" i="3"/>
  <c r="AF203" i="3" s="1"/>
  <c r="AG203" i="3" s="1"/>
  <c r="AE196" i="3"/>
  <c r="AF196" i="3" s="1"/>
  <c r="AG196" i="3" s="1"/>
  <c r="AP192" i="3"/>
  <c r="AQ192" i="3" s="1"/>
  <c r="AV192" i="3"/>
  <c r="AP209" i="3"/>
  <c r="AQ209" i="3" s="1"/>
  <c r="AV209" i="3"/>
  <c r="AP210" i="3"/>
  <c r="AQ210" i="3" s="1"/>
  <c r="AV210" i="3"/>
  <c r="AN203" i="3"/>
  <c r="AO203" i="3" s="1"/>
  <c r="AU203" i="3"/>
  <c r="AS203" i="3" s="1"/>
  <c r="AN205" i="3"/>
  <c r="AO205" i="3" s="1"/>
  <c r="AU205" i="3"/>
  <c r="AS205" i="3" s="1"/>
  <c r="AN199" i="3"/>
  <c r="AO199" i="3" s="1"/>
  <c r="AU199" i="3"/>
  <c r="AS199" i="3" s="1"/>
  <c r="AN196" i="3"/>
  <c r="AU196" i="3"/>
  <c r="AS196" i="3" s="1"/>
  <c r="AP207" i="3"/>
  <c r="AQ207" i="3" s="1"/>
  <c r="AV207" i="3"/>
  <c r="AN200" i="3"/>
  <c r="AU200" i="3"/>
  <c r="AS200" i="3" s="1"/>
  <c r="AN204" i="3"/>
  <c r="AU204" i="3"/>
  <c r="AS204" i="3" s="1"/>
  <c r="AN202" i="3"/>
  <c r="AO202" i="3" s="1"/>
  <c r="AU202" i="3"/>
  <c r="AS202" i="3" s="1"/>
  <c r="AN195" i="3"/>
  <c r="AO195" i="3" s="1"/>
  <c r="AU195" i="3"/>
  <c r="AS195" i="3" s="1"/>
  <c r="AN191" i="3"/>
  <c r="AO191" i="3" s="1"/>
  <c r="AU191" i="3"/>
  <c r="AS191" i="3" s="1"/>
  <c r="AN197" i="3"/>
  <c r="AO197" i="3" s="1"/>
  <c r="AU197" i="3"/>
  <c r="AS197" i="3" s="1"/>
  <c r="AN206" i="3"/>
  <c r="AO206" i="3" s="1"/>
  <c r="AU206" i="3"/>
  <c r="AS206" i="3" s="1"/>
  <c r="AN208" i="3"/>
  <c r="AO208" i="3" s="1"/>
  <c r="AU208" i="3"/>
  <c r="AS208" i="3" s="1"/>
  <c r="AE204" i="3"/>
  <c r="AF204" i="3" s="1"/>
  <c r="AG204" i="3" s="1"/>
  <c r="AE200" i="3"/>
  <c r="AF200" i="3" s="1"/>
  <c r="AG200" i="3" s="1"/>
  <c r="AE194" i="3"/>
  <c r="AF194" i="3" s="1"/>
  <c r="AG194" i="3" s="1"/>
  <c r="AB194" i="3"/>
  <c r="AK194" i="3" s="1"/>
  <c r="AL194" i="3" s="1"/>
  <c r="AM194" i="3" s="1"/>
  <c r="AE193" i="3"/>
  <c r="AF193" i="3" s="1"/>
  <c r="AG193" i="3" s="1"/>
  <c r="AB193" i="3"/>
  <c r="AK193" i="3" s="1"/>
  <c r="AL193" i="3" s="1"/>
  <c r="AM193" i="3" s="1"/>
  <c r="AV201" i="3" l="1"/>
  <c r="AO200" i="3"/>
  <c r="AV198" i="3"/>
  <c r="AW198" i="3" s="1"/>
  <c r="AO196" i="3"/>
  <c r="AP196" i="3" s="1"/>
  <c r="AQ196" i="3" s="1"/>
  <c r="AO204" i="3"/>
  <c r="AV204" i="3" s="1"/>
  <c r="AP203" i="3"/>
  <c r="AQ203" i="3" s="1"/>
  <c r="AV203" i="3"/>
  <c r="AP204" i="3"/>
  <c r="AQ204" i="3" s="1"/>
  <c r="AN194" i="3"/>
  <c r="AO194" i="3" s="1"/>
  <c r="AU194" i="3"/>
  <c r="AS194" i="3" s="1"/>
  <c r="AP206" i="3"/>
  <c r="AQ206" i="3" s="1"/>
  <c r="AV206" i="3"/>
  <c r="AP202" i="3"/>
  <c r="AQ202" i="3" s="1"/>
  <c r="AV202" i="3"/>
  <c r="AP195" i="3"/>
  <c r="AQ195" i="3" s="1"/>
  <c r="AV195" i="3"/>
  <c r="AT210" i="3"/>
  <c r="AW210" i="3"/>
  <c r="AP199" i="3"/>
  <c r="AQ199" i="3" s="1"/>
  <c r="AV199" i="3"/>
  <c r="AP200" i="3"/>
  <c r="AQ200" i="3" s="1"/>
  <c r="AV200" i="3"/>
  <c r="AP191" i="3"/>
  <c r="AQ191" i="3" s="1"/>
  <c r="AV191" i="3"/>
  <c r="AW207" i="3"/>
  <c r="AT207" i="3"/>
  <c r="AT192" i="3"/>
  <c r="AW192" i="3"/>
  <c r="AP197" i="3"/>
  <c r="AQ197" i="3" s="1"/>
  <c r="AV197" i="3"/>
  <c r="AT201" i="3"/>
  <c r="AW201" i="3"/>
  <c r="AT209" i="3"/>
  <c r="AW209" i="3"/>
  <c r="AN193" i="3"/>
  <c r="AO193" i="3" s="1"/>
  <c r="AU193" i="3"/>
  <c r="AS193" i="3" s="1"/>
  <c r="AP208" i="3"/>
  <c r="AQ208" i="3" s="1"/>
  <c r="AV208" i="3"/>
  <c r="AP205" i="3"/>
  <c r="AQ205" i="3" s="1"/>
  <c r="AV205" i="3"/>
  <c r="AV196" i="3" l="1"/>
  <c r="AT198" i="3"/>
  <c r="AT208" i="3"/>
  <c r="AW208" i="3"/>
  <c r="AW197" i="3"/>
  <c r="AT197" i="3"/>
  <c r="AT200" i="3"/>
  <c r="AW200" i="3"/>
  <c r="AW195" i="3"/>
  <c r="AT195" i="3"/>
  <c r="AW205" i="3"/>
  <c r="AT205" i="3"/>
  <c r="AW206" i="3"/>
  <c r="AT206" i="3"/>
  <c r="AP194" i="3"/>
  <c r="AQ194" i="3" s="1"/>
  <c r="AV194" i="3"/>
  <c r="AT199" i="3"/>
  <c r="AW199" i="3"/>
  <c r="AW204" i="3"/>
  <c r="AT204" i="3"/>
  <c r="AW196" i="3"/>
  <c r="AT196" i="3"/>
  <c r="AW202" i="3"/>
  <c r="AT202" i="3"/>
  <c r="AT203" i="3"/>
  <c r="AW203" i="3"/>
  <c r="AW191" i="3"/>
  <c r="AT191" i="3"/>
  <c r="AP193" i="3"/>
  <c r="AQ193" i="3" s="1"/>
  <c r="AV193" i="3"/>
  <c r="AW194" i="3" l="1"/>
  <c r="AT194" i="3"/>
  <c r="AT193" i="3"/>
  <c r="AW19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tc={637E471D-F22F-4BF8-BE90-97D8BA0ADA31}</author>
  </authors>
  <commentList>
    <comment ref="C24" authorId="0" shapeId="0" xr:uid="{637E471D-F22F-4BF8-BE90-97D8BA0A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Coil manufacturers recommend speeds &gt; 2.5 because this is the transition to turbulent flow, as evidenced by this Reynolds number calculation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tc={C354CDA8-FD93-48E9-B63C-01FD27B7A8EE}</author>
    <author>tc={38DEF251-737A-40C0-AC0C-F4491D1B4ECC}</author>
    <author>tc={63497A73-B59D-4AD0-956E-4036EE837206}</author>
  </authors>
  <commentList>
    <comment ref="H3" authorId="0" shapeId="0" xr:uid="{C354CDA8-FD93-48E9-B63C-01FD27B7A8E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EnergyPlus engineering reference, pg. 815, assumes some water vapor</t>
      </text>
    </comment>
    <comment ref="H4" authorId="1" shapeId="0" xr:uid="{38DEF251-737A-40C0-AC0C-F4491D1B4E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EnergyPlus engineering reference, pg. 815</t>
      </text>
    </comment>
    <comment ref="D87" authorId="2" shapeId="0" xr:uid="{63497A73-B59D-4AD0-956E-4036EE837206}">
      <text>
        <t>[Threaded comment]
Your version of Excel allows you to read this threaded comment; however, any edits to it will get removed if the file is opened in a newer version of Excel. Learn more: https://go.microsoft.com/fwlink/?linkid=870924
Comment:
    I actually think the equation as written is incorrect. It only subtracts the tube area from 1 fin side, instead of all fin sides</t>
      </text>
    </comment>
  </commentList>
</comments>
</file>

<file path=xl/sharedStrings.xml><?xml version="1.0" encoding="utf-8"?>
<sst xmlns="http://schemas.openxmlformats.org/spreadsheetml/2006/main" count="540" uniqueCount="330">
  <si>
    <t>Example Coil</t>
  </si>
  <si>
    <t>1st floor 1P-6</t>
  </si>
  <si>
    <t>Air flow</t>
  </si>
  <si>
    <t>CFM</t>
  </si>
  <si>
    <t>Entering Air Temp</t>
  </si>
  <si>
    <t>Leaving Air Temp</t>
  </si>
  <si>
    <t>Specific Heat Air</t>
  </si>
  <si>
    <t>BTU/lb-°F</t>
  </si>
  <si>
    <t>Specific Heat Water</t>
  </si>
  <si>
    <t>Air specific volume</t>
  </si>
  <si>
    <t>ft³/lb</t>
  </si>
  <si>
    <t>Water density</t>
  </si>
  <si>
    <t>lb/ft³</t>
  </si>
  <si>
    <t>gal/min</t>
  </si>
  <si>
    <t>Water flow</t>
  </si>
  <si>
    <t>Air energy</t>
  </si>
  <si>
    <t>BTU/hr</t>
  </si>
  <si>
    <t>Water energy</t>
  </si>
  <si>
    <t>lb/gal</t>
  </si>
  <si>
    <t>Water entering temp</t>
  </si>
  <si>
    <t>Water leaving temp</t>
  </si>
  <si>
    <t>°F</t>
  </si>
  <si>
    <t>Entering Air Wetbulb</t>
  </si>
  <si>
    <t>Entering Air Specific Volume</t>
  </si>
  <si>
    <t>Air Capacity</t>
  </si>
  <si>
    <t>Mass flow rate</t>
  </si>
  <si>
    <t>lb/hr</t>
  </si>
  <si>
    <t>Water mass flow rate</t>
  </si>
  <si>
    <t>BTU/°F</t>
  </si>
  <si>
    <t>Water capacity</t>
  </si>
  <si>
    <t>Pr</t>
  </si>
  <si>
    <t>Prantl number water ~ 60°F</t>
  </si>
  <si>
    <t>mu</t>
  </si>
  <si>
    <t>N s /m2</t>
  </si>
  <si>
    <t>specific volume water</t>
  </si>
  <si>
    <t>m3/kg</t>
  </si>
  <si>
    <t>kinematic viscosity</t>
  </si>
  <si>
    <t>m2/s</t>
  </si>
  <si>
    <t>Outer Diameter Coil Tube</t>
  </si>
  <si>
    <t>in</t>
  </si>
  <si>
    <t>Wall thickness</t>
  </si>
  <si>
    <t>Inner Diameter Coil Tube</t>
  </si>
  <si>
    <t>m</t>
  </si>
  <si>
    <t>Velocity (fps)</t>
  </si>
  <si>
    <t>Re</t>
  </si>
  <si>
    <t>Velocity (m/s)</t>
  </si>
  <si>
    <t>NuD</t>
  </si>
  <si>
    <t>Thermal conductivity water</t>
  </si>
  <si>
    <t>W/m-K</t>
  </si>
  <si>
    <t>dh/dV (W/m2-K) / (m/s)</t>
  </si>
  <si>
    <t>h (W/m2-K)</t>
  </si>
  <si>
    <t>Air Volumetric Flow Rate</t>
  </si>
  <si>
    <t>Coil Height</t>
  </si>
  <si>
    <t>Coil Width</t>
  </si>
  <si>
    <t>Fin thickness</t>
  </si>
  <si>
    <t>Fins per inch</t>
  </si>
  <si>
    <t>Fin spacing</t>
  </si>
  <si>
    <t>Rows</t>
  </si>
  <si>
    <t>1/2" tube</t>
  </si>
  <si>
    <t>5/8" tube</t>
  </si>
  <si>
    <t>Coil Depth</t>
  </si>
  <si>
    <t>fins/in</t>
  </si>
  <si>
    <t>Total # of Fins</t>
  </si>
  <si>
    <t>Ap</t>
  </si>
  <si>
    <t>Number of Rows</t>
  </si>
  <si>
    <t>Count</t>
  </si>
  <si>
    <t>Tube OD</t>
  </si>
  <si>
    <t>Percent fins</t>
  </si>
  <si>
    <t>Number of Tubes</t>
  </si>
  <si>
    <t>Percent non-fin</t>
  </si>
  <si>
    <t>As</t>
  </si>
  <si>
    <t>Tube Outer Area</t>
  </si>
  <si>
    <t>Ao</t>
  </si>
  <si>
    <t>Am,f</t>
  </si>
  <si>
    <t>Min cross-sectional area: This accounts for the cross-sectional area of the tubes</t>
  </si>
  <si>
    <t>Equation 77, Area of exposed tube</t>
  </si>
  <si>
    <t>Equation 78, Fin area</t>
  </si>
  <si>
    <t>Equation 79, Total air side heat transfer area</t>
  </si>
  <si>
    <t>Ai,w</t>
  </si>
  <si>
    <t>Tube thickness</t>
  </si>
  <si>
    <t>Tube ID</t>
  </si>
  <si>
    <t>Equivalent Fin Diameter</t>
  </si>
  <si>
    <t>Distance between tube rows</t>
  </si>
  <si>
    <t>C1</t>
  </si>
  <si>
    <t>C2</t>
  </si>
  <si>
    <t>Fin Length</t>
  </si>
  <si>
    <t>Hydraulic Diameter</t>
  </si>
  <si>
    <t>From Dissertation:</t>
  </si>
  <si>
    <t>Air density</t>
  </si>
  <si>
    <t>m/s</t>
  </si>
  <si>
    <t>ft/min</t>
  </si>
  <si>
    <t>Reynolds Number</t>
  </si>
  <si>
    <t>Stanton Number</t>
  </si>
  <si>
    <t>J/kg-K</t>
  </si>
  <si>
    <t>Tube Material</t>
  </si>
  <si>
    <t>Copper</t>
  </si>
  <si>
    <t>Copper thermal conductivity</t>
  </si>
  <si>
    <t>Aluminum thermal conductivity</t>
  </si>
  <si>
    <t>K/W</t>
  </si>
  <si>
    <t>Tube Outer Radius</t>
  </si>
  <si>
    <t>Equivalent Fin Radius</t>
  </si>
  <si>
    <t>1/m</t>
  </si>
  <si>
    <t>C2 (circular fin)</t>
  </si>
  <si>
    <t>m r1</t>
  </si>
  <si>
    <t>m r2</t>
  </si>
  <si>
    <t>Fin Numerator</t>
  </si>
  <si>
    <t>Fin Denominator</t>
  </si>
  <si>
    <t>Dry Fin efficiency</t>
  </si>
  <si>
    <t>Dry Overall efficiency</t>
  </si>
  <si>
    <t>Dry</t>
  </si>
  <si>
    <t>m (Dry)</t>
  </si>
  <si>
    <t>Wet</t>
  </si>
  <si>
    <t>m (Wet)</t>
  </si>
  <si>
    <t>Temperature (C)</t>
  </si>
  <si>
    <t>Temperature (F)</t>
  </si>
  <si>
    <t>Saturated Partial Pressure (psia)</t>
  </si>
  <si>
    <t>Saturated Air Enthalpy (BTU/lb)</t>
  </si>
  <si>
    <t>Saturated Air Enthalpy (J/kg)</t>
  </si>
  <si>
    <t>See Incropera pg. 151</t>
  </si>
  <si>
    <t>Wet Fin Efficiency</t>
  </si>
  <si>
    <t>Wet Overall Efficiency</t>
  </si>
  <si>
    <t>All Wet Case</t>
  </si>
  <si>
    <t>Wall Resistance, Rm</t>
  </si>
  <si>
    <t>Wall Resistance calc 2, Rm</t>
  </si>
  <si>
    <t>a</t>
  </si>
  <si>
    <t>b</t>
  </si>
  <si>
    <t>Average Temp</t>
  </si>
  <si>
    <t>Average Enthalpy</t>
  </si>
  <si>
    <t>Total Resistance</t>
  </si>
  <si>
    <t>Wet air side resistance, Re,w</t>
  </si>
  <si>
    <t>Wet air side resistance, Ra,w</t>
  </si>
  <si>
    <t>Total Resistance, wet air side</t>
  </si>
  <si>
    <t>All Cases</t>
  </si>
  <si>
    <t>GPM</t>
  </si>
  <si>
    <t>Water flow, GPM</t>
  </si>
  <si>
    <t>Tube Inner Area</t>
  </si>
  <si>
    <t>Water Velocity</t>
  </si>
  <si>
    <t>fps</t>
  </si>
  <si>
    <t>Water Re</t>
  </si>
  <si>
    <t>Air</t>
  </si>
  <si>
    <t>Water</t>
  </si>
  <si>
    <t>Property</t>
  </si>
  <si>
    <t>Thermal Conductivity</t>
  </si>
  <si>
    <t>Internal Thermal Resistance, Ri</t>
  </si>
  <si>
    <t>N</t>
  </si>
  <si>
    <t>Mass flow rate, air</t>
  </si>
  <si>
    <t>kg/s</t>
  </si>
  <si>
    <t>lbm/hr</t>
  </si>
  <si>
    <t>s/kg</t>
  </si>
  <si>
    <t>J/kg</t>
  </si>
  <si>
    <t>X'</t>
  </si>
  <si>
    <t>Y'</t>
  </si>
  <si>
    <t>Mass flow rate, water</t>
  </si>
  <si>
    <t>Specific Heat</t>
  </si>
  <si>
    <t>1/UcAo</t>
  </si>
  <si>
    <t>(J/kg) / W</t>
  </si>
  <si>
    <t>UcAo</t>
  </si>
  <si>
    <t>W / (J/kg)</t>
  </si>
  <si>
    <t>Z'</t>
  </si>
  <si>
    <t>W'</t>
  </si>
  <si>
    <t>K3</t>
  </si>
  <si>
    <t>K4</t>
  </si>
  <si>
    <t>K5</t>
  </si>
  <si>
    <t>K6</t>
  </si>
  <si>
    <t>Unitless</t>
  </si>
  <si>
    <t>kg-K/J</t>
  </si>
  <si>
    <t>Entering Air Dry Bulb</t>
  </si>
  <si>
    <t>Entering Air Wet Bulb</t>
  </si>
  <si>
    <t>Entering Air Enthalpy</t>
  </si>
  <si>
    <t>specific volume</t>
  </si>
  <si>
    <t>Entering Water Temperature</t>
  </si>
  <si>
    <t>°C</t>
  </si>
  <si>
    <t>Entering Air w*</t>
  </si>
  <si>
    <t>BTU/lb</t>
  </si>
  <si>
    <t>Sum of Constant Resistances (Rm + Ri + Rf)</t>
  </si>
  <si>
    <t>Rx</t>
  </si>
  <si>
    <t>1/(Rx+1)</t>
  </si>
  <si>
    <t>Rx/b</t>
  </si>
  <si>
    <t>Leaving Air Enthalpy ha,3</t>
  </si>
  <si>
    <t>psia</t>
  </si>
  <si>
    <t>Leaving Water Temperature, Tw,2</t>
  </si>
  <si>
    <t>Ent. Air side Coil Surface Temp Ts,2</t>
  </si>
  <si>
    <t>Leav. Air Side Coil Surface Temp, Ts,3</t>
  </si>
  <si>
    <t>Entering Air Dew Point Temperature</t>
  </si>
  <si>
    <t>Entering Air Partial Pressure</t>
  </si>
  <si>
    <t>Is coil completely Wet?</t>
  </si>
  <si>
    <t>Is coil completely Dry?</t>
  </si>
  <si>
    <t>m³/s</t>
  </si>
  <si>
    <t>kg/m³</t>
  </si>
  <si>
    <t>m³/kg</t>
  </si>
  <si>
    <t>N s /m²</t>
  </si>
  <si>
    <t>m²/s</t>
  </si>
  <si>
    <t>m²</t>
  </si>
  <si>
    <t>W/m²-K</t>
  </si>
  <si>
    <t>All Dry Case</t>
  </si>
  <si>
    <t>X</t>
  </si>
  <si>
    <t>Y</t>
  </si>
  <si>
    <t>1/UAo</t>
  </si>
  <si>
    <t>Ro</t>
  </si>
  <si>
    <t>UAo</t>
  </si>
  <si>
    <t>W/K</t>
  </si>
  <si>
    <t>Z</t>
  </si>
  <si>
    <t>W</t>
  </si>
  <si>
    <t>K1</t>
  </si>
  <si>
    <t>K2</t>
  </si>
  <si>
    <t>Leaving Air Temp, Ta,2</t>
  </si>
  <si>
    <t>Entering Air Temp, Ta,1</t>
  </si>
  <si>
    <t>Entering Water Temp, Tw,2</t>
  </si>
  <si>
    <t>Leaving Water Temp, Tw,3</t>
  </si>
  <si>
    <t>Partial Wet/Partial Dry</t>
  </si>
  <si>
    <t>% Wet</t>
  </si>
  <si>
    <t>Dry Overall Area, Ao (m²)</t>
  </si>
  <si>
    <t>Wet Overall Area, Ao (m2)</t>
  </si>
  <si>
    <t>Modified Wet UcAo (W / (J/kg))</t>
  </si>
  <si>
    <t>X+Y</t>
  </si>
  <si>
    <t>X'+Y'</t>
  </si>
  <si>
    <t>Test fractions of %wet until Ts,2 = Entering Dew Point Temperature</t>
  </si>
  <si>
    <t>W (K/W)</t>
  </si>
  <si>
    <t>W' (s/kg)</t>
  </si>
  <si>
    <t>K6 (kg-K/J)</t>
  </si>
  <si>
    <t>Tw,2 (°C)</t>
  </si>
  <si>
    <t>Ts,2 (°C)</t>
  </si>
  <si>
    <t>Modified Total Dry Resistance (K/W)</t>
  </si>
  <si>
    <t>Modified dry, air-side resistance (K/W)</t>
  </si>
  <si>
    <t>Ta,2 (°C)</t>
  </si>
  <si>
    <t>Ts,2 - Tdp</t>
  </si>
  <si>
    <t>Q sensible</t>
  </si>
  <si>
    <t>Q total</t>
  </si>
  <si>
    <t>kW</t>
  </si>
  <si>
    <t>Leaving Air Temperature, Ta,3</t>
  </si>
  <si>
    <t>Entering Air w</t>
  </si>
  <si>
    <t>Sat. Air Enthalpy @ Water Ent. Temp</t>
  </si>
  <si>
    <t>Air Velocity through minimum area</t>
  </si>
  <si>
    <t>Air Face Velocity</t>
  </si>
  <si>
    <t>Face Area</t>
  </si>
  <si>
    <t>ft2</t>
  </si>
  <si>
    <t>m2</t>
  </si>
  <si>
    <t>ft</t>
  </si>
  <si>
    <t>Experimental/Analytical Data from "A Simple Model for Cooling and Dehumidifying Coils for Use in Calculating Energy Requirements for Buildings, 1977</t>
  </si>
  <si>
    <t>Table 1</t>
  </si>
  <si>
    <t>4 row coil</t>
  </si>
  <si>
    <t>Test</t>
  </si>
  <si>
    <t>Air Face Velocity (fpm)</t>
  </si>
  <si>
    <t>Tdb (F)</t>
  </si>
  <si>
    <t>Twb (F)</t>
  </si>
  <si>
    <t>Tw (F)</t>
  </si>
  <si>
    <t>Expt.</t>
  </si>
  <si>
    <t>Anal.</t>
  </si>
  <si>
    <t>Condition</t>
  </si>
  <si>
    <t>Delta Tdb</t>
  </si>
  <si>
    <t>Delta WT</t>
  </si>
  <si>
    <t>Qtotal</t>
  </si>
  <si>
    <t>Qsensible</t>
  </si>
  <si>
    <t>Dry-Wet</t>
  </si>
  <si>
    <t>Table 2</t>
  </si>
  <si>
    <t>8 row coil</t>
  </si>
  <si>
    <t>Dry/Wet</t>
  </si>
  <si>
    <t>Number of Tubes/Row, # of circuits</t>
  </si>
  <si>
    <t>Air Delta T</t>
  </si>
  <si>
    <t>Min flow area/Face Area, Ar</t>
  </si>
  <si>
    <t>Elmahdy dimensions pg. 68(80) in dissertation</t>
  </si>
  <si>
    <t>Water Delta T</t>
  </si>
  <si>
    <t>Fin thickness/Hydraulic Diameter (Ft/Dh)</t>
  </si>
  <si>
    <t>Fin thickness/Fin length (Ft/Fh)</t>
  </si>
  <si>
    <t>Fin Diameter, eq/Distance between tube rows (Fd/Sl)</t>
  </si>
  <si>
    <t>Dry heat transfer coefficient, ho, fo</t>
  </si>
  <si>
    <t>Adjusted wet heat transfer coefficient, ho,w fo,w</t>
  </si>
  <si>
    <t>Sat. Partial pressure @ Water Ent. Temp</t>
  </si>
  <si>
    <t>in²</t>
  </si>
  <si>
    <t>(X - Xave) (Y-Yave)</t>
  </si>
  <si>
    <t>(X - Xave)²</t>
  </si>
  <si>
    <t>E/D</t>
  </si>
  <si>
    <t>mm</t>
  </si>
  <si>
    <t>Roughness, E</t>
  </si>
  <si>
    <t>https://docs.bentley.com/LiveContent/web/Bentley%20HAMMER%20SS6-v1/en/GUID-3EB84F7E-B48C-4063-99B9-D3EDCFD864C8.html</t>
  </si>
  <si>
    <t>f</t>
  </si>
  <si>
    <t>1/sqrt(f)</t>
  </si>
  <si>
    <t>Pipe DP</t>
  </si>
  <si>
    <t>Haaland equation: https://en.wikipedia.org/wiki/Darcy_friction_factor_formulae</t>
  </si>
  <si>
    <t>Total pipe length</t>
  </si>
  <si>
    <t>Number of Passes</t>
  </si>
  <si>
    <t>m H2O</t>
  </si>
  <si>
    <t>ft H2O</t>
  </si>
  <si>
    <t>Water Nu [1]</t>
  </si>
  <si>
    <t>Water heat transfer coefficient, hi, fi, [1]</t>
  </si>
  <si>
    <t>Using 0.023 *  Re^0.8 Pr^0.4 formulation</t>
  </si>
  <si>
    <t>Water heat transfer coefficient, hi, fi [2]</t>
  </si>
  <si>
    <t>Using 1429[1+0.0146 Tw,m] V^0.8 Di^-0.2</t>
  </si>
  <si>
    <t>Used Water heat transfer coefficient, hi, fi</t>
  </si>
  <si>
    <t>Water DT</t>
  </si>
  <si>
    <t>Correlation Used</t>
  </si>
  <si>
    <t>Mean Water Temp</t>
  </si>
  <si>
    <t>ha,3</t>
  </si>
  <si>
    <t>Saturated Humidity Ratio</t>
  </si>
  <si>
    <t>Ta,2 (°F)</t>
  </si>
  <si>
    <t>ha,2 (BTU/lb)</t>
  </si>
  <si>
    <t>ha,2 (J/kg)</t>
  </si>
  <si>
    <t>Ta,3 (°C)</t>
  </si>
  <si>
    <t>Ta,3 (°F)</t>
  </si>
  <si>
    <t>Air DT (°F)</t>
  </si>
  <si>
    <t>Water DT (°F)</t>
  </si>
  <si>
    <t>Tw3 (°C)</t>
  </si>
  <si>
    <t>Tw3 (°F)</t>
  </si>
  <si>
    <t>Mean water temperature for [2]</t>
  </si>
  <si>
    <t>Q total/sensible</t>
  </si>
  <si>
    <t>Q total (kW)</t>
  </si>
  <si>
    <t>Q total (BTU/hr)</t>
  </si>
  <si>
    <t>Q sensible (BTU/hr)</t>
  </si>
  <si>
    <t>SHR</t>
  </si>
  <si>
    <t>Q sensible (kW)</t>
  </si>
  <si>
    <t>Modified Dry UAo (W/K)</t>
  </si>
  <si>
    <t>Ts,3 (°C)</t>
  </si>
  <si>
    <t>abs(Ts,2 - Tdp)</t>
  </si>
  <si>
    <t>Air DT</t>
  </si>
  <si>
    <t>Fouling Resistance</t>
  </si>
  <si>
    <t>Rf</t>
  </si>
  <si>
    <t>Fouling Factor</t>
  </si>
  <si>
    <t>m2-K/W</t>
  </si>
  <si>
    <t>Resistances</t>
  </si>
  <si>
    <t>Air side, dry</t>
  </si>
  <si>
    <t>Ra,dry</t>
  </si>
  <si>
    <t>Ra, wet</t>
  </si>
  <si>
    <t>Air side, wet</t>
  </si>
  <si>
    <t>Water side</t>
  </si>
  <si>
    <t>Fouling</t>
  </si>
  <si>
    <t>Tube wall</t>
  </si>
  <si>
    <t>K/W * 10^6</t>
  </si>
  <si>
    <t>Fin spacing/Fin length (Fs/Fh)</t>
  </si>
  <si>
    <t>Fin thickness/Fin spacing (Ft/Fs)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</si>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</sst>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0"/>
    <numFmt numFmtId="166" formatCode="#,##0.00000"/>
    <numFmt numFmtId="167" formatCode="0.0000"/>
    <numFmt numFmtId="168" formatCode="0.00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ill="1" applyBorder="1"/>
    <xf numFmtId="11" fontId="0" fillId="0" borderId="0" xfId="0" applyNumberFormat="1" applyBorder="1"/>
    <xf numFmtId="3" fontId="0" fillId="0" borderId="0" xfId="0" applyNumberFormat="1" applyBorder="1"/>
    <xf numFmtId="0" fontId="0" fillId="3" borderId="0" xfId="0" applyFill="1"/>
    <xf numFmtId="164" fontId="0" fillId="0" borderId="3" xfId="0" applyNumberFormat="1" applyBorder="1"/>
    <xf numFmtId="164" fontId="0" fillId="0" borderId="1" xfId="0" applyNumberFormat="1" applyBorder="1"/>
    <xf numFmtId="169" fontId="0" fillId="0" borderId="0" xfId="0" applyNumberFormat="1" applyFill="1"/>
    <xf numFmtId="0" fontId="0" fillId="3" borderId="3" xfId="0" applyFill="1" applyBorder="1"/>
    <xf numFmtId="0" fontId="0" fillId="0" borderId="7" xfId="0" applyFill="1" applyBorder="1"/>
    <xf numFmtId="0" fontId="0" fillId="0" borderId="3" xfId="0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Border="1"/>
    <xf numFmtId="0" fontId="0" fillId="0" borderId="7" xfId="0" applyBorder="1"/>
    <xf numFmtId="1" fontId="0" fillId="0" borderId="0" xfId="0" applyNumberFormat="1"/>
    <xf numFmtId="2" fontId="0" fillId="0" borderId="0" xfId="0" applyNumberFormat="1" applyBorder="1"/>
    <xf numFmtId="0" fontId="0" fillId="0" borderId="10" xfId="0" applyBorder="1"/>
    <xf numFmtId="0" fontId="0" fillId="0" borderId="12" xfId="0" applyFill="1" applyBorder="1"/>
    <xf numFmtId="164" fontId="0" fillId="3" borderId="0" xfId="0" applyNumberFormat="1" applyFill="1"/>
    <xf numFmtId="164" fontId="0" fillId="0" borderId="11" xfId="0" applyNumberFormat="1" applyBorder="1"/>
    <xf numFmtId="0" fontId="0" fillId="3" borderId="0" xfId="0" applyFill="1" applyBorder="1"/>
    <xf numFmtId="3" fontId="0" fillId="3" borderId="3" xfId="0" applyNumberFormat="1" applyFill="1" applyBorder="1"/>
    <xf numFmtId="167" fontId="0" fillId="0" borderId="0" xfId="0" applyNumberFormat="1" applyBorder="1"/>
    <xf numFmtId="169" fontId="0" fillId="0" borderId="0" xfId="0" applyNumberFormat="1" applyBorder="1"/>
    <xf numFmtId="164" fontId="0" fillId="0" borderId="0" xfId="0" applyNumberFormat="1" applyBorder="1"/>
    <xf numFmtId="4" fontId="0" fillId="0" borderId="0" xfId="0" applyNumberForma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8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4" xfId="0" applyFont="1" applyBorder="1"/>
    <xf numFmtId="0" fontId="1" fillId="0" borderId="0" xfId="0" applyFont="1" applyBorder="1"/>
    <xf numFmtId="169" fontId="0" fillId="0" borderId="19" xfId="0" applyNumberFormat="1" applyBorder="1"/>
    <xf numFmtId="3" fontId="0" fillId="0" borderId="19" xfId="0" applyNumberFormat="1" applyBorder="1"/>
    <xf numFmtId="2" fontId="0" fillId="0" borderId="19" xfId="0" applyNumberFormat="1" applyBorder="1"/>
    <xf numFmtId="11" fontId="0" fillId="0" borderId="19" xfId="0" applyNumberFormat="1" applyBorder="1"/>
    <xf numFmtId="48" fontId="0" fillId="0" borderId="19" xfId="0" applyNumberFormat="1" applyBorder="1"/>
    <xf numFmtId="4" fontId="0" fillId="0" borderId="19" xfId="0" applyNumberFormat="1" applyBorder="1"/>
    <xf numFmtId="0" fontId="1" fillId="0" borderId="9" xfId="0" applyFont="1" applyBorder="1"/>
    <xf numFmtId="0" fontId="0" fillId="0" borderId="9" xfId="0" applyBorder="1"/>
    <xf numFmtId="16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'Internal h'!$A$18:$A$64</c:f>
              <c:numCache>
                <c:formatCode>General</c:formatCode>
                <c:ptCount val="4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</c:numCache>
            </c:numRef>
          </c:xVal>
          <c:yVal>
            <c:numRef>
              <c:f>'Internal h'!$E$18:$E$64</c:f>
              <c:numCache>
                <c:formatCode>#,##0</c:formatCode>
                <c:ptCount val="47"/>
                <c:pt idx="0">
                  <c:v>1659.1700197375774</c:v>
                </c:pt>
                <c:pt idx="1">
                  <c:v>1983.4392449408949</c:v>
                </c:pt>
                <c:pt idx="2">
                  <c:v>2294.9007025399715</c:v>
                </c:pt>
                <c:pt idx="3">
                  <c:v>2596.0994825194202</c:v>
                </c:pt>
                <c:pt idx="4">
                  <c:v>2888.7827905731742</c:v>
                </c:pt>
                <c:pt idx="5">
                  <c:v>3174.2191408156232</c:v>
                </c:pt>
                <c:pt idx="6">
                  <c:v>3453.3683038938711</c:v>
                </c:pt>
                <c:pt idx="7">
                  <c:v>3726.9798670556288</c:v>
                </c:pt>
                <c:pt idx="8">
                  <c:v>3995.6541986096854</c:v>
                </c:pt>
                <c:pt idx="9">
                  <c:v>4259.8821104545568</c:v>
                </c:pt>
                <c:pt idx="10">
                  <c:v>4520.0717337601136</c:v>
                </c:pt>
                <c:pt idx="11">
                  <c:v>4776.5673514211585</c:v>
                </c:pt>
                <c:pt idx="12">
                  <c:v>5029.6629711472533</c:v>
                </c:pt>
                <c:pt idx="13">
                  <c:v>5279.612345299005</c:v>
                </c:pt>
                <c:pt idx="14">
                  <c:v>5526.6365221247606</c:v>
                </c:pt>
                <c:pt idx="15">
                  <c:v>5770.9296400000749</c:v>
                </c:pt>
                <c:pt idx="16">
                  <c:v>6012.6634444475803</c:v>
                </c:pt>
                <c:pt idx="17">
                  <c:v>6251.9908592476977</c:v>
                </c:pt>
                <c:pt idx="18">
                  <c:v>6489.0488453171893</c:v>
                </c:pt>
                <c:pt idx="19">
                  <c:v>6723.9607153052057</c:v>
                </c:pt>
                <c:pt idx="20">
                  <c:v>6956.8380266723661</c:v>
                </c:pt>
                <c:pt idx="21">
                  <c:v>7187.7821443670164</c:v>
                </c:pt>
                <c:pt idx="22">
                  <c:v>7416.8855416625929</c:v>
                </c:pt>
                <c:pt idx="23">
                  <c:v>7644.2328914026566</c:v>
                </c:pt>
                <c:pt idx="24">
                  <c:v>7869.9019879275102</c:v>
                </c:pt>
                <c:pt idx="25">
                  <c:v>8093.9645310561054</c:v>
                </c:pt>
                <c:pt idx="26">
                  <c:v>8316.4867968031249</c:v>
                </c:pt>
                <c:pt idx="27">
                  <c:v>8537.530214420658</c:v>
                </c:pt>
                <c:pt idx="28">
                  <c:v>8757.1518654437969</c:v>
                </c:pt>
                <c:pt idx="29">
                  <c:v>8975.4049173875155</c:v>
                </c:pt>
                <c:pt idx="30">
                  <c:v>9192.3390023704414</c:v>
                </c:pt>
                <c:pt idx="31">
                  <c:v>9408.0005490713302</c:v>
                </c:pt>
                <c:pt idx="32">
                  <c:v>9622.4330749372857</c:v>
                </c:pt>
                <c:pt idx="33">
                  <c:v>9835.6774443739268</c:v>
                </c:pt>
                <c:pt idx="34">
                  <c:v>10047.772097688718</c:v>
                </c:pt>
                <c:pt idx="35">
                  <c:v>10258.753254782263</c:v>
                </c:pt>
                <c:pt idx="36">
                  <c:v>10468.655096947712</c:v>
                </c:pt>
                <c:pt idx="37">
                  <c:v>10677.509929619126</c:v>
                </c:pt>
                <c:pt idx="38">
                  <c:v>10885.348328480606</c:v>
                </c:pt>
                <c:pt idx="39">
                  <c:v>11092.19927099228</c:v>
                </c:pt>
                <c:pt idx="40">
                  <c:v>11298.090255093866</c:v>
                </c:pt>
                <c:pt idx="41">
                  <c:v>11503.047406598267</c:v>
                </c:pt>
                <c:pt idx="42">
                  <c:v>11707.095576579914</c:v>
                </c:pt>
                <c:pt idx="43">
                  <c:v>11910.258429887219</c:v>
                </c:pt>
                <c:pt idx="44">
                  <c:v>12112.55852575905</c:v>
                </c:pt>
                <c:pt idx="45">
                  <c:v>12314.017391399484</c:v>
                </c:pt>
                <c:pt idx="46">
                  <c:v>12514.655589257061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8-4BEC-9B9F-CBB350E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33359"/>
        <c:axId val="185561995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h'!$A$18:$A$64</c:f>
              <c:numCache>
                <c:formatCode>General</c:formatCode>
                <c:ptCount val="4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</c:numCache>
            </c:numRef>
          </c:xVal>
          <c:yVal>
            <c:numRef>
              <c:f>'Internal h'!$F$18:$F$64</c:f>
              <c:numCache>
                <c:formatCode>#,##0.00</c:formatCode>
                <c:ptCount val="47"/>
                <c:pt idx="0">
                  <c:v>4354.7769546917989</c:v>
                </c:pt>
                <c:pt idx="1">
                  <c:v>4164.701826647547</c:v>
                </c:pt>
                <c:pt idx="2">
                  <c:v>4015.5742826596124</c:v>
                </c:pt>
                <c:pt idx="3">
                  <c:v>3893.662515964631</c:v>
                </c:pt>
                <c:pt idx="4">
                  <c:v>3791.0535309359261</c:v>
                </c:pt>
                <c:pt idx="5">
                  <c:v>3702.7928151829938</c:v>
                </c:pt>
                <c:pt idx="6">
                  <c:v>3625.5835211484186</c:v>
                </c:pt>
                <c:pt idx="7">
                  <c:v>3557.127050399069</c:v>
                </c:pt>
                <c:pt idx="8">
                  <c:v>3495.7604537267557</c:v>
                </c:pt>
                <c:pt idx="9">
                  <c:v>3440.2439817924906</c:v>
                </c:pt>
                <c:pt idx="10">
                  <c:v>3389.630096558014</c:v>
                </c:pt>
                <c:pt idx="11">
                  <c:v>3343.1792485887372</c:v>
                </c:pt>
                <c:pt idx="12">
                  <c:v>3300.303786842032</c:v>
                </c:pt>
                <c:pt idx="13">
                  <c:v>3260.5294706184968</c:v>
                </c:pt>
                <c:pt idx="14">
                  <c:v>3223.4683710263962</c:v>
                </c:pt>
                <c:pt idx="15">
                  <c:v>3188.7993590275273</c:v>
                </c:pt>
                <c:pt idx="16">
                  <c:v>3156.2537766129017</c:v>
                </c:pt>
                <c:pt idx="17">
                  <c:v>3125.6047290327174</c:v>
                </c:pt>
                <c:pt idx="18">
                  <c:v>3096.6589574407899</c:v>
                </c:pt>
                <c:pt idx="19">
                  <c:v>3069.2505832729453</c:v>
                </c:pt>
                <c:pt idx="20">
                  <c:v>3043.2362321401424</c:v>
                </c:pt>
                <c:pt idx="21">
                  <c:v>3018.4911892354935</c:v>
                </c:pt>
                <c:pt idx="22">
                  <c:v>2994.9063362255538</c:v>
                </c:pt>
                <c:pt idx="23">
                  <c:v>2972.3856873345567</c:v>
                </c:pt>
                <c:pt idx="24">
                  <c:v>2950.8443899240756</c:v>
                </c:pt>
                <c:pt idx="25">
                  <c:v>2930.2070888066296</c:v>
                </c:pt>
                <c:pt idx="26">
                  <c:v>2910.4065780588389</c:v>
                </c:pt>
                <c:pt idx="27">
                  <c:v>2891.3826820491608</c:v>
                </c:pt>
                <c:pt idx="28">
                  <c:v>2873.0813206836619</c:v>
                </c:pt>
                <c:pt idx="29">
                  <c:v>2855.4537238169123</c:v>
                </c:pt>
                <c:pt idx="30">
                  <c:v>2838.4557672905462</c:v>
                </c:pt>
                <c:pt idx="31">
                  <c:v>2822.0474087952953</c:v>
                </c:pt>
                <c:pt idx="32">
                  <c:v>2806.192206164269</c:v>
                </c:pt>
                <c:pt idx="33">
                  <c:v>2790.856904128229</c:v>
                </c:pt>
                <c:pt idx="34">
                  <c:v>2776.0110782397342</c:v>
                </c:pt>
                <c:pt idx="35">
                  <c:v>2761.6268267803398</c:v>
                </c:pt>
                <c:pt idx="36">
                  <c:v>2747.6785031358809</c:v>
                </c:pt>
                <c:pt idx="37">
                  <c:v>2734.1424824580049</c:v>
                </c:pt>
                <c:pt idx="38">
                  <c:v>2720.9969575004611</c:v>
                </c:pt>
                <c:pt idx="39">
                  <c:v>2708.2217593828427</c:v>
                </c:pt>
                <c:pt idx="40">
                  <c:v>2695.7981997360689</c:v>
                </c:pt>
                <c:pt idx="41">
                  <c:v>2683.7089312565167</c:v>
                </c:pt>
                <c:pt idx="42">
                  <c:v>2671.9378241652203</c:v>
                </c:pt>
                <c:pt idx="43">
                  <c:v>2660.4698564555156</c:v>
                </c:pt>
                <c:pt idx="44">
                  <c:v>2649.2910161327754</c:v>
                </c:pt>
                <c:pt idx="45">
                  <c:v>2638.3882139160096</c:v>
                </c:pt>
                <c:pt idx="46">
                  <c:v>2627.7492050933465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8-4BEC-9B9F-CBB350E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40623"/>
        <c:axId val="1852534799"/>
      </c:scatterChart>
      <c:valAx>
        <c:axId val="4687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velocity</a:t>
                </a:r>
                <a:r>
                  <a:rPr lang="en-US" baseline="0"/>
                  <a:t> through coil tube (fps)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19951"/>
        <c:crosses val="autoZero"/>
        <c:crossBetween val="midCat"/>
      </c:valAx>
      <c:valAx>
        <c:axId val="18556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Convective heat transfer coefficient (W/m2-K)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33359"/>
        <c:crosses val="autoZero"/>
        <c:crossBetween val="midCat"/>
      </c:valAx>
      <c:valAx>
        <c:axId val="185253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  <a:r>
                  <a:rPr lang="en-US" baseline="0"/>
                  <a:t> (W/m2-K) / (fps)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0623"/>
        <c:crosses val="max"/>
        <c:crossBetween val="midCat"/>
      </c:valAx>
      <c:valAx>
        <c:axId val="1852540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5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Resistances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Coil Model'!$J$144:$J$148</c:f>
              <c:strCache>
                <c:ptCount val="5"/>
                <c:pt idx="0">
                  <c:v>Air side, dry</c:v>
                </c:pt>
                <c:pt idx="1">
                  <c:v>Air side, wet</c:v>
                </c:pt>
                <c:pt idx="2">
                  <c:v>Water side</c:v>
                </c:pt>
                <c:pt idx="3">
                  <c:v>Fouling</c:v>
                </c:pt>
                <c:pt idx="4">
                  <c:v>Tube wall</c:v>
                </c:pt>
              </c:strCache>
            </c:strRef>
          </c:cat>
          <c:val>
            <c:numRef>
              <c:f>'Full Coil Model'!$K$144:$K$148</c:f>
              <c:numCache>
                <c:formatCode>0.0</c:formatCode>
                <c:ptCount val="5"/>
                <c:pt idx="0">
                  <c:v>175.81137170983462</c:v>
                </c:pt>
                <c:pt idx="1">
                  <c:v>155.30344764698887</c:v>
                </c:pt>
                <c:pt idx="2">
                  <c:v>75.192620903614241</c:v>
                </c:pt>
                <c:pt idx="3">
                  <c:v>13.965730025687737</c:v>
                </c:pt>
                <c:pt idx="4">
                  <c:v>0.44174815591250782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8-4238-A348-40F7CED9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9745471"/>
        <c:axId val="74585487"/>
      </c:barChart>
      <c:catAx>
        <c:axId val="7997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5487"/>
        <c:crosses val="autoZero"/>
        <c:auto val="1"/>
        <c:lblAlgn val="ctr"/>
        <c:lblOffset val="100"/>
        <c:noMultiLvlLbl val="0"/>
      </c:catAx>
      <c:valAx>
        <c:axId val="74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Resistance</a:t>
                </a:r>
                <a:r>
                  <a:rPr lang="en-US" baseline="0"/>
                  <a:t> (K/W x 10^6)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59354768153981"/>
                  <c:y val="-0.1161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'Saturated Air Enthalpy'!$A$3:$A$15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'Saturated Air Enthalpy'!$F$3:$F$15</c:f>
              <c:numCache>
                <c:formatCode>#,##0</c:formatCode>
                <c:ptCount val="13"/>
                <c:pt idx="0">
                  <c:v>42646.702768300784</c:v>
                </c:pt>
                <c:pt idx="1">
                  <c:v>44853.001973461796</c:v>
                </c:pt>
                <c:pt idx="2">
                  <c:v>47136.021749719024</c:v>
                </c:pt>
                <c:pt idx="3">
                  <c:v>49500.094460272703</c:v>
                </c:pt>
                <c:pt idx="4">
                  <c:v>51949.773192453104</c:v>
                </c:pt>
                <c:pt idx="5">
                  <c:v>54489.843024425594</c:v>
                </c:pt>
                <c:pt idx="6">
                  <c:v>57125.333008635127</c:v>
                </c:pt>
                <c:pt idx="7">
                  <c:v>59861.528933651978</c:v>
                </c:pt>
                <c:pt idx="8">
                  <c:v>62703.986932209962</c:v>
                </c:pt>
                <c:pt idx="9">
                  <c:v>65658.548010041355</c:v>
                </c:pt>
                <c:pt idx="10">
                  <c:v>68731.35357764423</c:v>
                </c:pt>
                <c:pt idx="11">
                  <c:v>71928.862075481447</c:v>
                </c:pt>
                <c:pt idx="12">
                  <c:v>75257.86679241313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F-4F83-9E65-5F258CCD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6320"/>
        <c:axId val="1055402975"/>
      </c:scatterChart>
      <c:valAx>
        <c:axId val="1614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02975"/>
        <c:crosses val="autoZero"/>
        <c:crossBetween val="midCat"/>
      </c:valAx>
      <c:valAx>
        <c:axId val="10554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(J/kg)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chart" Target="../charts/chart2.xml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23</xdr:row>
      <xdr:rowOff>101600</xdr:rowOff>
    </xdr:from>
    <xdr:to>
      <xdr:col>18</xdr:col>
      <xdr:colOff>63500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F67D-8EC3-433E-A329-72C0CB04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234950</xdr:colOff>
      <xdr:row>13</xdr:row>
      <xdr:rowOff>172369</xdr:rowOff>
    </xdr:from>
    <xdr:to>
      <xdr:col>5</xdr:col>
      <xdr:colOff>400438</xdr:colOff>
      <xdr:row>15</xdr:row>
      <xdr:rowOff>57193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3E1A-6407-4BA2-82DD-6FF64BA2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8750" y="2566319"/>
          <a:ext cx="2260988" cy="253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1259541</xdr:colOff>
      <xdr:row>0</xdr:row>
      <xdr:rowOff>0</xdr:rowOff>
    </xdr:from>
    <xdr:to>
      <xdr:col>28</xdr:col>
      <xdr:colOff>1650399</xdr:colOff>
      <xdr:row>69</xdr:row>
      <xdr:rowOff>172112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2A0EE-1F02-48E7-A6F4-683D8D11C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7241" y="0"/>
          <a:ext cx="10103370" cy="12878462"/>
        </a:xfrm>
        <a:prstGeom prst="rect">
          <a:avLst/>
        </a:prstGeom>
      </xdr:spPr>
    </xdr:pic>
    <xdr:clientData/>
  </xdr:twoCellAnchor>
  <xdr:twoCellAnchor editAs="oneCell">
    <xdr:from>
      <xdr:col>5</xdr:col>
      <xdr:colOff>91888</xdr:colOff>
      <xdr:row>79</xdr:row>
      <xdr:rowOff>54056</xdr:rowOff>
    </xdr:from>
    <xdr:to>
      <xdr:col>9</xdr:col>
      <xdr:colOff>220091</xdr:colOff>
      <xdr:row>81</xdr:row>
      <xdr:rowOff>81851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EEEB1-489B-4852-A544-69337FED9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1688" y="11839656"/>
          <a:ext cx="3697650" cy="396095"/>
        </a:xfrm>
        <a:prstGeom prst="rect">
          <a:avLst/>
        </a:prstGeom>
      </xdr:spPr>
    </xdr:pic>
    <xdr:clientData/>
  </xdr:twoCellAnchor>
  <xdr:twoCellAnchor editAs="oneCell">
    <xdr:from>
      <xdr:col>3</xdr:col>
      <xdr:colOff>1942779</xdr:colOff>
      <xdr:row>116</xdr:row>
      <xdr:rowOff>93008</xdr:rowOff>
    </xdr:from>
    <xdr:to>
      <xdr:col>4</xdr:col>
      <xdr:colOff>291727</xdr:colOff>
      <xdr:row>118</xdr:row>
      <xdr:rowOff>96970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8CBDFF-7E0D-4C1F-BC4C-B1377C63F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1879" y="17955558"/>
          <a:ext cx="1028647" cy="372262"/>
        </a:xfrm>
        <a:prstGeom prst="rect">
          <a:avLst/>
        </a:prstGeom>
      </xdr:spPr>
    </xdr:pic>
    <xdr:clientData/>
  </xdr:twoCellAnchor>
  <xdr:twoCellAnchor editAs="oneCell">
    <xdr:from>
      <xdr:col>3</xdr:col>
      <xdr:colOff>398507</xdr:colOff>
      <xdr:row>137</xdr:row>
      <xdr:rowOff>134470</xdr:rowOff>
    </xdr:from>
    <xdr:to>
      <xdr:col>4</xdr:col>
      <xdr:colOff>1106280</xdr:colOff>
      <xdr:row>142</xdr:row>
      <xdr:rowOff>37352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5AB650-BB92-4560-A459-28A632CC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26860" y="14328588"/>
          <a:ext cx="3387472" cy="836706"/>
        </a:xfrm>
        <a:prstGeom prst="rect">
          <a:avLst/>
        </a:prstGeom>
      </xdr:spPr>
    </xdr:pic>
    <xdr:clientData/>
  </xdr:twoCellAnchor>
  <xdr:twoCellAnchor editAs="oneCell">
    <xdr:from>
      <xdr:col>4</xdr:col>
      <xdr:colOff>146600</xdr:colOff>
      <xdr:row>153</xdr:row>
      <xdr:rowOff>120650</xdr:rowOff>
    </xdr:from>
    <xdr:to>
      <xdr:col>5</xdr:col>
      <xdr:colOff>108497</xdr:colOff>
      <xdr:row>156</xdr:row>
      <xdr:rowOff>31909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8CA254-0A05-408D-89BC-C478CB69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55400" y="25717500"/>
          <a:ext cx="1612897" cy="463708"/>
        </a:xfrm>
        <a:prstGeom prst="rect">
          <a:avLst/>
        </a:prstGeom>
      </xdr:spPr>
    </xdr:pic>
    <xdr:clientData/>
  </xdr:twoCellAnchor>
  <xdr:twoCellAnchor editAs="oneCell">
    <xdr:from>
      <xdr:col>3</xdr:col>
      <xdr:colOff>1869620</xdr:colOff>
      <xdr:row>153</xdr:row>
      <xdr:rowOff>50800</xdr:rowOff>
    </xdr:from>
    <xdr:to>
      <xdr:col>4</xdr:col>
      <xdr:colOff>51681</xdr:colOff>
      <xdr:row>155</xdr:row>
      <xdr:rowOff>177801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5CD127-D0FD-4BDE-A718-4ED7D7C7E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8720" y="19939000"/>
          <a:ext cx="86176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16829</xdr:colOff>
      <xdr:row>162</xdr:row>
      <xdr:rowOff>19050</xdr:rowOff>
    </xdr:from>
    <xdr:to>
      <xdr:col>8</xdr:col>
      <xdr:colOff>521536</xdr:colOff>
      <xdr:row>178</xdr:row>
      <xdr:rowOff>165413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5782D8-1079-41B2-94F1-251CE3809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5629" y="27273250"/>
          <a:ext cx="4581034" cy="3092763"/>
        </a:xfrm>
        <a:prstGeom prst="rect">
          <a:avLst/>
        </a:prstGeom>
      </xdr:spPr>
    </xdr:pic>
    <xdr:clientData/>
  </xdr:twoCellAnchor>
  <xdr:twoCellAnchor editAs="oneCell">
    <xdr:from>
      <xdr:col>3</xdr:col>
      <xdr:colOff>774700</xdr:colOff>
      <xdr:row>129</xdr:row>
      <xdr:rowOff>131710</xdr:rowOff>
    </xdr:from>
    <xdr:to>
      <xdr:col>4</xdr:col>
      <xdr:colOff>304998</xdr:colOff>
      <xdr:row>132</xdr:row>
      <xdr:rowOff>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D60EDD-A560-4F41-A42F-39651E57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03800" y="20019910"/>
          <a:ext cx="2209997" cy="420778"/>
        </a:xfrm>
        <a:prstGeom prst="rect">
          <a:avLst/>
        </a:prstGeom>
      </xdr:spPr>
    </xdr:pic>
    <xdr:clientData/>
  </xdr:twoCellAnchor>
  <xdr:twoCellAnchor editAs="oneCell">
    <xdr:from>
      <xdr:col>3</xdr:col>
      <xdr:colOff>463549</xdr:colOff>
      <xdr:row>132</xdr:row>
      <xdr:rowOff>72276</xdr:rowOff>
    </xdr:from>
    <xdr:to>
      <xdr:col>4</xdr:col>
      <xdr:colOff>1336217</xdr:colOff>
      <xdr:row>134</xdr:row>
      <xdr:rowOff>146049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0C46B4-A19B-4D0F-97C4-D042B6703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92649" y="20512926"/>
          <a:ext cx="3552367" cy="442073"/>
        </a:xfrm>
        <a:prstGeom prst="rect">
          <a:avLst/>
        </a:prstGeom>
      </xdr:spPr>
    </xdr:pic>
    <xdr:clientData/>
  </xdr:twoCellAnchor>
  <xdr:twoCellAnchor editAs="oneCell">
    <xdr:from>
      <xdr:col>7</xdr:col>
      <xdr:colOff>110286</xdr:colOff>
      <xdr:row>187</xdr:row>
      <xdr:rowOff>165100</xdr:rowOff>
    </xdr:from>
    <xdr:to>
      <xdr:col>8</xdr:col>
      <xdr:colOff>280090</xdr:colOff>
      <xdr:row>189</xdr:row>
      <xdr:rowOff>177960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BD4DC3-2391-418B-BB47-961F9D19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60936" y="32575500"/>
          <a:ext cx="759981" cy="381160"/>
        </a:xfrm>
        <a:prstGeom prst="rect">
          <a:avLst/>
        </a:prstGeom>
      </xdr:spPr>
    </xdr:pic>
    <xdr:clientData/>
  </xdr:twoCellAnchor>
  <xdr:twoCellAnchor editAs="oneCell">
    <xdr:from>
      <xdr:col>8</xdr:col>
      <xdr:colOff>542993</xdr:colOff>
      <xdr:row>187</xdr:row>
      <xdr:rowOff>152400</xdr:rowOff>
    </xdr:from>
    <xdr:to>
      <xdr:col>9</xdr:col>
      <xdr:colOff>341736</xdr:colOff>
      <xdr:row>190</xdr:row>
      <xdr:rowOff>31901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D263B08-C4B1-4F85-9094-C8F36AFE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010346" y="35084871"/>
          <a:ext cx="941743" cy="439795"/>
        </a:xfrm>
        <a:prstGeom prst="rect">
          <a:avLst/>
        </a:prstGeom>
      </xdr:spPr>
    </xdr:pic>
    <xdr:clientData/>
  </xdr:twoCellAnchor>
  <xdr:twoCellAnchor editAs="oneCell">
    <xdr:from>
      <xdr:col>18</xdr:col>
      <xdr:colOff>547222</xdr:colOff>
      <xdr:row>184</xdr:row>
      <xdr:rowOff>100514</xdr:rowOff>
    </xdr:from>
    <xdr:to>
      <xdr:col>26</xdr:col>
      <xdr:colOff>523713</xdr:colOff>
      <xdr:row>186</xdr:row>
      <xdr:rowOff>140850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3562F19-1524-4EC2-ABF4-D74920C7C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236457" y="34278455"/>
          <a:ext cx="5131197" cy="413865"/>
        </a:xfrm>
        <a:prstGeom prst="rect">
          <a:avLst/>
        </a:prstGeom>
      </xdr:spPr>
    </xdr:pic>
    <xdr:clientData/>
  </xdr:twoCellAnchor>
  <xdr:twoCellAnchor editAs="oneCell">
    <xdr:from>
      <xdr:col>10</xdr:col>
      <xdr:colOff>806450</xdr:colOff>
      <xdr:row>16</xdr:row>
      <xdr:rowOff>127000</xdr:rowOff>
    </xdr:from>
    <xdr:to>
      <xdr:col>14</xdr:col>
      <xdr:colOff>702735</xdr:colOff>
      <xdr:row>59</xdr:row>
      <xdr:rowOff>152807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9A6EC3-9505-4C0F-BD0F-85D56DEA0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76450" y="2984500"/>
          <a:ext cx="6077263" cy="8217308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83</xdr:row>
      <xdr:rowOff>127000</xdr:rowOff>
    </xdr:from>
    <xdr:to>
      <xdr:col>11</xdr:col>
      <xdr:colOff>1537712</xdr:colOff>
      <xdr:row>104</xdr:row>
      <xdr:rowOff>152608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DC563C-2651-45D9-AA34-8D32493B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44250" y="13271500"/>
          <a:ext cx="5162815" cy="4026107"/>
        </a:xfrm>
        <a:prstGeom prst="rect">
          <a:avLst/>
        </a:prstGeom>
      </xdr:spPr>
    </xdr:pic>
    <xdr:clientData/>
  </xdr:twoCellAnchor>
  <xdr:twoCellAnchor editAs="oneCell">
    <xdr:from>
      <xdr:col>7</xdr:col>
      <xdr:colOff>39643</xdr:colOff>
      <xdr:row>200</xdr:row>
      <xdr:rowOff>0</xdr:rowOff>
    </xdr:from>
    <xdr:to>
      <xdr:col>8</xdr:col>
      <xdr:colOff>688693</xdr:colOff>
      <xdr:row>202</xdr:row>
      <xdr:rowOff>21755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C519A77-89A1-4432-AFB8-B7D4D5D4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864525" y="36232353"/>
          <a:ext cx="1239227" cy="395283"/>
        </a:xfrm>
        <a:prstGeom prst="rect">
          <a:avLst/>
        </a:prstGeom>
      </xdr:spPr>
    </xdr:pic>
    <xdr:clientData/>
  </xdr:twoCellAnchor>
  <xdr:twoCellAnchor editAs="oneCell">
    <xdr:from>
      <xdr:col>8</xdr:col>
      <xdr:colOff>418353</xdr:colOff>
      <xdr:row>201</xdr:row>
      <xdr:rowOff>163658</xdr:rowOff>
    </xdr:from>
    <xdr:to>
      <xdr:col>9</xdr:col>
      <xdr:colOff>642014</xdr:colOff>
      <xdr:row>204</xdr:row>
      <xdr:rowOff>17642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1C3137-B76F-44C3-B35E-60336171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85706" y="37710834"/>
          <a:ext cx="1366661" cy="414279"/>
        </a:xfrm>
        <a:prstGeom prst="rect">
          <a:avLst/>
        </a:prstGeom>
      </xdr:spPr>
    </xdr:pic>
    <xdr:clientData/>
  </xdr:twoCellAnchor>
  <xdr:twoCellAnchor editAs="oneCell">
    <xdr:from>
      <xdr:col>3</xdr:col>
      <xdr:colOff>29881</xdr:colOff>
      <xdr:row>187</xdr:row>
      <xdr:rowOff>162715</xdr:rowOff>
    </xdr:from>
    <xdr:to>
      <xdr:col>3</xdr:col>
      <xdr:colOff>859117</xdr:colOff>
      <xdr:row>190</xdr:row>
      <xdr:rowOff>56797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6B6E-657C-412C-A494-203B35310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36352" y="32286244"/>
          <a:ext cx="829236" cy="454376"/>
        </a:xfrm>
        <a:prstGeom prst="rect">
          <a:avLst/>
        </a:prstGeom>
      </xdr:spPr>
    </xdr:pic>
    <xdr:clientData/>
  </xdr:twoCellAnchor>
  <xdr:twoCellAnchor editAs="oneCell">
    <xdr:from>
      <xdr:col>3</xdr:col>
      <xdr:colOff>1157940</xdr:colOff>
      <xdr:row>187</xdr:row>
      <xdr:rowOff>152735</xdr:rowOff>
    </xdr:from>
    <xdr:to>
      <xdr:col>3</xdr:col>
      <xdr:colOff>2133435</xdr:colOff>
      <xdr:row>190</xdr:row>
      <xdr:rowOff>20263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9977282-A58D-4C7F-972F-EFE2F065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864411" y="32276264"/>
          <a:ext cx="975495" cy="427822"/>
        </a:xfrm>
        <a:prstGeom prst="rect">
          <a:avLst/>
        </a:prstGeom>
      </xdr:spPr>
    </xdr:pic>
    <xdr:clientData/>
  </xdr:twoCellAnchor>
  <xdr:twoCellAnchor editAs="oneCell">
    <xdr:from>
      <xdr:col>3</xdr:col>
      <xdr:colOff>59765</xdr:colOff>
      <xdr:row>202</xdr:row>
      <xdr:rowOff>99004</xdr:rowOff>
    </xdr:from>
    <xdr:to>
      <xdr:col>3</xdr:col>
      <xdr:colOff>2490020</xdr:colOff>
      <xdr:row>203</xdr:row>
      <xdr:rowOff>163277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B99B12-AD57-43DE-A11A-C222BE124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66236" y="35024004"/>
          <a:ext cx="2430255" cy="251038"/>
        </a:xfrm>
        <a:prstGeom prst="rect">
          <a:avLst/>
        </a:prstGeom>
      </xdr:spPr>
    </xdr:pic>
    <xdr:clientData/>
  </xdr:twoCellAnchor>
  <xdr:twoCellAnchor editAs="oneCell">
    <xdr:from>
      <xdr:col>7</xdr:col>
      <xdr:colOff>209176</xdr:colOff>
      <xdr:row>196</xdr:row>
      <xdr:rowOff>16190</xdr:rowOff>
    </xdr:from>
    <xdr:to>
      <xdr:col>9</xdr:col>
      <xdr:colOff>324621</xdr:colOff>
      <xdr:row>197</xdr:row>
      <xdr:rowOff>30296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11FDEB-9E3F-4081-AAE1-4EA8A19EB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6352" y="36629543"/>
          <a:ext cx="1848622" cy="200871"/>
        </a:xfrm>
        <a:prstGeom prst="rect">
          <a:avLst/>
        </a:prstGeom>
      </xdr:spPr>
    </xdr:pic>
    <xdr:clientData/>
  </xdr:twoCellAnchor>
  <xdr:twoCellAnchor editAs="oneCell">
    <xdr:from>
      <xdr:col>3</xdr:col>
      <xdr:colOff>448235</xdr:colOff>
      <xdr:row>204</xdr:row>
      <xdr:rowOff>44032</xdr:rowOff>
    </xdr:from>
    <xdr:to>
      <xdr:col>3</xdr:col>
      <xdr:colOff>2028177</xdr:colOff>
      <xdr:row>205</xdr:row>
      <xdr:rowOff>78856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22DF325-78A5-48D0-9703-E2F65C70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54706" y="35342561"/>
          <a:ext cx="1579942" cy="221588"/>
        </a:xfrm>
        <a:prstGeom prst="rect">
          <a:avLst/>
        </a:prstGeom>
      </xdr:spPr>
    </xdr:pic>
    <xdr:clientData/>
  </xdr:twoCellAnchor>
  <xdr:twoCellAnchor editAs="oneCell">
    <xdr:from>
      <xdr:col>3</xdr:col>
      <xdr:colOff>73576</xdr:colOff>
      <xdr:row>206</xdr:row>
      <xdr:rowOff>29882</xdr:rowOff>
    </xdr:from>
    <xdr:to>
      <xdr:col>3</xdr:col>
      <xdr:colOff>1003553</xdr:colOff>
      <xdr:row>207</xdr:row>
      <xdr:rowOff>167055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1E23AF3-D163-4D41-98E5-69047F988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80047" y="37382823"/>
          <a:ext cx="929977" cy="323938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1232647</xdr:colOff>
      <xdr:row>206</xdr:row>
      <xdr:rowOff>40313</xdr:rowOff>
    </xdr:from>
    <xdr:to>
      <xdr:col>3</xdr:col>
      <xdr:colOff>2373687</xdr:colOff>
      <xdr:row>208</xdr:row>
      <xdr:rowOff>14941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8E2CA45-00F6-4CAF-9B4E-5396B73FB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939118" y="37393254"/>
          <a:ext cx="1141040" cy="348157"/>
        </a:xfrm>
        <a:prstGeom prst="rect">
          <a:avLst/>
        </a:prstGeom>
      </xdr:spPr>
    </xdr:pic>
    <xdr:clientData/>
  </xdr:twoCellAnchor>
  <xdr:twoCellAnchor editAs="oneCell">
    <xdr:from>
      <xdr:col>3</xdr:col>
      <xdr:colOff>49668</xdr:colOff>
      <xdr:row>208</xdr:row>
      <xdr:rowOff>59764</xdr:rowOff>
    </xdr:from>
    <xdr:to>
      <xdr:col>3</xdr:col>
      <xdr:colOff>1101485</xdr:colOff>
      <xdr:row>209</xdr:row>
      <xdr:rowOff>164814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D152930-8BD7-420E-9623-3DB12A477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756139" y="37786235"/>
          <a:ext cx="1051817" cy="291815"/>
        </a:xfrm>
        <a:prstGeom prst="rect">
          <a:avLst/>
        </a:prstGeom>
      </xdr:spPr>
    </xdr:pic>
    <xdr:clientData/>
  </xdr:twoCellAnchor>
  <xdr:twoCellAnchor editAs="oneCell">
    <xdr:from>
      <xdr:col>3</xdr:col>
      <xdr:colOff>1258223</xdr:colOff>
      <xdr:row>208</xdr:row>
      <xdr:rowOff>29882</xdr:rowOff>
    </xdr:from>
    <xdr:to>
      <xdr:col>3</xdr:col>
      <xdr:colOff>2399851</xdr:colOff>
      <xdr:row>209</xdr:row>
      <xdr:rowOff>186106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626F416-030E-4201-ACDB-790B6D88C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964694" y="37756353"/>
          <a:ext cx="1141628" cy="342989"/>
        </a:xfrm>
        <a:prstGeom prst="rect">
          <a:avLst/>
        </a:prstGeom>
      </xdr:spPr>
    </xdr:pic>
    <xdr:clientData/>
  </xdr:twoCellAnchor>
  <xdr:twoCellAnchor>
    <xdr:from>
      <xdr:col>11</xdr:col>
      <xdr:colOff>231587</xdr:colOff>
      <xdr:row>142</xdr:row>
      <xdr:rowOff>2986</xdr:rowOff>
    </xdr:from>
    <xdr:to>
      <xdr:col>14</xdr:col>
      <xdr:colOff>791882</xdr:colOff>
      <xdr:row>160</xdr:row>
      <xdr:rowOff>119529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A087AA6-874E-4B76-8F2D-0266DCD6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6</xdr:row>
      <xdr:rowOff>101600</xdr:rowOff>
    </xdr:from>
    <xdr:to>
      <xdr:col>21</xdr:col>
      <xdr:colOff>514350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16AB8-8746-4361-B6EC-E333294E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tchell Paulus" id="{4176BC63-03BC-4EF6-9C7E-0AFFF97FD95E}" userId="S::mpaulus@command-cx.com::d54dc7aa-ab16-4733-8eb5-9745357662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0-11-25T22:18:42.39" personId="{4176BC63-03BC-4EF6-9C7E-0AFFF97FD95E}" id="{637E471D-F22F-4BF8-BE90-97D8BA0ADA31}">
    <text>Coil manufacturers recommend speeds &gt; 2.5 because this is the transition to turbulent flow, as evidenced by this Reynolds number calculation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" dT="2020-12-06T15:21:37.62" personId="{4176BC63-03BC-4EF6-9C7E-0AFFF97FD95E}" id="{C354CDA8-FD93-48E9-B63C-01FD27B7A8EE}">
    <text>From EnergyPlus engineering reference, pg. 815, assumes some water vapor</text>
  </threadedComment>
  <threadedComment ref="H4" dT="2020-12-06T15:21:13.89" personId="{4176BC63-03BC-4EF6-9C7E-0AFFF97FD95E}" id="{38DEF251-737A-40C0-AC0C-F4491D1B4ECC}">
    <text>From EnergyPlus engineering reference, pg. 815</text>
  </threadedComment>
  <threadedComment ref="D87" dT="2020-12-04T16:41:24.52" personId="{4176BC63-03BC-4EF6-9C7E-0AFFF97FD95E}" id="{63497A73-B59D-4AD0-956E-4036EE837206}">
    <text>I actually think the equation as written is incorrect. It only subtracts the tube area from 1 fin side, instead of all fin sides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workbookViewId="0">
      <selection activeCell="D61" sqref="D61"/>
    </sheetView>
    <sheetView workbookViewId="1"/>
  </sheetViews>
  <sheetFormatPr defaultRowHeight="14.5" x14ac:dyDescent="0.35"/>
  <cols>
    <col min="1" max="1" width="22.26953125" bestFit="1" customWidth="1"/>
    <col min="2" max="2" width="13" bestFit="1" customWidth="1"/>
    <col min="3" max="4" width="9.7265625" customWidth="1"/>
    <col min="5" max="5" width="10.54296875" bestFit="1" customWidth="1"/>
  </cols>
  <sheetData>
    <row r="1" spans="1:5" x14ac:dyDescent="0.35">
      <c r="A1" t="s">
        <v>30</v>
      </c>
      <c r="B1">
        <v>8</v>
      </c>
      <c r="C1" t="s">
        <v>31</v>
      </c>
    </row>
    <row r="2" spans="1:5" x14ac:dyDescent="0.35">
      <c r="A2" t="s">
        <v>32</v>
      </c>
      <c r="B2" s="2">
        <v>1.08E-3</v>
      </c>
      <c r="C2" t="s">
        <v>33</v>
      </c>
    </row>
    <row r="3" spans="1:5" x14ac:dyDescent="0.35">
      <c r="A3" t="s">
        <v>34</v>
      </c>
      <c r="B3">
        <v>1E-3</v>
      </c>
      <c r="C3" t="s">
        <v>35</v>
      </c>
    </row>
    <row r="4" spans="1:5" x14ac:dyDescent="0.35">
      <c r="A4" t="s">
        <v>36</v>
      </c>
      <c r="B4" s="2">
        <f>B2*B3</f>
        <v>1.08E-6</v>
      </c>
      <c r="C4" t="s">
        <v>37</v>
      </c>
    </row>
    <row r="6" spans="1:5" x14ac:dyDescent="0.35">
      <c r="A6" t="s">
        <v>38</v>
      </c>
      <c r="B6">
        <f>5/8</f>
        <v>0.625</v>
      </c>
      <c r="C6" t="s">
        <v>39</v>
      </c>
    </row>
    <row r="7" spans="1:5" x14ac:dyDescent="0.35">
      <c r="A7" t="s">
        <v>40</v>
      </c>
      <c r="B7">
        <v>0.02</v>
      </c>
      <c r="C7" t="s">
        <v>39</v>
      </c>
    </row>
    <row r="8" spans="1:5" x14ac:dyDescent="0.35">
      <c r="A8" t="s">
        <v>41</v>
      </c>
      <c r="B8">
        <f>B6-2*B7</f>
        <v>0.58499999999999996</v>
      </c>
      <c r="C8" t="s">
        <v>39</v>
      </c>
    </row>
    <row r="9" spans="1:5" x14ac:dyDescent="0.35">
      <c r="B9">
        <f>B8*0.0254</f>
        <v>1.4858999999999999E-2</v>
      </c>
      <c r="C9" t="s">
        <v>42</v>
      </c>
    </row>
    <row r="11" spans="1:5" x14ac:dyDescent="0.35">
      <c r="A11" t="s">
        <v>47</v>
      </c>
      <c r="B11" s="2">
        <v>0.59</v>
      </c>
      <c r="C11" t="s">
        <v>48</v>
      </c>
      <c r="E11" s="1"/>
    </row>
    <row r="17" spans="1:6" x14ac:dyDescent="0.35">
      <c r="A17" t="s">
        <v>43</v>
      </c>
      <c r="B17" t="s">
        <v>45</v>
      </c>
      <c r="C17" t="s">
        <v>44</v>
      </c>
      <c r="D17" t="s">
        <v>46</v>
      </c>
      <c r="E17" t="s">
        <v>50</v>
      </c>
      <c r="F17" t="s">
        <v>49</v>
      </c>
    </row>
    <row r="18" spans="1:6" x14ac:dyDescent="0.35">
      <c r="A18">
        <v>1</v>
      </c>
      <c r="B18">
        <f>A18*0.3048</f>
        <v>0.30480000000000002</v>
      </c>
      <c r="C18" s="1">
        <f>B18*$B$9/$B$4</f>
        <v>4193.54</v>
      </c>
      <c r="D18" s="1">
        <f>0.023*C18^(4/5)*$B$1^0.4</f>
        <v>41.785775124204513</v>
      </c>
      <c r="E18" s="1">
        <f>D18*$B$11/$B$9</f>
        <v>1659.1700197375774</v>
      </c>
      <c r="F18" s="3">
        <f>0.023*$B$1^0.4*(4/5)*(C18^(-1/5))*$B$11/$B$4</f>
        <v>4354.7769546917989</v>
      </c>
    </row>
    <row r="19" spans="1:6" x14ac:dyDescent="0.35">
      <c r="A19">
        <v>1.25</v>
      </c>
      <c r="B19">
        <f t="shared" ref="B19:B64" si="0">A19*0.3048</f>
        <v>0.38100000000000001</v>
      </c>
      <c r="C19" s="1">
        <f t="shared" ref="C19:C64" si="1">B19*$B$9/$B$4</f>
        <v>5241.9250000000002</v>
      </c>
      <c r="D19" s="1">
        <f t="shared" ref="D19:D64" si="2">0.023*C19^(4/5)*$B$1^0.4</f>
        <v>49.952413119621625</v>
      </c>
      <c r="E19" s="1">
        <f t="shared" ref="E19:E64" si="3">D19*$B$11/$B$9</f>
        <v>1983.4392449408949</v>
      </c>
      <c r="F19" s="3">
        <f t="shared" ref="F19:F64" si="4">0.023*$B$1^0.4*(4/5)*(C19^(-1/5))*$B$11/$B$4</f>
        <v>4164.701826647547</v>
      </c>
    </row>
    <row r="20" spans="1:6" x14ac:dyDescent="0.35">
      <c r="A20">
        <v>1.5</v>
      </c>
      <c r="B20">
        <f t="shared" si="0"/>
        <v>0.45720000000000005</v>
      </c>
      <c r="C20" s="1">
        <f t="shared" si="1"/>
        <v>6290.31</v>
      </c>
      <c r="D20" s="1">
        <f t="shared" si="2"/>
        <v>57.796490744138026</v>
      </c>
      <c r="E20" s="1">
        <f t="shared" si="3"/>
        <v>2294.9007025399715</v>
      </c>
      <c r="F20" s="3">
        <f t="shared" si="4"/>
        <v>4015.5742826596124</v>
      </c>
    </row>
    <row r="21" spans="1:6" x14ac:dyDescent="0.35">
      <c r="A21">
        <v>1.75</v>
      </c>
      <c r="B21">
        <f t="shared" si="0"/>
        <v>0.53339999999999999</v>
      </c>
      <c r="C21" s="1">
        <f t="shared" si="1"/>
        <v>7338.6949999999997</v>
      </c>
      <c r="D21" s="1">
        <f t="shared" si="2"/>
        <v>65.382105441959439</v>
      </c>
      <c r="E21" s="1">
        <f t="shared" si="3"/>
        <v>2596.0994825194202</v>
      </c>
      <c r="F21" s="3">
        <f t="shared" si="4"/>
        <v>3893.662515964631</v>
      </c>
    </row>
    <row r="22" spans="1:6" x14ac:dyDescent="0.35">
      <c r="A22">
        <v>2</v>
      </c>
      <c r="B22">
        <f t="shared" si="0"/>
        <v>0.60960000000000003</v>
      </c>
      <c r="C22" s="1">
        <f t="shared" si="1"/>
        <v>8387.08</v>
      </c>
      <c r="D22" s="1">
        <f t="shared" si="2"/>
        <v>72.753260144282706</v>
      </c>
      <c r="E22" s="1">
        <f t="shared" si="3"/>
        <v>2888.7827905731742</v>
      </c>
      <c r="F22" s="3">
        <f t="shared" si="4"/>
        <v>3791.0535309359261</v>
      </c>
    </row>
    <row r="23" spans="1:6" x14ac:dyDescent="0.35">
      <c r="A23">
        <v>2.25</v>
      </c>
      <c r="B23">
        <f t="shared" si="0"/>
        <v>0.68580000000000008</v>
      </c>
      <c r="C23" s="1">
        <f t="shared" si="1"/>
        <v>9435.4650000000001</v>
      </c>
      <c r="D23" s="1">
        <f t="shared" si="2"/>
        <v>79.941902056575159</v>
      </c>
      <c r="E23" s="1">
        <f t="shared" si="3"/>
        <v>3174.2191408156232</v>
      </c>
      <c r="F23" s="3">
        <f t="shared" si="4"/>
        <v>3702.7928151829938</v>
      </c>
    </row>
    <row r="24" spans="1:6" x14ac:dyDescent="0.35">
      <c r="A24" s="4">
        <v>2.5</v>
      </c>
      <c r="B24" s="4">
        <f t="shared" si="0"/>
        <v>0.76200000000000001</v>
      </c>
      <c r="C24" s="5">
        <f t="shared" si="1"/>
        <v>10483.85</v>
      </c>
      <c r="D24" s="5">
        <f t="shared" si="2"/>
        <v>86.972202758574625</v>
      </c>
      <c r="E24" s="5">
        <f t="shared" si="3"/>
        <v>3453.3683038938711</v>
      </c>
      <c r="F24" s="6">
        <f t="shared" si="4"/>
        <v>3625.5835211484186</v>
      </c>
    </row>
    <row r="25" spans="1:6" x14ac:dyDescent="0.35">
      <c r="A25">
        <v>2.75</v>
      </c>
      <c r="B25">
        <f t="shared" si="0"/>
        <v>0.83820000000000006</v>
      </c>
      <c r="C25" s="1">
        <f t="shared" si="1"/>
        <v>11532.235000000001</v>
      </c>
      <c r="D25" s="1">
        <f t="shared" si="2"/>
        <v>93.863040414541672</v>
      </c>
      <c r="E25" s="1">
        <f t="shared" si="3"/>
        <v>3726.9798670556288</v>
      </c>
      <c r="F25" s="3">
        <f t="shared" si="4"/>
        <v>3557.127050399069</v>
      </c>
    </row>
    <row r="26" spans="1:6" x14ac:dyDescent="0.35">
      <c r="A26">
        <v>3</v>
      </c>
      <c r="B26">
        <f t="shared" si="0"/>
        <v>0.9144000000000001</v>
      </c>
      <c r="C26" s="1">
        <f t="shared" si="1"/>
        <v>12580.62</v>
      </c>
      <c r="D26" s="1">
        <f t="shared" si="2"/>
        <v>100.62953514769714</v>
      </c>
      <c r="E26" s="1">
        <f t="shared" si="3"/>
        <v>3995.6541986096854</v>
      </c>
      <c r="F26" s="3">
        <f t="shared" si="4"/>
        <v>3495.7604537267557</v>
      </c>
    </row>
    <row r="27" spans="1:6" x14ac:dyDescent="0.35">
      <c r="A27">
        <v>3.25</v>
      </c>
      <c r="B27">
        <f t="shared" si="0"/>
        <v>0.99060000000000004</v>
      </c>
      <c r="C27" s="1">
        <f t="shared" si="1"/>
        <v>13629.004999999999</v>
      </c>
      <c r="D27" s="1">
        <f t="shared" si="2"/>
        <v>107.28404793092248</v>
      </c>
      <c r="E27" s="1">
        <f t="shared" si="3"/>
        <v>4259.8821104545568</v>
      </c>
      <c r="F27" s="3">
        <f t="shared" si="4"/>
        <v>3440.2439817924906</v>
      </c>
    </row>
    <row r="28" spans="1:6" x14ac:dyDescent="0.35">
      <c r="A28">
        <v>3.5</v>
      </c>
      <c r="B28">
        <f t="shared" si="0"/>
        <v>1.0668</v>
      </c>
      <c r="C28" s="1">
        <f t="shared" si="1"/>
        <v>14677.39</v>
      </c>
      <c r="D28" s="1">
        <f t="shared" si="2"/>
        <v>113.83685744396867</v>
      </c>
      <c r="E28" s="1">
        <f t="shared" si="3"/>
        <v>4520.0717337601136</v>
      </c>
      <c r="F28" s="3">
        <f t="shared" si="4"/>
        <v>3389.630096558014</v>
      </c>
    </row>
    <row r="29" spans="1:6" x14ac:dyDescent="0.35">
      <c r="A29">
        <v>3.75</v>
      </c>
      <c r="B29">
        <f t="shared" si="0"/>
        <v>1.143</v>
      </c>
      <c r="C29" s="1">
        <f t="shared" si="1"/>
        <v>15725.774999999998</v>
      </c>
      <c r="D29" s="1">
        <f t="shared" si="2"/>
        <v>120.29663436401187</v>
      </c>
      <c r="E29" s="1">
        <f t="shared" si="3"/>
        <v>4776.5673514211585</v>
      </c>
      <c r="F29" s="3">
        <f t="shared" si="4"/>
        <v>3343.1792485887372</v>
      </c>
    </row>
    <row r="30" spans="1:6" x14ac:dyDescent="0.35">
      <c r="A30">
        <v>4</v>
      </c>
      <c r="B30">
        <f t="shared" si="0"/>
        <v>1.2192000000000001</v>
      </c>
      <c r="C30" s="1">
        <f t="shared" si="1"/>
        <v>16774.16</v>
      </c>
      <c r="D30" s="1">
        <f t="shared" si="2"/>
        <v>126.67078320046954</v>
      </c>
      <c r="E30" s="1">
        <f t="shared" si="3"/>
        <v>5029.6629711472533</v>
      </c>
      <c r="F30" s="3">
        <f t="shared" si="4"/>
        <v>3300.303786842032</v>
      </c>
    </row>
    <row r="31" spans="1:6" x14ac:dyDescent="0.35">
      <c r="A31">
        <v>4.25</v>
      </c>
      <c r="B31">
        <f t="shared" si="0"/>
        <v>1.2954000000000001</v>
      </c>
      <c r="C31" s="1">
        <f t="shared" si="1"/>
        <v>17822.544999999998</v>
      </c>
      <c r="D31" s="1">
        <f t="shared" si="2"/>
        <v>132.96569464203037</v>
      </c>
      <c r="E31" s="1">
        <f t="shared" si="3"/>
        <v>5279.612345299005</v>
      </c>
      <c r="F31" s="3">
        <f t="shared" si="4"/>
        <v>3260.5294706184968</v>
      </c>
    </row>
    <row r="32" spans="1:6" x14ac:dyDescent="0.35">
      <c r="A32">
        <v>4.5</v>
      </c>
      <c r="B32">
        <f t="shared" si="0"/>
        <v>1.3716000000000002</v>
      </c>
      <c r="C32" s="1">
        <f t="shared" si="1"/>
        <v>18870.93</v>
      </c>
      <c r="D32" s="1">
        <f t="shared" si="2"/>
        <v>139.18693573263019</v>
      </c>
      <c r="E32" s="1">
        <f t="shared" si="3"/>
        <v>5526.6365221247606</v>
      </c>
      <c r="F32" s="3">
        <f t="shared" si="4"/>
        <v>3223.4683710263962</v>
      </c>
    </row>
    <row r="33" spans="1:6" x14ac:dyDescent="0.35">
      <c r="A33">
        <v>4.75</v>
      </c>
      <c r="B33">
        <f t="shared" si="0"/>
        <v>1.4478</v>
      </c>
      <c r="C33" s="1">
        <f t="shared" si="1"/>
        <v>19919.314999999999</v>
      </c>
      <c r="D33" s="1">
        <f t="shared" si="2"/>
        <v>145.33939579790018</v>
      </c>
      <c r="E33" s="1">
        <f t="shared" si="3"/>
        <v>5770.9296400000749</v>
      </c>
      <c r="F33" s="3">
        <f t="shared" si="4"/>
        <v>3188.7993590275273</v>
      </c>
    </row>
    <row r="34" spans="1:6" x14ac:dyDescent="0.35">
      <c r="A34">
        <v>5</v>
      </c>
      <c r="B34">
        <f t="shared" si="0"/>
        <v>1.524</v>
      </c>
      <c r="C34" s="1">
        <f t="shared" si="1"/>
        <v>20967.7</v>
      </c>
      <c r="D34" s="1">
        <f t="shared" si="2"/>
        <v>151.42740020516371</v>
      </c>
      <c r="E34" s="1">
        <f t="shared" si="3"/>
        <v>6012.6634444475803</v>
      </c>
      <c r="F34" s="3">
        <f t="shared" si="4"/>
        <v>3156.2537766129017</v>
      </c>
    </row>
    <row r="35" spans="1:6" x14ac:dyDescent="0.35">
      <c r="A35">
        <v>5.25</v>
      </c>
      <c r="B35">
        <f t="shared" si="0"/>
        <v>1.6002000000000001</v>
      </c>
      <c r="C35" s="1">
        <f t="shared" si="1"/>
        <v>22016.084999999999</v>
      </c>
      <c r="D35" s="1">
        <f t="shared" si="2"/>
        <v>157.45480030095175</v>
      </c>
      <c r="E35" s="1">
        <f t="shared" si="3"/>
        <v>6251.9908592476977</v>
      </c>
      <c r="F35" s="3">
        <f t="shared" si="4"/>
        <v>3125.6047290327174</v>
      </c>
    </row>
    <row r="36" spans="1:6" x14ac:dyDescent="0.35">
      <c r="A36">
        <v>5.5</v>
      </c>
      <c r="B36">
        <f t="shared" si="0"/>
        <v>1.6764000000000001</v>
      </c>
      <c r="C36" s="1">
        <f t="shared" si="1"/>
        <v>23064.47</v>
      </c>
      <c r="D36" s="1">
        <f t="shared" si="2"/>
        <v>163.4250454111324</v>
      </c>
      <c r="E36" s="1">
        <f t="shared" si="3"/>
        <v>6489.0488453171893</v>
      </c>
      <c r="F36" s="3">
        <f t="shared" si="4"/>
        <v>3096.6589574407899</v>
      </c>
    </row>
    <row r="37" spans="1:6" x14ac:dyDescent="0.35">
      <c r="A37">
        <v>5.75</v>
      </c>
      <c r="B37">
        <f t="shared" si="0"/>
        <v>1.7526000000000002</v>
      </c>
      <c r="C37" s="1">
        <f t="shared" si="1"/>
        <v>24112.855</v>
      </c>
      <c r="D37" s="1">
        <f t="shared" si="2"/>
        <v>169.34124113342381</v>
      </c>
      <c r="E37" s="1">
        <f t="shared" si="3"/>
        <v>6723.9607153052057</v>
      </c>
      <c r="F37" s="3">
        <f t="shared" si="4"/>
        <v>3069.2505832729453</v>
      </c>
    </row>
    <row r="38" spans="1:6" x14ac:dyDescent="0.35">
      <c r="A38">
        <v>6</v>
      </c>
      <c r="B38">
        <f t="shared" si="0"/>
        <v>1.8288000000000002</v>
      </c>
      <c r="C38" s="1">
        <f t="shared" si="1"/>
        <v>25161.24</v>
      </c>
      <c r="D38" s="1">
        <f t="shared" si="2"/>
        <v>175.20619701410962</v>
      </c>
      <c r="E38" s="1">
        <f t="shared" si="3"/>
        <v>6956.8380266723661</v>
      </c>
      <c r="F38" s="3">
        <f t="shared" si="4"/>
        <v>3043.2362321401424</v>
      </c>
    </row>
    <row r="39" spans="1:6" x14ac:dyDescent="0.35">
      <c r="A39">
        <v>6.25</v>
      </c>
      <c r="B39">
        <f t="shared" si="0"/>
        <v>1.905</v>
      </c>
      <c r="C39" s="1">
        <f t="shared" si="1"/>
        <v>26209.624999999996</v>
      </c>
      <c r="D39" s="1">
        <f t="shared" si="2"/>
        <v>181.02246590364322</v>
      </c>
      <c r="E39" s="1">
        <f t="shared" si="3"/>
        <v>7187.7821443670164</v>
      </c>
      <c r="F39" s="3">
        <f t="shared" si="4"/>
        <v>3018.4911892354935</v>
      </c>
    </row>
    <row r="40" spans="1:6" x14ac:dyDescent="0.35">
      <c r="A40">
        <v>6.5</v>
      </c>
      <c r="B40">
        <f t="shared" si="0"/>
        <v>1.9812000000000001</v>
      </c>
      <c r="C40" s="1">
        <f t="shared" si="1"/>
        <v>27258.01</v>
      </c>
      <c r="D40" s="1">
        <f t="shared" si="2"/>
        <v>186.79237671790588</v>
      </c>
      <c r="E40" s="1">
        <f t="shared" si="3"/>
        <v>7416.8855416625929</v>
      </c>
      <c r="F40" s="3">
        <f t="shared" si="4"/>
        <v>2994.9063362255538</v>
      </c>
    </row>
    <row r="41" spans="1:6" x14ac:dyDescent="0.35">
      <c r="A41">
        <v>6.75</v>
      </c>
      <c r="B41">
        <f t="shared" si="0"/>
        <v>2.0573999999999999</v>
      </c>
      <c r="C41" s="1">
        <f t="shared" si="1"/>
        <v>28306.394999999997</v>
      </c>
      <c r="D41" s="1">
        <f t="shared" si="2"/>
        <v>192.51806192093571</v>
      </c>
      <c r="E41" s="1">
        <f t="shared" si="3"/>
        <v>7644.2328914026566</v>
      </c>
      <c r="F41" s="3">
        <f t="shared" si="4"/>
        <v>2972.3856873345567</v>
      </c>
    </row>
    <row r="42" spans="1:6" x14ac:dyDescent="0.35">
      <c r="A42">
        <v>7</v>
      </c>
      <c r="B42">
        <f t="shared" si="0"/>
        <v>2.1335999999999999</v>
      </c>
      <c r="C42" s="1">
        <f t="shared" si="1"/>
        <v>29354.78</v>
      </c>
      <c r="D42" s="1">
        <f t="shared" si="2"/>
        <v>198.20148074341503</v>
      </c>
      <c r="E42" s="1">
        <f t="shared" si="3"/>
        <v>7869.9019879275102</v>
      </c>
      <c r="F42" s="3">
        <f t="shared" si="4"/>
        <v>2950.8443899240756</v>
      </c>
    </row>
    <row r="43" spans="1:6" x14ac:dyDescent="0.35">
      <c r="A43">
        <v>7.25</v>
      </c>
      <c r="B43">
        <f t="shared" si="0"/>
        <v>2.2098</v>
      </c>
      <c r="C43" s="1">
        <f t="shared" si="1"/>
        <v>30403.165000000001</v>
      </c>
      <c r="D43" s="1">
        <f t="shared" si="2"/>
        <v>203.84443892705536</v>
      </c>
      <c r="E43" s="1">
        <f t="shared" si="3"/>
        <v>8093.9645310561054</v>
      </c>
      <c r="F43" s="3">
        <f t="shared" si="4"/>
        <v>2930.2070888066296</v>
      </c>
    </row>
    <row r="44" spans="1:6" x14ac:dyDescent="0.35">
      <c r="A44">
        <v>7.5</v>
      </c>
      <c r="B44">
        <f t="shared" si="0"/>
        <v>2.286</v>
      </c>
      <c r="C44" s="1">
        <f t="shared" si="1"/>
        <v>31451.549999999996</v>
      </c>
      <c r="D44" s="1">
        <f t="shared" si="2"/>
        <v>209.44860561643665</v>
      </c>
      <c r="E44" s="1">
        <f t="shared" si="3"/>
        <v>8316.4867968031249</v>
      </c>
      <c r="F44" s="3">
        <f t="shared" si="4"/>
        <v>2910.4065780588389</v>
      </c>
    </row>
    <row r="45" spans="1:6" x14ac:dyDescent="0.35">
      <c r="A45">
        <v>7.75</v>
      </c>
      <c r="B45">
        <f t="shared" si="0"/>
        <v>2.3622000000000001</v>
      </c>
      <c r="C45" s="1">
        <f t="shared" si="1"/>
        <v>32499.934999999998</v>
      </c>
      <c r="D45" s="1">
        <f t="shared" si="2"/>
        <v>215.01552789165518</v>
      </c>
      <c r="E45" s="1">
        <f t="shared" si="3"/>
        <v>8537.530214420658</v>
      </c>
      <c r="F45" s="3">
        <f t="shared" si="4"/>
        <v>2891.3826820491608</v>
      </c>
    </row>
    <row r="46" spans="1:6" x14ac:dyDescent="0.35">
      <c r="A46">
        <v>8</v>
      </c>
      <c r="B46">
        <f t="shared" si="0"/>
        <v>2.4384000000000001</v>
      </c>
      <c r="C46" s="1">
        <f t="shared" si="1"/>
        <v>33548.32</v>
      </c>
      <c r="D46" s="1">
        <f t="shared" si="2"/>
        <v>220.54664333665994</v>
      </c>
      <c r="E46" s="1">
        <f t="shared" si="3"/>
        <v>8757.1518654437969</v>
      </c>
      <c r="F46" s="3">
        <f t="shared" si="4"/>
        <v>2873.0813206836619</v>
      </c>
    </row>
    <row r="47" spans="1:6" x14ac:dyDescent="0.35">
      <c r="A47">
        <v>8.25</v>
      </c>
      <c r="B47">
        <f t="shared" si="0"/>
        <v>2.5146000000000002</v>
      </c>
      <c r="C47" s="1">
        <f t="shared" si="1"/>
        <v>34596.704999999994</v>
      </c>
      <c r="D47" s="1">
        <f t="shared" si="2"/>
        <v>226.04329096179845</v>
      </c>
      <c r="E47" s="1">
        <f t="shared" si="3"/>
        <v>8975.4049173875155</v>
      </c>
      <c r="F47" s="3">
        <f t="shared" si="4"/>
        <v>2855.4537238169123</v>
      </c>
    </row>
    <row r="48" spans="1:6" x14ac:dyDescent="0.35">
      <c r="A48">
        <v>8.5</v>
      </c>
      <c r="B48">
        <f t="shared" si="0"/>
        <v>2.5908000000000002</v>
      </c>
      <c r="C48" s="1">
        <f t="shared" si="1"/>
        <v>35645.089999999997</v>
      </c>
      <c r="D48" s="1">
        <f t="shared" si="2"/>
        <v>231.50672073935996</v>
      </c>
      <c r="E48" s="1">
        <f t="shared" si="3"/>
        <v>9192.3390023704414</v>
      </c>
      <c r="F48" s="3">
        <f t="shared" si="4"/>
        <v>2838.4557672905462</v>
      </c>
    </row>
    <row r="49" spans="1:6" x14ac:dyDescent="0.35">
      <c r="A49">
        <v>8.75</v>
      </c>
      <c r="B49">
        <f t="shared" si="0"/>
        <v>2.6670000000000003</v>
      </c>
      <c r="C49" s="1">
        <f t="shared" si="1"/>
        <v>36693.474999999999</v>
      </c>
      <c r="D49" s="1">
        <f t="shared" si="2"/>
        <v>236.93810196381506</v>
      </c>
      <c r="E49" s="1">
        <f t="shared" si="3"/>
        <v>9408.0005490713302</v>
      </c>
      <c r="F49" s="3">
        <f t="shared" si="4"/>
        <v>2822.0474087952953</v>
      </c>
    </row>
    <row r="50" spans="1:6" x14ac:dyDescent="0.35">
      <c r="A50">
        <v>9</v>
      </c>
      <c r="B50">
        <f t="shared" si="0"/>
        <v>2.7432000000000003</v>
      </c>
      <c r="C50" s="1">
        <f t="shared" si="1"/>
        <v>37741.86</v>
      </c>
      <c r="D50" s="1">
        <f t="shared" si="2"/>
        <v>242.3385306110053</v>
      </c>
      <c r="E50" s="1">
        <f t="shared" si="3"/>
        <v>9622.4330749372857</v>
      </c>
      <c r="F50" s="3">
        <f t="shared" si="4"/>
        <v>2806.192206164269</v>
      </c>
    </row>
    <row r="51" spans="1:6" x14ac:dyDescent="0.35">
      <c r="A51">
        <v>9.25</v>
      </c>
      <c r="B51">
        <f t="shared" si="0"/>
        <v>2.8194000000000004</v>
      </c>
      <c r="C51" s="1">
        <f t="shared" si="1"/>
        <v>38790.244999999995</v>
      </c>
      <c r="D51" s="1">
        <f t="shared" si="2"/>
        <v>247.7090358405969</v>
      </c>
      <c r="E51" s="1">
        <f t="shared" si="3"/>
        <v>9835.6774443739268</v>
      </c>
      <c r="F51" s="3">
        <f t="shared" si="4"/>
        <v>2790.856904128229</v>
      </c>
    </row>
    <row r="52" spans="1:6" x14ac:dyDescent="0.35">
      <c r="A52">
        <v>9.5</v>
      </c>
      <c r="B52">
        <f t="shared" si="0"/>
        <v>2.8956</v>
      </c>
      <c r="C52" s="1">
        <f t="shared" si="1"/>
        <v>39838.629999999997</v>
      </c>
      <c r="D52" s="1">
        <f t="shared" si="2"/>
        <v>253.05058576196043</v>
      </c>
      <c r="E52" s="1">
        <f t="shared" si="3"/>
        <v>10047.772097688718</v>
      </c>
      <c r="F52" s="3">
        <f t="shared" si="4"/>
        <v>2776.0110782397342</v>
      </c>
    </row>
    <row r="53" spans="1:6" x14ac:dyDescent="0.35">
      <c r="A53">
        <v>9.75</v>
      </c>
      <c r="B53">
        <f t="shared" si="0"/>
        <v>2.9718</v>
      </c>
      <c r="C53" s="1">
        <f t="shared" si="1"/>
        <v>40887.014999999999</v>
      </c>
      <c r="D53" s="1">
        <f t="shared" si="2"/>
        <v>258.36409256408416</v>
      </c>
      <c r="E53" s="1">
        <f t="shared" si="3"/>
        <v>10258.753254782263</v>
      </c>
      <c r="F53" s="3">
        <f t="shared" si="4"/>
        <v>2761.6268267803398</v>
      </c>
    </row>
    <row r="54" spans="1:6" x14ac:dyDescent="0.35">
      <c r="A54">
        <v>10</v>
      </c>
      <c r="B54">
        <f t="shared" si="0"/>
        <v>3.048</v>
      </c>
      <c r="C54" s="1">
        <f t="shared" si="1"/>
        <v>41935.4</v>
      </c>
      <c r="D54" s="1">
        <f t="shared" si="2"/>
        <v>263.65041709414584</v>
      </c>
      <c r="E54" s="1">
        <f t="shared" si="3"/>
        <v>10468.655096947712</v>
      </c>
      <c r="F54" s="3">
        <f t="shared" si="4"/>
        <v>2747.6785031358809</v>
      </c>
    </row>
    <row r="55" spans="1:6" x14ac:dyDescent="0.35">
      <c r="A55">
        <v>10.25</v>
      </c>
      <c r="B55">
        <f t="shared" si="0"/>
        <v>3.1242000000000001</v>
      </c>
      <c r="C55" s="1">
        <f t="shared" si="1"/>
        <v>42983.784999999996</v>
      </c>
      <c r="D55" s="1">
        <f t="shared" si="2"/>
        <v>268.91037295628917</v>
      </c>
      <c r="E55" s="1">
        <f t="shared" si="3"/>
        <v>10677.509929619126</v>
      </c>
      <c r="F55" s="3">
        <f t="shared" si="4"/>
        <v>2734.1424824580049</v>
      </c>
    </row>
    <row r="56" spans="1:6" x14ac:dyDescent="0.35">
      <c r="A56">
        <v>10.5</v>
      </c>
      <c r="B56">
        <f t="shared" si="0"/>
        <v>3.2004000000000001</v>
      </c>
      <c r="C56" s="1">
        <f t="shared" si="1"/>
        <v>44032.17</v>
      </c>
      <c r="D56" s="1">
        <f t="shared" si="2"/>
        <v>274.14473019134459</v>
      </c>
      <c r="E56" s="1">
        <f t="shared" si="3"/>
        <v>10885.348328480606</v>
      </c>
      <c r="F56" s="3">
        <f t="shared" si="4"/>
        <v>2720.9969575004611</v>
      </c>
    </row>
    <row r="57" spans="1:6" x14ac:dyDescent="0.35">
      <c r="A57">
        <v>10.75</v>
      </c>
      <c r="B57">
        <f t="shared" si="0"/>
        <v>3.2766000000000002</v>
      </c>
      <c r="C57" s="1">
        <f t="shared" si="1"/>
        <v>45080.555</v>
      </c>
      <c r="D57" s="1">
        <f t="shared" si="2"/>
        <v>279.35421858927845</v>
      </c>
      <c r="E57" s="1">
        <f t="shared" si="3"/>
        <v>11092.19927099228</v>
      </c>
      <c r="F57" s="3">
        <f t="shared" si="4"/>
        <v>2708.2217593828427</v>
      </c>
    </row>
    <row r="58" spans="1:6" x14ac:dyDescent="0.35">
      <c r="A58">
        <v>11</v>
      </c>
      <c r="B58">
        <f t="shared" si="0"/>
        <v>3.3528000000000002</v>
      </c>
      <c r="C58" s="1">
        <f t="shared" si="1"/>
        <v>46128.94</v>
      </c>
      <c r="D58" s="1">
        <f t="shared" si="2"/>
        <v>284.53953067871146</v>
      </c>
      <c r="E58" s="1">
        <f t="shared" si="3"/>
        <v>11298.090255093866</v>
      </c>
      <c r="F58" s="3">
        <f t="shared" si="4"/>
        <v>2695.7981997360689</v>
      </c>
    </row>
    <row r="59" spans="1:6" x14ac:dyDescent="0.35">
      <c r="A59">
        <v>11.25</v>
      </c>
      <c r="B59">
        <f t="shared" si="0"/>
        <v>3.4290000000000003</v>
      </c>
      <c r="C59" s="1">
        <f t="shared" si="1"/>
        <v>47177.324999999997</v>
      </c>
      <c r="D59" s="1">
        <f t="shared" si="2"/>
        <v>289.7013244315994</v>
      </c>
      <c r="E59" s="1">
        <f t="shared" si="3"/>
        <v>11503.047406598267</v>
      </c>
      <c r="F59" s="3">
        <f t="shared" si="4"/>
        <v>2683.7089312565167</v>
      </c>
    </row>
    <row r="60" spans="1:6" x14ac:dyDescent="0.35">
      <c r="A60">
        <v>11.5</v>
      </c>
      <c r="B60">
        <f t="shared" si="0"/>
        <v>3.5052000000000003</v>
      </c>
      <c r="C60" s="1">
        <f t="shared" si="1"/>
        <v>48225.71</v>
      </c>
      <c r="D60" s="1">
        <f t="shared" si="2"/>
        <v>294.8402257159338</v>
      </c>
      <c r="E60" s="1">
        <f t="shared" si="3"/>
        <v>11707.095576579914</v>
      </c>
      <c r="F60" s="3">
        <f t="shared" si="4"/>
        <v>2671.9378241652203</v>
      </c>
    </row>
    <row r="61" spans="1:6" x14ac:dyDescent="0.35">
      <c r="A61">
        <v>11.75</v>
      </c>
      <c r="B61">
        <f t="shared" si="0"/>
        <v>3.5814000000000004</v>
      </c>
      <c r="C61" s="1">
        <f t="shared" si="1"/>
        <v>49274.095000000001</v>
      </c>
      <c r="D61" s="1">
        <f t="shared" si="2"/>
        <v>299.9568305249054</v>
      </c>
      <c r="E61" s="1">
        <f t="shared" si="3"/>
        <v>11910.258429887219</v>
      </c>
      <c r="F61" s="3">
        <f t="shared" si="4"/>
        <v>2660.4698564555156</v>
      </c>
    </row>
    <row r="62" spans="1:6" x14ac:dyDescent="0.35">
      <c r="A62">
        <v>12</v>
      </c>
      <c r="B62">
        <f t="shared" si="0"/>
        <v>3.6576000000000004</v>
      </c>
      <c r="C62" s="1">
        <f t="shared" si="1"/>
        <v>50322.48</v>
      </c>
      <c r="D62" s="1">
        <f t="shared" si="2"/>
        <v>305.0517070072097</v>
      </c>
      <c r="E62" s="1">
        <f t="shared" si="3"/>
        <v>12112.55852575905</v>
      </c>
      <c r="F62" s="3">
        <f t="shared" si="4"/>
        <v>2649.2910161327754</v>
      </c>
    </row>
    <row r="63" spans="1:6" x14ac:dyDescent="0.35">
      <c r="A63">
        <v>12.25</v>
      </c>
      <c r="B63">
        <f t="shared" si="0"/>
        <v>3.7338</v>
      </c>
      <c r="C63" s="1">
        <f t="shared" si="1"/>
        <v>51370.864999999991</v>
      </c>
      <c r="D63" s="1">
        <f t="shared" si="2"/>
        <v>310.12539732000835</v>
      </c>
      <c r="E63" s="1">
        <f t="shared" si="3"/>
        <v>12314.017391399484</v>
      </c>
      <c r="F63" s="3">
        <f t="shared" si="4"/>
        <v>2638.3882139160096</v>
      </c>
    </row>
    <row r="64" spans="1:6" x14ac:dyDescent="0.35">
      <c r="A64">
        <v>12.5</v>
      </c>
      <c r="B64">
        <f t="shared" si="0"/>
        <v>3.81</v>
      </c>
      <c r="C64" s="1">
        <f t="shared" si="1"/>
        <v>52419.249999999993</v>
      </c>
      <c r="D64" s="1">
        <f t="shared" si="2"/>
        <v>315.17841932334011</v>
      </c>
      <c r="E64" s="1">
        <f t="shared" si="3"/>
        <v>12514.655589257061</v>
      </c>
      <c r="F64" s="3">
        <f t="shared" si="4"/>
        <v>2627.7492050933465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646F-532C-4884-AB4E-E021B96C1647}">
  <dimension ref="A1:C27"/>
  <sheetViews>
    <sheetView workbookViewId="0"/>
    <sheetView workbookViewId="1"/>
  </sheetViews>
  <sheetFormatPr defaultRowHeight="14.5" x14ac:dyDescent="0.35"/>
  <cols>
    <col min="1" max="1" width="24.26953125" bestFit="1" customWidth="1"/>
  </cols>
  <sheetData>
    <row r="1" spans="1:3" x14ac:dyDescent="0.35">
      <c r="A1" t="s">
        <v>0</v>
      </c>
    </row>
    <row r="3" spans="1:3" x14ac:dyDescent="0.35">
      <c r="A3" t="s">
        <v>1</v>
      </c>
    </row>
    <row r="4" spans="1:3" x14ac:dyDescent="0.35">
      <c r="A4" t="s">
        <v>2</v>
      </c>
      <c r="B4">
        <v>11700</v>
      </c>
      <c r="C4" t="s">
        <v>3</v>
      </c>
    </row>
    <row r="5" spans="1:3" x14ac:dyDescent="0.35">
      <c r="A5" t="s">
        <v>4</v>
      </c>
      <c r="B5">
        <v>76</v>
      </c>
      <c r="C5" t="s">
        <v>21</v>
      </c>
    </row>
    <row r="6" spans="1:3" x14ac:dyDescent="0.35">
      <c r="A6" t="s">
        <v>5</v>
      </c>
      <c r="B6">
        <v>56</v>
      </c>
      <c r="C6" t="s">
        <v>21</v>
      </c>
    </row>
    <row r="7" spans="1:3" x14ac:dyDescent="0.35">
      <c r="A7" t="s">
        <v>22</v>
      </c>
      <c r="B7">
        <v>63.5</v>
      </c>
      <c r="C7" t="s">
        <v>21</v>
      </c>
    </row>
    <row r="8" spans="1:3" x14ac:dyDescent="0.35">
      <c r="A8" t="s">
        <v>23</v>
      </c>
      <c r="B8">
        <f>0.370486*((B5) + 459.67) * (1 + 1.607858*(IF((B7) &gt; 32,((1093 - 0.556*(B7))*(0.621945*(IF((B7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+ 459.67)))))/((14.696)-(IF((B7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+ 459.67))))))) - 0.24*((B5) - (B7))) / (1093 + 0.444*(B5) - (B7)),((1220 - 0.04*(B7))*(0.621945*(IF((B7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+ 459.67)))))/((14.696)-(IF((B7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+ 459.67))))))) - 0.24*((B5) - (B7))) / (1220 + 0.444*(B5) - 0.48*(B7)))))/(14.696)</f>
        <v>13.713504179731201</v>
      </c>
      <c r="C8" t="s">
        <v>10</v>
      </c>
    </row>
    <row r="9" spans="1:3" x14ac:dyDescent="0.35">
      <c r="A9" t="s">
        <v>9</v>
      </c>
      <c r="B9">
        <v>13.5</v>
      </c>
      <c r="C9" t="s">
        <v>10</v>
      </c>
    </row>
    <row r="10" spans="1:3" x14ac:dyDescent="0.35">
      <c r="A10" t="s">
        <v>6</v>
      </c>
      <c r="B10">
        <v>0.24</v>
      </c>
      <c r="C10" t="s">
        <v>7</v>
      </c>
    </row>
    <row r="11" spans="1:3" x14ac:dyDescent="0.35">
      <c r="A11" t="s">
        <v>25</v>
      </c>
      <c r="B11" s="1">
        <f>B4/B8*60</f>
        <v>51190.417182908532</v>
      </c>
      <c r="C11" t="s">
        <v>26</v>
      </c>
    </row>
    <row r="14" spans="1:3" x14ac:dyDescent="0.35">
      <c r="A14" t="s">
        <v>14</v>
      </c>
      <c r="B14">
        <v>49</v>
      </c>
      <c r="C14" t="s">
        <v>13</v>
      </c>
    </row>
    <row r="15" spans="1:3" x14ac:dyDescent="0.35">
      <c r="A15" t="s">
        <v>8</v>
      </c>
      <c r="B15">
        <v>1</v>
      </c>
      <c r="C15" t="s">
        <v>7</v>
      </c>
    </row>
    <row r="16" spans="1:3" x14ac:dyDescent="0.35">
      <c r="A16" t="s">
        <v>11</v>
      </c>
      <c r="B16">
        <v>62.4</v>
      </c>
      <c r="C16" t="s">
        <v>12</v>
      </c>
    </row>
    <row r="17" spans="1:3" x14ac:dyDescent="0.35">
      <c r="A17" t="s">
        <v>11</v>
      </c>
      <c r="B17">
        <f>B16/7.4805195</f>
        <v>8.3416666449435759</v>
      </c>
      <c r="C17" t="s">
        <v>18</v>
      </c>
    </row>
    <row r="18" spans="1:3" x14ac:dyDescent="0.35">
      <c r="A18" t="s">
        <v>19</v>
      </c>
      <c r="B18">
        <v>45</v>
      </c>
      <c r="C18" t="s">
        <v>21</v>
      </c>
    </row>
    <row r="19" spans="1:3" x14ac:dyDescent="0.35">
      <c r="A19" t="s">
        <v>20</v>
      </c>
      <c r="B19">
        <v>57</v>
      </c>
      <c r="C19" t="s">
        <v>21</v>
      </c>
    </row>
    <row r="20" spans="1:3" x14ac:dyDescent="0.35">
      <c r="A20" t="s">
        <v>27</v>
      </c>
      <c r="B20" s="1">
        <f>B14*B17*60</f>
        <v>24524.499936134114</v>
      </c>
      <c r="C20" t="s">
        <v>26</v>
      </c>
    </row>
    <row r="21" spans="1:3" x14ac:dyDescent="0.35">
      <c r="A21" t="s">
        <v>15</v>
      </c>
      <c r="B21">
        <f>B4*(B5-B6)*B10/B8*60</f>
        <v>245714.00247796092</v>
      </c>
      <c r="C21" t="s">
        <v>16</v>
      </c>
    </row>
    <row r="24" spans="1:3" x14ac:dyDescent="0.35">
      <c r="A24" t="s">
        <v>17</v>
      </c>
      <c r="B24">
        <f>B14*B17*(B19-B18)*60</f>
        <v>294293.99923360941</v>
      </c>
    </row>
    <row r="26" spans="1:3" x14ac:dyDescent="0.35">
      <c r="A26" t="s">
        <v>24</v>
      </c>
      <c r="B26" s="1">
        <f>B11*B10</f>
        <v>12285.700123898047</v>
      </c>
      <c r="C26" t="s">
        <v>28</v>
      </c>
    </row>
    <row r="27" spans="1:3" x14ac:dyDescent="0.35">
      <c r="A27" t="s">
        <v>29</v>
      </c>
      <c r="B27" s="1">
        <f>B20*B15</f>
        <v>24524.499936134114</v>
      </c>
      <c r="C2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4C94-5BA5-4D14-8BA9-D44140050F99}">
  <dimension ref="A1:AW242"/>
  <sheetViews>
    <sheetView tabSelected="1" topLeftCell="A166" zoomScale="85" zoomScaleNormal="85" workbookViewId="0">
      <selection activeCell="I207" sqref="I207"/>
    </sheetView>
    <sheetView workbookViewId="1"/>
  </sheetViews>
  <sheetFormatPr defaultRowHeight="14.5" x14ac:dyDescent="0.35"/>
  <cols>
    <col min="1" max="1" width="45.6328125" bestFit="1" customWidth="1"/>
    <col min="2" max="2" width="12.7265625" customWidth="1"/>
    <col min="3" max="3" width="9" bestFit="1" customWidth="1"/>
    <col min="4" max="4" width="38.36328125" customWidth="1"/>
    <col min="5" max="5" width="23.6328125" bestFit="1" customWidth="1"/>
    <col min="6" max="6" width="19" bestFit="1" customWidth="1"/>
    <col min="7" max="7" width="7.26953125" bestFit="1" customWidth="1"/>
    <col min="8" max="8" width="8.453125" bestFit="1" customWidth="1"/>
    <col min="9" max="9" width="16.36328125" customWidth="1"/>
    <col min="10" max="10" width="11.08984375" bestFit="1" customWidth="1"/>
    <col min="11" max="11" width="20.6328125" bestFit="1" customWidth="1"/>
    <col min="12" max="12" width="24.08984375" bestFit="1" customWidth="1"/>
    <col min="13" max="13" width="22.81640625" bestFit="1" customWidth="1"/>
    <col min="14" max="14" width="21.1796875" bestFit="1" customWidth="1"/>
    <col min="15" max="15" width="27.26953125" bestFit="1" customWidth="1"/>
    <col min="16" max="16" width="5.7265625" bestFit="1" customWidth="1"/>
    <col min="17" max="17" width="8.453125" bestFit="1" customWidth="1"/>
    <col min="25" max="25" width="12.453125" bestFit="1" customWidth="1"/>
    <col min="27" max="27" width="7.7265625" bestFit="1" customWidth="1"/>
    <col min="28" max="28" width="7.7265625" customWidth="1"/>
    <col min="29" max="29" width="33.36328125" bestFit="1" customWidth="1"/>
    <col min="30" max="30" width="31.36328125" bestFit="1" customWidth="1"/>
    <col min="32" max="32" width="9" bestFit="1" customWidth="1"/>
    <col min="33" max="33" width="13.1796875" bestFit="1" customWidth="1"/>
    <col min="37" max="37" width="11.81640625" bestFit="1" customWidth="1"/>
    <col min="38" max="38" width="9.6328125" bestFit="1" customWidth="1"/>
    <col min="40" max="40" width="11.90625" customWidth="1"/>
    <col min="41" max="41" width="12.7265625" bestFit="1" customWidth="1"/>
    <col min="43" max="43" width="9.26953125" bestFit="1" customWidth="1"/>
    <col min="44" max="44" width="12.08984375" bestFit="1" customWidth="1"/>
    <col min="45" max="45" width="12.7265625" bestFit="1" customWidth="1"/>
    <col min="46" max="46" width="14.26953125" bestFit="1" customWidth="1"/>
    <col min="47" max="48" width="17.26953125" bestFit="1" customWidth="1"/>
  </cols>
  <sheetData>
    <row r="1" spans="1:14" x14ac:dyDescent="0.35">
      <c r="A1" t="s">
        <v>166</v>
      </c>
      <c r="B1" s="23">
        <v>84.7</v>
      </c>
      <c r="C1" t="s">
        <v>21</v>
      </c>
    </row>
    <row r="2" spans="1:14" x14ac:dyDescent="0.35">
      <c r="B2" s="26">
        <f>(B1-32)*5/9</f>
        <v>29.277777777777779</v>
      </c>
      <c r="C2" t="s">
        <v>171</v>
      </c>
      <c r="F2" s="7" t="s">
        <v>141</v>
      </c>
      <c r="G2" s="7" t="s">
        <v>329</v>
      </c>
      <c r="H2" s="7" t="s">
        <v>139</v>
      </c>
      <c r="I2" s="7" t="s">
        <v>140</v>
      </c>
      <c r="L2" t="s">
        <v>57</v>
      </c>
      <c r="M2" t="s">
        <v>58</v>
      </c>
      <c r="N2" t="s">
        <v>59</v>
      </c>
    </row>
    <row r="3" spans="1:14" x14ac:dyDescent="0.35">
      <c r="A3" t="s">
        <v>167</v>
      </c>
      <c r="B3" s="23">
        <v>68.2</v>
      </c>
      <c r="C3" t="s">
        <v>21</v>
      </c>
      <c r="F3" t="s">
        <v>30</v>
      </c>
      <c r="H3">
        <v>0.73299999999999998</v>
      </c>
      <c r="I3">
        <v>8</v>
      </c>
      <c r="L3">
        <v>1</v>
      </c>
      <c r="M3">
        <v>5.5</v>
      </c>
      <c r="N3">
        <v>5.5</v>
      </c>
    </row>
    <row r="4" spans="1:14" x14ac:dyDescent="0.35">
      <c r="B4" s="26">
        <f>(B3-32)*5/9</f>
        <v>20.111111111111111</v>
      </c>
      <c r="C4" t="s">
        <v>171</v>
      </c>
      <c r="F4" t="s">
        <v>32</v>
      </c>
      <c r="G4" t="s">
        <v>190</v>
      </c>
      <c r="H4" s="2">
        <v>1.8459999999999999E-5</v>
      </c>
      <c r="I4" s="2">
        <v>1.08E-3</v>
      </c>
      <c r="L4">
        <v>2</v>
      </c>
      <c r="M4">
        <v>6.5</v>
      </c>
      <c r="N4">
        <v>6.5</v>
      </c>
    </row>
    <row r="5" spans="1:14" x14ac:dyDescent="0.35">
      <c r="A5" t="s">
        <v>172</v>
      </c>
      <c r="B5" s="18">
        <f>0.621945*(IF((B3 + 459.67) &gt; 491.67, EXP(-10440.397/(B3 + 459.67) + -11.29465 + -0.027022355*(B3 + 459.67) + 0.00001289036*(B3 + 459.67)*(B3 + 459.67) + -0.0000000024780681*(B3 + 459.67)*(B3 + 459.67)*(B3 + 459.67) + 6.5459673*LN((B3 + 459.67))), EXP(-10214.165/(B3 + 459.67) + -4.8932428 + -0.005376579*(B3 + 459.67) + 0.00000019202377*(B3 + 459.67)*(B3 + 459.67) + 0.00000000035575832*(B3 + 459.67)*(B3 + 459.67)*(B3 + 459.67) + -9.0344688E-14*(B3 + 459.67)*(B3 + 459.67)*(B3 + 459.67)*(B3 + 459.67) + 4.1635019*LN((B3 + 459.67)))))/((14.696)-(IF((B3 + 459.67) &gt; 491.67, EXP(-10440.397/(B3 + 459.67) + -11.29465 + -0.027022355*(B3 + 459.67) + 0.00001289036*(B3 + 459.67)*(B3 + 459.67) + -0.0000000024780681*(B3 + 459.67)*(B3 + 459.67)*(B3 + 459.67) + 6.5459673*LN((B3 + 459.67))), EXP(-10214.165/(B3 + 459.67) + -4.8932428 + -0.005376579*(B3 + 459.67) + 0.00000019202377*(B3 + 459.67)*(B3 + 459.67) + 0.00000000035575832*(B3 + 459.67)*(B3 + 459.67)*(B3 + 459.67) + -9.0344688E-14*(B3 + 459.67)*(B3 + 459.67)*(B3 + 459.67)*(B3 + 459.67) + 4.1635019*LN((B3 + 459.67))))))</f>
        <v>1.4798853139048161E-2</v>
      </c>
      <c r="F5" t="s">
        <v>169</v>
      </c>
      <c r="G5" t="s">
        <v>189</v>
      </c>
      <c r="I5">
        <v>1E-3</v>
      </c>
      <c r="L5">
        <v>3</v>
      </c>
      <c r="M5">
        <v>6.5</v>
      </c>
      <c r="N5">
        <v>6.5</v>
      </c>
    </row>
    <row r="6" spans="1:14" x14ac:dyDescent="0.35">
      <c r="A6" t="s">
        <v>230</v>
      </c>
      <c r="B6" s="18">
        <f>IF((B3) &gt; 32,((1093 - 0.556*(B3))*(B5) - 0.24*((B1) - (B3))) / (1093 + 0.444*(B1) - (B3)),((1220 - 0.04*(B3))*(B5) - 0.24*((B1) - (B3))) / (1220 + 0.444*(B1) - 0.48*(B3)))</f>
        <v>1.0969419443690913E-2</v>
      </c>
      <c r="F6" t="s">
        <v>36</v>
      </c>
      <c r="G6" t="s">
        <v>191</v>
      </c>
      <c r="I6" s="2">
        <f>I4*I5</f>
        <v>1.08E-6</v>
      </c>
      <c r="L6">
        <v>4</v>
      </c>
      <c r="M6">
        <v>6.5</v>
      </c>
      <c r="N6">
        <v>7.5</v>
      </c>
    </row>
    <row r="7" spans="1:14" x14ac:dyDescent="0.35">
      <c r="A7" t="s">
        <v>184</v>
      </c>
      <c r="B7" s="18">
        <f>(14.696*(IF((B3) &gt; 32,((1093 - 0.556*(B3))*(B5) - 0.24*((B1) - (B3))) / (1093 + 0.444*(B1) - (B3)),((1220 - 0.04*(B3))*(B5) - 0.24*((B1) - (B3))) / (1220 + 0.444*(B1) - 0.48*(B3))))) / (0.621945 + (IF((B3) &gt; 32,((1093 - 0.556*(B3))*(B5) - 0.24*((B1) - (B3))) / (1093 + 0.444*(B1) - (B3)),((1220 - 0.04*(B3))*(B5) - 0.24*((B1) - (B3))) / (1220 + 0.444*(B1) - 0.48*(B3)))))</f>
        <v>0.25470519108440676</v>
      </c>
      <c r="C7" t="s">
        <v>179</v>
      </c>
      <c r="F7" t="s">
        <v>142</v>
      </c>
      <c r="G7" t="s">
        <v>48</v>
      </c>
      <c r="I7">
        <v>0.59</v>
      </c>
      <c r="L7">
        <v>5</v>
      </c>
      <c r="M7">
        <v>7.5</v>
      </c>
      <c r="N7">
        <v>8.75</v>
      </c>
    </row>
    <row r="8" spans="1:14" x14ac:dyDescent="0.35">
      <c r="A8" t="s">
        <v>168</v>
      </c>
      <c r="B8" s="14">
        <f>0.24*(B1) + ((IF((B3) &gt; 32,((1093 - 0.556*(B3))*(B5) - 0.24*((B1) - (B3))) / (1093 + 0.444*(B1) - (B3)),((1220 - 0.04*(B3))*(B5) - 0.24*((B1) - (B3))) / (1220 + 0.444*(B1) - 0.48*(B3)))))*(1061 + 0.444*(B1))</f>
        <v>32.37907879289105</v>
      </c>
      <c r="C8" t="s">
        <v>173</v>
      </c>
      <c r="F8" t="s">
        <v>153</v>
      </c>
      <c r="G8" t="s">
        <v>93</v>
      </c>
      <c r="H8">
        <v>1007</v>
      </c>
      <c r="I8" s="2">
        <v>4189</v>
      </c>
      <c r="L8">
        <v>6</v>
      </c>
      <c r="M8">
        <v>8.5</v>
      </c>
      <c r="N8">
        <v>10</v>
      </c>
    </row>
    <row r="9" spans="1:14" x14ac:dyDescent="0.35">
      <c r="B9" s="1">
        <f>B8*2326</f>
        <v>75313.737272264581</v>
      </c>
      <c r="C9" t="s">
        <v>149</v>
      </c>
      <c r="D9" s="14"/>
      <c r="L9">
        <v>8</v>
      </c>
      <c r="M9">
        <v>10.5</v>
      </c>
      <c r="N9">
        <v>12.5</v>
      </c>
    </row>
    <row r="10" spans="1:14" x14ac:dyDescent="0.35">
      <c r="A10" t="s">
        <v>183</v>
      </c>
      <c r="B10" s="14">
        <f>IF((100.45 + 33.193*LN((B7)) + 2.319*LN((B7))*LN((B7)) + 0.17074*LN((B7))*LN((B7))*LN((B7)) + 1.2063*(((B7))^0.1984)) &gt; 32, 100.45 + 33.193*LN((B7)) + 2.319*LN((B7))*LN((B7)) + 0.17074*LN((B7))*LN((B7))*LN((B7)) + 1.2063*(((B7))^0.1984), 90.12 + 26.142*LN((B7)) + 0.8927*LN((B7))*LN((B7)))</f>
        <v>59.874099457733998</v>
      </c>
      <c r="C10" t="s">
        <v>21</v>
      </c>
      <c r="L10">
        <v>10</v>
      </c>
      <c r="M10">
        <v>13</v>
      </c>
      <c r="N10">
        <v>15</v>
      </c>
    </row>
    <row r="11" spans="1:14" x14ac:dyDescent="0.35">
      <c r="B11" s="26">
        <f>(B10-32)*5/9</f>
        <v>15.48561080985222</v>
      </c>
      <c r="C11" t="s">
        <v>171</v>
      </c>
      <c r="L11">
        <v>12</v>
      </c>
      <c r="M11">
        <v>15</v>
      </c>
      <c r="N11">
        <v>17.5</v>
      </c>
    </row>
    <row r="12" spans="1:14" x14ac:dyDescent="0.35">
      <c r="A12" t="s">
        <v>23</v>
      </c>
      <c r="B12" s="14">
        <f>0.370486*((B1) + 459.67) * (1 + 1.607858*(B6))/(14.696)</f>
        <v>13.965607921268571</v>
      </c>
      <c r="C12" t="s">
        <v>10</v>
      </c>
    </row>
    <row r="13" spans="1:14" x14ac:dyDescent="0.35">
      <c r="B13" s="14">
        <f>B12*0.062427961</f>
        <v>0.87184442665024542</v>
      </c>
      <c r="C13" t="s">
        <v>189</v>
      </c>
    </row>
    <row r="14" spans="1:14" x14ac:dyDescent="0.35">
      <c r="A14" t="s">
        <v>170</v>
      </c>
      <c r="B14" s="23">
        <v>47.3</v>
      </c>
      <c r="C14" t="s">
        <v>21</v>
      </c>
    </row>
    <row r="15" spans="1:14" x14ac:dyDescent="0.35">
      <c r="B15" s="14">
        <f>(B14-32)*5/9</f>
        <v>8.4999999999999982</v>
      </c>
      <c r="C15" t="s">
        <v>171</v>
      </c>
    </row>
    <row r="16" spans="1:14" x14ac:dyDescent="0.35">
      <c r="A16" t="s">
        <v>267</v>
      </c>
      <c r="B16" s="14">
        <f>IF((B14 + 459.67) &gt; 491.67, EXP(-10440.397/(B14 + 459.67) + -11.29465 + -0.027022355*(B14 + 459.67) + 0.00001289036*(B14 + 459.67)*(B14 + 459.67) + -0.0000000024780681*(B14 + 459.67)*(B14 + 459.67)*(B14 + 459.67) + 6.5459673*LN((B14 + 459.67))), EXP(-10214.165/(B14 + 459.67) + -4.8932428 + -0.005376579*(B14 + 459.67) + 0.00000019202377*(B14 + 459.67)*(B14 + 459.67) + 0.00000000035575832*(B14 + 459.67)*(B14 + 459.67)*(B14 + 459.67) + -9.0344688E-14*(B14 + 459.67)*(B14 + 459.67)*(B14 + 459.67)*(B14 + 459.67) + 4.1635019*LN((B14 + 459.67))))</f>
        <v>0.16097907696233574</v>
      </c>
      <c r="C16" t="s">
        <v>179</v>
      </c>
    </row>
    <row r="17" spans="1:3" x14ac:dyDescent="0.35">
      <c r="A17" t="s">
        <v>231</v>
      </c>
      <c r="B17" s="14">
        <f>0.24*(B14) + ((0.621945*((1*B16))/((14.696)-((1*B16)))))*(1061 + 0.444*(B14))</f>
        <v>18.805040732782675</v>
      </c>
      <c r="C17" t="s">
        <v>173</v>
      </c>
    </row>
    <row r="18" spans="1:3" x14ac:dyDescent="0.35">
      <c r="B18" s="1">
        <f>B17*2326</f>
        <v>43740.524744452501</v>
      </c>
      <c r="C18" t="s">
        <v>149</v>
      </c>
    </row>
    <row r="19" spans="1:3" x14ac:dyDescent="0.35">
      <c r="B19" s="14"/>
    </row>
    <row r="20" spans="1:3" x14ac:dyDescent="0.35">
      <c r="A20" t="s">
        <v>134</v>
      </c>
      <c r="B20" s="23">
        <v>35.3125</v>
      </c>
      <c r="C20" t="s">
        <v>133</v>
      </c>
    </row>
    <row r="21" spans="1:3" x14ac:dyDescent="0.35">
      <c r="B21" s="19">
        <f>B20/15850.323</f>
        <v>2.2278725802622446E-3</v>
      </c>
      <c r="C21" t="s">
        <v>187</v>
      </c>
    </row>
    <row r="22" spans="1:3" x14ac:dyDescent="0.35">
      <c r="A22" t="s">
        <v>152</v>
      </c>
      <c r="B22" s="15">
        <f>B21/I5</f>
        <v>2.2278725802622446</v>
      </c>
      <c r="C22" t="s">
        <v>146</v>
      </c>
    </row>
    <row r="25" spans="1:3" x14ac:dyDescent="0.35">
      <c r="B25" s="2"/>
    </row>
    <row r="26" spans="1:3" x14ac:dyDescent="0.35">
      <c r="A26" s="10" t="s">
        <v>51</v>
      </c>
      <c r="B26" s="41">
        <v>3276</v>
      </c>
      <c r="C26" s="11" t="s">
        <v>3</v>
      </c>
    </row>
    <row r="27" spans="1:3" x14ac:dyDescent="0.35">
      <c r="A27" s="12"/>
      <c r="B27" s="25">
        <f>B26/2118.88</f>
        <v>1.5460998263233405</v>
      </c>
      <c r="C27" s="13" t="s">
        <v>187</v>
      </c>
    </row>
    <row r="28" spans="1:3" x14ac:dyDescent="0.35">
      <c r="A28" t="s">
        <v>88</v>
      </c>
      <c r="B28" s="15">
        <f>1/B13</f>
        <v>1.1469936257345215</v>
      </c>
      <c r="C28" t="s">
        <v>188</v>
      </c>
    </row>
    <row r="30" spans="1:3" x14ac:dyDescent="0.35">
      <c r="A30" t="s">
        <v>145</v>
      </c>
      <c r="B30" s="1">
        <f>B26/B12*60</f>
        <v>14074.575278649623</v>
      </c>
      <c r="C30" t="s">
        <v>147</v>
      </c>
    </row>
    <row r="31" spans="1:3" x14ac:dyDescent="0.35">
      <c r="B31" s="14">
        <f>B27*B28</f>
        <v>1.7733666455421222</v>
      </c>
      <c r="C31" t="s">
        <v>146</v>
      </c>
    </row>
    <row r="32" spans="1:3" x14ac:dyDescent="0.35">
      <c r="B32" s="1"/>
    </row>
    <row r="33" spans="1:3" x14ac:dyDescent="0.35">
      <c r="A33" t="s">
        <v>54</v>
      </c>
      <c r="B33" s="23">
        <v>6.4999999999999997E-3</v>
      </c>
      <c r="C33" t="s">
        <v>39</v>
      </c>
    </row>
    <row r="34" spans="1:3" x14ac:dyDescent="0.35">
      <c r="B34">
        <f>B33* 0.0254</f>
        <v>1.6509999999999997E-4</v>
      </c>
      <c r="C34" t="s">
        <v>42</v>
      </c>
    </row>
    <row r="35" spans="1:3" x14ac:dyDescent="0.35">
      <c r="A35" t="s">
        <v>55</v>
      </c>
      <c r="B35" s="23">
        <v>11.8</v>
      </c>
      <c r="C35" t="s">
        <v>61</v>
      </c>
    </row>
    <row r="36" spans="1:3" x14ac:dyDescent="0.35">
      <c r="A36" t="s">
        <v>56</v>
      </c>
      <c r="B36">
        <f>(1-B35*B33)/B35</f>
        <v>7.8245762711864397E-2</v>
      </c>
      <c r="C36" t="s">
        <v>39</v>
      </c>
    </row>
    <row r="37" spans="1:3" x14ac:dyDescent="0.35">
      <c r="B37">
        <f>B36* 0.0254</f>
        <v>1.9874423728813554E-3</v>
      </c>
      <c r="C37" t="s">
        <v>42</v>
      </c>
    </row>
    <row r="38" spans="1:3" x14ac:dyDescent="0.35">
      <c r="A38" t="s">
        <v>79</v>
      </c>
      <c r="B38" s="23">
        <v>2.5000000000000001E-2</v>
      </c>
      <c r="C38" t="s">
        <v>39</v>
      </c>
    </row>
    <row r="39" spans="1:3" x14ac:dyDescent="0.35">
      <c r="B39">
        <f>B38*0.0254</f>
        <v>6.3500000000000004E-4</v>
      </c>
      <c r="C39" t="s">
        <v>42</v>
      </c>
    </row>
    <row r="40" spans="1:3" x14ac:dyDescent="0.35">
      <c r="A40" t="s">
        <v>94</v>
      </c>
      <c r="B40" t="s">
        <v>95</v>
      </c>
    </row>
    <row r="41" spans="1:3" x14ac:dyDescent="0.35">
      <c r="A41" t="s">
        <v>96</v>
      </c>
      <c r="B41">
        <v>385</v>
      </c>
      <c r="C41" t="s">
        <v>48</v>
      </c>
    </row>
    <row r="42" spans="1:3" x14ac:dyDescent="0.35">
      <c r="A42" t="s">
        <v>97</v>
      </c>
      <c r="B42">
        <v>237</v>
      </c>
      <c r="C42" t="s">
        <v>48</v>
      </c>
    </row>
    <row r="45" spans="1:3" x14ac:dyDescent="0.35">
      <c r="A45" t="s">
        <v>64</v>
      </c>
      <c r="B45" s="23">
        <v>8</v>
      </c>
      <c r="C45" t="s">
        <v>65</v>
      </c>
    </row>
    <row r="46" spans="1:3" x14ac:dyDescent="0.35">
      <c r="A46" t="s">
        <v>257</v>
      </c>
      <c r="B46">
        <f>B95/1.5</f>
        <v>16</v>
      </c>
      <c r="C46" t="s">
        <v>65</v>
      </c>
    </row>
    <row r="47" spans="1:3" x14ac:dyDescent="0.35">
      <c r="A47" t="s">
        <v>68</v>
      </c>
      <c r="B47">
        <f>B46*B45</f>
        <v>128</v>
      </c>
      <c r="C47" t="s">
        <v>65</v>
      </c>
    </row>
    <row r="48" spans="1:3" x14ac:dyDescent="0.35">
      <c r="A48" t="s">
        <v>280</v>
      </c>
      <c r="B48">
        <f>B45</f>
        <v>8</v>
      </c>
    </row>
    <row r="49" spans="1:4" x14ac:dyDescent="0.35">
      <c r="A49" s="10" t="s">
        <v>66</v>
      </c>
      <c r="B49" s="29">
        <f>5/8</f>
        <v>0.625</v>
      </c>
      <c r="C49" s="11" t="s">
        <v>39</v>
      </c>
    </row>
    <row r="50" spans="1:4" x14ac:dyDescent="0.35">
      <c r="A50" s="32"/>
      <c r="B50" s="8">
        <f>B49* 0.0254</f>
        <v>1.5875E-2</v>
      </c>
      <c r="C50" s="33" t="s">
        <v>42</v>
      </c>
    </row>
    <row r="51" spans="1:4" x14ac:dyDescent="0.35">
      <c r="A51" s="32"/>
      <c r="B51" s="42">
        <f>B49/12</f>
        <v>5.2083333333333336E-2</v>
      </c>
      <c r="C51" s="33" t="s">
        <v>237</v>
      </c>
    </row>
    <row r="52" spans="1:4" x14ac:dyDescent="0.35">
      <c r="A52" s="32" t="s">
        <v>99</v>
      </c>
      <c r="B52" s="8">
        <f>B49/2</f>
        <v>0.3125</v>
      </c>
      <c r="C52" s="33" t="s">
        <v>39</v>
      </c>
    </row>
    <row r="53" spans="1:4" x14ac:dyDescent="0.35">
      <c r="A53" s="32"/>
      <c r="B53" s="8">
        <f>B50/2</f>
        <v>7.9375000000000001E-3</v>
      </c>
      <c r="C53" s="33" t="s">
        <v>42</v>
      </c>
    </row>
    <row r="54" spans="1:4" x14ac:dyDescent="0.35">
      <c r="A54" s="12" t="s">
        <v>71</v>
      </c>
      <c r="B54" s="9">
        <f>PI()/4*(B50^2)</f>
        <v>1.9793260902246007E-4</v>
      </c>
      <c r="C54" s="13" t="s">
        <v>192</v>
      </c>
    </row>
    <row r="55" spans="1:4" x14ac:dyDescent="0.35">
      <c r="A55" s="10" t="s">
        <v>80</v>
      </c>
      <c r="B55" s="29">
        <f>B49-2*B38</f>
        <v>0.57499999999999996</v>
      </c>
      <c r="C55" s="11" t="s">
        <v>39</v>
      </c>
    </row>
    <row r="56" spans="1:4" x14ac:dyDescent="0.35">
      <c r="A56" s="32"/>
      <c r="B56" s="8">
        <f>B55* 0.0254</f>
        <v>1.4604999999999998E-2</v>
      </c>
      <c r="C56" s="33" t="s">
        <v>42</v>
      </c>
    </row>
    <row r="57" spans="1:4" x14ac:dyDescent="0.35">
      <c r="A57" s="12" t="s">
        <v>135</v>
      </c>
      <c r="B57" s="9">
        <f>PI()/4*(B56^2)</f>
        <v>1.6753016027661014E-4</v>
      </c>
      <c r="C57" s="13" t="s">
        <v>192</v>
      </c>
    </row>
    <row r="58" spans="1:4" x14ac:dyDescent="0.35">
      <c r="A58" s="10" t="s">
        <v>136</v>
      </c>
      <c r="B58" s="24">
        <f>(B21/B46)/B57</f>
        <v>0.8311460816159123</v>
      </c>
      <c r="C58" s="11" t="s">
        <v>89</v>
      </c>
    </row>
    <row r="59" spans="1:4" x14ac:dyDescent="0.35">
      <c r="A59" s="12"/>
      <c r="B59" s="25">
        <f>B58* 3.2808399</f>
        <v>2.7268572272941416</v>
      </c>
      <c r="C59" s="13" t="s">
        <v>137</v>
      </c>
    </row>
    <row r="60" spans="1:4" x14ac:dyDescent="0.35">
      <c r="A60" s="20" t="s">
        <v>138</v>
      </c>
      <c r="B60" s="22">
        <f>B58*B56/I6</f>
        <v>11239.711594444812</v>
      </c>
      <c r="C60" s="8"/>
    </row>
    <row r="61" spans="1:4" x14ac:dyDescent="0.35">
      <c r="A61" s="20" t="s">
        <v>283</v>
      </c>
      <c r="B61" s="22">
        <f>0.023*B60^(4/5)*$I$3^0.4</f>
        <v>91.953436601462343</v>
      </c>
      <c r="C61" s="8"/>
      <c r="D61" t="s">
        <v>285</v>
      </c>
    </row>
    <row r="62" spans="1:4" x14ac:dyDescent="0.35">
      <c r="A62" s="20" t="s">
        <v>284</v>
      </c>
      <c r="B62" s="22">
        <f>B61*I7/B56</f>
        <v>3714.6544056735902</v>
      </c>
      <c r="C62" s="20" t="s">
        <v>193</v>
      </c>
    </row>
    <row r="63" spans="1:4" x14ac:dyDescent="0.35">
      <c r="A63" s="20" t="s">
        <v>303</v>
      </c>
      <c r="B63" s="45">
        <v>9.43</v>
      </c>
      <c r="C63" s="20" t="s">
        <v>171</v>
      </c>
    </row>
    <row r="64" spans="1:4" x14ac:dyDescent="0.35">
      <c r="A64" s="20" t="s">
        <v>286</v>
      </c>
      <c r="B64" s="22">
        <f>1429*(1+0.0146*(B63))*(B58^0.8)*(B56^(-0.2))</f>
        <v>3265.0750319512172</v>
      </c>
      <c r="C64" s="20" t="s">
        <v>193</v>
      </c>
      <c r="D64" t="s">
        <v>287</v>
      </c>
    </row>
    <row r="65" spans="1:5" x14ac:dyDescent="0.35">
      <c r="A65" s="20" t="s">
        <v>290</v>
      </c>
      <c r="B65" s="22">
        <v>1</v>
      </c>
      <c r="C65" s="8"/>
    </row>
    <row r="66" spans="1:5" x14ac:dyDescent="0.35">
      <c r="A66" s="20"/>
      <c r="B66" s="22"/>
      <c r="C66" s="8"/>
    </row>
    <row r="67" spans="1:5" x14ac:dyDescent="0.35">
      <c r="A67" s="20" t="s">
        <v>288</v>
      </c>
      <c r="B67" s="22">
        <f>IF(B65=1,B62,IF(B65=2,B64,NA()))</f>
        <v>3714.6544056735902</v>
      </c>
      <c r="C67" s="20" t="s">
        <v>193</v>
      </c>
    </row>
    <row r="68" spans="1:5" x14ac:dyDescent="0.35">
      <c r="A68" s="20" t="s">
        <v>143</v>
      </c>
      <c r="B68" s="21">
        <f>1/(B67*B93)</f>
        <v>7.5192620903614244E-5</v>
      </c>
      <c r="C68" s="20" t="s">
        <v>98</v>
      </c>
    </row>
    <row r="69" spans="1:5" x14ac:dyDescent="0.35">
      <c r="A69" s="20"/>
      <c r="B69" s="21"/>
      <c r="C69" s="20"/>
    </row>
    <row r="70" spans="1:5" x14ac:dyDescent="0.35">
      <c r="A70" s="20" t="s">
        <v>273</v>
      </c>
      <c r="B70" s="21">
        <v>1.5E-3</v>
      </c>
      <c r="C70" s="20" t="s">
        <v>272</v>
      </c>
      <c r="D70" t="s">
        <v>274</v>
      </c>
    </row>
    <row r="71" spans="1:5" x14ac:dyDescent="0.35">
      <c r="A71" s="20" t="s">
        <v>271</v>
      </c>
      <c r="B71" s="21">
        <f>(B70/1000)/B56</f>
        <v>1.0270455323519344E-4</v>
      </c>
      <c r="C71" s="20"/>
    </row>
    <row r="72" spans="1:5" x14ac:dyDescent="0.35">
      <c r="A72" s="20" t="s">
        <v>276</v>
      </c>
      <c r="B72" s="35">
        <f>-1.8*LOG10((B71/3.7)^1.11+(6.9/B60))</f>
        <v>5.770363537508409</v>
      </c>
      <c r="C72" s="20"/>
    </row>
    <row r="73" spans="1:5" x14ac:dyDescent="0.35">
      <c r="A73" s="20" t="s">
        <v>275</v>
      </c>
      <c r="B73" s="42">
        <f>(1/B72)^2</f>
        <v>3.0032649675240813E-2</v>
      </c>
      <c r="C73" s="20"/>
      <c r="D73" t="s">
        <v>278</v>
      </c>
    </row>
    <row r="74" spans="1:5" x14ac:dyDescent="0.35">
      <c r="A74" s="20" t="s">
        <v>279</v>
      </c>
      <c r="B74" s="42">
        <f>B48*B99</f>
        <v>4.8767999999999994</v>
      </c>
      <c r="C74" s="20" t="s">
        <v>42</v>
      </c>
    </row>
    <row r="75" spans="1:5" x14ac:dyDescent="0.35">
      <c r="A75" s="20"/>
      <c r="B75" s="42"/>
      <c r="C75" s="20"/>
    </row>
    <row r="76" spans="1:5" x14ac:dyDescent="0.35">
      <c r="A76" s="20" t="s">
        <v>277</v>
      </c>
      <c r="B76" s="42">
        <f>B73*(B74/B56)*(B58^2/(2*9.80665))</f>
        <v>0.35320845128382872</v>
      </c>
      <c r="C76" s="20" t="s">
        <v>281</v>
      </c>
    </row>
    <row r="77" spans="1:5" x14ac:dyDescent="0.35">
      <c r="A77" s="20"/>
      <c r="B77" s="42">
        <f>B76*3.2808399</f>
        <v>1.1588203799891916</v>
      </c>
      <c r="C77" s="20" t="s">
        <v>282</v>
      </c>
    </row>
    <row r="78" spans="1:5" x14ac:dyDescent="0.35">
      <c r="A78" t="s">
        <v>82</v>
      </c>
      <c r="B78" s="38">
        <v>1.29</v>
      </c>
      <c r="C78" t="s">
        <v>39</v>
      </c>
    </row>
    <row r="79" spans="1:5" x14ac:dyDescent="0.35">
      <c r="B79" s="15">
        <f>B78* 0.0254</f>
        <v>3.2765999999999997E-2</v>
      </c>
      <c r="C79" t="s">
        <v>42</v>
      </c>
      <c r="E79">
        <f>2*B116*(B96*B102-B54*B47)</f>
        <v>104.04567836795886</v>
      </c>
    </row>
    <row r="80" spans="1:5" x14ac:dyDescent="0.35">
      <c r="B80" s="2"/>
    </row>
    <row r="82" spans="1:6" x14ac:dyDescent="0.35">
      <c r="A82" t="s">
        <v>67</v>
      </c>
      <c r="B82">
        <f>B35*B33</f>
        <v>7.6700000000000004E-2</v>
      </c>
    </row>
    <row r="83" spans="1:6" x14ac:dyDescent="0.35">
      <c r="A83" t="s">
        <v>69</v>
      </c>
      <c r="B83">
        <f>1-B82</f>
        <v>0.92330000000000001</v>
      </c>
    </row>
    <row r="85" spans="1:6" x14ac:dyDescent="0.35">
      <c r="A85" t="s">
        <v>63</v>
      </c>
      <c r="B85" s="14">
        <f>PI()*B50*B99*B83*B47</f>
        <v>3.5930343586615265</v>
      </c>
      <c r="C85" t="s">
        <v>192</v>
      </c>
      <c r="D85" t="s">
        <v>75</v>
      </c>
      <c r="E85" t="s">
        <v>260</v>
      </c>
    </row>
    <row r="86" spans="1:6" x14ac:dyDescent="0.35">
      <c r="B86" s="14">
        <f>B85*10.76391</f>
        <v>38.675098463540387</v>
      </c>
      <c r="C86" t="s">
        <v>235</v>
      </c>
      <c r="E86">
        <v>38.9</v>
      </c>
    </row>
    <row r="87" spans="1:6" x14ac:dyDescent="0.35">
      <c r="A87" t="s">
        <v>70</v>
      </c>
      <c r="B87" s="14">
        <f>2*B116*(B96*B102-B54*B47)</f>
        <v>104.04567836795886</v>
      </c>
      <c r="C87" t="s">
        <v>192</v>
      </c>
      <c r="D87" t="s">
        <v>76</v>
      </c>
    </row>
    <row r="88" spans="1:6" x14ac:dyDescent="0.35">
      <c r="B88" s="14">
        <f>B87*10.76391</f>
        <v>1119.938317841656</v>
      </c>
      <c r="C88" t="s">
        <v>235</v>
      </c>
      <c r="E88">
        <v>827</v>
      </c>
      <c r="F88">
        <f>24*B97*B103*B100*B35-0.5*PI()*(B51^2)*B45*B46</f>
        <v>1273.8545846087518</v>
      </c>
    </row>
    <row r="89" spans="1:6" x14ac:dyDescent="0.35">
      <c r="A89" t="s">
        <v>72</v>
      </c>
      <c r="B89" s="14">
        <f>B85+B87</f>
        <v>107.63871272662038</v>
      </c>
      <c r="C89" t="s">
        <v>192</v>
      </c>
      <c r="D89" t="s">
        <v>77</v>
      </c>
    </row>
    <row r="90" spans="1:6" x14ac:dyDescent="0.35">
      <c r="E90">
        <f>E86+E88</f>
        <v>865.9</v>
      </c>
    </row>
    <row r="91" spans="1:6" x14ac:dyDescent="0.35">
      <c r="A91" t="s">
        <v>73</v>
      </c>
      <c r="B91" s="14">
        <f>(B99-B116*B34)*(B96-B50*B46)</f>
        <v>0.20014721260799995</v>
      </c>
      <c r="C91" t="s">
        <v>192</v>
      </c>
      <c r="D91" t="s">
        <v>74</v>
      </c>
    </row>
    <row r="92" spans="1:6" x14ac:dyDescent="0.35">
      <c r="B92" s="14">
        <f>B91*10.76391</f>
        <v>2.1543665832633767</v>
      </c>
      <c r="C92" t="s">
        <v>235</v>
      </c>
    </row>
    <row r="93" spans="1:6" x14ac:dyDescent="0.35">
      <c r="A93" t="s">
        <v>78</v>
      </c>
      <c r="B93" s="14">
        <f>PI()*B56*B99*B47</f>
        <v>3.5801923643112792</v>
      </c>
      <c r="C93" t="s">
        <v>192</v>
      </c>
    </row>
    <row r="95" spans="1:6" x14ac:dyDescent="0.35">
      <c r="A95" s="10" t="s">
        <v>52</v>
      </c>
      <c r="B95" s="27">
        <v>24</v>
      </c>
      <c r="C95" s="11" t="s">
        <v>39</v>
      </c>
    </row>
    <row r="96" spans="1:6" x14ac:dyDescent="0.35">
      <c r="A96" s="32"/>
      <c r="B96" s="8">
        <f>B95* 0.0254</f>
        <v>0.60959999999999992</v>
      </c>
      <c r="C96" s="33" t="s">
        <v>42</v>
      </c>
    </row>
    <row r="97" spans="1:3" x14ac:dyDescent="0.35">
      <c r="A97" s="32"/>
      <c r="B97" s="8">
        <f>B95/12</f>
        <v>2</v>
      </c>
      <c r="C97" s="33" t="s">
        <v>237</v>
      </c>
    </row>
    <row r="98" spans="1:3" x14ac:dyDescent="0.35">
      <c r="A98" s="10" t="s">
        <v>53</v>
      </c>
      <c r="B98" s="27">
        <v>24</v>
      </c>
      <c r="C98" s="11" t="s">
        <v>39</v>
      </c>
    </row>
    <row r="99" spans="1:3" x14ac:dyDescent="0.35">
      <c r="A99" s="32"/>
      <c r="B99" s="8">
        <f>B98* 0.0254</f>
        <v>0.60959999999999992</v>
      </c>
      <c r="C99" s="33" t="s">
        <v>42</v>
      </c>
    </row>
    <row r="100" spans="1:3" x14ac:dyDescent="0.35">
      <c r="A100" s="12"/>
      <c r="B100" s="9">
        <f>B98/12</f>
        <v>2</v>
      </c>
      <c r="C100" s="13" t="s">
        <v>237</v>
      </c>
    </row>
    <row r="101" spans="1:3" x14ac:dyDescent="0.35">
      <c r="A101" s="32" t="s">
        <v>60</v>
      </c>
      <c r="B101" s="40">
        <v>13.5</v>
      </c>
      <c r="C101" s="33" t="s">
        <v>39</v>
      </c>
    </row>
    <row r="102" spans="1:3" x14ac:dyDescent="0.35">
      <c r="A102" s="32"/>
      <c r="B102" s="8">
        <f>B101* 0.0254</f>
        <v>0.34289999999999998</v>
      </c>
      <c r="C102" s="33" t="s">
        <v>42</v>
      </c>
    </row>
    <row r="103" spans="1:3" x14ac:dyDescent="0.35">
      <c r="A103" s="32"/>
      <c r="B103" s="8">
        <f>B101/12</f>
        <v>1.125</v>
      </c>
      <c r="C103" s="33" t="s">
        <v>237</v>
      </c>
    </row>
    <row r="104" spans="1:3" x14ac:dyDescent="0.35">
      <c r="A104" s="10" t="s">
        <v>234</v>
      </c>
      <c r="B104" s="29">
        <f>B95*B98</f>
        <v>576</v>
      </c>
      <c r="C104" s="30" t="s">
        <v>268</v>
      </c>
    </row>
    <row r="105" spans="1:3" x14ac:dyDescent="0.35">
      <c r="A105" s="32"/>
      <c r="B105" s="8">
        <f>B104/144</f>
        <v>4</v>
      </c>
      <c r="C105" s="28" t="s">
        <v>235</v>
      </c>
    </row>
    <row r="106" spans="1:3" x14ac:dyDescent="0.35">
      <c r="A106" s="12"/>
      <c r="B106" s="25">
        <f>B105/10.76391</f>
        <v>0.37161217438644512</v>
      </c>
      <c r="C106" s="31" t="s">
        <v>236</v>
      </c>
    </row>
    <row r="107" spans="1:3" x14ac:dyDescent="0.35">
      <c r="A107" s="36" t="s">
        <v>259</v>
      </c>
      <c r="B107" s="39">
        <f>B91/B106</f>
        <v>0.53859164581584407</v>
      </c>
      <c r="C107" s="37"/>
    </row>
    <row r="108" spans="1:3" x14ac:dyDescent="0.35">
      <c r="A108" t="s">
        <v>81</v>
      </c>
      <c r="B108" s="15">
        <f>SQRT((4*B101*B95)/(PI()*B47))</f>
        <v>1.7952402618064471</v>
      </c>
      <c r="C108" t="s">
        <v>39</v>
      </c>
    </row>
    <row r="109" spans="1:3" x14ac:dyDescent="0.35">
      <c r="B109" s="15">
        <f>SQRT((4*B102*B96)/(PI()*B47))</f>
        <v>4.5599102649883753E-2</v>
      </c>
      <c r="C109" t="s">
        <v>42</v>
      </c>
    </row>
    <row r="110" spans="1:3" x14ac:dyDescent="0.35">
      <c r="A110" t="s">
        <v>100</v>
      </c>
      <c r="B110" s="14">
        <f>B108/2</f>
        <v>0.89762013090322357</v>
      </c>
      <c r="C110" t="s">
        <v>39</v>
      </c>
    </row>
    <row r="111" spans="1:3" x14ac:dyDescent="0.35">
      <c r="B111" s="14">
        <f>B109/2</f>
        <v>2.2799551324941877E-2</v>
      </c>
      <c r="C111" t="s">
        <v>42</v>
      </c>
    </row>
    <row r="112" spans="1:3" x14ac:dyDescent="0.35">
      <c r="B112" s="14"/>
    </row>
    <row r="113" spans="1:6" x14ac:dyDescent="0.35">
      <c r="A113" t="s">
        <v>85</v>
      </c>
      <c r="B113" s="15">
        <f>(B108-B49)/2</f>
        <v>0.58512013090322357</v>
      </c>
      <c r="C113" t="s">
        <v>39</v>
      </c>
    </row>
    <row r="114" spans="1:6" x14ac:dyDescent="0.35">
      <c r="B114" s="15">
        <f>B113* 0.0254</f>
        <v>1.4862051324941878E-2</v>
      </c>
      <c r="C114" t="s">
        <v>42</v>
      </c>
    </row>
    <row r="116" spans="1:6" x14ac:dyDescent="0.35">
      <c r="A116" t="s">
        <v>62</v>
      </c>
      <c r="B116">
        <f>B98*B35</f>
        <v>283.20000000000005</v>
      </c>
    </row>
    <row r="117" spans="1:6" x14ac:dyDescent="0.35">
      <c r="B117" s="1"/>
    </row>
    <row r="118" spans="1:6" x14ac:dyDescent="0.35">
      <c r="A118" t="s">
        <v>86</v>
      </c>
      <c r="B118" s="17">
        <f>4*B91*B102/B89</f>
        <v>2.5504013366488359E-3</v>
      </c>
      <c r="C118" t="s">
        <v>42</v>
      </c>
      <c r="D118" t="s">
        <v>87</v>
      </c>
      <c r="F118">
        <v>9.1300000000000006E-2</v>
      </c>
    </row>
    <row r="119" spans="1:6" x14ac:dyDescent="0.35">
      <c r="B119" s="16">
        <f>B118/0.0254</f>
        <v>0.10040950144286756</v>
      </c>
      <c r="C119" t="s">
        <v>39</v>
      </c>
    </row>
    <row r="120" spans="1:6" x14ac:dyDescent="0.35">
      <c r="B120" s="16">
        <f>B119/12</f>
        <v>8.3674584535722973E-3</v>
      </c>
      <c r="C120" t="s">
        <v>237</v>
      </c>
      <c r="D120">
        <f>(0.0913*(827+38.9))/(4*2.15)</f>
        <v>9.1926360465116286</v>
      </c>
      <c r="E120" t="s">
        <v>237</v>
      </c>
    </row>
    <row r="122" spans="1:6" x14ac:dyDescent="0.35">
      <c r="A122" t="s">
        <v>232</v>
      </c>
      <c r="B122" s="14">
        <f>B27/B91</f>
        <v>7.7248131821424248</v>
      </c>
      <c r="C122" t="s">
        <v>89</v>
      </c>
    </row>
    <row r="123" spans="1:6" x14ac:dyDescent="0.35">
      <c r="B123" s="1">
        <f>B122* 196.85039</f>
        <v>1520.6324875818775</v>
      </c>
      <c r="C123" t="s">
        <v>90</v>
      </c>
    </row>
    <row r="124" spans="1:6" x14ac:dyDescent="0.35">
      <c r="A124" t="s">
        <v>233</v>
      </c>
      <c r="B124" s="34">
        <f>B26/B105</f>
        <v>819</v>
      </c>
      <c r="C124" t="s">
        <v>90</v>
      </c>
    </row>
    <row r="126" spans="1:6" x14ac:dyDescent="0.35">
      <c r="A126" t="s">
        <v>262</v>
      </c>
      <c r="B126" s="18">
        <f>B34/B118</f>
        <v>6.4734909611103508E-2</v>
      </c>
    </row>
    <row r="127" spans="1:6" x14ac:dyDescent="0.35">
      <c r="A127" t="s">
        <v>263</v>
      </c>
      <c r="B127" s="18">
        <f>B34/B114</f>
        <v>1.1108829890993909E-2</v>
      </c>
    </row>
    <row r="128" spans="1:6" x14ac:dyDescent="0.35">
      <c r="A128" t="s">
        <v>327</v>
      </c>
      <c r="B128" s="18">
        <f>B37/B114</f>
        <v>0.13372597963956553</v>
      </c>
    </row>
    <row r="129" spans="1:11" x14ac:dyDescent="0.35">
      <c r="A129" t="s">
        <v>264</v>
      </c>
      <c r="B129" s="18">
        <f>B109/B79</f>
        <v>1.3916591176794164</v>
      </c>
    </row>
    <row r="130" spans="1:11" x14ac:dyDescent="0.35">
      <c r="A130" t="s">
        <v>328</v>
      </c>
      <c r="B130" s="18">
        <f>B34/B37</f>
        <v>8.3071591032167241E-2</v>
      </c>
    </row>
    <row r="132" spans="1:11" x14ac:dyDescent="0.35">
      <c r="A132" t="s">
        <v>83</v>
      </c>
      <c r="B132" s="18">
        <f>0.159*(B126^(-0.065)*(B127^0.141))</f>
        <v>0.10071921945593777</v>
      </c>
    </row>
    <row r="133" spans="1:11" x14ac:dyDescent="0.35">
      <c r="A133" t="s">
        <v>84</v>
      </c>
      <c r="B133" s="18">
        <f>-0.323*(B128^0.049)*(B129^0.549)*(B130^(-0.028))</f>
        <v>-0.37622007909760757</v>
      </c>
    </row>
    <row r="136" spans="1:11" x14ac:dyDescent="0.35">
      <c r="A136" t="s">
        <v>91</v>
      </c>
      <c r="B136" s="1">
        <f>B28*B122*B118/H4</f>
        <v>1224.1251485092509</v>
      </c>
    </row>
    <row r="138" spans="1:11" x14ac:dyDescent="0.35">
      <c r="A138" t="s">
        <v>92</v>
      </c>
      <c r="B138" s="19">
        <f>B132*(B136^B133)*(H3^(-2/3))</f>
        <v>8.5377013827261858E-3</v>
      </c>
    </row>
    <row r="139" spans="1:11" x14ac:dyDescent="0.35">
      <c r="A139" t="s">
        <v>265</v>
      </c>
      <c r="B139" s="14">
        <f>B138*B28*B122*H8</f>
        <v>76.176220428403553</v>
      </c>
      <c r="C139" t="s">
        <v>193</v>
      </c>
    </row>
    <row r="142" spans="1:11" x14ac:dyDescent="0.35">
      <c r="A142" t="s">
        <v>266</v>
      </c>
      <c r="B142" s="14">
        <f>B139*(1.425-(0.00051)*B136+(0.000000263)*B136*B136)</f>
        <v>91.015122685729693</v>
      </c>
      <c r="C142" t="s">
        <v>193</v>
      </c>
    </row>
    <row r="143" spans="1:11" x14ac:dyDescent="0.35">
      <c r="J143" s="63" t="s">
        <v>318</v>
      </c>
      <c r="K143" s="63" t="s">
        <v>326</v>
      </c>
    </row>
    <row r="144" spans="1:11" x14ac:dyDescent="0.35">
      <c r="J144" s="64" t="s">
        <v>319</v>
      </c>
      <c r="K144" s="65">
        <f>B166*10^6</f>
        <v>175.81137170983462</v>
      </c>
    </row>
    <row r="145" spans="1:11" x14ac:dyDescent="0.35">
      <c r="J145" s="64" t="s">
        <v>322</v>
      </c>
      <c r="K145" s="65">
        <f>B180*10^6</f>
        <v>155.30344764698887</v>
      </c>
    </row>
    <row r="146" spans="1:11" x14ac:dyDescent="0.35">
      <c r="A146" t="s">
        <v>122</v>
      </c>
      <c r="B146" s="2">
        <f>B39/(B41*B93)</f>
        <v>4.6068771773047863E-7</v>
      </c>
      <c r="C146" t="s">
        <v>98</v>
      </c>
      <c r="J146" s="64" t="s">
        <v>323</v>
      </c>
      <c r="K146" s="65">
        <f>B68*10^6</f>
        <v>75.192620903614241</v>
      </c>
    </row>
    <row r="147" spans="1:11" x14ac:dyDescent="0.35">
      <c r="J147" s="64" t="s">
        <v>324</v>
      </c>
      <c r="K147" s="65">
        <f>B152*10^6</f>
        <v>13.965730025687737</v>
      </c>
    </row>
    <row r="148" spans="1:11" x14ac:dyDescent="0.35">
      <c r="A148" t="s">
        <v>123</v>
      </c>
      <c r="B148" s="2">
        <f>LN(B49/B55)/(2*PI()*B41*B99*B47)</f>
        <v>4.4174815591250783E-7</v>
      </c>
      <c r="C148" t="s">
        <v>98</v>
      </c>
      <c r="D148" s="14">
        <f>B146/B148</f>
        <v>1.0428741163137349</v>
      </c>
      <c r="J148" s="64" t="s">
        <v>325</v>
      </c>
      <c r="K148" s="65">
        <f>B148*10^6</f>
        <v>0.44174815591250782</v>
      </c>
    </row>
    <row r="150" spans="1:11" x14ac:dyDescent="0.35">
      <c r="A150" s="7" t="s">
        <v>314</v>
      </c>
    </row>
    <row r="151" spans="1:11" x14ac:dyDescent="0.35">
      <c r="A151" t="s">
        <v>316</v>
      </c>
      <c r="B151" s="2">
        <v>5.0000000000000002E-5</v>
      </c>
      <c r="C151" t="s">
        <v>317</v>
      </c>
    </row>
    <row r="152" spans="1:11" x14ac:dyDescent="0.35">
      <c r="A152" t="s">
        <v>315</v>
      </c>
      <c r="B152" s="2">
        <f>B151/B93</f>
        <v>1.3965730025687737E-5</v>
      </c>
      <c r="C152" t="s">
        <v>98</v>
      </c>
    </row>
    <row r="153" spans="1:11" x14ac:dyDescent="0.35">
      <c r="B153" s="2"/>
    </row>
    <row r="154" spans="1:11" x14ac:dyDescent="0.35">
      <c r="A154" s="7" t="s">
        <v>109</v>
      </c>
    </row>
    <row r="155" spans="1:11" x14ac:dyDescent="0.35">
      <c r="A155" t="s">
        <v>110</v>
      </c>
      <c r="B155">
        <f>SQRT((2*B139)/(B42*B34))</f>
        <v>62.398909314715873</v>
      </c>
      <c r="C155" t="s">
        <v>101</v>
      </c>
      <c r="D155" t="s">
        <v>118</v>
      </c>
    </row>
    <row r="156" spans="1:11" x14ac:dyDescent="0.35">
      <c r="A156" t="s">
        <v>102</v>
      </c>
      <c r="B156">
        <f>2*B53/(B155*(B111^2-B53^2))</f>
        <v>0.55692379809775905</v>
      </c>
    </row>
    <row r="157" spans="1:11" x14ac:dyDescent="0.35">
      <c r="A157" t="s">
        <v>103</v>
      </c>
      <c r="B157">
        <f>B155*B53</f>
        <v>0.49529134268555725</v>
      </c>
    </row>
    <row r="158" spans="1:11" x14ac:dyDescent="0.35">
      <c r="A158" t="s">
        <v>104</v>
      </c>
      <c r="B158">
        <f>B155*B111</f>
        <v>1.4226671355412583</v>
      </c>
    </row>
    <row r="160" spans="1:11" x14ac:dyDescent="0.35">
      <c r="A160" t="s">
        <v>105</v>
      </c>
      <c r="B160">
        <f>BESSELK(B157,1)*BESSELI(B158,1)-BESSELI(B157,1)*BESSELK(B158,1)</f>
        <v>1.4416494441616328</v>
      </c>
    </row>
    <row r="161" spans="1:3" x14ac:dyDescent="0.35">
      <c r="A161" t="s">
        <v>106</v>
      </c>
      <c r="B161">
        <f>BESSELI(B157,0)*BESSELK(B158,1)+BESSELK(B157,0)*BESSELI(B158,1)</f>
        <v>1.1753407139772269</v>
      </c>
    </row>
    <row r="163" spans="1:3" x14ac:dyDescent="0.35">
      <c r="A163" t="s">
        <v>107</v>
      </c>
      <c r="B163" s="14">
        <f>B156*B160/B161</f>
        <v>0.68311160705999019</v>
      </c>
    </row>
    <row r="165" spans="1:3" x14ac:dyDescent="0.35">
      <c r="A165" t="s">
        <v>108</v>
      </c>
      <c r="B165" s="14">
        <f>1-(1-B163)*B87/B89</f>
        <v>0.69368950096872051</v>
      </c>
    </row>
    <row r="166" spans="1:3" x14ac:dyDescent="0.35">
      <c r="A166" t="s">
        <v>320</v>
      </c>
      <c r="B166" s="2">
        <f>1/(B165*B139*B89)</f>
        <v>1.7581137170983463E-4</v>
      </c>
      <c r="C166" t="s">
        <v>98</v>
      </c>
    </row>
    <row r="168" spans="1:3" x14ac:dyDescent="0.35">
      <c r="A168" s="7" t="s">
        <v>111</v>
      </c>
    </row>
    <row r="169" spans="1:3" x14ac:dyDescent="0.35">
      <c r="A169" t="s">
        <v>112</v>
      </c>
      <c r="B169">
        <f>SQRT((2*B142)/(B42*B34))</f>
        <v>68.206233520487771</v>
      </c>
      <c r="C169" t="s">
        <v>101</v>
      </c>
    </row>
    <row r="170" spans="1:3" x14ac:dyDescent="0.35">
      <c r="A170" t="s">
        <v>102</v>
      </c>
      <c r="B170" s="15">
        <f>2*B53/(B169*(B111^2-B53^2))</f>
        <v>0.50950530148055417</v>
      </c>
    </row>
    <row r="171" spans="1:3" x14ac:dyDescent="0.35">
      <c r="A171" t="s">
        <v>103</v>
      </c>
      <c r="B171" s="15">
        <f>B169*B53</f>
        <v>0.54138697856887175</v>
      </c>
    </row>
    <row r="172" spans="1:3" x14ac:dyDescent="0.35">
      <c r="A172" t="s">
        <v>104</v>
      </c>
      <c r="B172" s="15">
        <f>B169*B111</f>
        <v>1.555071521831332</v>
      </c>
    </row>
    <row r="173" spans="1:3" x14ac:dyDescent="0.35">
      <c r="B173" s="15"/>
    </row>
    <row r="174" spans="1:3" x14ac:dyDescent="0.35">
      <c r="A174" t="s">
        <v>105</v>
      </c>
      <c r="B174" s="15">
        <f>BESSELK(B171,1)*BESSELI(B172,1)-BESSELI(B171,1)*BESSELK(B172,1)</f>
        <v>1.4783817847093552</v>
      </c>
    </row>
    <row r="175" spans="1:3" x14ac:dyDescent="0.35">
      <c r="A175" t="s">
        <v>106</v>
      </c>
      <c r="B175" s="15">
        <f>BESSELI(B171,0)*BESSELK(B172,1)+BESSELK(B171,0)*BESSELI(B172,1)</f>
        <v>1.1670528406145437</v>
      </c>
    </row>
    <row r="177" spans="1:49" x14ac:dyDescent="0.35">
      <c r="A177" t="s">
        <v>119</v>
      </c>
      <c r="B177" s="14">
        <f>B170*B174/B175</f>
        <v>0.64542352386123214</v>
      </c>
    </row>
    <row r="179" spans="1:49" x14ac:dyDescent="0.35">
      <c r="A179" t="s">
        <v>120</v>
      </c>
      <c r="B179" s="14">
        <f>1-(1-B177)*B87/B89</f>
        <v>0.65725946493919196</v>
      </c>
    </row>
    <row r="180" spans="1:49" x14ac:dyDescent="0.35">
      <c r="A180" t="s">
        <v>321</v>
      </c>
      <c r="B180" s="2">
        <f>1/(B179*B142*B89)</f>
        <v>1.5530344764698887E-4</v>
      </c>
      <c r="C180" t="s">
        <v>98</v>
      </c>
    </row>
    <row r="181" spans="1:49" x14ac:dyDescent="0.35">
      <c r="A181" s="7" t="s">
        <v>132</v>
      </c>
    </row>
    <row r="183" spans="1:49" x14ac:dyDescent="0.35">
      <c r="A183" t="s">
        <v>174</v>
      </c>
      <c r="B183" s="2">
        <f>B148+B68+B152</f>
        <v>8.9600099085214489E-5</v>
      </c>
      <c r="C183" t="s">
        <v>98</v>
      </c>
    </row>
    <row r="184" spans="1:49" x14ac:dyDescent="0.35">
      <c r="A184" t="s">
        <v>124</v>
      </c>
      <c r="B184" s="1">
        <f>'Saturated Air Enthalpy'!J3</f>
        <v>19927.679268783926</v>
      </c>
      <c r="C184" t="s">
        <v>149</v>
      </c>
    </row>
    <row r="185" spans="1:49" x14ac:dyDescent="0.35">
      <c r="A185" t="s">
        <v>125</v>
      </c>
      <c r="B185" s="1">
        <f>'Saturated Air Enthalpy'!J4</f>
        <v>2707.5993736512046</v>
      </c>
      <c r="C185" t="s">
        <v>93</v>
      </c>
    </row>
    <row r="186" spans="1:49" x14ac:dyDescent="0.35">
      <c r="F186" s="7"/>
    </row>
    <row r="187" spans="1:49" ht="15" thickBot="1" x14ac:dyDescent="0.4"/>
    <row r="188" spans="1:49" x14ac:dyDescent="0.35">
      <c r="A188" s="46" t="s">
        <v>121</v>
      </c>
      <c r="B188" s="47"/>
      <c r="C188" s="47"/>
      <c r="D188" s="48"/>
      <c r="E188" s="55" t="s">
        <v>194</v>
      </c>
      <c r="F188" s="47"/>
      <c r="G188" s="47"/>
      <c r="H188" s="47"/>
      <c r="I188" s="47"/>
      <c r="J188" s="48"/>
      <c r="K188" s="46" t="s">
        <v>209</v>
      </c>
      <c r="L188" s="47" t="s">
        <v>216</v>
      </c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8"/>
    </row>
    <row r="189" spans="1:49" x14ac:dyDescent="0.35">
      <c r="A189" s="49" t="s">
        <v>150</v>
      </c>
      <c r="B189" s="42">
        <f>1/B31</f>
        <v>0.5638991815447717</v>
      </c>
      <c r="C189" s="8" t="s">
        <v>148</v>
      </c>
      <c r="D189" s="51"/>
      <c r="E189" s="8" t="s">
        <v>195</v>
      </c>
      <c r="F189" s="50">
        <f>1/(B31*H8)</f>
        <v>5.5997932626094507E-4</v>
      </c>
      <c r="G189" s="8" t="s">
        <v>98</v>
      </c>
      <c r="H189" s="8"/>
      <c r="I189" s="8"/>
      <c r="J189" s="51"/>
      <c r="K189" s="49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51"/>
    </row>
    <row r="190" spans="1:49" x14ac:dyDescent="0.35">
      <c r="A190" s="49" t="s">
        <v>151</v>
      </c>
      <c r="B190" s="42">
        <f>-B185/(B22*I8)</f>
        <v>-0.29012402648804542</v>
      </c>
      <c r="C190" s="8" t="s">
        <v>148</v>
      </c>
      <c r="D190" s="51"/>
      <c r="E190" s="8" t="s">
        <v>196</v>
      </c>
      <c r="F190" s="50">
        <f>-1/(B22*I8)</f>
        <v>-1.0715175565165403E-4</v>
      </c>
      <c r="G190" s="8" t="s">
        <v>98</v>
      </c>
      <c r="H190" s="8"/>
      <c r="I190" s="8"/>
      <c r="J190" s="51"/>
      <c r="K190" s="49" t="s">
        <v>210</v>
      </c>
      <c r="L190" s="8" t="s">
        <v>211</v>
      </c>
      <c r="M190" s="8" t="s">
        <v>212</v>
      </c>
      <c r="N190" s="8" t="s">
        <v>310</v>
      </c>
      <c r="O190" s="8" t="s">
        <v>213</v>
      </c>
      <c r="P190" s="8" t="s">
        <v>201</v>
      </c>
      <c r="Q190" s="8" t="s">
        <v>217</v>
      </c>
      <c r="R190" s="8" t="s">
        <v>203</v>
      </c>
      <c r="S190" s="8" t="s">
        <v>204</v>
      </c>
      <c r="T190" s="8" t="s">
        <v>158</v>
      </c>
      <c r="U190" s="8" t="s">
        <v>218</v>
      </c>
      <c r="V190" s="8" t="s">
        <v>160</v>
      </c>
      <c r="W190" s="8" t="s">
        <v>161</v>
      </c>
      <c r="X190" s="8" t="s">
        <v>162</v>
      </c>
      <c r="Y190" s="8" t="s">
        <v>219</v>
      </c>
      <c r="Z190" s="8" t="s">
        <v>220</v>
      </c>
      <c r="AA190" s="8" t="s">
        <v>224</v>
      </c>
      <c r="AB190" s="8" t="s">
        <v>294</v>
      </c>
      <c r="AC190" s="8" t="s">
        <v>223</v>
      </c>
      <c r="AD190" s="8" t="s">
        <v>222</v>
      </c>
      <c r="AE190" s="8" t="s">
        <v>221</v>
      </c>
      <c r="AF190" s="8" t="s">
        <v>225</v>
      </c>
      <c r="AG190" s="56" t="s">
        <v>312</v>
      </c>
      <c r="AH190" s="8" t="s">
        <v>301</v>
      </c>
      <c r="AI190" s="8" t="s">
        <v>302</v>
      </c>
      <c r="AJ190" s="8" t="s">
        <v>144</v>
      </c>
      <c r="AK190" s="8" t="s">
        <v>295</v>
      </c>
      <c r="AL190" s="8" t="s">
        <v>296</v>
      </c>
      <c r="AM190" s="8" t="s">
        <v>292</v>
      </c>
      <c r="AN190" s="8" t="s">
        <v>311</v>
      </c>
      <c r="AO190" s="8" t="s">
        <v>297</v>
      </c>
      <c r="AP190" s="8" t="s">
        <v>298</v>
      </c>
      <c r="AQ190" s="8" t="s">
        <v>299</v>
      </c>
      <c r="AR190" s="8" t="s">
        <v>300</v>
      </c>
      <c r="AS190" s="8" t="s">
        <v>306</v>
      </c>
      <c r="AT190" s="8" t="s">
        <v>307</v>
      </c>
      <c r="AU190" s="8" t="s">
        <v>305</v>
      </c>
      <c r="AV190" s="8" t="s">
        <v>309</v>
      </c>
      <c r="AW190" s="51" t="s">
        <v>308</v>
      </c>
    </row>
    <row r="191" spans="1:49" x14ac:dyDescent="0.35">
      <c r="A191" s="49" t="s">
        <v>215</v>
      </c>
      <c r="B191" s="42">
        <f>B189+B190</f>
        <v>0.27377515505672628</v>
      </c>
      <c r="C191" s="8" t="s">
        <v>148</v>
      </c>
      <c r="D191" s="51"/>
      <c r="E191" s="8" t="s">
        <v>214</v>
      </c>
      <c r="F191" s="50">
        <f>F189+F190</f>
        <v>4.5282757060929104E-4</v>
      </c>
      <c r="G191" s="8" t="s">
        <v>98</v>
      </c>
      <c r="H191" s="8"/>
      <c r="I191" s="8"/>
      <c r="J191" s="51"/>
      <c r="K191" s="49">
        <v>0.05</v>
      </c>
      <c r="L191" s="43">
        <f t="shared" ref="L191:L210" si="0">(1-K191)*$B$89</f>
        <v>102.25677709028936</v>
      </c>
      <c r="M191" s="43">
        <f>K191*$B$89</f>
        <v>5.3819356363310193</v>
      </c>
      <c r="N191" s="22">
        <f>$F$196*(1-K191)</f>
        <v>3579.3479353181028</v>
      </c>
      <c r="O191" s="35">
        <f t="shared" ref="O191:O210" si="1">$B$202*K191</f>
        <v>0.12531587622819781</v>
      </c>
      <c r="P191" s="35">
        <f>EXP(N191*($F$189+$F$190))</f>
        <v>5.0572731249091403</v>
      </c>
      <c r="Q191" s="21">
        <f>$F$189*P191+$F$190</f>
        <v>2.7248166415525508E-3</v>
      </c>
      <c r="R191" s="50">
        <f>($F$189*(P191-1))/Q191</f>
        <v>0.8338135624600127</v>
      </c>
      <c r="S191" s="50">
        <f>($F$191*P191)/Q191</f>
        <v>0.84045020429536943</v>
      </c>
      <c r="T191" s="8">
        <f t="shared" ref="T191:T210" si="2">EXP(O191*$B$191)</f>
        <v>1.0349036943444436</v>
      </c>
      <c r="U191" s="8">
        <f t="shared" ref="U191:U210" si="3">$B$189*T191+$B$190</f>
        <v>0.29345731973044692</v>
      </c>
      <c r="V191" s="8">
        <f t="shared" ref="V191:V210" si="4">$B$191/U191</f>
        <v>0.93293006052192007</v>
      </c>
      <c r="W191" s="8">
        <f t="shared" ref="W191:W210" si="5">($B$189*T191-$B$189)/U191</f>
        <v>6.706993947807996E-2</v>
      </c>
      <c r="X191" s="8">
        <f t="shared" ref="X191:X210" si="6">(T191*$B$191)/U191</f>
        <v>0.9654927661991205</v>
      </c>
      <c r="Y191" s="8">
        <f t="shared" ref="Y191:Y210" si="7">($B$190*(1-T191))/($B$185*U191)</f>
        <v>1.2744586269550836E-5</v>
      </c>
      <c r="Z191" s="35">
        <f>(1/(1-R191*Y191*$H$8))*(X191*$B$15+Y191*($B$9-$H$8*$B$2*R191-$B$184))</f>
        <v>8.6922755476957025</v>
      </c>
      <c r="AA191" s="35">
        <f>$B$2-R191*($B$2-Z191)</f>
        <v>12.113306828284504</v>
      </c>
      <c r="AB191" s="35">
        <f>AA191*9/5+32</f>
        <v>53.803952290912108</v>
      </c>
      <c r="AC191" s="8">
        <f>$F$193/(1-K191)</f>
        <v>1.8506460179982593E-4</v>
      </c>
      <c r="AD191" s="21">
        <f>$F$195/(1-K191)</f>
        <v>2.7938049557373594E-4</v>
      </c>
      <c r="AE191" s="35">
        <f>Z191+((AD191-AC191)/AD191)*(AA191-Z191)</f>
        <v>9.8471794438844</v>
      </c>
      <c r="AF191" s="35">
        <f>AE191-$B$11</f>
        <v>-5.6384313659678202</v>
      </c>
      <c r="AG191" s="35">
        <f>ABS(AF191)</f>
        <v>5.6384313659678202</v>
      </c>
      <c r="AH191" s="35">
        <f>$B$2-S191*($B$2-Z191)</f>
        <v>11.976688222982514</v>
      </c>
      <c r="AI191" s="35">
        <f>AH191*9/5+32</f>
        <v>53.558038801368525</v>
      </c>
      <c r="AJ191" s="8">
        <f>$B$224*K191</f>
        <v>0.18028554251216658</v>
      </c>
      <c r="AK191" s="8">
        <f>0.24*(AB191) + (($B$6))*(1061 + 0.444*(AB191))</f>
        <v>24.813550545035831</v>
      </c>
      <c r="AL191" s="22">
        <f>AK191*2326</f>
        <v>57716.31856775334</v>
      </c>
      <c r="AM191" s="22">
        <f>V191*AL191+W191*$B$18</f>
        <v>56778.962921866427</v>
      </c>
      <c r="AN191" s="35">
        <f>$B$213*($B$15+$B$214*(AM191-$B$184))</f>
        <v>11.607254027623892</v>
      </c>
      <c r="AO191" s="35">
        <f>AN191+(AA191-AE191)*EXP(-AJ191)</f>
        <v>13.499542321172799</v>
      </c>
      <c r="AP191" s="43">
        <f>AO191*9/5+32</f>
        <v>56.29917617811104</v>
      </c>
      <c r="AQ191" s="35">
        <f>$B$1-AP191</f>
        <v>28.400823821888963</v>
      </c>
      <c r="AR191" s="35">
        <f>AI191-$B$14</f>
        <v>6.258038801368528</v>
      </c>
      <c r="AS191" s="22">
        <f>AU191* 3412.1416</f>
        <v>112153.51374399045</v>
      </c>
      <c r="AT191" s="22">
        <f>AV191* 3412.1416</f>
        <v>96142.073557531738</v>
      </c>
      <c r="AU191" s="8">
        <f>$B$31*($B$9-AM191)/1000</f>
        <v>32.868950615645744</v>
      </c>
      <c r="AV191" s="45">
        <f>$B$31*$H$8*($B$2-AO191)/1000</f>
        <v>28.176460659643123</v>
      </c>
      <c r="AW191" s="51">
        <f>AV191/AU191</f>
        <v>0.85723639276244556</v>
      </c>
    </row>
    <row r="192" spans="1:49" x14ac:dyDescent="0.35">
      <c r="A192" s="49" t="s">
        <v>129</v>
      </c>
      <c r="B192" s="8">
        <f>(H8*(1-B179))/('Saturated Air Enthalpy'!J4*B179*'Full Coil Model'!B89*'Full Coil Model'!B142)</f>
        <v>1.9796646716696043E-5</v>
      </c>
      <c r="C192" s="8" t="s">
        <v>98</v>
      </c>
      <c r="D192" s="51"/>
      <c r="E192" s="8"/>
      <c r="F192" s="8"/>
      <c r="G192" s="8"/>
      <c r="H192" s="8"/>
      <c r="I192" s="8"/>
      <c r="J192" s="51"/>
      <c r="K192" s="49">
        <v>0.1</v>
      </c>
      <c r="L192" s="43">
        <f t="shared" si="0"/>
        <v>96.874841453958354</v>
      </c>
      <c r="M192" s="43">
        <f t="shared" ref="M192:M210" si="8">K192*$B$89</f>
        <v>10.763871272662039</v>
      </c>
      <c r="N192" s="22">
        <f>$F$196*(1-K192)</f>
        <v>3390.9612018803082</v>
      </c>
      <c r="O192" s="35">
        <f t="shared" si="1"/>
        <v>0.25063175245639563</v>
      </c>
      <c r="P192" s="35">
        <f>EXP(N192*($F$189+$F$190))</f>
        <v>4.6437430046318928</v>
      </c>
      <c r="Q192" s="21">
        <f>$F$189*P192+$F$190</f>
        <v>2.49324832341109E-3</v>
      </c>
      <c r="R192" s="50">
        <f>($F$189*(P192-1))/Q192</f>
        <v>0.81837847182836421</v>
      </c>
      <c r="S192" s="50">
        <f>($F$191*P192)/Q192</f>
        <v>0.8434037009375881</v>
      </c>
      <c r="T192" s="8">
        <f t="shared" si="2"/>
        <v>1.0710256565677774</v>
      </c>
      <c r="U192" s="8">
        <f t="shared" si="3"/>
        <v>0.31382646466397596</v>
      </c>
      <c r="V192" s="8">
        <f t="shared" si="4"/>
        <v>0.87237752670051616</v>
      </c>
      <c r="W192" s="8">
        <f t="shared" si="5"/>
        <v>0.12762247329948381</v>
      </c>
      <c r="X192" s="8">
        <f t="shared" si="6"/>
        <v>0.93433871330939411</v>
      </c>
      <c r="Y192" s="8">
        <f t="shared" si="7"/>
        <v>2.4250739355897249E-5</v>
      </c>
      <c r="Z192" s="35">
        <f>(1/(1-R192*Y192*$H$8))*(X192*$B$15+Y192*($B$9-$H$8*$B$2*R192-$B$184))</f>
        <v>8.8773246409738711</v>
      </c>
      <c r="AA192" s="35">
        <f t="shared" ref="AA192:AA210" si="9">$B$2-R192*($B$2-Z192)</f>
        <v>12.582486115074037</v>
      </c>
      <c r="AB192" s="35">
        <f t="shared" ref="AB192:AB210" si="10">AA192*9/5+32</f>
        <v>54.648475007133264</v>
      </c>
      <c r="AC192" s="8">
        <f>$F$193/(1-K192)</f>
        <v>1.9534596856648291E-4</v>
      </c>
      <c r="AD192" s="21">
        <f>$F$195/(1-K192)</f>
        <v>2.9490163421672121E-4</v>
      </c>
      <c r="AE192" s="35">
        <f t="shared" ref="AE192:AE210" si="11">Z192+((AD192-AC192)/AD192)*(AA192-Z192)</f>
        <v>10.128147878611749</v>
      </c>
      <c r="AF192" s="35">
        <f t="shared" ref="AF192:AF210" si="12">AE192-$B$11</f>
        <v>-5.3574629312404713</v>
      </c>
      <c r="AG192" s="35">
        <f t="shared" ref="AG192:AG210" si="13">ABS(AF192)</f>
        <v>5.3574629312404713</v>
      </c>
      <c r="AH192" s="35">
        <f t="shared" ref="AH192:AH210" si="14">$B$2-S192*($B$2-Z192)</f>
        <v>12.071960101393536</v>
      </c>
      <c r="AI192" s="35">
        <f t="shared" ref="AI192:AI210" si="15">AH192*9/5+32</f>
        <v>53.729528182508361</v>
      </c>
      <c r="AJ192" s="8">
        <f t="shared" ref="AJ192:AJ210" si="16">$B$224*K192</f>
        <v>0.36057108502433316</v>
      </c>
      <c r="AK192" s="8">
        <f t="shared" ref="AK192:AK210" si="17">0.24*(AB192) + (($B$6))*(1061 + 0.444*(AB192))</f>
        <v>25.020349179142261</v>
      </c>
      <c r="AL192" s="22">
        <f t="shared" ref="AL192:AL210" si="18">AK192*2326</f>
        <v>58197.332190684901</v>
      </c>
      <c r="AM192" s="22">
        <f t="shared" ref="AM192:AM210" si="19">V192*AL192+W192*$B$18</f>
        <v>56352.318668382322</v>
      </c>
      <c r="AN192" s="35">
        <f>$B$213*($B$15+$B$214*(AM192-$B$184))</f>
        <v>11.51144410682563</v>
      </c>
      <c r="AO192" s="35">
        <f t="shared" ref="AO192:AO210" si="20">AN192+(AA192-AE192)*EXP(-AJ192)</f>
        <v>13.222800181628326</v>
      </c>
      <c r="AP192" s="43">
        <f t="shared" ref="AP192:AP210" si="21">AO192*9/5+32</f>
        <v>55.801040326930988</v>
      </c>
      <c r="AQ192" s="35">
        <f t="shared" ref="AQ192:AQ210" si="22">$B$1-AP192</f>
        <v>28.898959673069015</v>
      </c>
      <c r="AR192" s="35">
        <f t="shared" ref="AR192:AR210" si="23">AI192-$B$14</f>
        <v>6.4295281825083634</v>
      </c>
      <c r="AS192" s="22">
        <f>AU192* 3412.1416</f>
        <v>114735.1287797244</v>
      </c>
      <c r="AT192" s="22">
        <f>AV192* 3412.1416</f>
        <v>97828.356108564127</v>
      </c>
      <c r="AU192" s="8">
        <f>$B$31*($B$9-AM192)/1000</f>
        <v>33.62554730428667</v>
      </c>
      <c r="AV192" s="45">
        <f>$B$31*$H$8*($B$2-AO192)/1000</f>
        <v>28.670661296285044</v>
      </c>
      <c r="AW192" s="51">
        <f>AV192/AU192</f>
        <v>0.85264519375213366</v>
      </c>
    </row>
    <row r="193" spans="1:49" x14ac:dyDescent="0.35">
      <c r="A193" s="49" t="s">
        <v>130</v>
      </c>
      <c r="B193" s="8">
        <f>1/(B89*B142)</f>
        <v>1.0207466090367173E-4</v>
      </c>
      <c r="C193" s="8" t="s">
        <v>98</v>
      </c>
      <c r="D193" s="51"/>
      <c r="E193" s="8" t="s">
        <v>198</v>
      </c>
      <c r="F193" s="8">
        <f>1/(B139*B89*B165)</f>
        <v>1.7581137170983463E-4</v>
      </c>
      <c r="G193" s="8" t="s">
        <v>98</v>
      </c>
      <c r="H193" s="8"/>
      <c r="I193" s="8"/>
      <c r="J193" s="51"/>
      <c r="K193" s="49">
        <v>0.15</v>
      </c>
      <c r="L193" s="43">
        <f t="shared" si="0"/>
        <v>91.492905817627317</v>
      </c>
      <c r="M193" s="43">
        <f t="shared" si="8"/>
        <v>16.145806908993055</v>
      </c>
      <c r="N193" s="22">
        <f>$F$196*(1-K193)</f>
        <v>3202.5744684425131</v>
      </c>
      <c r="O193" s="35">
        <f t="shared" si="1"/>
        <v>0.37594762868459347</v>
      </c>
      <c r="P193" s="35">
        <f>EXP(N193*($F$189+$F$190))</f>
        <v>4.2640269885473243</v>
      </c>
      <c r="Q193" s="21">
        <f>$F$189*P193+$F$190</f>
        <v>2.2806152045535635E-3</v>
      </c>
      <c r="R193" s="50">
        <f>($F$189*(P193-1))/Q193</f>
        <v>0.80144499181398132</v>
      </c>
      <c r="S193" s="50">
        <f>($F$191*P193)/Q193</f>
        <v>0.84664391361641778</v>
      </c>
      <c r="T193" s="8">
        <f t="shared" si="2"/>
        <v>1.1084084087196762</v>
      </c>
      <c r="U193" s="8">
        <f t="shared" si="3"/>
        <v>0.33490656800632274</v>
      </c>
      <c r="V193" s="8">
        <f t="shared" si="4"/>
        <v>0.81746726164999439</v>
      </c>
      <c r="W193" s="8">
        <f t="shared" si="5"/>
        <v>0.18253273835000555</v>
      </c>
      <c r="X193" s="8">
        <f t="shared" si="6"/>
        <v>0.9060875866659015</v>
      </c>
      <c r="Y193" s="8">
        <f t="shared" si="7"/>
        <v>3.4684752200787174E-5</v>
      </c>
      <c r="Z193" s="35">
        <f>(1/(1-R193*Y193*$H$8))*(X193*$B$15+Y193*($B$9-$H$8*$B$2*R193-$B$184))</f>
        <v>9.0567591919072647</v>
      </c>
      <c r="AA193" s="35">
        <f t="shared" si="9"/>
        <v>13.071743702754421</v>
      </c>
      <c r="AB193" s="35">
        <f t="shared" si="10"/>
        <v>55.529138664957955</v>
      </c>
      <c r="AC193" s="8">
        <f>$F$193/(1-K193)</f>
        <v>2.0683690789392308E-4</v>
      </c>
      <c r="AD193" s="21">
        <f>$F$195/(1-K193)</f>
        <v>3.1224878917064604E-4</v>
      </c>
      <c r="AE193" s="35">
        <f t="shared" si="11"/>
        <v>10.41217540251747</v>
      </c>
      <c r="AF193" s="35">
        <f t="shared" si="12"/>
        <v>-5.0734354073347507</v>
      </c>
      <c r="AG193" s="35">
        <f t="shared" si="13"/>
        <v>5.0734354073347507</v>
      </c>
      <c r="AH193" s="35">
        <f t="shared" si="14"/>
        <v>12.157775464926043</v>
      </c>
      <c r="AI193" s="35">
        <f t="shared" si="15"/>
        <v>53.88399583686688</v>
      </c>
      <c r="AJ193" s="8">
        <f t="shared" si="16"/>
        <v>0.54085662753649966</v>
      </c>
      <c r="AK193" s="8">
        <f t="shared" si="17"/>
        <v>25.23599766087905</v>
      </c>
      <c r="AL193" s="22">
        <f t="shared" si="18"/>
        <v>58698.930559204673</v>
      </c>
      <c r="AM193" s="22">
        <f t="shared" si="19"/>
        <v>55968.531784487306</v>
      </c>
      <c r="AN193" s="35">
        <f>$B$213*($B$15+$B$214*(AM193-$B$184))</f>
        <v>11.42525850688115</v>
      </c>
      <c r="AO193" s="35">
        <f t="shared" si="20"/>
        <v>12.973790202694857</v>
      </c>
      <c r="AP193" s="43">
        <f t="shared" si="21"/>
        <v>55.352822364850745</v>
      </c>
      <c r="AQ193" s="35">
        <f t="shared" si="22"/>
        <v>29.347177635149258</v>
      </c>
      <c r="AR193" s="35">
        <f t="shared" si="23"/>
        <v>6.5839958368668832</v>
      </c>
      <c r="AS193" s="22">
        <f>AU193* 3412.1416</f>
        <v>117057.41481050945</v>
      </c>
      <c r="AT193" s="22">
        <f>AV193* 3412.1416</f>
        <v>99345.657316105629</v>
      </c>
      <c r="AU193" s="8">
        <f>$B$31*($B$9-AM193)/1000</f>
        <v>34.306142163182635</v>
      </c>
      <c r="AV193" s="45">
        <f>$B$31*$H$8*($B$2-AO193)/1000</f>
        <v>29.115338389270139</v>
      </c>
      <c r="AW193" s="51">
        <f>AV193/AU193</f>
        <v>0.84869170805561256</v>
      </c>
    </row>
    <row r="194" spans="1:49" x14ac:dyDescent="0.35">
      <c r="A194" s="49" t="s">
        <v>131</v>
      </c>
      <c r="B194" s="8">
        <f>B192+(H8*B193/'Saturated Air Enthalpy'!J4)</f>
        <v>5.7759864070889011E-5</v>
      </c>
      <c r="C194" s="8" t="s">
        <v>98</v>
      </c>
      <c r="D194" s="51"/>
      <c r="E194" s="8"/>
      <c r="F194" s="8"/>
      <c r="G194" s="8"/>
      <c r="H194" s="8"/>
      <c r="I194" s="8"/>
      <c r="J194" s="51"/>
      <c r="K194" s="49">
        <v>0.2</v>
      </c>
      <c r="L194" s="43">
        <f t="shared" si="0"/>
        <v>86.11097018129631</v>
      </c>
      <c r="M194" s="43">
        <f t="shared" si="8"/>
        <v>21.527742545324077</v>
      </c>
      <c r="N194" s="22">
        <f>$F$196*(1-K194)</f>
        <v>3014.1877350047184</v>
      </c>
      <c r="O194" s="35">
        <f t="shared" si="1"/>
        <v>0.50126350491279126</v>
      </c>
      <c r="P194" s="35">
        <f>EXP(N194*($F$189+$F$190))</f>
        <v>3.9153601181039592</v>
      </c>
      <c r="Q194" s="21">
        <f>$F$189*P194+$F$190</f>
        <v>2.0853689653531756E-3</v>
      </c>
      <c r="R194" s="50">
        <f>($F$189*(P194-1))/Q194</f>
        <v>0.78285493927804717</v>
      </c>
      <c r="S194" s="50">
        <f>($F$191*P194)/Q194</f>
        <v>0.85020111059399617</v>
      </c>
      <c r="T194" s="8">
        <f t="shared" si="2"/>
        <v>1.1470959570264387</v>
      </c>
      <c r="U194" s="8">
        <f t="shared" si="3"/>
        <v>0.35672244483248</v>
      </c>
      <c r="V194" s="8">
        <f t="shared" si="4"/>
        <v>0.7674738694541452</v>
      </c>
      <c r="W194" s="8">
        <f t="shared" si="5"/>
        <v>0.23252613054585478</v>
      </c>
      <c r="X194" s="8">
        <f t="shared" si="6"/>
        <v>0.88036617277428686</v>
      </c>
      <c r="Y194" s="8">
        <f t="shared" si="7"/>
        <v>4.418446406433705E-5</v>
      </c>
      <c r="Z194" s="35">
        <f>(1/(1-R194*Y194*$H$8))*(X194*$B$15+Y194*($B$9-$H$8*$B$2*R194-$B$184))</f>
        <v>9.2320809155910322</v>
      </c>
      <c r="AA194" s="35">
        <f t="shared" si="9"/>
        <v>13.584904977944435</v>
      </c>
      <c r="AB194" s="35">
        <f t="shared" si="10"/>
        <v>56.452828960299982</v>
      </c>
      <c r="AC194" s="8">
        <f>$F$193/(1-K194)</f>
        <v>2.1976421463729327E-4</v>
      </c>
      <c r="AD194" s="21">
        <f>$F$195/(1-K194)</f>
        <v>3.3176433849381139E-4</v>
      </c>
      <c r="AE194" s="35">
        <f t="shared" si="11"/>
        <v>10.701548177571354</v>
      </c>
      <c r="AF194" s="35">
        <f t="shared" si="12"/>
        <v>-4.7840626322808664</v>
      </c>
      <c r="AG194" s="35">
        <f t="shared" si="13"/>
        <v>4.7840626322808664</v>
      </c>
      <c r="AH194" s="35">
        <f t="shared" si="14"/>
        <v>12.234904042916025</v>
      </c>
      <c r="AI194" s="35">
        <f t="shared" si="15"/>
        <v>54.022827277248844</v>
      </c>
      <c r="AJ194" s="8">
        <f t="shared" si="16"/>
        <v>0.72114217004866632</v>
      </c>
      <c r="AK194" s="8">
        <f t="shared" si="17"/>
        <v>25.462182093511977</v>
      </c>
      <c r="AL194" s="22">
        <f t="shared" si="18"/>
        <v>59225.035549508859</v>
      </c>
      <c r="AM194" s="22">
        <f t="shared" si="19"/>
        <v>55624.482168613627</v>
      </c>
      <c r="AN194" s="35">
        <f>$B$213*($B$15+$B$214*(AM194-$B$184))</f>
        <v>11.34799655813031</v>
      </c>
      <c r="AO194" s="35">
        <f t="shared" si="20"/>
        <v>12.749874887249916</v>
      </c>
      <c r="AP194" s="43">
        <f t="shared" si="21"/>
        <v>54.949774797049848</v>
      </c>
      <c r="AQ194" s="35">
        <f t="shared" si="22"/>
        <v>29.750225202950155</v>
      </c>
      <c r="AR194" s="35">
        <f t="shared" si="23"/>
        <v>6.7228272772488467</v>
      </c>
      <c r="AS194" s="22">
        <f>AU194* 3412.1416</f>
        <v>119139.25150261218</v>
      </c>
      <c r="AT194" s="22">
        <f>AV194* 3412.1416</f>
        <v>100710.04833355325</v>
      </c>
      <c r="AU194" s="8">
        <f>$B$31*($B$9-AM194)/1000</f>
        <v>34.916268276384599</v>
      </c>
      <c r="AV194" s="45">
        <f>$B$31*$H$8*($B$2-AO194)/1000</f>
        <v>29.515201928769091</v>
      </c>
      <c r="AW194" s="51">
        <f>AV194/AU194</f>
        <v>0.84531375733332637</v>
      </c>
    </row>
    <row r="195" spans="1:49" x14ac:dyDescent="0.35">
      <c r="A195" s="49"/>
      <c r="B195" s="8"/>
      <c r="C195" s="8"/>
      <c r="D195" s="51"/>
      <c r="E195" s="8" t="s">
        <v>197</v>
      </c>
      <c r="F195" s="21">
        <f>B183+F193</f>
        <v>2.6541147079504912E-4</v>
      </c>
      <c r="G195" s="8" t="s">
        <v>98</v>
      </c>
      <c r="H195" s="8"/>
      <c r="I195" s="8"/>
      <c r="J195" s="51"/>
      <c r="K195" s="49">
        <v>0.25</v>
      </c>
      <c r="L195" s="43">
        <f t="shared" si="0"/>
        <v>80.729034544965288</v>
      </c>
      <c r="M195" s="43">
        <f t="shared" si="8"/>
        <v>26.909678181655096</v>
      </c>
      <c r="N195" s="22">
        <f>$F$196*(1-K195)</f>
        <v>2825.8010015669233</v>
      </c>
      <c r="O195" s="35">
        <f t="shared" si="1"/>
        <v>0.6265793811409891</v>
      </c>
      <c r="P195" s="35">
        <f>EXP(N195*($F$189+$F$190))</f>
        <v>3.5952035237144959</v>
      </c>
      <c r="Q195" s="21">
        <f>$F$189*P195+$F$190</f>
        <v>1.9060878913289652E-3</v>
      </c>
      <c r="R195" s="50">
        <f>($F$189*(P195-1))/Q195</f>
        <v>0.76243090747847408</v>
      </c>
      <c r="S195" s="50">
        <f>($F$191*P195)/Q195</f>
        <v>0.85410923855904486</v>
      </c>
      <c r="T195" s="8">
        <f t="shared" si="2"/>
        <v>1.1871338436942367</v>
      </c>
      <c r="U195" s="8">
        <f t="shared" si="3"/>
        <v>0.37929977635523354</v>
      </c>
      <c r="V195" s="8">
        <f t="shared" si="4"/>
        <v>0.72179097411415793</v>
      </c>
      <c r="W195" s="8">
        <f t="shared" si="5"/>
        <v>0.27820902588584201</v>
      </c>
      <c r="X195" s="8">
        <f t="shared" si="6"/>
        <v>0.8568624934439476</v>
      </c>
      <c r="Y195" s="8">
        <f t="shared" si="7"/>
        <v>5.2865098119383586E-5</v>
      </c>
      <c r="Z195" s="35">
        <f>(1/(1-R195*Y195*$H$8))*(X195*$B$15+Y195*($B$9-$H$8*$B$2*R195-$B$184))</f>
        <v>9.4047099933889644</v>
      </c>
      <c r="AA195" s="35">
        <f t="shared" si="9"/>
        <v>14.125936672544984</v>
      </c>
      <c r="AB195" s="35">
        <f t="shared" si="10"/>
        <v>57.426686010580973</v>
      </c>
      <c r="AC195" s="8">
        <f>$F$193/(1-K195)</f>
        <v>2.3441516227977951E-4</v>
      </c>
      <c r="AD195" s="21">
        <f>$F$195/(1-K195)</f>
        <v>3.5388196106006547E-4</v>
      </c>
      <c r="AE195" s="35">
        <f t="shared" si="11"/>
        <v>10.998546073604185</v>
      </c>
      <c r="AF195" s="35">
        <f t="shared" si="12"/>
        <v>-4.4870647362480351</v>
      </c>
      <c r="AG195" s="35">
        <f t="shared" si="13"/>
        <v>4.4870647362480351</v>
      </c>
      <c r="AH195" s="35">
        <f t="shared" si="14"/>
        <v>12.304006984621161</v>
      </c>
      <c r="AI195" s="35">
        <f t="shared" si="15"/>
        <v>54.147212572318089</v>
      </c>
      <c r="AJ195" s="8">
        <f t="shared" si="16"/>
        <v>0.90142771256083287</v>
      </c>
      <c r="AK195" s="8">
        <f t="shared" si="17"/>
        <v>25.700650880608865</v>
      </c>
      <c r="AL195" s="22">
        <f t="shared" si="18"/>
        <v>59779.713948296223</v>
      </c>
      <c r="AM195" s="22">
        <f t="shared" si="19"/>
        <v>55317.466743896148</v>
      </c>
      <c r="AN195" s="35">
        <f>$B$213*($B$15+$B$214*(AM195-$B$184))</f>
        <v>11.279051240606837</v>
      </c>
      <c r="AO195" s="35">
        <f t="shared" si="20"/>
        <v>12.548739328004659</v>
      </c>
      <c r="AP195" s="43">
        <f t="shared" si="21"/>
        <v>54.587730790408386</v>
      </c>
      <c r="AQ195" s="35">
        <f t="shared" si="22"/>
        <v>30.112269209591616</v>
      </c>
      <c r="AR195" s="35">
        <f t="shared" si="23"/>
        <v>6.8472125723180923</v>
      </c>
      <c r="AS195" s="22">
        <f>AU195* 3412.1416</f>
        <v>120996.99511495511</v>
      </c>
      <c r="AT195" s="22">
        <f>AV195* 3412.1416</f>
        <v>101935.63466639619</v>
      </c>
      <c r="AU195" s="8">
        <f>$B$31*($B$9-AM195)/1000</f>
        <v>35.460719190245534</v>
      </c>
      <c r="AV195" s="45">
        <f>$B$31*$H$8*($B$2-AO195)/1000</f>
        <v>29.874385830411079</v>
      </c>
      <c r="AW195" s="51">
        <f>AV195/AU195</f>
        <v>0.84246418325968042</v>
      </c>
    </row>
    <row r="196" spans="1:49" x14ac:dyDescent="0.35">
      <c r="A196" s="49"/>
      <c r="B196" s="8"/>
      <c r="C196" s="8"/>
      <c r="D196" s="51"/>
      <c r="E196" s="8" t="s">
        <v>199</v>
      </c>
      <c r="F196" s="21">
        <f>1/F195</f>
        <v>3767.7346687558979</v>
      </c>
      <c r="G196" s="8" t="s">
        <v>200</v>
      </c>
      <c r="H196" s="8"/>
      <c r="I196" s="8"/>
      <c r="J196" s="51"/>
      <c r="K196" s="49">
        <v>0.3</v>
      </c>
      <c r="L196" s="43">
        <f t="shared" si="0"/>
        <v>75.347098908634266</v>
      </c>
      <c r="M196" s="43">
        <f t="shared" si="8"/>
        <v>32.291613817986111</v>
      </c>
      <c r="N196" s="22">
        <f>$F$196*(1-K196)</f>
        <v>2637.4142681291282</v>
      </c>
      <c r="O196" s="35">
        <f t="shared" si="1"/>
        <v>0.75189525736918694</v>
      </c>
      <c r="P196" s="35">
        <f>EXP(N196*($F$189+$F$190))</f>
        <v>3.3012259375999324</v>
      </c>
      <c r="Q196" s="21">
        <f>$F$189*P196+$F$190</f>
        <v>1.7414665207207128E-3</v>
      </c>
      <c r="R196" s="50">
        <f>($F$189*(P196-1))/Q196</f>
        <v>0.7399734274409786</v>
      </c>
      <c r="S196" s="50">
        <f>($F$191*P196)/Q196</f>
        <v>0.85840646579705238</v>
      </c>
      <c r="T196" s="8">
        <f t="shared" si="2"/>
        <v>1.2285692005204847</v>
      </c>
      <c r="U196" s="8">
        <f t="shared" si="3"/>
        <v>0.40266514015657046</v>
      </c>
      <c r="V196" s="8">
        <f t="shared" si="4"/>
        <v>0.6799077639307759</v>
      </c>
      <c r="W196" s="8">
        <f t="shared" si="5"/>
        <v>0.32009223606922416</v>
      </c>
      <c r="X196" s="8">
        <f t="shared" si="6"/>
        <v>0.83531373796010366</v>
      </c>
      <c r="Y196" s="8">
        <f t="shared" si="7"/>
        <v>6.0823718472728215E-5</v>
      </c>
      <c r="Z196" s="35">
        <f>(1/(1-R196*Y196*$H$8))*(X196*$B$15+Y196*($B$9-$H$8*$B$2*R196-$B$184))</f>
        <v>9.5760097158997137</v>
      </c>
      <c r="AA196" s="35">
        <f t="shared" si="9"/>
        <v>14.698992938382663</v>
      </c>
      <c r="AB196" s="35">
        <f t="shared" si="10"/>
        <v>58.458187289088798</v>
      </c>
      <c r="AC196" s="8">
        <f>$F$193/(1-K196)</f>
        <v>2.5115910244262089E-4</v>
      </c>
      <c r="AD196" s="21">
        <f>$F$195/(1-K196)</f>
        <v>3.7915924399292732E-4</v>
      </c>
      <c r="AE196" s="35">
        <f t="shared" si="11"/>
        <v>11.305474546381058</v>
      </c>
      <c r="AF196" s="35">
        <f t="shared" si="12"/>
        <v>-4.1801362634711623</v>
      </c>
      <c r="AG196" s="35">
        <f t="shared" si="13"/>
        <v>4.1801362634711623</v>
      </c>
      <c r="AH196" s="35">
        <f t="shared" si="14"/>
        <v>12.365652685827786</v>
      </c>
      <c r="AI196" s="35">
        <f t="shared" si="15"/>
        <v>54.258174834490013</v>
      </c>
      <c r="AJ196" s="8">
        <f t="shared" si="16"/>
        <v>1.0817132550729993</v>
      </c>
      <c r="AK196" s="8">
        <f t="shared" si="17"/>
        <v>25.953235034210955</v>
      </c>
      <c r="AL196" s="22">
        <f t="shared" si="18"/>
        <v>60367.224689574679</v>
      </c>
      <c r="AM196" s="22">
        <f t="shared" si="19"/>
        <v>55045.147125688483</v>
      </c>
      <c r="AN196" s="35">
        <f>$B$213*($B$15+$B$214*(AM196-$B$184))</f>
        <v>11.217897431926133</v>
      </c>
      <c r="AO196" s="35">
        <f t="shared" si="20"/>
        <v>12.368348388714557</v>
      </c>
      <c r="AP196" s="43">
        <f t="shared" si="21"/>
        <v>54.263027099686198</v>
      </c>
      <c r="AQ196" s="35">
        <f t="shared" si="22"/>
        <v>30.436972900313805</v>
      </c>
      <c r="AR196" s="35">
        <f t="shared" si="23"/>
        <v>6.9581748344900163</v>
      </c>
      <c r="AS196" s="22">
        <f>AU196* 3412.1416</f>
        <v>122644.79516183051</v>
      </c>
      <c r="AT196" s="22">
        <f>AV196* 3412.1416</f>
        <v>103034.81708144126</v>
      </c>
      <c r="AU196" s="8">
        <f>$B$31*($B$9-AM196)/1000</f>
        <v>35.943641718101766</v>
      </c>
      <c r="AV196" s="45">
        <f>$B$31*$H$8*($B$2-AO196)/1000</f>
        <v>30.19652440023042</v>
      </c>
      <c r="AW196" s="51">
        <f>AV196/AU196</f>
        <v>0.84010753938221538</v>
      </c>
    </row>
    <row r="197" spans="1:49" x14ac:dyDescent="0.35">
      <c r="A197" s="49" t="s">
        <v>128</v>
      </c>
      <c r="B197" s="21">
        <f>B194+B183</f>
        <v>1.4735996315610349E-4</v>
      </c>
      <c r="C197" s="8" t="s">
        <v>98</v>
      </c>
      <c r="D197" s="51"/>
      <c r="E197" s="8"/>
      <c r="F197" s="8"/>
      <c r="G197" s="8"/>
      <c r="H197" s="8"/>
      <c r="I197" s="8"/>
      <c r="J197" s="51"/>
      <c r="K197" s="49">
        <v>0.35</v>
      </c>
      <c r="L197" s="43">
        <f t="shared" si="0"/>
        <v>69.965163272303258</v>
      </c>
      <c r="M197" s="43">
        <f t="shared" si="8"/>
        <v>37.673549454317133</v>
      </c>
      <c r="N197" s="22">
        <f>$F$196*(1-K197)</f>
        <v>2449.0275346913336</v>
      </c>
      <c r="O197" s="35">
        <f t="shared" si="1"/>
        <v>0.87721113359738467</v>
      </c>
      <c r="P197" s="35">
        <f>EXP(N197*($F$189+$F$190))</f>
        <v>3.0312867183170908</v>
      </c>
      <c r="Q197" s="21">
        <f>$F$189*P197+$F$190</f>
        <v>1.5903061385753017E-3</v>
      </c>
      <c r="R197" s="50">
        <f>($F$189*(P197-1))/Q197</f>
        <v>0.71525761007565314</v>
      </c>
      <c r="S197" s="50">
        <f>($F$191*P197)/Q197</f>
        <v>0.86313582471953909</v>
      </c>
      <c r="T197" s="8">
        <f t="shared" si="2"/>
        <v>1.271450804376449</v>
      </c>
      <c r="U197" s="8">
        <f t="shared" si="3"/>
        <v>0.42684604147427579</v>
      </c>
      <c r="V197" s="8">
        <f t="shared" si="4"/>
        <v>0.64139087271639972</v>
      </c>
      <c r="W197" s="8">
        <f t="shared" si="5"/>
        <v>0.35860912728360034</v>
      </c>
      <c r="X197" s="8">
        <f t="shared" si="6"/>
        <v>0.81549694103497894</v>
      </c>
      <c r="Y197" s="8">
        <f t="shared" si="7"/>
        <v>6.8142673085427034E-5</v>
      </c>
      <c r="Z197" s="35">
        <f>(1/(1-R197*Y197*$H$8))*(X197*$B$15+Y197*($B$9-$H$8*$B$2*R197-$B$184))</f>
        <v>9.7473080900768476</v>
      </c>
      <c r="AA197" s="35">
        <f t="shared" si="9"/>
        <v>15.308460705297824</v>
      </c>
      <c r="AB197" s="35">
        <f t="shared" si="10"/>
        <v>59.555229269536085</v>
      </c>
      <c r="AC197" s="8">
        <f>$F$193/(1-K197)</f>
        <v>2.7047903339974554E-4</v>
      </c>
      <c r="AD197" s="21">
        <f>$F$195/(1-K197)</f>
        <v>4.0832533968469093E-4</v>
      </c>
      <c r="AE197" s="35">
        <f t="shared" si="11"/>
        <v>11.624694262796455</v>
      </c>
      <c r="AF197" s="35">
        <f t="shared" si="12"/>
        <v>-3.8609165470557656</v>
      </c>
      <c r="AG197" s="35">
        <f t="shared" si="13"/>
        <v>3.8609165470557656</v>
      </c>
      <c r="AH197" s="35">
        <f t="shared" si="14"/>
        <v>12.420329716724076</v>
      </c>
      <c r="AI197" s="35">
        <f t="shared" si="15"/>
        <v>54.356593490103336</v>
      </c>
      <c r="AJ197" s="8">
        <f t="shared" si="16"/>
        <v>1.2619987975851659</v>
      </c>
      <c r="AK197" s="8">
        <f t="shared" si="17"/>
        <v>26.221868167170406</v>
      </c>
      <c r="AL197" s="22">
        <f t="shared" si="18"/>
        <v>60992.065356838364</v>
      </c>
      <c r="AM197" s="22">
        <f t="shared" si="19"/>
        <v>54805.505433533086</v>
      </c>
      <c r="AN197" s="35">
        <f>$B$213*($B$15+$B$214*(AM197-$B$184))</f>
        <v>11.164081984142946</v>
      </c>
      <c r="AO197" s="35">
        <f t="shared" si="20"/>
        <v>12.206910680224778</v>
      </c>
      <c r="AP197" s="43">
        <f t="shared" si="21"/>
        <v>53.972439224404603</v>
      </c>
      <c r="AQ197" s="35">
        <f t="shared" si="22"/>
        <v>30.7275607755954</v>
      </c>
      <c r="AR197" s="35">
        <f t="shared" si="23"/>
        <v>7.0565934901033387</v>
      </c>
      <c r="AS197" s="22">
        <f>AU197* 3412.1416</f>
        <v>124094.86179370219</v>
      </c>
      <c r="AT197" s="22">
        <f>AV197* 3412.1416</f>
        <v>104018.51111283478</v>
      </c>
      <c r="AU197" s="8">
        <f>$B$31*($B$9-AM197)/1000</f>
        <v>36.368614301851423</v>
      </c>
      <c r="AV197" s="45">
        <f>$B$31*$H$8*($B$2-AO197)/1000</f>
        <v>30.484816665531927</v>
      </c>
      <c r="AW197" s="51">
        <f>AV197/AU197</f>
        <v>0.83821771191265959</v>
      </c>
    </row>
    <row r="198" spans="1:49" x14ac:dyDescent="0.35">
      <c r="A198" s="49"/>
      <c r="B198" s="8"/>
      <c r="C198" s="8"/>
      <c r="D198" s="51"/>
      <c r="E198" s="8" t="s">
        <v>201</v>
      </c>
      <c r="F198" s="8">
        <f>EXP(F196*(F189+F190))</f>
        <v>5.507628530350952</v>
      </c>
      <c r="G198" s="8"/>
      <c r="H198" s="8"/>
      <c r="I198" s="8"/>
      <c r="J198" s="51"/>
      <c r="K198" s="49">
        <v>0.4</v>
      </c>
      <c r="L198" s="43">
        <f t="shared" si="0"/>
        <v>64.583227635972221</v>
      </c>
      <c r="M198" s="43">
        <f t="shared" si="8"/>
        <v>43.055485090648155</v>
      </c>
      <c r="N198" s="22">
        <f>$F$196*(1-K198)</f>
        <v>2260.6408012535385</v>
      </c>
      <c r="O198" s="35">
        <f t="shared" si="1"/>
        <v>1.0025270098255825</v>
      </c>
      <c r="P198" s="35">
        <f>EXP(N198*($F$189+$F$190))</f>
        <v>2.7834202633601</v>
      </c>
      <c r="Q198" s="21">
        <f>$F$189*P198+$F$190</f>
        <v>1.4515060481257969E-3</v>
      </c>
      <c r="R198" s="50">
        <f>($F$189*(P198-1))/Q198</f>
        <v>0.68802915344790494</v>
      </c>
      <c r="S198" s="50">
        <f>($F$191*P198)/Q198</f>
        <v>0.86834597587070594</v>
      </c>
      <c r="T198" s="8">
        <f t="shared" si="2"/>
        <v>1.3158291346264017</v>
      </c>
      <c r="U198" s="8">
        <f t="shared" si="3"/>
        <v>0.45187094558054769</v>
      </c>
      <c r="V198" s="8">
        <f t="shared" si="4"/>
        <v>0.60587023293783515</v>
      </c>
      <c r="W198" s="8">
        <f t="shared" si="5"/>
        <v>0.39412976706216479</v>
      </c>
      <c r="X198" s="8">
        <f t="shared" si="6"/>
        <v>0.79722170430248807</v>
      </c>
      <c r="Y198" s="8">
        <f t="shared" si="7"/>
        <v>7.4892281949402614E-5</v>
      </c>
      <c r="Z198" s="35">
        <f>(1/(1-R198*Y198*$H$8))*(X198*$B$15+Y198*($B$9-$H$8*$B$2*R198-$B$184))</f>
        <v>9.9199171853138033</v>
      </c>
      <c r="AA198" s="35">
        <f t="shared" si="9"/>
        <v>15.95900534178223</v>
      </c>
      <c r="AB198" s="35">
        <f t="shared" si="10"/>
        <v>60.72620961520802</v>
      </c>
      <c r="AC198" s="8">
        <f>$F$193/(1-K198)</f>
        <v>2.9301895284972439E-4</v>
      </c>
      <c r="AD198" s="21">
        <f>$F$195/(1-K198)</f>
        <v>4.4235245132508188E-4</v>
      </c>
      <c r="AE198" s="35">
        <f t="shared" si="11"/>
        <v>11.958649330473257</v>
      </c>
      <c r="AF198" s="35">
        <f t="shared" si="12"/>
        <v>-3.5269614793789632</v>
      </c>
      <c r="AG198" s="35">
        <f t="shared" si="13"/>
        <v>3.5269614793789632</v>
      </c>
      <c r="AH198" s="35">
        <f t="shared" si="14"/>
        <v>12.468457430845564</v>
      </c>
      <c r="AI198" s="35">
        <f t="shared" si="15"/>
        <v>54.443223375522017</v>
      </c>
      <c r="AJ198" s="8">
        <f t="shared" si="16"/>
        <v>1.4422843400973326</v>
      </c>
      <c r="AK198" s="8">
        <f t="shared" si="17"/>
        <v>26.508606618841636</v>
      </c>
      <c r="AL198" s="22">
        <f t="shared" si="18"/>
        <v>61659.018995425642</v>
      </c>
      <c r="AM198" s="22">
        <f t="shared" si="19"/>
        <v>54596.807030184857</v>
      </c>
      <c r="AN198" s="35">
        <f>$B$213*($B$15+$B$214*(AM198-$B$184))</f>
        <v>11.117215356191839</v>
      </c>
      <c r="AO198" s="35">
        <f t="shared" si="20"/>
        <v>12.062848123898414</v>
      </c>
      <c r="AP198" s="43">
        <f t="shared" si="21"/>
        <v>53.713126623017146</v>
      </c>
      <c r="AQ198" s="35">
        <f t="shared" si="22"/>
        <v>30.986873376982857</v>
      </c>
      <c r="AR198" s="35">
        <f t="shared" si="23"/>
        <v>7.1432233755220196</v>
      </c>
      <c r="AS198" s="22">
        <f>AU198* 3412.1416</f>
        <v>125357.69126255739</v>
      </c>
      <c r="AT198" s="22">
        <f>AV198* 3412.1416</f>
        <v>104896.33252228888</v>
      </c>
      <c r="AU198" s="8">
        <f>$B$31*($B$9-AM198)/1000</f>
        <v>36.738713089327064</v>
      </c>
      <c r="AV198" s="45">
        <f>$B$31*$H$8*($B$2-AO198)/1000</f>
        <v>30.742080727918466</v>
      </c>
      <c r="AW198" s="51">
        <f>AV198/AU198</f>
        <v>0.83677619989496377</v>
      </c>
    </row>
    <row r="199" spans="1:49" x14ac:dyDescent="0.35">
      <c r="A199" s="49"/>
      <c r="B199" s="8"/>
      <c r="C199" s="8"/>
      <c r="D199" s="51"/>
      <c r="E199" s="8" t="s">
        <v>202</v>
      </c>
      <c r="F199" s="50">
        <f>F189*F198+F190</f>
        <v>2.9770063580698315E-3</v>
      </c>
      <c r="G199" s="8" t="s">
        <v>98</v>
      </c>
      <c r="H199" s="8"/>
      <c r="I199" s="8"/>
      <c r="J199" s="51"/>
      <c r="K199" s="49">
        <v>0.45</v>
      </c>
      <c r="L199" s="43">
        <f t="shared" si="0"/>
        <v>59.201291999641214</v>
      </c>
      <c r="M199" s="43">
        <f t="shared" si="8"/>
        <v>48.437420726979177</v>
      </c>
      <c r="N199" s="22">
        <f>$F$196*(1-K199)</f>
        <v>2072.2540678157438</v>
      </c>
      <c r="O199" s="35">
        <f t="shared" si="1"/>
        <v>1.1278428860537804</v>
      </c>
      <c r="P199" s="35">
        <f>EXP(N199*($F$189+$F$190))</f>
        <v>2.5558216963339002</v>
      </c>
      <c r="Q199" s="21">
        <f>$F$189*P199+$F$190</f>
        <v>1.324055555904509E-3</v>
      </c>
      <c r="R199" s="50">
        <f>($F$189*(P199-1))/Q199</f>
        <v>0.65799956913443225</v>
      </c>
      <c r="S199" s="50">
        <f>($F$191*P199)/Q199</f>
        <v>0.8740921213617604</v>
      </c>
      <c r="T199" s="8">
        <f t="shared" si="2"/>
        <v>1.3617564325509153</v>
      </c>
      <c r="U199" s="8">
        <f t="shared" si="3"/>
        <v>0.47776931129074379</v>
      </c>
      <c r="V199" s="8">
        <f t="shared" si="4"/>
        <v>0.57302792077016007</v>
      </c>
      <c r="W199" s="8">
        <f t="shared" si="5"/>
        <v>0.42697207922983993</v>
      </c>
      <c r="X199" s="8">
        <f t="shared" si="6"/>
        <v>0.78032445714004173</v>
      </c>
      <c r="Y199" s="8">
        <f t="shared" si="7"/>
        <v>8.1132956743052169E-5</v>
      </c>
      <c r="Z199" s="35">
        <f>(1/(1-R199*Y199*$H$8))*(X199*$B$15+Y199*($B$9-$H$8*$B$2*R199-$B$184))</f>
        <v>10.095150839160901</v>
      </c>
      <c r="AA199" s="35">
        <f t="shared" si="9"/>
        <v>16.655617517301319</v>
      </c>
      <c r="AB199" s="35">
        <f t="shared" si="10"/>
        <v>61.980111531142377</v>
      </c>
      <c r="AC199" s="8">
        <f>$F$193/(1-K199)</f>
        <v>3.1965703947242657E-4</v>
      </c>
      <c r="AD199" s="21">
        <f>$F$195/(1-K199)</f>
        <v>4.8256631053645292E-4</v>
      </c>
      <c r="AE199" s="35">
        <f t="shared" si="11"/>
        <v>12.309894846440613</v>
      </c>
      <c r="AF199" s="35">
        <f t="shared" si="12"/>
        <v>-3.1757159634116068</v>
      </c>
      <c r="AG199" s="35">
        <f t="shared" si="13"/>
        <v>3.1757159634116068</v>
      </c>
      <c r="AH199" s="35">
        <f t="shared" si="14"/>
        <v>12.510394703710901</v>
      </c>
      <c r="AI199" s="35">
        <f t="shared" si="15"/>
        <v>54.518710466679622</v>
      </c>
      <c r="AJ199" s="8">
        <f t="shared" si="16"/>
        <v>1.6225698826094992</v>
      </c>
      <c r="AK199" s="8">
        <f t="shared" si="17"/>
        <v>26.81565011043525</v>
      </c>
      <c r="AL199" s="22">
        <f t="shared" si="18"/>
        <v>62373.202156872394</v>
      </c>
      <c r="AM199" s="22">
        <f t="shared" si="19"/>
        <v>54417.569140472602</v>
      </c>
      <c r="AN199" s="35">
        <f>$B$213*($B$15+$B$214*(AM199-$B$184))</f>
        <v>11.076964566741049</v>
      </c>
      <c r="AO199" s="35">
        <f t="shared" si="20"/>
        <v>11.93477013524048</v>
      </c>
      <c r="AP199" s="43">
        <f t="shared" si="21"/>
        <v>53.482586243432863</v>
      </c>
      <c r="AQ199" s="35">
        <f t="shared" si="22"/>
        <v>31.21741375656714</v>
      </c>
      <c r="AR199" s="35">
        <f t="shared" si="23"/>
        <v>7.2187104666796245</v>
      </c>
      <c r="AS199" s="22">
        <f>AU199* 3412.1416</f>
        <v>126442.25580848915</v>
      </c>
      <c r="AT199" s="22">
        <f>AV199* 3412.1416</f>
        <v>105676.75460690779</v>
      </c>
      <c r="AU199" s="8">
        <f>$B$31*($B$9-AM199)/1000</f>
        <v>37.056567584560135</v>
      </c>
      <c r="AV199" s="45">
        <f>$B$31*$H$8*($B$2-AO199)/1000</f>
        <v>30.970799865664365</v>
      </c>
      <c r="AW199" s="51">
        <f>AV199/AU199</f>
        <v>0.83577087367823444</v>
      </c>
    </row>
    <row r="200" spans="1:49" x14ac:dyDescent="0.35">
      <c r="A200" s="49"/>
      <c r="B200" s="8"/>
      <c r="C200" s="8"/>
      <c r="D200" s="51"/>
      <c r="E200" s="8"/>
      <c r="F200" s="8"/>
      <c r="G200" s="8"/>
      <c r="H200" s="8"/>
      <c r="I200" s="8"/>
      <c r="J200" s="51"/>
      <c r="K200" s="49">
        <v>0.5</v>
      </c>
      <c r="L200" s="43">
        <f t="shared" si="0"/>
        <v>53.819356363310192</v>
      </c>
      <c r="M200" s="43">
        <f t="shared" si="8"/>
        <v>53.819356363310192</v>
      </c>
      <c r="N200" s="22">
        <f>$F$196*(1-K200)</f>
        <v>1883.867334377949</v>
      </c>
      <c r="O200" s="35">
        <f t="shared" si="1"/>
        <v>1.2531587622819782</v>
      </c>
      <c r="P200" s="35">
        <f>EXP(N200*($F$189+$F$190))</f>
        <v>2.346833724478782</v>
      </c>
      <c r="Q200" s="21">
        <f>$F$189*P200+$F$190</f>
        <v>1.2070266122284387E-3</v>
      </c>
      <c r="R200" s="50">
        <f>($F$189*(P200-1))/Q200</f>
        <v>0.62484044177512299</v>
      </c>
      <c r="S200" s="50">
        <f>($F$191*P200)/Q200</f>
        <v>0.88043710330270264</v>
      </c>
      <c r="T200" s="8">
        <f t="shared" si="2"/>
        <v>1.4092867628442522</v>
      </c>
      <c r="U200" s="8">
        <f t="shared" si="3"/>
        <v>0.50457162564170921</v>
      </c>
      <c r="V200" s="8">
        <f t="shared" si="4"/>
        <v>0.54258927998287998</v>
      </c>
      <c r="W200" s="8">
        <f t="shared" si="5"/>
        <v>0.45741072001711985</v>
      </c>
      <c r="X200" s="8">
        <f t="shared" si="6"/>
        <v>0.7646638899410666</v>
      </c>
      <c r="Y200" s="8">
        <f t="shared" si="7"/>
        <v>8.6916887464625922E-5</v>
      </c>
      <c r="Z200" s="35">
        <f>(1/(1-R200*Y200*$H$8))*(X200*$B$15+Y200*($B$9-$H$8*$B$2*R200-$B$184))</f>
        <v>10.274341229876352</v>
      </c>
      <c r="AA200" s="35">
        <f t="shared" si="9"/>
        <v>17.403662089941534</v>
      </c>
      <c r="AB200" s="35">
        <f t="shared" si="10"/>
        <v>63.326591761894761</v>
      </c>
      <c r="AC200" s="8">
        <f>$F$193/(1-K200)</f>
        <v>3.5162274341966925E-4</v>
      </c>
      <c r="AD200" s="21">
        <f>$F$195/(1-K200)</f>
        <v>5.3082294159009823E-4</v>
      </c>
      <c r="AE200" s="35">
        <f t="shared" si="11"/>
        <v>12.681124378918916</v>
      </c>
      <c r="AF200" s="35">
        <f t="shared" si="12"/>
        <v>-2.804486430933304</v>
      </c>
      <c r="AG200" s="35">
        <f t="shared" si="13"/>
        <v>2.804486430933304</v>
      </c>
      <c r="AH200" s="35">
        <f t="shared" si="14"/>
        <v>12.546447150746737</v>
      </c>
      <c r="AI200" s="35">
        <f t="shared" si="15"/>
        <v>54.583604871344122</v>
      </c>
      <c r="AJ200" s="8">
        <f t="shared" si="16"/>
        <v>1.8028554251216657</v>
      </c>
      <c r="AK200" s="8">
        <f t="shared" si="17"/>
        <v>27.145363293067973</v>
      </c>
      <c r="AL200" s="22">
        <f t="shared" si="18"/>
        <v>63140.115019676108</v>
      </c>
      <c r="AM200" s="22">
        <f t="shared" si="19"/>
        <v>54266.534463848948</v>
      </c>
      <c r="AN200" s="35">
        <f>$B$213*($B$15+$B$214*(AM200-$B$184))</f>
        <v>11.043047268460496</v>
      </c>
      <c r="AO200" s="35">
        <f t="shared" si="20"/>
        <v>11.821451649887315</v>
      </c>
      <c r="AP200" s="43">
        <f t="shared" si="21"/>
        <v>53.278612969797166</v>
      </c>
      <c r="AQ200" s="35">
        <f t="shared" si="22"/>
        <v>31.421387030202837</v>
      </c>
      <c r="AR200" s="35">
        <f t="shared" si="23"/>
        <v>7.2836048713441244</v>
      </c>
      <c r="AS200" s="22">
        <f>AU200* 3412.1416</f>
        <v>127356.16332957889</v>
      </c>
      <c r="AT200" s="22">
        <f>AV200* 3412.1416</f>
        <v>106367.24209419468</v>
      </c>
      <c r="AU200" s="8">
        <f>$B$31*($B$9-AM200)/1000</f>
        <v>37.324407442404762</v>
      </c>
      <c r="AV200" s="45">
        <f>$B$31*$H$8*($B$2-AO200)/1000</f>
        <v>31.17316177446876</v>
      </c>
      <c r="AW200" s="51">
        <f>AV200/AU200</f>
        <v>0.83519508843032586</v>
      </c>
    </row>
    <row r="201" spans="1:49" x14ac:dyDescent="0.35">
      <c r="A201" s="49" t="s">
        <v>154</v>
      </c>
      <c r="B201" s="21">
        <f>B185*B197</f>
        <v>0.3989917439427304</v>
      </c>
      <c r="C201" s="8" t="s">
        <v>155</v>
      </c>
      <c r="D201" s="51"/>
      <c r="E201" s="8" t="s">
        <v>203</v>
      </c>
      <c r="F201" s="50">
        <f>(F189*(F198-1))/F199</f>
        <v>0.84789163470148377</v>
      </c>
      <c r="G201" s="8"/>
      <c r="H201" s="8"/>
      <c r="I201" s="8"/>
      <c r="J201" s="51"/>
      <c r="K201" s="49">
        <v>0.55000000000000004</v>
      </c>
      <c r="L201" s="43">
        <f t="shared" si="0"/>
        <v>48.43742072697917</v>
      </c>
      <c r="M201" s="43">
        <f t="shared" si="8"/>
        <v>59.201291999641214</v>
      </c>
      <c r="N201" s="22">
        <f>$F$196*(1-K201)</f>
        <v>1695.4806009401539</v>
      </c>
      <c r="O201" s="35">
        <f t="shared" si="1"/>
        <v>1.378474638510176</v>
      </c>
      <c r="P201" s="35">
        <f>EXP(N201*($F$189+$F$190))</f>
        <v>2.1549345708470806</v>
      </c>
      <c r="Q201" s="21">
        <f>$F$189*P201+$F$190</f>
        <v>1.099567053467713E-3</v>
      </c>
      <c r="R201" s="50">
        <f>($F$189*(P201-1))/Q201</f>
        <v>0.58817648347937923</v>
      </c>
      <c r="S201" s="50">
        <f>($F$191*P201)/Q201</f>
        <v>0.88745273283809967</v>
      </c>
      <c r="T201" s="8">
        <f t="shared" si="2"/>
        <v>1.4584760772582384</v>
      </c>
      <c r="U201" s="8">
        <f t="shared" si="3"/>
        <v>0.53230943978050438</v>
      </c>
      <c r="V201" s="8">
        <f t="shared" si="4"/>
        <v>0.51431579941474703</v>
      </c>
      <c r="W201" s="8">
        <f t="shared" si="5"/>
        <v>0.48568420058525302</v>
      </c>
      <c r="X201" s="8">
        <f t="shared" si="6"/>
        <v>0.75011728960235535</v>
      </c>
      <c r="Y201" s="8">
        <f t="shared" si="7"/>
        <v>9.2289395849828892E-5</v>
      </c>
      <c r="Z201" s="35">
        <f>(1/(1-R201*Y201*$H$8))*(X201*$B$15+Y201*($B$9-$H$8*$B$2*R201-$B$184))</f>
        <v>10.458854739820815</v>
      </c>
      <c r="AA201" s="35">
        <f t="shared" si="9"/>
        <v>18.208929802443173</v>
      </c>
      <c r="AB201" s="35">
        <f t="shared" si="10"/>
        <v>64.776073644397712</v>
      </c>
      <c r="AC201" s="8">
        <f>$F$193/(1-K201)</f>
        <v>3.9069193713296588E-4</v>
      </c>
      <c r="AD201" s="21">
        <f>$F$195/(1-K201)</f>
        <v>5.8980326843344254E-4</v>
      </c>
      <c r="AE201" s="35">
        <f t="shared" si="11"/>
        <v>13.07519792743321</v>
      </c>
      <c r="AF201" s="35">
        <f t="shared" si="12"/>
        <v>-2.4104128824190099</v>
      </c>
      <c r="AG201" s="35">
        <f t="shared" si="13"/>
        <v>2.4104128824190099</v>
      </c>
      <c r="AH201" s="35">
        <f t="shared" si="14"/>
        <v>12.576873098672998</v>
      </c>
      <c r="AI201" s="35">
        <f t="shared" si="15"/>
        <v>54.638371577611395</v>
      </c>
      <c r="AJ201" s="8">
        <f t="shared" si="16"/>
        <v>1.9831409676338325</v>
      </c>
      <c r="AK201" s="8">
        <f t="shared" si="17"/>
        <v>27.500298533655549</v>
      </c>
      <c r="AL201" s="22">
        <f t="shared" si="18"/>
        <v>63965.694389282806</v>
      </c>
      <c r="AM201" s="22">
        <f t="shared" si="19"/>
        <v>54142.649038632277</v>
      </c>
      <c r="AN201" s="35">
        <f>$B$213*($B$15+$B$214*(AM201-$B$184))</f>
        <v>11.015226777076544</v>
      </c>
      <c r="AO201" s="35">
        <f t="shared" si="20"/>
        <v>11.721814363742782</v>
      </c>
      <c r="AP201" s="43">
        <f t="shared" si="21"/>
        <v>53.099265854737006</v>
      </c>
      <c r="AQ201" s="35">
        <f t="shared" si="22"/>
        <v>31.600734145262997</v>
      </c>
      <c r="AR201" s="35">
        <f t="shared" si="23"/>
        <v>7.3383715776113974</v>
      </c>
      <c r="AS201" s="22">
        <f>AU201* 3412.1416</f>
        <v>128105.79132488382</v>
      </c>
      <c r="AT201" s="22">
        <f>AV201* 3412.1416</f>
        <v>106974.36545218529</v>
      </c>
      <c r="AU201" s="8">
        <f>$B$31*($B$9-AM201)/1000</f>
        <v>37.54410172335281</v>
      </c>
      <c r="AV201" s="45">
        <f>$B$31*$H$8*($B$2-AO201)/1000</f>
        <v>31.35109206844912</v>
      </c>
      <c r="AW201" s="51">
        <f>AV201/AU201</f>
        <v>0.83504706809774132</v>
      </c>
    </row>
    <row r="202" spans="1:49" x14ac:dyDescent="0.35">
      <c r="A202" s="49" t="s">
        <v>156</v>
      </c>
      <c r="B202" s="45">
        <f>1/B201</f>
        <v>2.5063175245639564</v>
      </c>
      <c r="C202" s="8" t="s">
        <v>157</v>
      </c>
      <c r="D202" s="51"/>
      <c r="E202" s="8" t="s">
        <v>204</v>
      </c>
      <c r="F202" s="50">
        <f>((F189+F190)*F198)/F199</f>
        <v>0.83775637242315204</v>
      </c>
      <c r="G202" s="8"/>
      <c r="H202" s="8"/>
      <c r="I202" s="8"/>
      <c r="J202" s="51"/>
      <c r="K202" s="49">
        <v>0.6</v>
      </c>
      <c r="L202" s="43">
        <f t="shared" si="0"/>
        <v>43.055485090648155</v>
      </c>
      <c r="M202" s="43">
        <f t="shared" si="8"/>
        <v>64.583227635972221</v>
      </c>
      <c r="N202" s="22">
        <f>$F$196*(1-K202)</f>
        <v>1507.0938675023592</v>
      </c>
      <c r="O202" s="35">
        <f t="shared" si="1"/>
        <v>1.5037905147383739</v>
      </c>
      <c r="P202" s="35">
        <f>EXP(N202*($F$189+$F$190))</f>
        <v>1.9787268932583797</v>
      </c>
      <c r="Q202" s="21">
        <f>$F$189*P202+$F$190</f>
        <v>1.0008943968895863E-3</v>
      </c>
      <c r="R202" s="50">
        <f>($F$189*(P202-1))/Q202</f>
        <v>0.54757707504756403</v>
      </c>
      <c r="S202" s="50">
        <f>($F$191*P202)/Q202</f>
        <v>0.89522140873000289</v>
      </c>
      <c r="T202" s="8">
        <f t="shared" si="2"/>
        <v>1.509382280467543</v>
      </c>
      <c r="U202" s="8">
        <f t="shared" si="3"/>
        <v>0.56101540610578304</v>
      </c>
      <c r="V202" s="8">
        <f t="shared" si="4"/>
        <v>0.48799935273988576</v>
      </c>
      <c r="W202" s="8">
        <f t="shared" si="5"/>
        <v>0.51200064726011429</v>
      </c>
      <c r="X202" s="8">
        <f t="shared" si="6"/>
        <v>0.73657757590521367</v>
      </c>
      <c r="Y202" s="8">
        <f t="shared" si="7"/>
        <v>9.7290029927714385E-5</v>
      </c>
      <c r="Z202" s="35">
        <f>(1/(1-R202*Y202*$H$8))*(X202*$B$15+Y202*($B$9-$H$8*$B$2*R202-$B$184))</f>
        <v>10.650107473417007</v>
      </c>
      <c r="AA202" s="35">
        <f t="shared" si="9"/>
        <v>19.077692557565541</v>
      </c>
      <c r="AB202" s="35">
        <f t="shared" si="10"/>
        <v>66.339846603617971</v>
      </c>
      <c r="AC202" s="8">
        <f>$F$193/(1-K202)</f>
        <v>4.3952842927458654E-4</v>
      </c>
      <c r="AD202" s="21">
        <f>$F$195/(1-K202)</f>
        <v>6.6352867698762279E-4</v>
      </c>
      <c r="AE202" s="35">
        <f t="shared" si="11"/>
        <v>13.495170862451472</v>
      </c>
      <c r="AF202" s="35">
        <f t="shared" si="12"/>
        <v>-1.9904399474007484</v>
      </c>
      <c r="AG202" s="35">
        <f t="shared" si="13"/>
        <v>1.9904399474007484</v>
      </c>
      <c r="AH202" s="35">
        <f t="shared" si="14"/>
        <v>12.601888526549889</v>
      </c>
      <c r="AI202" s="35">
        <f t="shared" si="15"/>
        <v>54.683399347789802</v>
      </c>
      <c r="AJ202" s="8">
        <f t="shared" si="16"/>
        <v>2.1634265101459986</v>
      </c>
      <c r="AK202" s="8">
        <f t="shared" si="17"/>
        <v>27.883220278456356</v>
      </c>
      <c r="AL202" s="22">
        <f t="shared" si="18"/>
        <v>64856.370367689487</v>
      </c>
      <c r="AM202" s="22">
        <f t="shared" si="19"/>
        <v>54045.0437411475</v>
      </c>
      <c r="AN202" s="35">
        <f>$B$213*($B$15+$B$214*(AM202-$B$184))</f>
        <v>10.993307916702499</v>
      </c>
      <c r="AO202" s="35">
        <f t="shared" si="20"/>
        <v>11.634910677693254</v>
      </c>
      <c r="AP202" s="43">
        <f t="shared" si="21"/>
        <v>52.942839219847855</v>
      </c>
      <c r="AQ202" s="35">
        <f t="shared" si="22"/>
        <v>31.757160780152148</v>
      </c>
      <c r="AR202" s="35">
        <f t="shared" si="23"/>
        <v>7.3833993477898048</v>
      </c>
      <c r="AS202" s="22">
        <f>AU202* 3412.1416</f>
        <v>128696.39884273095</v>
      </c>
      <c r="AT202" s="22">
        <f>AV202* 3412.1416</f>
        <v>107503.89871967728</v>
      </c>
      <c r="AU202" s="8">
        <f>$B$31*($B$9-AM202)/1000</f>
        <v>37.717191702340536</v>
      </c>
      <c r="AV202" s="45">
        <f>$B$31*$H$8*($B$2-AO202)/1000</f>
        <v>31.506282951351515</v>
      </c>
      <c r="AW202" s="51">
        <f>AV202/AU202</f>
        <v>0.83532950172948317</v>
      </c>
    </row>
    <row r="203" spans="1:49" x14ac:dyDescent="0.35">
      <c r="A203" s="49"/>
      <c r="B203" s="8"/>
      <c r="C203" s="8"/>
      <c r="D203" s="51"/>
      <c r="E203" s="8"/>
      <c r="F203" s="8"/>
      <c r="G203" s="8"/>
      <c r="H203" s="8"/>
      <c r="I203" s="8"/>
      <c r="J203" s="51"/>
      <c r="K203" s="49">
        <v>0.65</v>
      </c>
      <c r="L203" s="43">
        <f t="shared" si="0"/>
        <v>37.673549454317133</v>
      </c>
      <c r="M203" s="43">
        <f t="shared" si="8"/>
        <v>69.965163272303258</v>
      </c>
      <c r="N203" s="22">
        <f>$F$196*(1-K203)</f>
        <v>1318.7071340645641</v>
      </c>
      <c r="O203" s="35">
        <f t="shared" si="1"/>
        <v>1.6291063909665717</v>
      </c>
      <c r="P203" s="35">
        <f>EXP(N203*($F$189+$F$190))</f>
        <v>1.8169276093449438</v>
      </c>
      <c r="Q203" s="21">
        <f>$F$189*P203+$F$190</f>
        <v>9.1029014289423704E-4</v>
      </c>
      <c r="R203" s="50">
        <f>($F$189*(P203-1))/Q203</f>
        <v>0.50254589248924442</v>
      </c>
      <c r="S203" s="50">
        <f>($F$191*P203)/Q203</f>
        <v>0.90383810231834016</v>
      </c>
      <c r="T203" s="8">
        <f t="shared" si="2"/>
        <v>1.5620652982339012</v>
      </c>
      <c r="U203" s="8">
        <f t="shared" si="3"/>
        <v>0.59072331670554123</v>
      </c>
      <c r="V203" s="8">
        <f t="shared" si="4"/>
        <v>0.46345750593284168</v>
      </c>
      <c r="W203" s="8">
        <f t="shared" si="5"/>
        <v>0.53654249406715826</v>
      </c>
      <c r="X203" s="8">
        <f t="shared" si="6"/>
        <v>0.72395088722372436</v>
      </c>
      <c r="Y203" s="8">
        <f t="shared" si="7"/>
        <v>1.0195345569312296E-4</v>
      </c>
      <c r="Z203" s="35">
        <f>(1/(1-R203*Y203*$H$8))*(X203*$B$15+Y203*($B$9-$H$8*$B$2*R203-$B$184))</f>
        <v>10.849580750774502</v>
      </c>
      <c r="AA203" s="35">
        <f t="shared" si="9"/>
        <v>20.016763055874776</v>
      </c>
      <c r="AB203" s="35">
        <f t="shared" si="10"/>
        <v>68.030173500574591</v>
      </c>
      <c r="AC203" s="8">
        <f>$F$193/(1-K203)</f>
        <v>5.0231820488524177E-4</v>
      </c>
      <c r="AD203" s="21">
        <f>$F$195/(1-K203)</f>
        <v>7.5831848798585465E-4</v>
      </c>
      <c r="AE203" s="35">
        <f t="shared" si="11"/>
        <v>13.944324321610896</v>
      </c>
      <c r="AF203" s="35">
        <f t="shared" si="12"/>
        <v>-1.5412864882413242</v>
      </c>
      <c r="AG203" s="35">
        <f t="shared" si="13"/>
        <v>1.5412864882413242</v>
      </c>
      <c r="AH203" s="35">
        <f t="shared" si="14"/>
        <v>12.621671147742656</v>
      </c>
      <c r="AI203" s="35">
        <f t="shared" si="15"/>
        <v>54.719008065936784</v>
      </c>
      <c r="AJ203" s="8">
        <f t="shared" si="16"/>
        <v>2.3437120526581654</v>
      </c>
      <c r="AK203" s="8">
        <f t="shared" si="17"/>
        <v>28.297131339425924</v>
      </c>
      <c r="AL203" s="22">
        <f t="shared" si="18"/>
        <v>65819.127495504697</v>
      </c>
      <c r="AM203" s="22">
        <f t="shared" si="19"/>
        <v>53973.01890993712</v>
      </c>
      <c r="AN203" s="35">
        <f>$B$213*($B$15+$B$214*(AM203-$B$184))</f>
        <v>10.97713356695462</v>
      </c>
      <c r="AO203" s="35">
        <f t="shared" si="20"/>
        <v>11.559909931863043</v>
      </c>
      <c r="AP203" s="43">
        <f t="shared" si="21"/>
        <v>52.807837877353478</v>
      </c>
      <c r="AQ203" s="35">
        <f t="shared" si="22"/>
        <v>31.892162122646525</v>
      </c>
      <c r="AR203" s="35">
        <f t="shared" si="23"/>
        <v>7.4190080659367865</v>
      </c>
      <c r="AS203" s="22">
        <f>AU203* 3412.1416</f>
        <v>129132.2195192793</v>
      </c>
      <c r="AT203" s="22">
        <f>AV203* 3412.1416</f>
        <v>107960.90338552282</v>
      </c>
      <c r="AU203" s="8">
        <f>$B$31*($B$9-AM203)/1000</f>
        <v>37.844918135659817</v>
      </c>
      <c r="AV203" s="45">
        <f>$B$31*$H$8*($B$2-AO203)/1000</f>
        <v>31.640217799144921</v>
      </c>
      <c r="AW203" s="51">
        <f>AV203/AU203</f>
        <v>0.83604931276972572</v>
      </c>
    </row>
    <row r="204" spans="1:49" x14ac:dyDescent="0.35">
      <c r="A204" s="49" t="s">
        <v>158</v>
      </c>
      <c r="B204" s="42">
        <f>EXP(B202*(B189+B190))</f>
        <v>1.9860891799280316</v>
      </c>
      <c r="C204" s="8"/>
      <c r="D204" s="51"/>
      <c r="E204" s="8" t="s">
        <v>206</v>
      </c>
      <c r="F204" s="43">
        <f>B2</f>
        <v>29.277777777777779</v>
      </c>
      <c r="G204" s="8" t="s">
        <v>171</v>
      </c>
      <c r="H204" s="8"/>
      <c r="I204" s="8"/>
      <c r="J204" s="51"/>
      <c r="K204" s="49">
        <v>0.7</v>
      </c>
      <c r="L204" s="43">
        <f t="shared" si="0"/>
        <v>32.291613817986118</v>
      </c>
      <c r="M204" s="43">
        <f t="shared" si="8"/>
        <v>75.347098908634266</v>
      </c>
      <c r="N204" s="22">
        <f>$F$196*(1-K204)</f>
        <v>1130.3204006267695</v>
      </c>
      <c r="O204" s="35">
        <f t="shared" si="1"/>
        <v>1.7544222671947693</v>
      </c>
      <c r="P204" s="35">
        <f>EXP(N204*($F$189+$F$190))</f>
        <v>1.6683585535969481</v>
      </c>
      <c r="Q204" s="21">
        <f>$F$189*P204+$F$190</f>
        <v>8.2709454315324981E-4</v>
      </c>
      <c r="R204" s="50">
        <f>($F$189*(P204-1))/Q204</f>
        <v>0.45250809069189074</v>
      </c>
      <c r="S204" s="50">
        <f>($F$191*P204)/Q204</f>
        <v>0.9134128099193084</v>
      </c>
      <c r="T204" s="8">
        <f t="shared" si="2"/>
        <v>1.6165871479495193</v>
      </c>
      <c r="U204" s="8">
        <f t="shared" si="3"/>
        <v>0.62146814313648524</v>
      </c>
      <c r="V204" s="8">
        <f t="shared" si="4"/>
        <v>0.44052966846379521</v>
      </c>
      <c r="W204" s="8">
        <f t="shared" si="5"/>
        <v>0.55947033153620485</v>
      </c>
      <c r="X204" s="8">
        <f t="shared" si="6"/>
        <v>0.71215460032903399</v>
      </c>
      <c r="Y204" s="8">
        <f t="shared" si="7"/>
        <v>1.063101884540643E-4</v>
      </c>
      <c r="Z204" s="35">
        <f>(1/(1-R204*Y204*$H$8))*(X204*$B$15+Y204*($B$9-$H$8*$B$2*R204-$B$184))</f>
        <v>11.058836869402686</v>
      </c>
      <c r="AA204" s="35">
        <f t="shared" si="9"/>
        <v>21.033559612900582</v>
      </c>
      <c r="AB204" s="35">
        <f t="shared" si="10"/>
        <v>69.860407303221052</v>
      </c>
      <c r="AC204" s="8">
        <f>$F$193/(1-K204)</f>
        <v>5.8603790569944868E-4</v>
      </c>
      <c r="AD204" s="21">
        <f>$F$195/(1-K204)</f>
        <v>8.8470490265016354E-4</v>
      </c>
      <c r="AE204" s="35">
        <f t="shared" si="11"/>
        <v>14.42619753202867</v>
      </c>
      <c r="AF204" s="35">
        <f t="shared" si="12"/>
        <v>-1.0594132778235501</v>
      </c>
      <c r="AG204" s="35">
        <f t="shared" si="13"/>
        <v>1.0594132778235501</v>
      </c>
      <c r="AH204" s="35">
        <f t="shared" si="14"/>
        <v>12.636363768905049</v>
      </c>
      <c r="AI204" s="35">
        <f t="shared" si="15"/>
        <v>54.745454784029093</v>
      </c>
      <c r="AJ204" s="8">
        <f t="shared" si="16"/>
        <v>2.5239975951703317</v>
      </c>
      <c r="AK204" s="8">
        <f t="shared" si="17"/>
        <v>28.745301463465069</v>
      </c>
      <c r="AL204" s="22">
        <f t="shared" si="18"/>
        <v>66861.571204019754</v>
      </c>
      <c r="AM204" s="22">
        <f t="shared" si="19"/>
        <v>53926.031675821672</v>
      </c>
      <c r="AN204" s="35">
        <f>$B$213*($B$15+$B$214*(AM204-$B$184))</f>
        <v>10.966581817710683</v>
      </c>
      <c r="AO204" s="35">
        <f t="shared" si="20"/>
        <v>11.496086590078978</v>
      </c>
      <c r="AP204" s="43">
        <f t="shared" si="21"/>
        <v>52.692955862142156</v>
      </c>
      <c r="AQ204" s="35">
        <f t="shared" si="22"/>
        <v>32.007044137857847</v>
      </c>
      <c r="AR204" s="35">
        <f t="shared" si="23"/>
        <v>7.4454547840290957</v>
      </c>
      <c r="AS204" s="22">
        <f>AU204* 3412.1416</f>
        <v>129416.53824404685</v>
      </c>
      <c r="AT204" s="22">
        <f>AV204* 3412.1416</f>
        <v>108349.80038464337</v>
      </c>
      <c r="AU204" s="8">
        <f>$B$31*($B$9-AM204)/1000</f>
        <v>37.928243729406439</v>
      </c>
      <c r="AV204" s="45">
        <f>$B$31*$H$8*($B$2-AO204)/1000</f>
        <v>31.754192259970505</v>
      </c>
      <c r="AW204" s="51">
        <f>AV204/AU204</f>
        <v>0.83721757554913934</v>
      </c>
    </row>
    <row r="205" spans="1:49" x14ac:dyDescent="0.35">
      <c r="A205" s="49" t="s">
        <v>159</v>
      </c>
      <c r="B205" s="42">
        <f>B189*B204+B190</f>
        <v>0.82983003654829846</v>
      </c>
      <c r="C205" s="8" t="s">
        <v>148</v>
      </c>
      <c r="D205" s="51"/>
      <c r="E205" s="8" t="s">
        <v>207</v>
      </c>
      <c r="F205" s="35">
        <f>B15</f>
        <v>8.4999999999999982</v>
      </c>
      <c r="G205" s="8" t="s">
        <v>171</v>
      </c>
      <c r="H205" s="8"/>
      <c r="I205" s="8"/>
      <c r="J205" s="51"/>
      <c r="K205" s="49">
        <v>0.75</v>
      </c>
      <c r="L205" s="43">
        <f t="shared" si="0"/>
        <v>26.909678181655096</v>
      </c>
      <c r="M205" s="43">
        <f t="shared" si="8"/>
        <v>80.729034544965288</v>
      </c>
      <c r="N205" s="22">
        <f>$F$196*(1-K205)</f>
        <v>941.93366718897448</v>
      </c>
      <c r="O205" s="35">
        <f t="shared" si="1"/>
        <v>1.8797381434229674</v>
      </c>
      <c r="P205" s="35">
        <f>EXP(N205*($F$189+$F$190))</f>
        <v>1.531937898375382</v>
      </c>
      <c r="Q205" s="21">
        <f>$F$189*P205+$F$190</f>
        <v>7.5070179655420052E-4</v>
      </c>
      <c r="R205" s="50">
        <f>($F$189*(P205-1))/Q205</f>
        <v>0.39679434272328001</v>
      </c>
      <c r="S205" s="50">
        <f>($F$191*P205)/Q205</f>
        <v>0.92407360689663931</v>
      </c>
      <c r="T205" s="8">
        <f t="shared" si="2"/>
        <v>1.6730120116427054</v>
      </c>
      <c r="U205" s="8">
        <f t="shared" si="3"/>
        <v>0.65328607759184831</v>
      </c>
      <c r="V205" s="8">
        <f t="shared" si="4"/>
        <v>0.41907391638578895</v>
      </c>
      <c r="W205" s="8">
        <f t="shared" si="5"/>
        <v>0.58092608361421094</v>
      </c>
      <c r="X205" s="8">
        <f t="shared" si="6"/>
        <v>0.70111569587957578</v>
      </c>
      <c r="Y205" s="8">
        <f t="shared" si="7"/>
        <v>1.1038719650661534E-4</v>
      </c>
      <c r="Z205" s="35">
        <f>(1/(1-R205*Y205*$H$8))*(X205*$B$15+Y205*($B$9-$H$8*$B$2*R205-$B$184))</f>
        <v>11.279535409077951</v>
      </c>
      <c r="AA205" s="35">
        <f t="shared" si="9"/>
        <v>22.136177026915242</v>
      </c>
      <c r="AB205" s="35">
        <f t="shared" si="10"/>
        <v>71.845118648447439</v>
      </c>
      <c r="AC205" s="8">
        <f>$F$193/(1-K205)</f>
        <v>7.032454868393385E-4</v>
      </c>
      <c r="AD205" s="21">
        <f>$F$195/(1-K205)</f>
        <v>1.0616458831801965E-3</v>
      </c>
      <c r="AE205" s="35">
        <f t="shared" si="11"/>
        <v>14.944622535029819</v>
      </c>
      <c r="AF205" s="35">
        <f t="shared" si="12"/>
        <v>-0.54098827482240175</v>
      </c>
      <c r="AG205" s="35">
        <f t="shared" si="13"/>
        <v>0.54098827482240175</v>
      </c>
      <c r="AH205" s="35">
        <f t="shared" si="14"/>
        <v>12.646077034333416</v>
      </c>
      <c r="AI205" s="35">
        <f t="shared" si="15"/>
        <v>54.762938661800149</v>
      </c>
      <c r="AJ205" s="8">
        <f t="shared" si="16"/>
        <v>2.7042831376824985</v>
      </c>
      <c r="AK205" s="8">
        <f t="shared" si="17"/>
        <v>29.231298568581273</v>
      </c>
      <c r="AL205" s="22">
        <f t="shared" si="18"/>
        <v>67992.000470520041</v>
      </c>
      <c r="AM205" s="22">
        <f t="shared" si="19"/>
        <v>53903.685655110516</v>
      </c>
      <c r="AN205" s="35">
        <f>$B$213*($B$15+$B$214*(AM205-$B$184))</f>
        <v>10.961563654552481</v>
      </c>
      <c r="AO205" s="35">
        <f t="shared" si="20"/>
        <v>11.442810096200029</v>
      </c>
      <c r="AP205" s="43">
        <f t="shared" si="21"/>
        <v>52.59705817316005</v>
      </c>
      <c r="AQ205" s="35">
        <f t="shared" si="22"/>
        <v>32.102941826839952</v>
      </c>
      <c r="AR205" s="35">
        <f t="shared" si="23"/>
        <v>7.4629386618001519</v>
      </c>
      <c r="AS205" s="22">
        <f>AU205* 3412.1416</f>
        <v>129551.75352606608</v>
      </c>
      <c r="AT205" s="22">
        <f>AV205* 3412.1416</f>
        <v>108674.43190681103</v>
      </c>
      <c r="AU205" s="8">
        <f>$B$31*($B$9-AM205)/1000</f>
        <v>37.967871417196193</v>
      </c>
      <c r="AV205" s="45">
        <f>$B$31*$H$8*($B$2-AO205)/1000</f>
        <v>31.849332368507518</v>
      </c>
      <c r="AW205" s="51">
        <f>AV205/AU205</f>
        <v>0.83884956358344864</v>
      </c>
    </row>
    <row r="206" spans="1:49" x14ac:dyDescent="0.35">
      <c r="A206" s="49"/>
      <c r="B206" s="8"/>
      <c r="C206" s="8"/>
      <c r="D206" s="51"/>
      <c r="E206" s="8"/>
      <c r="F206" s="8"/>
      <c r="G206" s="8"/>
      <c r="H206" s="8"/>
      <c r="I206" s="8"/>
      <c r="J206" s="51"/>
      <c r="K206" s="49">
        <v>0.8</v>
      </c>
      <c r="L206" s="43">
        <f t="shared" si="0"/>
        <v>21.52774254532407</v>
      </c>
      <c r="M206" s="43">
        <f t="shared" si="8"/>
        <v>86.11097018129631</v>
      </c>
      <c r="N206" s="22">
        <f>$F$196*(1-K206)</f>
        <v>753.54693375117938</v>
      </c>
      <c r="O206" s="35">
        <f t="shared" si="1"/>
        <v>2.005054019651165</v>
      </c>
      <c r="P206" s="35">
        <f>EXP(N206*($F$189+$F$190))</f>
        <v>1.4066722764234671</v>
      </c>
      <c r="Q206" s="21">
        <f>$F$189*P206+$F$190</f>
        <v>6.8055563796990889E-4</v>
      </c>
      <c r="R206" s="50">
        <f>($F$189*(P206-1))/Q206</f>
        <v>0.33462079315062127</v>
      </c>
      <c r="S206" s="50">
        <f>($F$191*P206)/Q206</f>
        <v>0.93597048358365686</v>
      </c>
      <c r="T206" s="8">
        <f t="shared" si="2"/>
        <v>1.7314063115316649</v>
      </c>
      <c r="U206" s="8">
        <f t="shared" si="3"/>
        <v>0.68621457550611242</v>
      </c>
      <c r="V206" s="8">
        <f t="shared" si="4"/>
        <v>0.39896435434179678</v>
      </c>
      <c r="W206" s="8">
        <f t="shared" si="5"/>
        <v>0.60103564565820333</v>
      </c>
      <c r="X206" s="8">
        <f t="shared" si="6"/>
        <v>0.69076940118354246</v>
      </c>
      <c r="Y206" s="8">
        <f t="shared" si="7"/>
        <v>1.1420840240462136E-4</v>
      </c>
      <c r="Z206" s="35">
        <f>(1/(1-R206*Y206*$H$8))*(X206*$B$15+Y206*($B$9-$H$8*$B$2*R206-$B$184))</f>
        <v>11.513450347079335</v>
      </c>
      <c r="AA206" s="35">
        <f t="shared" si="9"/>
        <v>23.333464443130126</v>
      </c>
      <c r="AB206" s="35">
        <f t="shared" si="10"/>
        <v>74.000235997634235</v>
      </c>
      <c r="AC206" s="8">
        <f>$F$193/(1-K206)</f>
        <v>8.7905685854917329E-4</v>
      </c>
      <c r="AD206" s="21">
        <f>$F$195/(1-K206)</f>
        <v>1.3270573539752458E-3</v>
      </c>
      <c r="AE206" s="35">
        <f t="shared" si="11"/>
        <v>15.503761809588054</v>
      </c>
      <c r="AF206" s="35">
        <f t="shared" si="12"/>
        <v>1.8150999735834006E-2</v>
      </c>
      <c r="AG206" s="35">
        <f t="shared" si="13"/>
        <v>1.8150999735834006E-2</v>
      </c>
      <c r="AH206" s="35">
        <f t="shared" si="14"/>
        <v>12.650891641928535</v>
      </c>
      <c r="AI206" s="35">
        <f t="shared" si="15"/>
        <v>54.771604955471361</v>
      </c>
      <c r="AJ206" s="8">
        <f t="shared" si="16"/>
        <v>2.8845686801946653</v>
      </c>
      <c r="AK206" s="8">
        <f t="shared" si="17"/>
        <v>29.759023063838306</v>
      </c>
      <c r="AL206" s="22">
        <f t="shared" si="18"/>
        <v>69219.487646487905</v>
      </c>
      <c r="AM206" s="22">
        <f t="shared" si="19"/>
        <v>53905.722727961649</v>
      </c>
      <c r="AN206" s="35">
        <f>$B$213*($B$15+$B$214*(AM206-$B$184))</f>
        <v>10.962021112462518</v>
      </c>
      <c r="AO206" s="35">
        <f t="shared" si="20"/>
        <v>11.399536173412095</v>
      </c>
      <c r="AP206" s="43">
        <f t="shared" si="21"/>
        <v>52.519165112141771</v>
      </c>
      <c r="AQ206" s="35">
        <f t="shared" si="22"/>
        <v>32.180834887858232</v>
      </c>
      <c r="AR206" s="35">
        <f t="shared" si="23"/>
        <v>7.4716049554713635</v>
      </c>
      <c r="AS206" s="22">
        <f>AU206* 3412.1416</f>
        <v>129539.42724284904</v>
      </c>
      <c r="AT206" s="22">
        <f>AV206* 3412.1416</f>
        <v>108938.11441295964</v>
      </c>
      <c r="AU206" s="8">
        <f>$B$31*($B$9-AM206)/1000</f>
        <v>37.964258940147452</v>
      </c>
      <c r="AV206" s="45">
        <f>$B$31*$H$8*($B$2-AO206)/1000</f>
        <v>31.926610083520462</v>
      </c>
      <c r="AW206" s="51">
        <f>AV206/AU206</f>
        <v>0.84096492266197942</v>
      </c>
    </row>
    <row r="207" spans="1:49" x14ac:dyDescent="0.35">
      <c r="A207" s="49" t="s">
        <v>160</v>
      </c>
      <c r="B207" s="8">
        <f>(B189+B190)/B205</f>
        <v>0.32991714326888166</v>
      </c>
      <c r="C207" s="8" t="s">
        <v>164</v>
      </c>
      <c r="D207" s="51"/>
      <c r="E207" s="8" t="s">
        <v>205</v>
      </c>
      <c r="F207" s="35">
        <f>F204-F201*(F204-F205)</f>
        <v>11.660473812313615</v>
      </c>
      <c r="G207" s="8" t="s">
        <v>171</v>
      </c>
      <c r="H207" s="8"/>
      <c r="I207" s="8"/>
      <c r="J207" s="51"/>
      <c r="K207" s="49">
        <v>0.85</v>
      </c>
      <c r="L207" s="43">
        <f t="shared" si="0"/>
        <v>16.145806908993059</v>
      </c>
      <c r="M207" s="43">
        <f t="shared" si="8"/>
        <v>91.492905817627317</v>
      </c>
      <c r="N207" s="22">
        <f>$F$196*(1-K207)</f>
        <v>565.16020031338473</v>
      </c>
      <c r="O207" s="35">
        <f t="shared" si="1"/>
        <v>2.1303698958793631</v>
      </c>
      <c r="P207" s="35">
        <f>EXP(N207*($F$189+$F$190))</f>
        <v>1.2916495475154814</v>
      </c>
      <c r="Q207" s="21">
        <f>$F$189*P207+$F$190</f>
        <v>6.1614528773131991E-4</v>
      </c>
      <c r="R207" s="50">
        <f>($F$189*(P207-1))/Q207</f>
        <v>0.26506364712026509</v>
      </c>
      <c r="S207" s="50">
        <f>($F$191*P207)/Q207</f>
        <v>0.9492802076497876</v>
      </c>
      <c r="T207" s="8">
        <f t="shared" si="2"/>
        <v>1.7918387882154065</v>
      </c>
      <c r="U207" s="8">
        <f t="shared" si="3"/>
        <v>0.72029239964679781</v>
      </c>
      <c r="V207" s="8">
        <f t="shared" si="4"/>
        <v>0.38008891276789053</v>
      </c>
      <c r="W207" s="8">
        <f t="shared" si="5"/>
        <v>0.61991108723210941</v>
      </c>
      <c r="X207" s="8">
        <f t="shared" si="6"/>
        <v>0.68105805686812837</v>
      </c>
      <c r="Y207" s="8">
        <f t="shared" si="7"/>
        <v>1.1779510153371682E-4</v>
      </c>
      <c r="Z207" s="35">
        <f>(1/(1-R207*Y207*$H$8))*(X207*$B$15+Y207*($B$9-$H$8*$B$2*R207-$B$184))</f>
        <v>11.762488251459521</v>
      </c>
      <c r="AA207" s="35">
        <f t="shared" si="9"/>
        <v>24.635111255564482</v>
      </c>
      <c r="AB207" s="35">
        <f t="shared" si="10"/>
        <v>76.343200260016062</v>
      </c>
      <c r="AC207" s="8">
        <f>$F$193/(1-K207)</f>
        <v>1.1720758113988974E-3</v>
      </c>
      <c r="AD207" s="21">
        <f>$F$195/(1-K207)</f>
        <v>1.7694098053003271E-3</v>
      </c>
      <c r="AE207" s="35">
        <f t="shared" si="11"/>
        <v>16.108149323301674</v>
      </c>
      <c r="AF207" s="35">
        <f t="shared" si="12"/>
        <v>0.6225385134494541</v>
      </c>
      <c r="AG207" s="35">
        <f t="shared" si="13"/>
        <v>0.6225385134494541</v>
      </c>
      <c r="AH207" s="35">
        <f t="shared" si="14"/>
        <v>12.650860099188236</v>
      </c>
      <c r="AI207" s="35">
        <f t="shared" si="15"/>
        <v>54.771548178538822</v>
      </c>
      <c r="AJ207" s="8">
        <f t="shared" si="16"/>
        <v>3.0648542227068316</v>
      </c>
      <c r="AK207" s="8">
        <f t="shared" si="17"/>
        <v>30.33274571204457</v>
      </c>
      <c r="AL207" s="22">
        <f t="shared" si="18"/>
        <v>70553.966526215663</v>
      </c>
      <c r="AM207" s="22">
        <f t="shared" si="19"/>
        <v>53932.016678847984</v>
      </c>
      <c r="AN207" s="35">
        <f>$B$213*($B$15+$B$214*(AM207-$B$184))</f>
        <v>10.967925847687054</v>
      </c>
      <c r="AO207" s="35">
        <f t="shared" si="20"/>
        <v>11.365799377958075</v>
      </c>
      <c r="AP207" s="43">
        <f t="shared" si="21"/>
        <v>52.458438880324536</v>
      </c>
      <c r="AQ207" s="35">
        <f t="shared" si="22"/>
        <v>32.241561119675467</v>
      </c>
      <c r="AR207" s="35">
        <f t="shared" si="23"/>
        <v>7.4715481785388249</v>
      </c>
      <c r="AS207" s="22">
        <f>AU207* 3412.1416</f>
        <v>129380.32312178642</v>
      </c>
      <c r="AT207" s="22">
        <f>AV207* 3412.1416</f>
        <v>109143.68400780162</v>
      </c>
      <c r="AU207" s="8">
        <f>$B$31*($B$9-AM207)/1000</f>
        <v>37.917630124666111</v>
      </c>
      <c r="AV207" s="45">
        <f>$B$31*$H$8*($B$2-AO207)/1000</f>
        <v>31.986856585260597</v>
      </c>
      <c r="AW207" s="51">
        <f>AV207/AU207</f>
        <v>0.84358796897627208</v>
      </c>
    </row>
    <row r="208" spans="1:49" x14ac:dyDescent="0.35">
      <c r="A208" s="49" t="s">
        <v>161</v>
      </c>
      <c r="B208" s="8">
        <f>(B189*B204-B189)/B205</f>
        <v>0.67008285673111823</v>
      </c>
      <c r="C208" s="8" t="s">
        <v>164</v>
      </c>
      <c r="D208" s="51"/>
      <c r="E208" s="8"/>
      <c r="F208" s="35">
        <f>F207*9/5+32</f>
        <v>52.988852862164507</v>
      </c>
      <c r="G208" s="8" t="s">
        <v>21</v>
      </c>
      <c r="H208" s="8"/>
      <c r="I208" s="8"/>
      <c r="J208" s="51"/>
      <c r="K208" s="49">
        <v>0.9</v>
      </c>
      <c r="L208" s="43">
        <f t="shared" si="0"/>
        <v>10.763871272662035</v>
      </c>
      <c r="M208" s="43">
        <f t="shared" si="8"/>
        <v>96.874841453958354</v>
      </c>
      <c r="N208" s="22">
        <f>$F$196*(1-K208)</f>
        <v>376.77346687558969</v>
      </c>
      <c r="O208" s="35">
        <f t="shared" si="1"/>
        <v>2.2556857721075607</v>
      </c>
      <c r="P208" s="35">
        <f>EXP(N208*($F$189+$F$190))</f>
        <v>1.1860321565722689</v>
      </c>
      <c r="Q208" s="21">
        <f>$F$189*P208+$F$190</f>
        <v>5.5700173230950091E-4</v>
      </c>
      <c r="R208" s="50">
        <f>($F$189*(P208-1))/Q208</f>
        <v>0.18702663862152025</v>
      </c>
      <c r="S208" s="50">
        <f>($F$191*P208)/Q208</f>
        <v>0.96421254903152454</v>
      </c>
      <c r="T208" s="8">
        <f t="shared" si="2"/>
        <v>1.8543805815937953</v>
      </c>
      <c r="U208" s="8">
        <f t="shared" si="3"/>
        <v>0.75555966574521349</v>
      </c>
      <c r="V208" s="8">
        <f t="shared" si="4"/>
        <v>0.36234749877324385</v>
      </c>
      <c r="W208" s="8">
        <f t="shared" si="5"/>
        <v>0.6376525012267561</v>
      </c>
      <c r="X208" s="8">
        <f t="shared" si="6"/>
        <v>0.67193016551418494</v>
      </c>
      <c r="Y208" s="8">
        <f t="shared" si="7"/>
        <v>1.2116631347990452E-4</v>
      </c>
      <c r="Z208" s="35">
        <f>(1/(1-R208*Y208*$H$8))*(X208*$B$15+Y208*($B$9-$H$8*$B$2*R208-$B$184))</f>
        <v>12.028707828054921</v>
      </c>
      <c r="AA208" s="35">
        <f t="shared" si="9"/>
        <v>26.051742205733639</v>
      </c>
      <c r="AB208" s="35">
        <f t="shared" si="10"/>
        <v>78.893135970320543</v>
      </c>
      <c r="AC208" s="8">
        <f>$F$193/(1-K208)</f>
        <v>1.7581137170983466E-3</v>
      </c>
      <c r="AD208" s="21">
        <f>$F$195/(1-K208)</f>
        <v>2.6541147079504916E-3</v>
      </c>
      <c r="AE208" s="35">
        <f t="shared" si="11"/>
        <v>16.762735584849295</v>
      </c>
      <c r="AF208" s="35">
        <f t="shared" si="12"/>
        <v>1.2771247749970751</v>
      </c>
      <c r="AG208" s="35">
        <f t="shared" si="13"/>
        <v>1.2771247749970751</v>
      </c>
      <c r="AH208" s="35">
        <f t="shared" si="14"/>
        <v>12.646008073132428</v>
      </c>
      <c r="AI208" s="35">
        <f t="shared" si="15"/>
        <v>54.762814531638369</v>
      </c>
      <c r="AJ208" s="8">
        <f t="shared" si="16"/>
        <v>3.2451397652189984</v>
      </c>
      <c r="AK208" s="8">
        <f t="shared" si="17"/>
        <v>30.957149546093831</v>
      </c>
      <c r="AL208" s="22">
        <f t="shared" si="18"/>
        <v>72006.329844214255</v>
      </c>
      <c r="AM208" s="22">
        <f t="shared" si="19"/>
        <v>53982.568523163165</v>
      </c>
      <c r="AN208" s="35">
        <f>$B$213*($B$15+$B$214*(AM208-$B$184))</f>
        <v>10.979278088249281</v>
      </c>
      <c r="AO208" s="35">
        <f t="shared" si="20"/>
        <v>11.341206751996332</v>
      </c>
      <c r="AP208" s="43">
        <f t="shared" si="21"/>
        <v>52.414172153593398</v>
      </c>
      <c r="AQ208" s="35">
        <f t="shared" si="22"/>
        <v>32.285827846406605</v>
      </c>
      <c r="AR208" s="35">
        <f t="shared" si="23"/>
        <v>7.4628145316383723</v>
      </c>
      <c r="AS208" s="22">
        <f>AU208* 3412.1416</f>
        <v>129074.43501875346</v>
      </c>
      <c r="AT208" s="22">
        <f>AV208* 3412.1416</f>
        <v>109293.53511508733</v>
      </c>
      <c r="AU208" s="8">
        <f>$B$31*($B$9-AM208)/1000</f>
        <v>37.827983170086924</v>
      </c>
      <c r="AV208" s="45">
        <f>$B$31*$H$8*($B$2-AO208)/1000</f>
        <v>32.030773610065694</v>
      </c>
      <c r="AW208" s="51">
        <f>AV208/AU208</f>
        <v>0.84674811940263672</v>
      </c>
    </row>
    <row r="209" spans="1:49" x14ac:dyDescent="0.35">
      <c r="A209" s="49" t="s">
        <v>162</v>
      </c>
      <c r="B209" s="8">
        <f>(B204*(B189+B190))/B205</f>
        <v>0.65524486851909203</v>
      </c>
      <c r="C209" s="8" t="s">
        <v>164</v>
      </c>
      <c r="D209" s="51"/>
      <c r="E209" s="8" t="s">
        <v>208</v>
      </c>
      <c r="F209" s="35">
        <f>F204-F202*(F204-F205)</f>
        <v>11.871062039652287</v>
      </c>
      <c r="G209" s="8" t="s">
        <v>171</v>
      </c>
      <c r="H209" s="8"/>
      <c r="I209" s="8"/>
      <c r="J209" s="51"/>
      <c r="K209" s="49">
        <v>0.95</v>
      </c>
      <c r="L209" s="43">
        <f t="shared" si="0"/>
        <v>5.3819356363310238</v>
      </c>
      <c r="M209" s="43">
        <f t="shared" si="8"/>
        <v>102.25677709028936</v>
      </c>
      <c r="N209" s="22">
        <f>$F$196*(1-K209)</f>
        <v>188.38673343779507</v>
      </c>
      <c r="O209" s="35">
        <f t="shared" si="1"/>
        <v>2.3810016483357583</v>
      </c>
      <c r="P209" s="35">
        <f>EXP(N209*($F$189+$F$190))</f>
        <v>1.0890510348795732</v>
      </c>
      <c r="Q209" s="21">
        <f>$F$189*P209+$F$190</f>
        <v>5.0269430912399434E-4</v>
      </c>
      <c r="R209" s="50">
        <f>($F$189*(P209-1))/Q209</f>
        <v>9.9198931855031647E-2</v>
      </c>
      <c r="S209" s="50">
        <f>($F$191*P209)/Q209</f>
        <v>0.98101833548390294</v>
      </c>
      <c r="T209" s="8">
        <f t="shared" si="2"/>
        <v>1.9191053146120165</v>
      </c>
      <c r="U209" s="8">
        <f t="shared" si="3"/>
        <v>0.79205788971989244</v>
      </c>
      <c r="V209" s="8">
        <f t="shared" si="4"/>
        <v>0.34565043617398417</v>
      </c>
      <c r="W209" s="8">
        <f t="shared" si="5"/>
        <v>0.65434956382601572</v>
      </c>
      <c r="X209" s="8">
        <f t="shared" si="6"/>
        <v>0.66333958905945467</v>
      </c>
      <c r="Y209" s="8">
        <f t="shared" si="7"/>
        <v>1.2433907845330817E-4</v>
      </c>
      <c r="Z209" s="35">
        <f>(1/(1-R209*Y209*$H$8))*(X209*$B$15+Y209*($B$9-$H$8*$B$2*R209-$B$184))</f>
        <v>12.314341112230945</v>
      </c>
      <c r="AA209" s="35">
        <f t="shared" si="9"/>
        <v>27.595022979965051</v>
      </c>
      <c r="AB209" s="35">
        <f t="shared" si="10"/>
        <v>81.671041363937093</v>
      </c>
      <c r="AC209" s="8">
        <f>$F$193/(1-K209)</f>
        <v>3.5162274341966893E-3</v>
      </c>
      <c r="AD209" s="21">
        <f>$F$195/(1-K209)</f>
        <v>5.308229415900978E-3</v>
      </c>
      <c r="AE209" s="35">
        <f t="shared" si="11"/>
        <v>17.472937330161088</v>
      </c>
      <c r="AF209" s="35">
        <f t="shared" si="12"/>
        <v>1.9873265203088675</v>
      </c>
      <c r="AG209" s="35">
        <f t="shared" si="13"/>
        <v>1.9873265203088675</v>
      </c>
      <c r="AH209" s="35">
        <f t="shared" si="14"/>
        <v>12.636335376056415</v>
      </c>
      <c r="AI209" s="35">
        <f t="shared" si="15"/>
        <v>54.745403676901546</v>
      </c>
      <c r="AJ209" s="8">
        <f t="shared" si="16"/>
        <v>3.4254253077311647</v>
      </c>
      <c r="AK209" s="8">
        <f t="shared" si="17"/>
        <v>31.637376412752044</v>
      </c>
      <c r="AL209" s="22">
        <f t="shared" si="18"/>
        <v>73588.537536061252</v>
      </c>
      <c r="AM209" s="22">
        <f t="shared" si="19"/>
        <v>54057.503384798722</v>
      </c>
      <c r="AN209" s="35">
        <f>$B$213*($B$15+$B$214*(AM209-$B$184))</f>
        <v>10.996105932758379</v>
      </c>
      <c r="AO209" s="35">
        <f t="shared" si="20"/>
        <v>11.325432447867056</v>
      </c>
      <c r="AP209" s="43">
        <f t="shared" si="21"/>
        <v>52.385778406160703</v>
      </c>
      <c r="AQ209" s="35">
        <f t="shared" si="22"/>
        <v>32.314221593839299</v>
      </c>
      <c r="AR209" s="35">
        <f t="shared" si="23"/>
        <v>7.4454036769015488</v>
      </c>
      <c r="AS209" s="22">
        <f>AU209* 3412.1416</f>
        <v>128621.0058118224</v>
      </c>
      <c r="AT209" s="22">
        <f>AV209* 3412.1416</f>
        <v>109389.65323375064</v>
      </c>
      <c r="AU209" s="8">
        <f>$B$31*($B$9-AM209)/1000</f>
        <v>37.695096185874114</v>
      </c>
      <c r="AV209" s="45">
        <f>$B$31*$H$8*($B$2-AO209)/1000</f>
        <v>32.058943050238781</v>
      </c>
      <c r="AW209" s="51">
        <f>AV209/AU209</f>
        <v>0.85048046812658273</v>
      </c>
    </row>
    <row r="210" spans="1:49" ht="15" thickBot="1" x14ac:dyDescent="0.4">
      <c r="A210" s="49" t="s">
        <v>163</v>
      </c>
      <c r="B210" s="8">
        <f>(B190*(1-B204))/(B185*B205)</f>
        <v>1.273287085363758E-4</v>
      </c>
      <c r="C210" s="8" t="s">
        <v>165</v>
      </c>
      <c r="D210" s="51"/>
      <c r="E210" s="8"/>
      <c r="F210" s="35">
        <f>F209*9/5+32</f>
        <v>53.367911671374117</v>
      </c>
      <c r="G210" s="8" t="s">
        <v>21</v>
      </c>
      <c r="H210" s="8"/>
      <c r="I210" s="8"/>
      <c r="J210" s="51"/>
      <c r="K210" s="52">
        <v>1</v>
      </c>
      <c r="L210" s="57">
        <f t="shared" si="0"/>
        <v>0</v>
      </c>
      <c r="M210" s="57">
        <f t="shared" si="8"/>
        <v>107.63871272662038</v>
      </c>
      <c r="N210" s="58">
        <f>$F$196*(1-K210)</f>
        <v>0</v>
      </c>
      <c r="O210" s="59">
        <f t="shared" si="1"/>
        <v>2.5063175245639564</v>
      </c>
      <c r="P210" s="59">
        <f>EXP(N210*($F$189+$F$190))</f>
        <v>1</v>
      </c>
      <c r="Q210" s="60">
        <f>$F$189*P210+$F$190</f>
        <v>4.5282757060929104E-4</v>
      </c>
      <c r="R210" s="61">
        <f>($F$189*(P210-1))/Q210</f>
        <v>0</v>
      </c>
      <c r="S210" s="61">
        <f>($F$191*P210)/Q210</f>
        <v>1</v>
      </c>
      <c r="T210" s="53">
        <f t="shared" si="2"/>
        <v>1.9860891799280316</v>
      </c>
      <c r="U210" s="53">
        <f t="shared" si="3"/>
        <v>0.82983003654829846</v>
      </c>
      <c r="V210" s="53">
        <f t="shared" si="4"/>
        <v>0.32991714326888166</v>
      </c>
      <c r="W210" s="53">
        <f t="shared" si="5"/>
        <v>0.67008285673111823</v>
      </c>
      <c r="X210" s="53">
        <f t="shared" si="6"/>
        <v>0.65524486851909203</v>
      </c>
      <c r="Y210" s="53">
        <f t="shared" si="7"/>
        <v>1.273287085363758E-4</v>
      </c>
      <c r="Z210" s="59">
        <f>(1/(1-R210*Y210*$H$8))*(X210*$B$15+Y210*($B$9-$H$8*$B$2*R210-$B$184))</f>
        <v>12.621816618916274</v>
      </c>
      <c r="AA210" s="59">
        <f t="shared" si="9"/>
        <v>29.277777777777779</v>
      </c>
      <c r="AB210" s="59">
        <f t="shared" si="10"/>
        <v>84.7</v>
      </c>
      <c r="AC210" s="53" t="e">
        <f>$F$193/(1-K210)</f>
        <v>#DIV/0!</v>
      </c>
      <c r="AD210" s="60" t="e">
        <f>$F$195/(1-K210)</f>
        <v>#DIV/0!</v>
      </c>
      <c r="AE210" s="59" t="e">
        <f t="shared" si="11"/>
        <v>#DIV/0!</v>
      </c>
      <c r="AF210" s="59" t="e">
        <f t="shared" si="12"/>
        <v>#DIV/0!</v>
      </c>
      <c r="AG210" s="59" t="e">
        <f t="shared" si="13"/>
        <v>#DIV/0!</v>
      </c>
      <c r="AH210" s="59">
        <f t="shared" si="14"/>
        <v>12.621816618916274</v>
      </c>
      <c r="AI210" s="59">
        <f t="shared" si="15"/>
        <v>54.719269914049292</v>
      </c>
      <c r="AJ210" s="53">
        <f t="shared" si="16"/>
        <v>3.6057108502433315</v>
      </c>
      <c r="AK210" s="53">
        <f t="shared" si="17"/>
        <v>32.37907879289105</v>
      </c>
      <c r="AL210" s="58">
        <f t="shared" si="18"/>
        <v>75313.737272264581</v>
      </c>
      <c r="AM210" s="58">
        <f t="shared" si="19"/>
        <v>54157.068825449525</v>
      </c>
      <c r="AN210" s="59">
        <f>$B$213*($B$15+$B$214*(AM210-$B$184))</f>
        <v>11.018464975227829</v>
      </c>
      <c r="AO210" s="59" t="e">
        <f t="shared" si="20"/>
        <v>#DIV/0!</v>
      </c>
      <c r="AP210" s="57" t="e">
        <f t="shared" si="21"/>
        <v>#DIV/0!</v>
      </c>
      <c r="AQ210" s="59" t="e">
        <f t="shared" si="22"/>
        <v>#DIV/0!</v>
      </c>
      <c r="AR210" s="59">
        <f t="shared" si="23"/>
        <v>7.4192699140492948</v>
      </c>
      <c r="AS210" s="58">
        <f>AU210* 3412.1416</f>
        <v>128018.5375105983</v>
      </c>
      <c r="AT210" s="58" t="e">
        <f>AV210* 3412.1416</f>
        <v>#DIV/0!</v>
      </c>
      <c r="AU210" s="53">
        <f>$B$31*($B$9-AM210)/1000</f>
        <v>37.518530154375277</v>
      </c>
      <c r="AV210" s="62" t="e">
        <f>$B$31*$H$8*($B$2-AO210)/1000</f>
        <v>#DIV/0!</v>
      </c>
      <c r="AW210" s="54" t="e">
        <f>AV210/AU210</f>
        <v>#DIV/0!</v>
      </c>
    </row>
    <row r="211" spans="1:49" x14ac:dyDescent="0.35">
      <c r="A211" s="49"/>
      <c r="B211" s="8"/>
      <c r="C211" s="8"/>
      <c r="D211" s="51"/>
      <c r="E211" s="8"/>
      <c r="F211" s="8"/>
      <c r="G211" s="8"/>
      <c r="H211" s="8"/>
      <c r="I211" s="8"/>
      <c r="J211" s="51"/>
    </row>
    <row r="212" spans="1:49" x14ac:dyDescent="0.35">
      <c r="A212" s="49" t="s">
        <v>175</v>
      </c>
      <c r="B212" s="42">
        <f>B183/(H8*B193/B185+B192)</f>
        <v>1.5512519034886885</v>
      </c>
      <c r="C212" s="8"/>
      <c r="D212" s="51"/>
      <c r="E212" s="8" t="s">
        <v>258</v>
      </c>
      <c r="F212" s="35">
        <f>F204-F207</f>
        <v>17.617303965464163</v>
      </c>
      <c r="G212" s="8" t="s">
        <v>171</v>
      </c>
      <c r="H212" s="8"/>
      <c r="I212" s="8"/>
      <c r="J212" s="51"/>
    </row>
    <row r="213" spans="1:49" x14ac:dyDescent="0.35">
      <c r="A213" s="49" t="s">
        <v>176</v>
      </c>
      <c r="B213" s="8">
        <f>1/(B212+1)</f>
        <v>0.39196443073008913</v>
      </c>
      <c r="C213" s="8"/>
      <c r="D213" s="51"/>
      <c r="E213" s="8"/>
      <c r="F213" s="35">
        <f>F212*9/5</f>
        <v>31.711147137835496</v>
      </c>
      <c r="G213" s="8" t="s">
        <v>21</v>
      </c>
      <c r="H213" s="8"/>
      <c r="I213" s="8"/>
      <c r="J213" s="51"/>
    </row>
    <row r="214" spans="1:49" x14ac:dyDescent="0.35">
      <c r="A214" s="49" t="s">
        <v>177</v>
      </c>
      <c r="B214" s="8">
        <f>B212/B185</f>
        <v>5.7292519660943095E-4</v>
      </c>
      <c r="C214" s="8" t="s">
        <v>165</v>
      </c>
      <c r="D214" s="51"/>
      <c r="E214" s="8"/>
      <c r="F214" s="8"/>
      <c r="G214" s="8"/>
      <c r="H214" s="8"/>
      <c r="I214" s="8"/>
      <c r="J214" s="51"/>
    </row>
    <row r="215" spans="1:49" x14ac:dyDescent="0.35">
      <c r="A215" s="49"/>
      <c r="B215" s="8"/>
      <c r="C215" s="8"/>
      <c r="D215" s="51"/>
      <c r="E215" s="8" t="s">
        <v>261</v>
      </c>
      <c r="F215" s="35">
        <f>F209-B15</f>
        <v>3.3710620396522888</v>
      </c>
      <c r="G215" s="8" t="s">
        <v>171</v>
      </c>
      <c r="H215" s="8"/>
      <c r="I215" s="8"/>
      <c r="J215" s="51"/>
    </row>
    <row r="216" spans="1:49" x14ac:dyDescent="0.35">
      <c r="A216" s="49" t="s">
        <v>178</v>
      </c>
      <c r="B216" s="22">
        <f>B207*B9+B208*B18</f>
        <v>54157.068825449525</v>
      </c>
      <c r="C216" s="8" t="s">
        <v>149</v>
      </c>
      <c r="D216" s="51"/>
      <c r="E216" s="8"/>
      <c r="F216" s="35">
        <f>F215*9/5</f>
        <v>6.0679116713741195</v>
      </c>
      <c r="G216" s="8" t="s">
        <v>21</v>
      </c>
      <c r="H216" s="8"/>
      <c r="I216" s="8"/>
      <c r="J216" s="51"/>
    </row>
    <row r="217" spans="1:49" x14ac:dyDescent="0.35">
      <c r="A217" s="49" t="s">
        <v>180</v>
      </c>
      <c r="B217" s="35">
        <f>B209*B15+B210*(B9-B184)</f>
        <v>12.621816618916274</v>
      </c>
      <c r="C217" s="8" t="s">
        <v>171</v>
      </c>
      <c r="D217" s="51"/>
      <c r="E217" s="8"/>
      <c r="F217" s="8"/>
      <c r="G217" s="8"/>
      <c r="H217" s="8"/>
      <c r="I217" s="8"/>
      <c r="J217" s="51"/>
    </row>
    <row r="218" spans="1:49" x14ac:dyDescent="0.35">
      <c r="A218" s="49"/>
      <c r="B218" s="35">
        <f>B217*9/5+32</f>
        <v>54.719269914049292</v>
      </c>
      <c r="C218" s="8" t="s">
        <v>21</v>
      </c>
      <c r="D218" s="51"/>
      <c r="E218" s="8" t="s">
        <v>291</v>
      </c>
      <c r="F218" s="35">
        <f>B15+F215/2</f>
        <v>10.185531019826144</v>
      </c>
      <c r="G218" s="8" t="s">
        <v>171</v>
      </c>
      <c r="H218" s="8"/>
      <c r="I218" s="8"/>
      <c r="J218" s="51"/>
    </row>
    <row r="219" spans="1:49" x14ac:dyDescent="0.35">
      <c r="A219" s="49"/>
      <c r="B219" s="8"/>
      <c r="C219" s="8"/>
      <c r="D219" s="51"/>
      <c r="E219" s="8"/>
      <c r="F219" s="35">
        <f>F218*9/5+32</f>
        <v>50.333955835687057</v>
      </c>
      <c r="G219" s="8" t="s">
        <v>21</v>
      </c>
      <c r="H219" s="8"/>
      <c r="I219" s="8"/>
      <c r="J219" s="51"/>
    </row>
    <row r="220" spans="1:49" x14ac:dyDescent="0.35">
      <c r="A220" s="49" t="s">
        <v>181</v>
      </c>
      <c r="B220" s="35">
        <f>B213*(B217+B214*(B9-B184))</f>
        <v>17.385145202373167</v>
      </c>
      <c r="C220" s="8" t="s">
        <v>171</v>
      </c>
      <c r="D220" s="51"/>
      <c r="E220" s="8"/>
      <c r="F220" s="8"/>
      <c r="G220" s="8"/>
      <c r="H220" s="8"/>
      <c r="I220" s="8"/>
      <c r="J220" s="51"/>
    </row>
    <row r="221" spans="1:49" x14ac:dyDescent="0.35">
      <c r="A221" s="49"/>
      <c r="B221" s="35">
        <f>B220*9/5+32</f>
        <v>63.2932613642717</v>
      </c>
      <c r="C221" s="8" t="s">
        <v>21</v>
      </c>
      <c r="D221" s="51"/>
      <c r="E221" s="8" t="s">
        <v>304</v>
      </c>
      <c r="F221" s="22">
        <f>500*B20*(F216)</f>
        <v>107136.56544769929</v>
      </c>
      <c r="G221" s="8" t="s">
        <v>16</v>
      </c>
      <c r="H221" s="8"/>
      <c r="I221" s="8"/>
      <c r="J221" s="51"/>
    </row>
    <row r="222" spans="1:49" x14ac:dyDescent="0.35">
      <c r="A222" s="49" t="s">
        <v>182</v>
      </c>
      <c r="B222" s="35">
        <f>B213*(B15+B214*(B216-B184))</f>
        <v>11.018464975227829</v>
      </c>
      <c r="C222" s="8" t="s">
        <v>171</v>
      </c>
      <c r="D222" s="51"/>
      <c r="E222" s="8"/>
      <c r="F222" s="8"/>
      <c r="G222" s="8"/>
      <c r="H222" s="8"/>
      <c r="I222" s="8"/>
      <c r="J222" s="51"/>
    </row>
    <row r="223" spans="1:49" ht="15" thickBot="1" x14ac:dyDescent="0.4">
      <c r="A223" s="49"/>
      <c r="B223" s="35">
        <f>B222*9/5+32</f>
        <v>51.833236955410094</v>
      </c>
      <c r="C223" s="8" t="s">
        <v>21</v>
      </c>
      <c r="D223" s="51"/>
      <c r="E223" s="53"/>
      <c r="F223" s="53"/>
      <c r="G223" s="53"/>
      <c r="H223" s="53"/>
      <c r="I223" s="53"/>
      <c r="J223" s="54"/>
    </row>
    <row r="224" spans="1:49" x14ac:dyDescent="0.35">
      <c r="A224" s="49" t="s">
        <v>144</v>
      </c>
      <c r="B224" s="44">
        <f>(B89*B142*B179)/(H8*B31)</f>
        <v>3.6057108502433315</v>
      </c>
      <c r="C224" s="8"/>
      <c r="D224" s="51"/>
    </row>
    <row r="225" spans="1:4" x14ac:dyDescent="0.35">
      <c r="A225" s="49" t="s">
        <v>229</v>
      </c>
      <c r="B225" s="35">
        <f>B222+(B2-B220)*EXP(-B224)</f>
        <v>11.341565509308291</v>
      </c>
      <c r="C225" s="8" t="s">
        <v>171</v>
      </c>
      <c r="D225" s="51"/>
    </row>
    <row r="226" spans="1:4" x14ac:dyDescent="0.35">
      <c r="A226" s="49"/>
      <c r="B226" s="35">
        <f>B225*9/5+32</f>
        <v>52.414817916754927</v>
      </c>
      <c r="C226" s="8" t="s">
        <v>21</v>
      </c>
      <c r="D226" s="51"/>
    </row>
    <row r="227" spans="1:4" x14ac:dyDescent="0.35">
      <c r="A227" s="49"/>
      <c r="B227" s="35"/>
      <c r="C227" s="8"/>
      <c r="D227" s="51"/>
    </row>
    <row r="228" spans="1:4" x14ac:dyDescent="0.35">
      <c r="A228" s="49" t="s">
        <v>313</v>
      </c>
      <c r="B228" s="35">
        <f>B2-B225</f>
        <v>17.93621226846949</v>
      </c>
      <c r="C228" s="8" t="s">
        <v>171</v>
      </c>
      <c r="D228" s="51"/>
    </row>
    <row r="229" spans="1:4" x14ac:dyDescent="0.35">
      <c r="A229" s="49"/>
      <c r="B229" s="35">
        <f>B228*9/5</f>
        <v>32.285182083245083</v>
      </c>
      <c r="C229" s="8" t="s">
        <v>21</v>
      </c>
      <c r="D229" s="51"/>
    </row>
    <row r="230" spans="1:4" x14ac:dyDescent="0.35">
      <c r="A230" s="49" t="s">
        <v>289</v>
      </c>
      <c r="B230" s="35">
        <f>B217-B15</f>
        <v>4.1218166189162755</v>
      </c>
      <c r="C230" s="8" t="s">
        <v>171</v>
      </c>
      <c r="D230" s="51"/>
    </row>
    <row r="231" spans="1:4" x14ac:dyDescent="0.35">
      <c r="A231" s="49"/>
      <c r="B231" s="35">
        <f>B230*9/5</f>
        <v>7.4192699140492966</v>
      </c>
      <c r="C231" s="8" t="s">
        <v>21</v>
      </c>
      <c r="D231" s="51"/>
    </row>
    <row r="232" spans="1:4" x14ac:dyDescent="0.35">
      <c r="A232" s="49"/>
      <c r="B232" s="8"/>
      <c r="C232" s="8"/>
      <c r="D232" s="51"/>
    </row>
    <row r="233" spans="1:4" x14ac:dyDescent="0.35">
      <c r="A233" s="49"/>
      <c r="B233" s="8"/>
      <c r="C233" s="8"/>
      <c r="D233" s="51"/>
    </row>
    <row r="234" spans="1:4" x14ac:dyDescent="0.35">
      <c r="A234" s="49" t="s">
        <v>227</v>
      </c>
      <c r="B234" s="22">
        <f>B31*(B9-B216)/1000</f>
        <v>37.518530154375277</v>
      </c>
      <c r="C234" s="8" t="s">
        <v>228</v>
      </c>
      <c r="D234" s="51"/>
    </row>
    <row r="235" spans="1:4" x14ac:dyDescent="0.35">
      <c r="A235" s="49"/>
      <c r="B235" s="22">
        <f>B234* 3412.1416</f>
        <v>128018.5375105983</v>
      </c>
      <c r="C235" s="8" t="s">
        <v>16</v>
      </c>
      <c r="D235" s="51"/>
    </row>
    <row r="236" spans="1:4" x14ac:dyDescent="0.35">
      <c r="A236" s="49" t="s">
        <v>226</v>
      </c>
      <c r="B236" s="22">
        <f>B31*H8*(B2-B225)/1000</f>
        <v>32.030132948357071</v>
      </c>
      <c r="C236" s="8" t="s">
        <v>228</v>
      </c>
      <c r="D236" s="51"/>
    </row>
    <row r="237" spans="1:4" x14ac:dyDescent="0.35">
      <c r="A237" s="49"/>
      <c r="B237" s="22">
        <f>B236* 3412.1416</f>
        <v>109291.34908661981</v>
      </c>
      <c r="C237" s="8" t="s">
        <v>16</v>
      </c>
      <c r="D237" s="51"/>
    </row>
    <row r="238" spans="1:4" x14ac:dyDescent="0.35">
      <c r="A238" s="49"/>
      <c r="B238" s="8"/>
      <c r="C238" s="8"/>
      <c r="D238" s="51"/>
    </row>
    <row r="239" spans="1:4" x14ac:dyDescent="0.35">
      <c r="A239" s="49"/>
      <c r="B239" s="8"/>
      <c r="C239" s="8"/>
      <c r="D239" s="51"/>
    </row>
    <row r="240" spans="1:4" x14ac:dyDescent="0.35">
      <c r="A240" s="49" t="s">
        <v>185</v>
      </c>
      <c r="B240" s="8" t="str">
        <f>IF(B11&gt;B220,"YES","NO")</f>
        <v>NO</v>
      </c>
      <c r="C240" s="8"/>
      <c r="D240" s="51"/>
    </row>
    <row r="241" spans="1:4" x14ac:dyDescent="0.35">
      <c r="A241" s="49"/>
      <c r="B241" s="8"/>
      <c r="C241" s="8"/>
      <c r="D241" s="51"/>
    </row>
    <row r="242" spans="1:4" ht="15" thickBot="1" x14ac:dyDescent="0.4">
      <c r="A242" s="52" t="s">
        <v>186</v>
      </c>
      <c r="B242" s="53" t="str">
        <f>IF(B222&gt;B11,"YES","NO")</f>
        <v>NO</v>
      </c>
      <c r="C242" s="53"/>
      <c r="D242" s="5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60B3-5E81-4AC6-AE6F-56EB5A11ECE0}">
  <dimension ref="A1:U33"/>
  <sheetViews>
    <sheetView workbookViewId="0">
      <selection activeCell="J35" sqref="J35"/>
    </sheetView>
    <sheetView tabSelected="1" zoomScale="85" zoomScaleNormal="85" workbookViewId="1"/>
  </sheetViews>
  <sheetFormatPr defaultRowHeight="14.5" x14ac:dyDescent="0.35"/>
  <cols>
    <col min="2" max="2" width="19.54296875" bestFit="1" customWidth="1"/>
    <col min="17" max="17" width="8.7265625" style="1"/>
  </cols>
  <sheetData>
    <row r="1" spans="1:17" x14ac:dyDescent="0.35">
      <c r="A1" t="s">
        <v>238</v>
      </c>
    </row>
    <row r="3" spans="1:17" x14ac:dyDescent="0.35">
      <c r="A3" t="s">
        <v>239</v>
      </c>
      <c r="B3" t="s">
        <v>240</v>
      </c>
      <c r="F3" t="s">
        <v>249</v>
      </c>
      <c r="H3" t="s">
        <v>250</v>
      </c>
      <c r="J3" t="s">
        <v>251</v>
      </c>
      <c r="L3" t="s">
        <v>252</v>
      </c>
    </row>
    <row r="4" spans="1:17" x14ac:dyDescent="0.35">
      <c r="A4" t="s">
        <v>241</v>
      </c>
      <c r="B4" t="s">
        <v>242</v>
      </c>
      <c r="C4" t="s">
        <v>243</v>
      </c>
      <c r="D4" t="s">
        <v>244</v>
      </c>
      <c r="E4" t="s">
        <v>245</v>
      </c>
      <c r="F4" t="s">
        <v>246</v>
      </c>
      <c r="G4" t="s">
        <v>247</v>
      </c>
      <c r="H4" t="s">
        <v>246</v>
      </c>
      <c r="I4" t="s">
        <v>247</v>
      </c>
      <c r="J4" t="s">
        <v>246</v>
      </c>
      <c r="K4" t="s">
        <v>247</v>
      </c>
      <c r="L4" t="s">
        <v>246</v>
      </c>
      <c r="M4" t="s">
        <v>247</v>
      </c>
      <c r="N4" t="s">
        <v>248</v>
      </c>
      <c r="P4" t="s">
        <v>133</v>
      </c>
      <c r="Q4" s="1" t="s">
        <v>3</v>
      </c>
    </row>
    <row r="5" spans="1:17" x14ac:dyDescent="0.35">
      <c r="A5">
        <v>1</v>
      </c>
      <c r="B5">
        <v>312</v>
      </c>
      <c r="C5">
        <v>96.1</v>
      </c>
      <c r="D5">
        <v>66.900000000000006</v>
      </c>
      <c r="E5">
        <v>47.1</v>
      </c>
      <c r="F5">
        <v>40.6</v>
      </c>
      <c r="G5">
        <v>39.799999999999997</v>
      </c>
      <c r="H5">
        <v>2.8</v>
      </c>
      <c r="I5">
        <v>2.8</v>
      </c>
      <c r="J5">
        <v>52.9</v>
      </c>
      <c r="K5">
        <v>51.8</v>
      </c>
      <c r="L5">
        <v>52.9</v>
      </c>
      <c r="M5">
        <v>51.8</v>
      </c>
      <c r="N5" t="s">
        <v>109</v>
      </c>
      <c r="P5">
        <f>J5/500/H5*1000</f>
        <v>37.785714285714285</v>
      </c>
      <c r="Q5" s="1">
        <f>B5*4</f>
        <v>1248</v>
      </c>
    </row>
    <row r="6" spans="1:17" x14ac:dyDescent="0.35">
      <c r="A6">
        <v>2</v>
      </c>
      <c r="B6">
        <v>177</v>
      </c>
      <c r="C6">
        <v>81.2</v>
      </c>
      <c r="D6">
        <v>60.9</v>
      </c>
      <c r="E6">
        <v>47.2</v>
      </c>
      <c r="F6">
        <v>30.4</v>
      </c>
      <c r="G6">
        <v>29.6</v>
      </c>
      <c r="H6">
        <v>2.2000000000000002</v>
      </c>
      <c r="I6">
        <v>2.2000000000000002</v>
      </c>
      <c r="J6">
        <v>23.2</v>
      </c>
      <c r="K6">
        <v>22.6</v>
      </c>
      <c r="L6">
        <v>23.2</v>
      </c>
      <c r="M6">
        <v>22.6</v>
      </c>
      <c r="N6" t="s">
        <v>109</v>
      </c>
      <c r="P6">
        <f t="shared" ref="P6:P16" si="0">J6/500/H6*1000</f>
        <v>21.090909090909086</v>
      </c>
      <c r="Q6" s="1">
        <f t="shared" ref="Q6:Q16" si="1">B6*4</f>
        <v>708</v>
      </c>
    </row>
    <row r="7" spans="1:17" x14ac:dyDescent="0.35">
      <c r="A7">
        <v>3</v>
      </c>
      <c r="B7">
        <v>482</v>
      </c>
      <c r="C7">
        <v>77.599999999999994</v>
      </c>
      <c r="D7">
        <v>60.2</v>
      </c>
      <c r="E7">
        <v>47.2</v>
      </c>
      <c r="F7">
        <v>22.1</v>
      </c>
      <c r="G7">
        <v>21.7</v>
      </c>
      <c r="H7">
        <v>2.4</v>
      </c>
      <c r="I7">
        <v>2.4</v>
      </c>
      <c r="J7">
        <v>46</v>
      </c>
      <c r="K7">
        <v>45.1</v>
      </c>
      <c r="L7">
        <v>46</v>
      </c>
      <c r="M7">
        <v>45.1</v>
      </c>
      <c r="N7" t="s">
        <v>109</v>
      </c>
      <c r="P7">
        <f t="shared" si="0"/>
        <v>38.333333333333336</v>
      </c>
      <c r="Q7" s="1">
        <f t="shared" si="1"/>
        <v>1928</v>
      </c>
    </row>
    <row r="8" spans="1:17" x14ac:dyDescent="0.35">
      <c r="A8">
        <v>4</v>
      </c>
      <c r="B8">
        <v>605</v>
      </c>
      <c r="C8">
        <v>71.5</v>
      </c>
      <c r="D8">
        <v>57.6</v>
      </c>
      <c r="E8">
        <v>47.2</v>
      </c>
      <c r="F8">
        <v>16.3</v>
      </c>
      <c r="G8">
        <v>15.9</v>
      </c>
      <c r="H8">
        <v>2.2000000000000002</v>
      </c>
      <c r="I8">
        <v>2.2000000000000002</v>
      </c>
      <c r="J8">
        <v>43</v>
      </c>
      <c r="K8">
        <v>42.1</v>
      </c>
      <c r="L8">
        <v>43</v>
      </c>
      <c r="M8">
        <v>42.1</v>
      </c>
      <c r="N8" t="s">
        <v>109</v>
      </c>
      <c r="P8">
        <f t="shared" si="0"/>
        <v>39.090909090909086</v>
      </c>
      <c r="Q8" s="1">
        <f t="shared" si="1"/>
        <v>2420</v>
      </c>
    </row>
    <row r="9" spans="1:17" x14ac:dyDescent="0.35">
      <c r="A9">
        <v>5</v>
      </c>
      <c r="B9">
        <v>367</v>
      </c>
      <c r="C9">
        <v>95.9</v>
      </c>
      <c r="D9">
        <v>77.900000000000006</v>
      </c>
      <c r="E9">
        <v>47.3</v>
      </c>
      <c r="F9">
        <v>31</v>
      </c>
      <c r="G9">
        <v>30.5</v>
      </c>
      <c r="H9">
        <v>7.7</v>
      </c>
      <c r="I9">
        <v>7.8</v>
      </c>
      <c r="J9">
        <v>78.7</v>
      </c>
      <c r="K9">
        <v>79</v>
      </c>
      <c r="L9">
        <v>48.1</v>
      </c>
      <c r="M9">
        <v>46.8</v>
      </c>
      <c r="N9" t="s">
        <v>111</v>
      </c>
      <c r="P9">
        <f t="shared" si="0"/>
        <v>20.441558441558442</v>
      </c>
      <c r="Q9" s="1">
        <f t="shared" si="1"/>
        <v>1468</v>
      </c>
    </row>
    <row r="10" spans="1:17" x14ac:dyDescent="0.35">
      <c r="A10">
        <v>6</v>
      </c>
      <c r="B10">
        <v>544</v>
      </c>
      <c r="C10">
        <v>85.9</v>
      </c>
      <c r="D10">
        <v>73.599999999999994</v>
      </c>
      <c r="E10">
        <v>47.2</v>
      </c>
      <c r="F10">
        <v>20.399999999999999</v>
      </c>
      <c r="G10">
        <v>20</v>
      </c>
      <c r="H10">
        <v>7.4</v>
      </c>
      <c r="I10">
        <v>7.5</v>
      </c>
      <c r="J10">
        <v>77.7</v>
      </c>
      <c r="K10">
        <v>77.3</v>
      </c>
      <c r="L10">
        <v>47.5</v>
      </c>
      <c r="M10">
        <v>46.2</v>
      </c>
      <c r="N10" t="s">
        <v>111</v>
      </c>
      <c r="P10">
        <f t="shared" si="0"/>
        <v>21</v>
      </c>
      <c r="Q10" s="1">
        <f t="shared" si="1"/>
        <v>2176</v>
      </c>
    </row>
    <row r="11" spans="1:17" x14ac:dyDescent="0.35">
      <c r="A11">
        <v>7</v>
      </c>
      <c r="B11">
        <v>667</v>
      </c>
      <c r="C11">
        <v>76.599999999999994</v>
      </c>
      <c r="D11">
        <v>69</v>
      </c>
      <c r="E11">
        <v>47.2</v>
      </c>
      <c r="F11">
        <v>13.1</v>
      </c>
      <c r="G11">
        <v>13.6</v>
      </c>
      <c r="H11">
        <v>6.6</v>
      </c>
      <c r="I11">
        <v>6.5</v>
      </c>
      <c r="J11">
        <v>68.099999999999994</v>
      </c>
      <c r="K11">
        <v>67.3</v>
      </c>
      <c r="L11">
        <v>38</v>
      </c>
      <c r="M11">
        <v>39.200000000000003</v>
      </c>
      <c r="N11" t="s">
        <v>111</v>
      </c>
      <c r="P11">
        <f t="shared" si="0"/>
        <v>20.636363636363637</v>
      </c>
      <c r="Q11" s="1">
        <f t="shared" si="1"/>
        <v>2668</v>
      </c>
    </row>
    <row r="12" spans="1:17" x14ac:dyDescent="0.35">
      <c r="A12">
        <v>8</v>
      </c>
      <c r="B12">
        <v>818</v>
      </c>
      <c r="C12">
        <v>88.2</v>
      </c>
      <c r="D12">
        <v>75</v>
      </c>
      <c r="E12">
        <v>47.2</v>
      </c>
      <c r="F12">
        <v>18.3</v>
      </c>
      <c r="G12">
        <v>17.8</v>
      </c>
      <c r="H12">
        <v>9</v>
      </c>
      <c r="I12">
        <v>9.1</v>
      </c>
      <c r="J12">
        <v>93.6</v>
      </c>
      <c r="K12">
        <v>94.1</v>
      </c>
      <c r="L12">
        <v>64.3</v>
      </c>
      <c r="M12">
        <v>61.7</v>
      </c>
      <c r="N12" t="s">
        <v>111</v>
      </c>
      <c r="P12">
        <f t="shared" si="0"/>
        <v>20.8</v>
      </c>
      <c r="Q12" s="1">
        <f t="shared" si="1"/>
        <v>3272</v>
      </c>
    </row>
    <row r="13" spans="1:17" x14ac:dyDescent="0.35">
      <c r="A13">
        <v>9</v>
      </c>
      <c r="B13">
        <v>857</v>
      </c>
      <c r="C13">
        <v>96.9</v>
      </c>
      <c r="D13">
        <v>79.7</v>
      </c>
      <c r="E13">
        <v>47.2</v>
      </c>
      <c r="F13">
        <v>23.2</v>
      </c>
      <c r="G13">
        <v>21</v>
      </c>
      <c r="H13">
        <v>10.9</v>
      </c>
      <c r="I13">
        <v>11.1</v>
      </c>
      <c r="J13">
        <v>114.3</v>
      </c>
      <c r="K13">
        <v>115.3</v>
      </c>
      <c r="L13">
        <v>84.2</v>
      </c>
      <c r="M13">
        <v>75.099999999999994</v>
      </c>
      <c r="N13" t="s">
        <v>253</v>
      </c>
      <c r="P13">
        <f t="shared" si="0"/>
        <v>20.972477064220183</v>
      </c>
      <c r="Q13" s="1">
        <f t="shared" si="1"/>
        <v>3428</v>
      </c>
    </row>
    <row r="14" spans="1:17" x14ac:dyDescent="0.35">
      <c r="A14">
        <v>10</v>
      </c>
      <c r="B14">
        <v>736</v>
      </c>
      <c r="C14">
        <v>74</v>
      </c>
      <c r="D14">
        <v>67.5</v>
      </c>
      <c r="E14">
        <v>47.2</v>
      </c>
      <c r="F14">
        <v>11</v>
      </c>
      <c r="G14">
        <v>11.6</v>
      </c>
      <c r="H14">
        <v>6.4</v>
      </c>
      <c r="I14">
        <v>6.3</v>
      </c>
      <c r="J14">
        <v>62.9</v>
      </c>
      <c r="K14">
        <v>62.4</v>
      </c>
      <c r="L14">
        <v>35.1</v>
      </c>
      <c r="M14">
        <v>36.9</v>
      </c>
      <c r="N14" t="s">
        <v>111</v>
      </c>
      <c r="P14">
        <f t="shared" si="0"/>
        <v>19.656249999999996</v>
      </c>
      <c r="Q14" s="1">
        <f t="shared" si="1"/>
        <v>2944</v>
      </c>
    </row>
    <row r="15" spans="1:17" x14ac:dyDescent="0.35">
      <c r="A15">
        <v>11</v>
      </c>
      <c r="B15">
        <v>603</v>
      </c>
      <c r="C15">
        <v>86.8</v>
      </c>
      <c r="D15">
        <v>74.400000000000006</v>
      </c>
      <c r="E15">
        <v>47.3</v>
      </c>
      <c r="F15">
        <v>19.8</v>
      </c>
      <c r="G15">
        <v>19.2</v>
      </c>
      <c r="H15">
        <v>7.9</v>
      </c>
      <c r="I15">
        <v>8</v>
      </c>
      <c r="J15">
        <v>82.4</v>
      </c>
      <c r="K15">
        <v>82.8</v>
      </c>
      <c r="L15">
        <v>51.3</v>
      </c>
      <c r="M15">
        <v>49.2</v>
      </c>
      <c r="N15" t="s">
        <v>111</v>
      </c>
      <c r="P15">
        <f t="shared" si="0"/>
        <v>20.860759493670884</v>
      </c>
      <c r="Q15" s="1">
        <f t="shared" si="1"/>
        <v>2412</v>
      </c>
    </row>
    <row r="16" spans="1:17" x14ac:dyDescent="0.35">
      <c r="A16">
        <v>12</v>
      </c>
      <c r="B16">
        <v>584</v>
      </c>
      <c r="C16">
        <v>75.400000000000006</v>
      </c>
      <c r="D16">
        <v>68.900000000000006</v>
      </c>
      <c r="E16">
        <v>47.2</v>
      </c>
      <c r="F16">
        <v>13.1</v>
      </c>
      <c r="G16">
        <v>13.4</v>
      </c>
      <c r="H16">
        <v>6.3</v>
      </c>
      <c r="I16">
        <v>6.3</v>
      </c>
      <c r="J16">
        <v>63</v>
      </c>
      <c r="K16">
        <v>63.1</v>
      </c>
      <c r="L16">
        <v>33.299999999999997</v>
      </c>
      <c r="M16">
        <v>33.9</v>
      </c>
      <c r="N16" t="s">
        <v>111</v>
      </c>
      <c r="P16">
        <f t="shared" si="0"/>
        <v>20</v>
      </c>
      <c r="Q16" s="1">
        <f t="shared" si="1"/>
        <v>2336</v>
      </c>
    </row>
    <row r="20" spans="1:21" x14ac:dyDescent="0.35">
      <c r="A20" t="s">
        <v>254</v>
      </c>
      <c r="B20" t="s">
        <v>255</v>
      </c>
      <c r="F20" t="s">
        <v>249</v>
      </c>
      <c r="H20" t="s">
        <v>250</v>
      </c>
      <c r="J20" t="s">
        <v>251</v>
      </c>
      <c r="L20" t="s">
        <v>252</v>
      </c>
      <c r="R20" t="s">
        <v>249</v>
      </c>
      <c r="S20" t="s">
        <v>250</v>
      </c>
      <c r="T20" t="s">
        <v>251</v>
      </c>
      <c r="U20" t="s">
        <v>252</v>
      </c>
    </row>
    <row r="21" spans="1:21" x14ac:dyDescent="0.35">
      <c r="A21" t="s">
        <v>241</v>
      </c>
      <c r="B21" t="s">
        <v>242</v>
      </c>
      <c r="C21" t="s">
        <v>243</v>
      </c>
      <c r="D21" t="s">
        <v>244</v>
      </c>
      <c r="E21" t="s">
        <v>245</v>
      </c>
      <c r="F21" t="s">
        <v>246</v>
      </c>
      <c r="G21" t="s">
        <v>247</v>
      </c>
      <c r="H21" t="s">
        <v>246</v>
      </c>
      <c r="I21" t="s">
        <v>247</v>
      </c>
      <c r="J21" t="s">
        <v>246</v>
      </c>
      <c r="K21" t="s">
        <v>247</v>
      </c>
      <c r="L21" t="s">
        <v>246</v>
      </c>
      <c r="M21" t="s">
        <v>247</v>
      </c>
      <c r="N21" t="s">
        <v>248</v>
      </c>
      <c r="P21" t="s">
        <v>133</v>
      </c>
      <c r="Q21" s="1" t="s">
        <v>3</v>
      </c>
    </row>
    <row r="22" spans="1:21" x14ac:dyDescent="0.35">
      <c r="A22">
        <v>1</v>
      </c>
      <c r="B22">
        <v>310</v>
      </c>
      <c r="C22">
        <v>77.5</v>
      </c>
      <c r="D22">
        <v>60.6</v>
      </c>
      <c r="E22">
        <v>47</v>
      </c>
      <c r="F22">
        <v>28.3</v>
      </c>
      <c r="G22">
        <v>28.3</v>
      </c>
      <c r="H22">
        <v>2.2000000000000002</v>
      </c>
      <c r="I22">
        <v>2.2000000000000002</v>
      </c>
      <c r="J22">
        <v>39.5</v>
      </c>
      <c r="K22">
        <v>39.4</v>
      </c>
      <c r="L22">
        <v>39.5</v>
      </c>
      <c r="M22">
        <v>39.4</v>
      </c>
      <c r="N22" t="s">
        <v>109</v>
      </c>
      <c r="P22">
        <f>J22/500/H22*1000</f>
        <v>35.909090909090907</v>
      </c>
      <c r="Q22" s="1">
        <f>B22*4</f>
        <v>1240</v>
      </c>
      <c r="R22">
        <v>29.73515135556913</v>
      </c>
      <c r="S22">
        <v>2.3865232932254443</v>
      </c>
      <c r="T22">
        <v>41320.326131959802</v>
      </c>
      <c r="U22">
        <v>38830.002894129524</v>
      </c>
    </row>
    <row r="23" spans="1:21" x14ac:dyDescent="0.35">
      <c r="A23">
        <v>2</v>
      </c>
      <c r="B23">
        <v>475</v>
      </c>
      <c r="C23">
        <v>77.2</v>
      </c>
      <c r="D23">
        <v>60.3</v>
      </c>
      <c r="E23">
        <v>46.9</v>
      </c>
      <c r="F23">
        <v>27.5</v>
      </c>
      <c r="G23">
        <v>27.6</v>
      </c>
      <c r="H23">
        <v>3.2</v>
      </c>
      <c r="I23">
        <v>3.2</v>
      </c>
      <c r="J23">
        <v>56.5</v>
      </c>
      <c r="K23">
        <v>56.5</v>
      </c>
      <c r="L23">
        <v>56.5</v>
      </c>
      <c r="M23">
        <v>56.5</v>
      </c>
      <c r="N23" t="s">
        <v>109</v>
      </c>
      <c r="P23">
        <f t="shared" ref="P23:P33" si="2">J23/500/H23*1000</f>
        <v>35.3125</v>
      </c>
      <c r="Q23" s="1">
        <f t="shared" ref="Q23:Q33" si="3">B23*4</f>
        <v>1900</v>
      </c>
      <c r="R23">
        <v>28.567003782096009</v>
      </c>
      <c r="S23">
        <v>3.3697385462432834</v>
      </c>
      <c r="T23">
        <v>58267.588065244046</v>
      </c>
      <c r="U23">
        <v>57203.102556286707</v>
      </c>
    </row>
    <row r="24" spans="1:21" x14ac:dyDescent="0.35">
      <c r="A24">
        <v>3</v>
      </c>
      <c r="B24">
        <v>618</v>
      </c>
      <c r="C24">
        <v>82.4</v>
      </c>
      <c r="D24">
        <v>61.7</v>
      </c>
      <c r="E24">
        <v>46.7</v>
      </c>
      <c r="F24">
        <v>29.7</v>
      </c>
      <c r="G24">
        <v>29.9</v>
      </c>
      <c r="H24">
        <v>5.3</v>
      </c>
      <c r="I24">
        <v>5.0999999999999996</v>
      </c>
      <c r="J24">
        <v>82.9</v>
      </c>
      <c r="K24">
        <v>83.5</v>
      </c>
      <c r="L24">
        <v>82.9</v>
      </c>
      <c r="M24">
        <v>83.5</v>
      </c>
      <c r="N24" t="s">
        <v>109</v>
      </c>
      <c r="P24">
        <f t="shared" si="2"/>
        <v>31.283018867924525</v>
      </c>
      <c r="Q24" s="1">
        <f t="shared" si="3"/>
        <v>2472</v>
      </c>
    </row>
    <row r="25" spans="1:21" x14ac:dyDescent="0.35">
      <c r="A25">
        <v>4</v>
      </c>
      <c r="B25">
        <v>381</v>
      </c>
      <c r="C25">
        <v>93.6</v>
      </c>
      <c r="D25">
        <v>66.099999999999994</v>
      </c>
      <c r="E25">
        <v>46.7</v>
      </c>
      <c r="F25">
        <v>42.9</v>
      </c>
      <c r="G25">
        <v>42.4</v>
      </c>
      <c r="H25">
        <v>4.8</v>
      </c>
      <c r="I25">
        <v>4.5</v>
      </c>
      <c r="J25">
        <v>74.099999999999994</v>
      </c>
      <c r="K25">
        <v>70.2</v>
      </c>
      <c r="L25">
        <v>74.099999999999994</v>
      </c>
      <c r="M25">
        <v>70.2</v>
      </c>
      <c r="N25" t="s">
        <v>109</v>
      </c>
      <c r="P25">
        <f t="shared" si="2"/>
        <v>30.875</v>
      </c>
      <c r="Q25" s="1">
        <f t="shared" si="3"/>
        <v>1524</v>
      </c>
    </row>
    <row r="26" spans="1:21" x14ac:dyDescent="0.35">
      <c r="A26">
        <v>5</v>
      </c>
      <c r="B26">
        <v>250</v>
      </c>
      <c r="C26">
        <v>97.7</v>
      </c>
      <c r="D26">
        <v>75.900000000000006</v>
      </c>
      <c r="E26">
        <v>47.3</v>
      </c>
      <c r="F26">
        <v>47.2</v>
      </c>
      <c r="G26">
        <v>47.8</v>
      </c>
      <c r="H26">
        <v>4.5999999999999996</v>
      </c>
      <c r="I26">
        <v>4.7</v>
      </c>
      <c r="J26">
        <v>84.3</v>
      </c>
      <c r="K26">
        <v>85.4</v>
      </c>
      <c r="L26">
        <v>50.3</v>
      </c>
      <c r="M26">
        <v>50.9</v>
      </c>
      <c r="N26" t="s">
        <v>111</v>
      </c>
      <c r="P26">
        <f t="shared" si="2"/>
        <v>36.652173913043484</v>
      </c>
      <c r="Q26" s="1">
        <f t="shared" si="3"/>
        <v>1000</v>
      </c>
    </row>
    <row r="27" spans="1:21" x14ac:dyDescent="0.35">
      <c r="A27">
        <v>6</v>
      </c>
      <c r="B27">
        <v>286</v>
      </c>
      <c r="C27">
        <v>93.1</v>
      </c>
      <c r="D27">
        <v>77.400000000000006</v>
      </c>
      <c r="E27">
        <v>46.8</v>
      </c>
      <c r="F27">
        <v>41.1</v>
      </c>
      <c r="G27">
        <v>41.4</v>
      </c>
      <c r="H27">
        <v>6.6</v>
      </c>
      <c r="I27">
        <v>6.5</v>
      </c>
      <c r="J27">
        <v>102.5</v>
      </c>
      <c r="K27">
        <v>100.9</v>
      </c>
      <c r="L27">
        <v>50.8</v>
      </c>
      <c r="M27">
        <v>51.1</v>
      </c>
      <c r="N27" t="s">
        <v>111</v>
      </c>
      <c r="P27">
        <f t="shared" si="2"/>
        <v>31.060606060606059</v>
      </c>
      <c r="Q27" s="1">
        <f t="shared" si="3"/>
        <v>1144</v>
      </c>
    </row>
    <row r="28" spans="1:21" x14ac:dyDescent="0.35">
      <c r="A28">
        <v>7</v>
      </c>
      <c r="B28">
        <v>470</v>
      </c>
      <c r="C28">
        <v>78.7</v>
      </c>
      <c r="D28">
        <v>69.5</v>
      </c>
      <c r="E28">
        <v>46.8</v>
      </c>
      <c r="F28">
        <v>24.3</v>
      </c>
      <c r="G28">
        <v>24</v>
      </c>
      <c r="H28">
        <v>6.4</v>
      </c>
      <c r="I28">
        <v>6.2</v>
      </c>
      <c r="J28">
        <v>100.3</v>
      </c>
      <c r="K28">
        <v>97.2</v>
      </c>
      <c r="L28">
        <v>52.1</v>
      </c>
      <c r="M28">
        <v>51.6</v>
      </c>
      <c r="N28" t="s">
        <v>111</v>
      </c>
      <c r="P28">
        <f t="shared" si="2"/>
        <v>31.343749999999996</v>
      </c>
      <c r="Q28" s="1">
        <f t="shared" si="3"/>
        <v>1880</v>
      </c>
    </row>
    <row r="29" spans="1:21" x14ac:dyDescent="0.35">
      <c r="A29">
        <v>8</v>
      </c>
      <c r="B29">
        <v>285</v>
      </c>
      <c r="C29">
        <v>86.6</v>
      </c>
      <c r="D29">
        <v>71</v>
      </c>
      <c r="E29">
        <v>47.2</v>
      </c>
      <c r="F29">
        <v>36.299999999999997</v>
      </c>
      <c r="G29">
        <v>36.799999999999997</v>
      </c>
      <c r="H29">
        <v>4.2</v>
      </c>
      <c r="I29">
        <v>4.2</v>
      </c>
      <c r="J29">
        <v>75</v>
      </c>
      <c r="K29">
        <v>74.599999999999994</v>
      </c>
      <c r="L29">
        <v>44</v>
      </c>
      <c r="M29">
        <v>44.6</v>
      </c>
      <c r="N29" t="s">
        <v>111</v>
      </c>
      <c r="P29">
        <f t="shared" si="2"/>
        <v>35.714285714285715</v>
      </c>
      <c r="Q29" s="1">
        <f t="shared" si="3"/>
        <v>1140</v>
      </c>
    </row>
    <row r="30" spans="1:21" x14ac:dyDescent="0.35">
      <c r="A30">
        <v>9</v>
      </c>
      <c r="B30">
        <v>445</v>
      </c>
      <c r="C30">
        <v>99</v>
      </c>
      <c r="D30">
        <v>73.400000000000006</v>
      </c>
      <c r="E30">
        <v>47.2</v>
      </c>
      <c r="F30">
        <v>45</v>
      </c>
      <c r="G30">
        <v>45.4</v>
      </c>
      <c r="H30">
        <v>6.3</v>
      </c>
      <c r="I30">
        <v>6.4</v>
      </c>
      <c r="J30">
        <v>115.3</v>
      </c>
      <c r="K30">
        <v>117.4</v>
      </c>
      <c r="L30">
        <v>83</v>
      </c>
      <c r="M30">
        <v>84.3</v>
      </c>
      <c r="N30" t="s">
        <v>256</v>
      </c>
      <c r="P30">
        <f t="shared" si="2"/>
        <v>36.603174603174601</v>
      </c>
      <c r="Q30" s="1">
        <f t="shared" si="3"/>
        <v>1780</v>
      </c>
    </row>
    <row r="31" spans="1:21" x14ac:dyDescent="0.35">
      <c r="A31">
        <v>10</v>
      </c>
      <c r="B31">
        <v>590</v>
      </c>
      <c r="C31">
        <v>84.4</v>
      </c>
      <c r="D31">
        <v>68</v>
      </c>
      <c r="E31">
        <v>47.6</v>
      </c>
      <c r="F31">
        <v>29.5</v>
      </c>
      <c r="G31">
        <v>30.3</v>
      </c>
      <c r="H31">
        <v>5.9</v>
      </c>
      <c r="I31">
        <v>5.9</v>
      </c>
      <c r="J31">
        <v>106.4</v>
      </c>
      <c r="K31">
        <v>106.2</v>
      </c>
      <c r="L31">
        <v>75</v>
      </c>
      <c r="M31">
        <v>76.2</v>
      </c>
      <c r="N31" t="s">
        <v>256</v>
      </c>
      <c r="P31">
        <f t="shared" si="2"/>
        <v>36.067796610169488</v>
      </c>
      <c r="Q31" s="1">
        <f t="shared" si="3"/>
        <v>2360</v>
      </c>
    </row>
    <row r="32" spans="1:21" x14ac:dyDescent="0.35">
      <c r="A32">
        <v>11</v>
      </c>
      <c r="B32">
        <v>675</v>
      </c>
      <c r="C32">
        <v>70.099999999999994</v>
      </c>
      <c r="D32">
        <v>62.3</v>
      </c>
      <c r="E32">
        <v>47.2</v>
      </c>
      <c r="F32">
        <v>16.899999999999999</v>
      </c>
      <c r="G32">
        <v>17.899999999999999</v>
      </c>
      <c r="H32">
        <v>4.5</v>
      </c>
      <c r="I32">
        <v>4.5</v>
      </c>
      <c r="J32">
        <v>79.8</v>
      </c>
      <c r="K32">
        <v>80.099999999999994</v>
      </c>
      <c r="L32">
        <v>50</v>
      </c>
      <c r="M32">
        <v>52.7</v>
      </c>
      <c r="N32" t="s">
        <v>256</v>
      </c>
      <c r="P32">
        <f t="shared" si="2"/>
        <v>35.466666666666669</v>
      </c>
      <c r="Q32" s="1">
        <f t="shared" si="3"/>
        <v>2700</v>
      </c>
    </row>
    <row r="33" spans="1:21" x14ac:dyDescent="0.35">
      <c r="A33">
        <v>12</v>
      </c>
      <c r="B33">
        <v>819</v>
      </c>
      <c r="C33">
        <v>84.7</v>
      </c>
      <c r="D33">
        <v>68.2</v>
      </c>
      <c r="E33">
        <v>47.3</v>
      </c>
      <c r="F33">
        <v>27.5</v>
      </c>
      <c r="G33">
        <v>27.5</v>
      </c>
      <c r="H33">
        <v>7.1</v>
      </c>
      <c r="I33">
        <v>7.3</v>
      </c>
      <c r="J33">
        <v>127.6</v>
      </c>
      <c r="K33">
        <v>130.69999999999999</v>
      </c>
      <c r="L33">
        <v>96.3</v>
      </c>
      <c r="M33">
        <v>96</v>
      </c>
      <c r="N33" t="s">
        <v>256</v>
      </c>
      <c r="P33">
        <f t="shared" si="2"/>
        <v>35.943661971830984</v>
      </c>
      <c r="Q33" s="1">
        <f t="shared" si="3"/>
        <v>3276</v>
      </c>
      <c r="R33">
        <v>32.180834887858232</v>
      </c>
      <c r="S33">
        <v>7.4716049554713635</v>
      </c>
      <c r="T33">
        <v>129539.42724284904</v>
      </c>
      <c r="U33">
        <v>108938.11441295964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B86-9F80-40E5-8A82-23843A0B2494}">
  <dimension ref="A1:K15"/>
  <sheetViews>
    <sheetView workbookViewId="0">
      <selection activeCell="E25" sqref="E25"/>
    </sheetView>
    <sheetView workbookViewId="1"/>
  </sheetViews>
  <sheetFormatPr defaultRowHeight="14.5" x14ac:dyDescent="0.35"/>
  <cols>
    <col min="1" max="2" width="14.6328125" bestFit="1" customWidth="1"/>
    <col min="3" max="3" width="27.7265625" style="15" bestFit="1" customWidth="1"/>
    <col min="4" max="4" width="21.90625" style="15" bestFit="1" customWidth="1"/>
    <col min="5" max="5" width="27.26953125" style="14" bestFit="1" customWidth="1"/>
    <col min="6" max="6" width="24.7265625" style="1" bestFit="1" customWidth="1"/>
    <col min="7" max="7" width="15.90625" style="1" bestFit="1" customWidth="1"/>
    <col min="8" max="8" width="9.1796875" bestFit="1" customWidth="1"/>
    <col min="9" max="9" width="19.1796875" customWidth="1"/>
    <col min="10" max="10" width="13.26953125" style="1" customWidth="1"/>
  </cols>
  <sheetData>
    <row r="1" spans="1:11" x14ac:dyDescent="0.35">
      <c r="I1" t="s">
        <v>126</v>
      </c>
      <c r="J1" s="1">
        <f>AVERAGE(A:A)</f>
        <v>14</v>
      </c>
    </row>
    <row r="2" spans="1:11" x14ac:dyDescent="0.35">
      <c r="A2" t="s">
        <v>113</v>
      </c>
      <c r="B2" t="s">
        <v>114</v>
      </c>
      <c r="C2" s="15" t="s">
        <v>115</v>
      </c>
      <c r="D2" s="15" t="s">
        <v>293</v>
      </c>
      <c r="E2" s="14" t="s">
        <v>116</v>
      </c>
      <c r="F2" s="1" t="s">
        <v>117</v>
      </c>
      <c r="G2" s="1" t="s">
        <v>269</v>
      </c>
      <c r="H2" t="s">
        <v>270</v>
      </c>
      <c r="I2" t="s">
        <v>127</v>
      </c>
      <c r="J2" s="1">
        <f>AVERAGE(F:F)</f>
        <v>57834.070499900794</v>
      </c>
    </row>
    <row r="3" spans="1:11" x14ac:dyDescent="0.35">
      <c r="A3">
        <v>8</v>
      </c>
      <c r="B3">
        <f>A3*9/5+32</f>
        <v>46.4</v>
      </c>
      <c r="C3" s="15">
        <f>IF((B3 + 459.67) &gt; 491.67, EXP(-10440.397/(B3 + 459.67) + -11.29465 + -0.027022355*(B3 + 459.67) + 0.00001289036*(B3 + 459.67)*(B3 + 459.67) + -0.0000000024780681*(B3 + 459.67)*(B3 + 459.67)*(B3 + 459.67) + 6.5459673*LN((B3 + 459.67))), EXP(-10214.165/(B3 + 459.67) + -4.8932428 + -0.005376579*(B3 + 459.67) + 0.00000019202377*(B3 + 459.67)*(B3 + 459.67) + 0.00000000035575832*(B3 + 459.67)*(B3 + 459.67)*(B3 + 459.67) + -9.0344688E-14*(B3 + 459.67)*(B3 + 459.67)*(B3 + 459.67)*(B3 + 459.67) + 4.1635019*LN((B3 + 459.67))))</f>
        <v>0.15560229615120816</v>
      </c>
      <c r="D3" s="15">
        <f>0.621945*((1*C3))/((14.696)-((1*C3)))</f>
        <v>6.6556687135281645E-3</v>
      </c>
      <c r="E3" s="14">
        <f>0.24*(B3) + ((0.621945*((1*C3))/((14.696)-((1*C3)))))*(1061 + 0.444*(B3))</f>
        <v>18.334781929622004</v>
      </c>
      <c r="F3" s="1">
        <f>E3*2326</f>
        <v>42646.702768300784</v>
      </c>
      <c r="G3" s="1">
        <f>(A3-$J$1)*(F3-$J$2)</f>
        <v>91124.206389600062</v>
      </c>
      <c r="H3">
        <f>(A3-$J$1)^2</f>
        <v>36</v>
      </c>
      <c r="I3" t="s">
        <v>124</v>
      </c>
      <c r="J3" s="1">
        <f>J2-J4*J1</f>
        <v>19927.679268783926</v>
      </c>
      <c r="K3" t="s">
        <v>149</v>
      </c>
    </row>
    <row r="4" spans="1:11" x14ac:dyDescent="0.35">
      <c r="A4">
        <v>9</v>
      </c>
      <c r="B4">
        <f t="shared" ref="B4:B15" si="0">A4*9/5+32</f>
        <v>48.2</v>
      </c>
      <c r="C4" s="15">
        <f t="shared" ref="C4:C15" si="1">IF((B4 + 459.67) &gt; 491.67, EXP(-10440.397/(B4 + 459.67) + -11.29465 + -0.027022355*(B4 + 459.67) + 0.00001289036*(B4 + 459.67)*(B4 + 459.67) + -0.0000000024780681*(B4 + 459.67)*(B4 + 459.67)*(B4 + 459.67) + 6.5459673*LN((B4 + 459.67))), EXP(-10214.165/(B4 + 459.67) + -4.8932428 + -0.005376579*(B4 + 459.67) + 0.00000019202377*(B4 + 459.67)*(B4 + 459.67) + 0.00000000035575832*(B4 + 459.67)*(B4 + 459.67)*(B4 + 459.67) + -9.0344688E-14*(B4 + 459.67)*(B4 + 459.67)*(B4 + 459.67)*(B4 + 459.67) + 4.1635019*LN((B4 + 459.67))))</f>
        <v>0.16651905953457261</v>
      </c>
      <c r="D4" s="15">
        <f t="shared" ref="D4:D15" si="2">0.621945*((1*C4))/((14.696)-((1*C4)))</f>
        <v>7.1279694647448429E-3</v>
      </c>
      <c r="E4" s="14">
        <f t="shared" ref="E4:E15" si="3">0.24*(B4) + ((0.621945*((1*C4))/((14.696)-((1*C4)))))*(1061 + 0.444*(B4))</f>
        <v>19.283319851015388</v>
      </c>
      <c r="F4" s="1">
        <f>E4*2326</f>
        <v>44853.001973461796</v>
      </c>
      <c r="G4" s="1">
        <f>(A4-$J$1)*(F4-$J$2)</f>
        <v>64905.342632194988</v>
      </c>
      <c r="H4">
        <f t="shared" ref="H4:H15" si="4">(A4-$J$1)^2</f>
        <v>25</v>
      </c>
      <c r="I4" t="s">
        <v>125</v>
      </c>
      <c r="J4" s="1">
        <f>SUM(G:G)/SUM(H:H)</f>
        <v>2707.5993736512046</v>
      </c>
      <c r="K4" t="s">
        <v>93</v>
      </c>
    </row>
    <row r="5" spans="1:11" x14ac:dyDescent="0.35">
      <c r="A5">
        <v>10</v>
      </c>
      <c r="B5">
        <f t="shared" si="0"/>
        <v>50</v>
      </c>
      <c r="C5" s="15">
        <f t="shared" si="1"/>
        <v>0.17810558582410912</v>
      </c>
      <c r="D5" s="15">
        <f t="shared" si="2"/>
        <v>7.6300237083425241E-3</v>
      </c>
      <c r="E5" s="14">
        <f t="shared" si="3"/>
        <v>20.264841680876621</v>
      </c>
      <c r="F5" s="1">
        <f>E5*2326</f>
        <v>47136.021749719024</v>
      </c>
      <c r="G5" s="1">
        <f>(A5-$J$1)*(F5-$J$2)</f>
        <v>42792.195000727079</v>
      </c>
      <c r="H5">
        <f t="shared" si="4"/>
        <v>16</v>
      </c>
    </row>
    <row r="6" spans="1:11" x14ac:dyDescent="0.35">
      <c r="A6">
        <v>11</v>
      </c>
      <c r="B6">
        <f t="shared" si="0"/>
        <v>51.8</v>
      </c>
      <c r="C6" s="15">
        <f t="shared" si="1"/>
        <v>0.19039667332907387</v>
      </c>
      <c r="D6" s="15">
        <f t="shared" si="2"/>
        <v>8.1634838845981109E-3</v>
      </c>
      <c r="E6" s="14">
        <f t="shared" si="3"/>
        <v>21.281210000117241</v>
      </c>
      <c r="F6" s="1">
        <f>E6*2326</f>
        <v>49500.094460272703</v>
      </c>
      <c r="G6" s="1">
        <f>(A6-$J$1)*(F6-$J$2)</f>
        <v>25001.928118884272</v>
      </c>
      <c r="H6">
        <f t="shared" si="4"/>
        <v>9</v>
      </c>
    </row>
    <row r="7" spans="1:11" x14ac:dyDescent="0.35">
      <c r="A7">
        <v>12</v>
      </c>
      <c r="B7">
        <f t="shared" si="0"/>
        <v>53.6</v>
      </c>
      <c r="C7" s="15">
        <f t="shared" si="1"/>
        <v>0.20342856852969152</v>
      </c>
      <c r="D7" s="15">
        <f t="shared" si="2"/>
        <v>8.7300850406340259E-3</v>
      </c>
      <c r="E7" s="14">
        <f t="shared" si="3"/>
        <v>22.334382283943725</v>
      </c>
      <c r="F7" s="1">
        <f>E7*2326</f>
        <v>51949.773192453104</v>
      </c>
      <c r="G7" s="1">
        <f>(A7-$J$1)*(F7-$J$2)</f>
        <v>11768.594614895381</v>
      </c>
      <c r="H7">
        <f t="shared" si="4"/>
        <v>4</v>
      </c>
    </row>
    <row r="8" spans="1:11" x14ac:dyDescent="0.35">
      <c r="A8">
        <v>13</v>
      </c>
      <c r="B8">
        <f t="shared" si="0"/>
        <v>55.4</v>
      </c>
      <c r="C8" s="15">
        <f t="shared" si="1"/>
        <v>0.21723900884164749</v>
      </c>
      <c r="D8" s="15">
        <f t="shared" si="2"/>
        <v>9.3316489882335641E-3</v>
      </c>
      <c r="E8" s="14">
        <f t="shared" si="3"/>
        <v>23.426415745668784</v>
      </c>
      <c r="F8" s="1">
        <f>E8*2326</f>
        <v>54489.843024425594</v>
      </c>
      <c r="G8" s="1">
        <f>(A8-$J$1)*(F8-$J$2)</f>
        <v>3344.2274754751998</v>
      </c>
      <c r="H8">
        <f t="shared" si="4"/>
        <v>1</v>
      </c>
    </row>
    <row r="9" spans="1:11" x14ac:dyDescent="0.35">
      <c r="A9">
        <v>14</v>
      </c>
      <c r="B9">
        <f t="shared" si="0"/>
        <v>57.2</v>
      </c>
      <c r="C9" s="15">
        <f t="shared" si="1"/>
        <v>0.23186726594281926</v>
      </c>
      <c r="D9" s="15">
        <f t="shared" si="2"/>
        <v>9.9700887269413407E-3</v>
      </c>
      <c r="E9" s="14">
        <f t="shared" si="3"/>
        <v>24.559472488665143</v>
      </c>
      <c r="F9" s="1">
        <f>E9*2326</f>
        <v>57125.333008635127</v>
      </c>
      <c r="G9" s="1">
        <f>(A9-$J$1)*(F9-$J$2)</f>
        <v>0</v>
      </c>
      <c r="H9">
        <f t="shared" si="4"/>
        <v>0</v>
      </c>
    </row>
    <row r="10" spans="1:11" x14ac:dyDescent="0.35">
      <c r="A10">
        <v>15</v>
      </c>
      <c r="B10">
        <f t="shared" si="0"/>
        <v>59</v>
      </c>
      <c r="C10" s="15">
        <f t="shared" si="1"/>
        <v>0.24735418964674571</v>
      </c>
      <c r="D10" s="15">
        <f t="shared" si="2"/>
        <v>1.0647413155467475E-2</v>
      </c>
      <c r="E10" s="14">
        <f t="shared" si="3"/>
        <v>25.735824992971615</v>
      </c>
      <c r="F10" s="1">
        <f>E10*2326</f>
        <v>59861.528933651978</v>
      </c>
      <c r="G10" s="1">
        <f>(A10-$J$1)*(F10-$J$2)</f>
        <v>2027.4584337511842</v>
      </c>
      <c r="H10">
        <f t="shared" si="4"/>
        <v>1</v>
      </c>
    </row>
    <row r="11" spans="1:11" x14ac:dyDescent="0.35">
      <c r="A11">
        <v>16</v>
      </c>
      <c r="B11">
        <f t="shared" si="0"/>
        <v>60.8</v>
      </c>
      <c r="C11" s="15">
        <f t="shared" si="1"/>
        <v>0.26374225230658427</v>
      </c>
      <c r="D11" s="15">
        <f t="shared" si="2"/>
        <v>1.1365732096700849E-2</v>
      </c>
      <c r="E11" s="14">
        <f t="shared" si="3"/>
        <v>26.957861965696459</v>
      </c>
      <c r="F11" s="1">
        <f>E11*2326</f>
        <v>62703.986932209962</v>
      </c>
      <c r="G11" s="1">
        <f>(A11-$J$1)*(F11-$J$2)</f>
        <v>9739.8328646183363</v>
      </c>
      <c r="H11">
        <f t="shared" si="4"/>
        <v>4</v>
      </c>
    </row>
    <row r="12" spans="1:11" x14ac:dyDescent="0.35">
      <c r="A12">
        <v>17</v>
      </c>
      <c r="B12">
        <f t="shared" si="0"/>
        <v>62.6</v>
      </c>
      <c r="C12" s="15">
        <f t="shared" si="1"/>
        <v>0.28107559373281082</v>
      </c>
      <c r="D12" s="15">
        <f t="shared" si="2"/>
        <v>1.2127261664178355E-2</v>
      </c>
      <c r="E12" s="14">
        <f t="shared" si="3"/>
        <v>28.228094587292073</v>
      </c>
      <c r="F12" s="1">
        <f>E12*2326</f>
        <v>65658.548010041355</v>
      </c>
      <c r="G12" s="1">
        <f>(A12-$J$1)*(F12-$J$2)</f>
        <v>23473.432530421684</v>
      </c>
      <c r="H12">
        <f t="shared" si="4"/>
        <v>9</v>
      </c>
    </row>
    <row r="13" spans="1:11" x14ac:dyDescent="0.35">
      <c r="A13">
        <v>18</v>
      </c>
      <c r="B13">
        <f t="shared" si="0"/>
        <v>64.400000000000006</v>
      </c>
      <c r="C13" s="15">
        <f t="shared" si="1"/>
        <v>0.29940006660727048</v>
      </c>
      <c r="D13" s="15">
        <f t="shared" si="2"/>
        <v>1.2934330000665384E-2</v>
      </c>
      <c r="E13" s="14">
        <f t="shared" si="3"/>
        <v>29.549163189012997</v>
      </c>
      <c r="F13" s="1">
        <f>E13*2326</f>
        <v>68731.35357764423</v>
      </c>
      <c r="G13" s="1">
        <f>(A13-$J$1)*(F13-$J$2)</f>
        <v>43589.132310973742</v>
      </c>
      <c r="H13">
        <f t="shared" si="4"/>
        <v>16</v>
      </c>
    </row>
    <row r="14" spans="1:11" x14ac:dyDescent="0.35">
      <c r="A14">
        <v>19</v>
      </c>
      <c r="B14">
        <f t="shared" si="0"/>
        <v>66.2</v>
      </c>
      <c r="C14" s="15">
        <f t="shared" si="1"/>
        <v>0.31876328237561663</v>
      </c>
      <c r="D14" s="15">
        <f t="shared" si="2"/>
        <v>1.378938342262067E-2</v>
      </c>
      <c r="E14" s="14">
        <f t="shared" si="3"/>
        <v>30.923844400464937</v>
      </c>
      <c r="F14" s="1">
        <f>E14*2326</f>
        <v>71928.862075481447</v>
      </c>
      <c r="G14" s="1">
        <f>(A14-$J$1)*(F14-$J$2)</f>
        <v>70473.957877903274</v>
      </c>
      <c r="H14">
        <f t="shared" si="4"/>
        <v>25</v>
      </c>
    </row>
    <row r="15" spans="1:11" x14ac:dyDescent="0.35">
      <c r="A15">
        <v>20</v>
      </c>
      <c r="B15">
        <f t="shared" si="0"/>
        <v>68</v>
      </c>
      <c r="C15" s="15">
        <f t="shared" si="1"/>
        <v>0.33921465759971386</v>
      </c>
      <c r="D15" s="15">
        <f t="shared" si="2"/>
        <v>1.4694993007785812E-2</v>
      </c>
      <c r="E15" s="14">
        <f t="shared" si="3"/>
        <v>32.355058810151817</v>
      </c>
      <c r="F15" s="1">
        <f>E15*2326</f>
        <v>75257.86679241313</v>
      </c>
      <c r="G15" s="1">
        <f>(A15-$J$1)*(F15-$J$2)</f>
        <v>104542.77775507401</v>
      </c>
      <c r="H15">
        <f t="shared" si="4"/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A932220DAA742A5EFF8C9A1DFC0BD" ma:contentTypeVersion="11" ma:contentTypeDescription="Create a new document." ma:contentTypeScope="" ma:versionID="16a40acfedab96a7d459a1a605ea426c">
  <xsd:schema xmlns:xsd="http://www.w3.org/2001/XMLSchema" xmlns:xs="http://www.w3.org/2001/XMLSchema" xmlns:p="http://schemas.microsoft.com/office/2006/metadata/properties" xmlns:ns2="eb137863-212c-41d7-8684-d63d1d704100" xmlns:ns3="6cb7bcc1-e860-4414-8374-d3a8ddbcb2e7" targetNamespace="http://schemas.microsoft.com/office/2006/metadata/properties" ma:root="true" ma:fieldsID="c506757909b13af12b22f997036d8c6f" ns2:_="" ns3:_="">
    <xsd:import namespace="eb137863-212c-41d7-8684-d63d1d704100"/>
    <xsd:import namespace="6cb7bcc1-e860-4414-8374-d3a8ddbcb2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37863-212c-41d7-8684-d63d1d7041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7bcc1-e860-4414-8374-d3a8ddbcb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D90766-81CF-49B4-9CDA-840DEC6FE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37863-212c-41d7-8684-d63d1d704100"/>
    <ds:schemaRef ds:uri="6cb7bcc1-e860-4414-8374-d3a8ddbcb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911F2-89C8-460D-95D6-6C284C038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7CBB2-2CEC-4629-901C-4C72CFD0075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Internal h</vt:lpstr>
      <vt:lpstr>Sheet2</vt:lpstr>
      <vt:lpstr>Full Coil Model</vt:lpstr>
      <vt:lpstr>Elmahdy Data, 1977</vt:lpstr>
      <vt:lpstr>Saturated Air Enthalpy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2015-06-05T18:17:20Z</dcterms:created>
  <dcterms:modified xsi:type="dcterms:W3CDTF">2020-12-08T02:42:15Z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0x010100C5CA932220DAA742A5EFF8C9A1DFC0BD</vt:lpwstr>
  </property>
</Properties>
</file>