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ownloads\"/>
    </mc:Choice>
  </mc:AlternateContent>
  <xr:revisionPtr revIDLastSave="0" documentId="13_ncr:1_{942B6F9C-132F-4479-8050-5C8D0104D023}" xr6:coauthVersionLast="46" xr6:coauthVersionMax="46" xr10:uidLastSave="{00000000-0000-0000-0000-000000000000}"/>
  <bookViews>
    <workbookView xWindow="15375" yWindow="-13770" windowWidth="24240" windowHeight="13140" xr2:uid="{FDA68D91-5E60-4EA8-B0DE-E8BD0509D6E0}"/>
  </bookViews>
  <sheets>
    <sheet name="Monthly Costs" sheetId="1" r:id="rId1"/>
    <sheet name="Formatted budget" sheetId="3" r:id="rId2"/>
    <sheet name="Monthly 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L11" i="3"/>
  <c r="M11" i="3"/>
  <c r="N11" i="3"/>
  <c r="O11" i="3"/>
  <c r="P11" i="3"/>
  <c r="Q11" i="3"/>
  <c r="L15" i="2"/>
  <c r="M14" i="2"/>
  <c r="N14" i="2" s="1"/>
  <c r="O14" i="2" s="1"/>
  <c r="P14" i="2" s="1"/>
  <c r="Q14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N30" i="2" s="1"/>
  <c r="L4" i="3"/>
  <c r="L5" i="3" s="1"/>
  <c r="C11" i="3"/>
  <c r="C9" i="2"/>
  <c r="C10" i="1"/>
  <c r="L13" i="3" s="1"/>
  <c r="M13" i="3" s="1"/>
  <c r="N13" i="3" s="1"/>
  <c r="O13" i="3" s="1"/>
  <c r="P13" i="3" s="1"/>
  <c r="Q13" i="3" s="1"/>
  <c r="C19" i="1"/>
  <c r="C14" i="3" s="1"/>
  <c r="D14" i="3" s="1"/>
  <c r="E14" i="3" s="1"/>
  <c r="F14" i="3" s="1"/>
  <c r="G14" i="3" s="1"/>
  <c r="H14" i="3" s="1"/>
  <c r="I14" i="3" s="1"/>
  <c r="C29" i="3" s="1"/>
  <c r="D29" i="3" s="1"/>
  <c r="E29" i="3" s="1"/>
  <c r="F29" i="3" s="1"/>
  <c r="G29" i="3" s="1"/>
  <c r="H29" i="3" s="1"/>
  <c r="I29" i="3" s="1"/>
  <c r="C44" i="3" s="1"/>
  <c r="D44" i="3" s="1"/>
  <c r="E44" i="3" s="1"/>
  <c r="L14" i="3" l="1"/>
  <c r="M14" i="3" s="1"/>
  <c r="N14" i="3" s="1"/>
  <c r="O14" i="3" s="1"/>
  <c r="P14" i="3" s="1"/>
  <c r="Q14" i="3" s="1"/>
  <c r="C13" i="3"/>
  <c r="C21" i="3" s="1"/>
  <c r="U9" i="3" s="1"/>
  <c r="P15" i="2"/>
  <c r="D30" i="2"/>
  <c r="E30" i="2"/>
  <c r="M30" i="2"/>
  <c r="I30" i="2"/>
  <c r="J30" i="2"/>
  <c r="L30" i="2"/>
  <c r="M15" i="2"/>
  <c r="F30" i="2"/>
  <c r="Q15" i="2"/>
  <c r="K30" i="2"/>
  <c r="N15" i="2"/>
  <c r="C30" i="2"/>
  <c r="G30" i="2"/>
  <c r="O15" i="2"/>
  <c r="H30" i="2"/>
  <c r="F44" i="3"/>
  <c r="G44" i="3" s="1"/>
  <c r="C12" i="2"/>
  <c r="D12" i="2" s="1"/>
  <c r="E12" i="2" s="1"/>
  <c r="F12" i="2" s="1"/>
  <c r="G12" i="2" s="1"/>
  <c r="H12" i="2" s="1"/>
  <c r="I12" i="2" s="1"/>
  <c r="J12" i="2" s="1"/>
  <c r="K12" i="2" s="1"/>
  <c r="F6" i="1"/>
  <c r="C26" i="1"/>
  <c r="F5" i="1"/>
  <c r="F7" i="1"/>
  <c r="D13" i="3" l="1"/>
  <c r="E13" i="3" s="1"/>
  <c r="F13" i="3" s="1"/>
  <c r="G13" i="3" s="1"/>
  <c r="H13" i="3" s="1"/>
  <c r="I13" i="3" s="1"/>
  <c r="C28" i="3" s="1"/>
  <c r="D28" i="3" s="1"/>
  <c r="E28" i="3" s="1"/>
  <c r="F28" i="3" s="1"/>
  <c r="G28" i="3" s="1"/>
  <c r="H28" i="3" s="1"/>
  <c r="I28" i="3" s="1"/>
  <c r="C43" i="3" s="1"/>
  <c r="D43" i="3" s="1"/>
  <c r="E43" i="3" s="1"/>
  <c r="F43" i="3" s="1"/>
  <c r="G43" i="3" s="1"/>
  <c r="H43" i="3" s="1"/>
  <c r="I43" i="3" s="1"/>
  <c r="C23" i="3"/>
  <c r="F16" i="3"/>
  <c r="G16" i="3" s="1"/>
  <c r="H16" i="3" s="1"/>
  <c r="I16" i="3" s="1"/>
  <c r="C31" i="3" s="1"/>
  <c r="D31" i="3" s="1"/>
  <c r="E31" i="3" s="1"/>
  <c r="F31" i="3" s="1"/>
  <c r="G31" i="3" s="1"/>
  <c r="H31" i="3" s="1"/>
  <c r="I31" i="3" s="1"/>
  <c r="C46" i="3" s="1"/>
  <c r="D46" i="3" s="1"/>
  <c r="E46" i="3" s="1"/>
  <c r="F46" i="3" s="1"/>
  <c r="G46" i="3" s="1"/>
  <c r="H46" i="3" s="1"/>
  <c r="I46" i="3" s="1"/>
  <c r="L16" i="3"/>
  <c r="H44" i="3"/>
  <c r="L12" i="2"/>
  <c r="L16" i="2" s="1"/>
  <c r="L17" i="2" s="1"/>
  <c r="F8" i="1"/>
  <c r="C11" i="2"/>
  <c r="E21" i="3" l="1"/>
  <c r="U11" i="3" s="1"/>
  <c r="D21" i="3"/>
  <c r="U10" i="3" s="1"/>
  <c r="D23" i="3"/>
  <c r="L17" i="3"/>
  <c r="L18" i="3"/>
  <c r="F18" i="3"/>
  <c r="F17" i="3"/>
  <c r="I44" i="3"/>
  <c r="M12" i="2"/>
  <c r="N12" i="2" s="1"/>
  <c r="C19" i="2"/>
  <c r="W9" i="2" s="1"/>
  <c r="D11" i="2"/>
  <c r="E23" i="3" l="1"/>
  <c r="C21" i="2"/>
  <c r="F19" i="3"/>
  <c r="F21" i="3" s="1"/>
  <c r="G18" i="3"/>
  <c r="G17" i="3"/>
  <c r="L19" i="3"/>
  <c r="L21" i="3" s="1"/>
  <c r="L23" i="3" s="1"/>
  <c r="M16" i="2"/>
  <c r="M17" i="2" s="1"/>
  <c r="E11" i="2"/>
  <c r="D19" i="2"/>
  <c r="W10" i="2" s="1"/>
  <c r="N16" i="2"/>
  <c r="N17" i="2" s="1"/>
  <c r="O12" i="2"/>
  <c r="F23" i="3" l="1"/>
  <c r="U12" i="3"/>
  <c r="D21" i="2"/>
  <c r="G19" i="3"/>
  <c r="G21" i="3" s="1"/>
  <c r="H18" i="3"/>
  <c r="H17" i="3"/>
  <c r="F11" i="2"/>
  <c r="E19" i="2"/>
  <c r="W11" i="2" s="1"/>
  <c r="O16" i="2"/>
  <c r="O17" i="2" s="1"/>
  <c r="P12" i="2"/>
  <c r="G23" i="3" l="1"/>
  <c r="U13" i="3"/>
  <c r="E21" i="2"/>
  <c r="H19" i="3"/>
  <c r="H21" i="3" s="1"/>
  <c r="M16" i="3"/>
  <c r="I17" i="3"/>
  <c r="I18" i="3"/>
  <c r="G11" i="2"/>
  <c r="F19" i="2"/>
  <c r="W12" i="2" s="1"/>
  <c r="P16" i="2"/>
  <c r="P17" i="2" s="1"/>
  <c r="Q12" i="2"/>
  <c r="H23" i="3" l="1"/>
  <c r="U14" i="3"/>
  <c r="F21" i="2"/>
  <c r="M18" i="3"/>
  <c r="M17" i="3"/>
  <c r="N16" i="3"/>
  <c r="I19" i="3"/>
  <c r="I21" i="3" s="1"/>
  <c r="C32" i="3"/>
  <c r="C33" i="3"/>
  <c r="H11" i="2"/>
  <c r="G19" i="2"/>
  <c r="W13" i="2" s="1"/>
  <c r="Q16" i="2"/>
  <c r="Q17" i="2" s="1"/>
  <c r="C27" i="2"/>
  <c r="I23" i="3" l="1"/>
  <c r="U15" i="3"/>
  <c r="G21" i="2"/>
  <c r="M19" i="3"/>
  <c r="M21" i="3" s="1"/>
  <c r="M23" i="3" s="1"/>
  <c r="O16" i="3"/>
  <c r="O17" i="3" s="1"/>
  <c r="N17" i="3"/>
  <c r="N18" i="3"/>
  <c r="C34" i="3"/>
  <c r="C36" i="3" s="1"/>
  <c r="D32" i="3"/>
  <c r="D33" i="3"/>
  <c r="I11" i="2"/>
  <c r="H19" i="2"/>
  <c r="W14" i="2" s="1"/>
  <c r="C31" i="2"/>
  <c r="C32" i="2" s="1"/>
  <c r="D27" i="2"/>
  <c r="C38" i="3" l="1"/>
  <c r="U16" i="3"/>
  <c r="H21" i="2"/>
  <c r="N19" i="3"/>
  <c r="N21" i="3" s="1"/>
  <c r="N23" i="3" s="1"/>
  <c r="P16" i="3"/>
  <c r="O18" i="3"/>
  <c r="E33" i="3"/>
  <c r="E32" i="3"/>
  <c r="D34" i="3"/>
  <c r="D36" i="3" s="1"/>
  <c r="J11" i="2"/>
  <c r="I19" i="2"/>
  <c r="W15" i="2" s="1"/>
  <c r="D31" i="2"/>
  <c r="D32" i="2" s="1"/>
  <c r="E27" i="2"/>
  <c r="D38" i="3" l="1"/>
  <c r="U17" i="3"/>
  <c r="I21" i="2"/>
  <c r="E34" i="3"/>
  <c r="E36" i="3" s="1"/>
  <c r="O19" i="3"/>
  <c r="O21" i="3" s="1"/>
  <c r="O23" i="3" s="1"/>
  <c r="P18" i="3"/>
  <c r="P17" i="3"/>
  <c r="Q16" i="3"/>
  <c r="F33" i="3"/>
  <c r="F32" i="3"/>
  <c r="K11" i="2"/>
  <c r="J19" i="2"/>
  <c r="W16" i="2" s="1"/>
  <c r="F27" i="2"/>
  <c r="E31" i="2"/>
  <c r="E32" i="2" s="1"/>
  <c r="E38" i="3" l="1"/>
  <c r="U18" i="3"/>
  <c r="J21" i="2"/>
  <c r="P19" i="3"/>
  <c r="P21" i="3" s="1"/>
  <c r="P23" i="3" s="1"/>
  <c r="F34" i="3"/>
  <c r="F36" i="3" s="1"/>
  <c r="Q18" i="3"/>
  <c r="Q17" i="3"/>
  <c r="G33" i="3"/>
  <c r="G32" i="3"/>
  <c r="L11" i="2"/>
  <c r="K19" i="2"/>
  <c r="W17" i="2" s="1"/>
  <c r="G27" i="2"/>
  <c r="F31" i="2"/>
  <c r="F32" i="2" s="1"/>
  <c r="F38" i="3" l="1"/>
  <c r="U19" i="3"/>
  <c r="K21" i="2"/>
  <c r="Q19" i="3"/>
  <c r="Q21" i="3" s="1"/>
  <c r="Q23" i="3" s="1"/>
  <c r="G34" i="3"/>
  <c r="G36" i="3" s="1"/>
  <c r="H33" i="3"/>
  <c r="H32" i="3"/>
  <c r="M11" i="2"/>
  <c r="N11" i="2" s="1"/>
  <c r="L19" i="2"/>
  <c r="W18" i="2" s="1"/>
  <c r="G31" i="2"/>
  <c r="G32" i="2" s="1"/>
  <c r="H27" i="2"/>
  <c r="G38" i="3" l="1"/>
  <c r="U20" i="3"/>
  <c r="L21" i="2"/>
  <c r="H34" i="3"/>
  <c r="H36" i="3" s="1"/>
  <c r="I32" i="3"/>
  <c r="I33" i="3"/>
  <c r="O11" i="2"/>
  <c r="N19" i="2"/>
  <c r="W19" i="2" s="1"/>
  <c r="H31" i="2"/>
  <c r="H32" i="2" s="1"/>
  <c r="I27" i="2"/>
  <c r="H38" i="3" l="1"/>
  <c r="U21" i="3"/>
  <c r="I34" i="3"/>
  <c r="I36" i="3" s="1"/>
  <c r="C48" i="3"/>
  <c r="C47" i="3"/>
  <c r="P11" i="2"/>
  <c r="O19" i="2"/>
  <c r="W20" i="2" s="1"/>
  <c r="I31" i="2"/>
  <c r="I32" i="2" s="1"/>
  <c r="J27" i="2"/>
  <c r="I38" i="3" l="1"/>
  <c r="U22" i="3"/>
  <c r="C49" i="3"/>
  <c r="C51" i="3" s="1"/>
  <c r="D47" i="3"/>
  <c r="D48" i="3"/>
  <c r="Q11" i="2"/>
  <c r="P19" i="2"/>
  <c r="W21" i="2" s="1"/>
  <c r="J31" i="2"/>
  <c r="J32" i="2" s="1"/>
  <c r="K27" i="2"/>
  <c r="C53" i="3" l="1"/>
  <c r="U23" i="3"/>
  <c r="D49" i="3"/>
  <c r="D51" i="3" s="1"/>
  <c r="E47" i="3"/>
  <c r="E48" i="3"/>
  <c r="C26" i="2"/>
  <c r="Q19" i="2"/>
  <c r="W22" i="2" s="1"/>
  <c r="K31" i="2"/>
  <c r="K32" i="2" s="1"/>
  <c r="L27" i="2"/>
  <c r="D53" i="3" l="1"/>
  <c r="U24" i="3"/>
  <c r="E49" i="3"/>
  <c r="E51" i="3" s="1"/>
  <c r="F48" i="3"/>
  <c r="F47" i="3"/>
  <c r="D26" i="2"/>
  <c r="C34" i="2"/>
  <c r="W23" i="2" s="1"/>
  <c r="O29" i="2"/>
  <c r="O30" i="2" s="1"/>
  <c r="L31" i="2"/>
  <c r="L32" i="2" s="1"/>
  <c r="M27" i="2"/>
  <c r="E53" i="3" l="1"/>
  <c r="U25" i="3"/>
  <c r="F49" i="3"/>
  <c r="F51" i="3" s="1"/>
  <c r="G47" i="3"/>
  <c r="G48" i="3"/>
  <c r="E26" i="2"/>
  <c r="D34" i="2"/>
  <c r="W24" i="2" s="1"/>
  <c r="P29" i="2"/>
  <c r="P30" i="2" s="1"/>
  <c r="N27" i="2"/>
  <c r="M31" i="2"/>
  <c r="M32" i="2" s="1"/>
  <c r="F53" i="3" l="1"/>
  <c r="U26" i="3"/>
  <c r="G49" i="3"/>
  <c r="G51" i="3" s="1"/>
  <c r="H47" i="3"/>
  <c r="H48" i="3"/>
  <c r="F26" i="2"/>
  <c r="E34" i="2"/>
  <c r="W25" i="2" s="1"/>
  <c r="Q29" i="2"/>
  <c r="Q30" i="2" s="1"/>
  <c r="O27" i="2"/>
  <c r="N31" i="2"/>
  <c r="N32" i="2" s="1"/>
  <c r="G53" i="3" l="1"/>
  <c r="U27" i="3"/>
  <c r="H49" i="3"/>
  <c r="H51" i="3" s="1"/>
  <c r="I47" i="3"/>
  <c r="I48" i="3"/>
  <c r="G26" i="2"/>
  <c r="F34" i="2"/>
  <c r="W26" i="2" s="1"/>
  <c r="C44" i="2"/>
  <c r="C45" i="2" s="1"/>
  <c r="O31" i="2"/>
  <c r="O32" i="2" s="1"/>
  <c r="P27" i="2"/>
  <c r="H53" i="3" l="1"/>
  <c r="U28" i="3"/>
  <c r="I49" i="3"/>
  <c r="I51" i="3" s="1"/>
  <c r="H26" i="2"/>
  <c r="G34" i="2"/>
  <c r="W27" i="2" s="1"/>
  <c r="D44" i="2"/>
  <c r="D45" i="2" s="1"/>
  <c r="Q27" i="2"/>
  <c r="P31" i="2"/>
  <c r="P32" i="2" s="1"/>
  <c r="I53" i="3" l="1"/>
  <c r="U29" i="3"/>
  <c r="I26" i="2"/>
  <c r="H34" i="2"/>
  <c r="W28" i="2" s="1"/>
  <c r="E44" i="2"/>
  <c r="E45" i="2" s="1"/>
  <c r="Q31" i="2"/>
  <c r="Q32" i="2" s="1"/>
  <c r="C42" i="2"/>
  <c r="J26" i="2" l="1"/>
  <c r="I34" i="2"/>
  <c r="W29" i="2" s="1"/>
  <c r="F44" i="2"/>
  <c r="F45" i="2" s="1"/>
  <c r="C46" i="2"/>
  <c r="C47" i="2" s="1"/>
  <c r="D42" i="2"/>
  <c r="K26" i="2" l="1"/>
  <c r="J34" i="2"/>
  <c r="W30" i="2" s="1"/>
  <c r="G44" i="2"/>
  <c r="G45" i="2" s="1"/>
  <c r="D46" i="2"/>
  <c r="D47" i="2" s="1"/>
  <c r="E42" i="2"/>
  <c r="L26" i="2" l="1"/>
  <c r="K34" i="2"/>
  <c r="W31" i="2" s="1"/>
  <c r="H44" i="2"/>
  <c r="H45" i="2" s="1"/>
  <c r="F42" i="2"/>
  <c r="E46" i="2"/>
  <c r="E47" i="2" s="1"/>
  <c r="M26" i="2" l="1"/>
  <c r="L34" i="2"/>
  <c r="W32" i="2" s="1"/>
  <c r="I44" i="2"/>
  <c r="I45" i="2" s="1"/>
  <c r="G42" i="2"/>
  <c r="F46" i="2"/>
  <c r="F47" i="2" s="1"/>
  <c r="N26" i="2" l="1"/>
  <c r="M34" i="2"/>
  <c r="W33" i="2" s="1"/>
  <c r="J44" i="2"/>
  <c r="J45" i="2" s="1"/>
  <c r="H42" i="2"/>
  <c r="G46" i="2"/>
  <c r="G47" i="2" s="1"/>
  <c r="O26" i="2" l="1"/>
  <c r="N34" i="2"/>
  <c r="W34" i="2" s="1"/>
  <c r="K44" i="2"/>
  <c r="K45" i="2" s="1"/>
  <c r="I42" i="2"/>
  <c r="H46" i="2"/>
  <c r="H47" i="2" s="1"/>
  <c r="P26" i="2" l="1"/>
  <c r="O34" i="2"/>
  <c r="W35" i="2" s="1"/>
  <c r="L44" i="2"/>
  <c r="L45" i="2" s="1"/>
  <c r="J42" i="2"/>
  <c r="I46" i="2"/>
  <c r="I47" i="2" s="1"/>
  <c r="Q26" i="2" l="1"/>
  <c r="P34" i="2"/>
  <c r="W36" i="2" s="1"/>
  <c r="M44" i="2"/>
  <c r="M45" i="2" s="1"/>
  <c r="K42" i="2"/>
  <c r="J46" i="2"/>
  <c r="J47" i="2" s="1"/>
  <c r="C41" i="2" l="1"/>
  <c r="Q34" i="2"/>
  <c r="W37" i="2" s="1"/>
  <c r="N44" i="2"/>
  <c r="N45" i="2" s="1"/>
  <c r="L42" i="2"/>
  <c r="K46" i="2"/>
  <c r="K47" i="2" s="1"/>
  <c r="D41" i="2" l="1"/>
  <c r="C49" i="2"/>
  <c r="W38" i="2" s="1"/>
  <c r="O44" i="2"/>
  <c r="O45" i="2" s="1"/>
  <c r="L46" i="2"/>
  <c r="L47" i="2" s="1"/>
  <c r="M42" i="2"/>
  <c r="E41" i="2" l="1"/>
  <c r="D49" i="2"/>
  <c r="W39" i="2" s="1"/>
  <c r="P44" i="2"/>
  <c r="P45" i="2" s="1"/>
  <c r="N42" i="2"/>
  <c r="M46" i="2"/>
  <c r="M47" i="2" s="1"/>
  <c r="F41" i="2" l="1"/>
  <c r="E49" i="2"/>
  <c r="W40" i="2" s="1"/>
  <c r="Q44" i="2"/>
  <c r="Q45" i="2" s="1"/>
  <c r="O42" i="2"/>
  <c r="N46" i="2"/>
  <c r="N47" i="2" s="1"/>
  <c r="G41" i="2" l="1"/>
  <c r="F49" i="2"/>
  <c r="W41" i="2" s="1"/>
  <c r="C59" i="2"/>
  <c r="C60" i="2" s="1"/>
  <c r="O46" i="2"/>
  <c r="O47" i="2" s="1"/>
  <c r="P42" i="2"/>
  <c r="H41" i="2" l="1"/>
  <c r="G49" i="2"/>
  <c r="W42" i="2" s="1"/>
  <c r="D59" i="2"/>
  <c r="D60" i="2" s="1"/>
  <c r="P46" i="2"/>
  <c r="P47" i="2" s="1"/>
  <c r="Q42" i="2"/>
  <c r="I41" i="2" l="1"/>
  <c r="H49" i="2"/>
  <c r="W43" i="2" s="1"/>
  <c r="E59" i="2"/>
  <c r="E60" i="2" s="1"/>
  <c r="Q46" i="2"/>
  <c r="Q47" i="2" s="1"/>
  <c r="C57" i="2"/>
  <c r="M19" i="2"/>
  <c r="J41" i="2" l="1"/>
  <c r="I49" i="2"/>
  <c r="W44" i="2" s="1"/>
  <c r="F59" i="2"/>
  <c r="F60" i="2" s="1"/>
  <c r="C61" i="2"/>
  <c r="C62" i="2" s="1"/>
  <c r="D57" i="2"/>
  <c r="D61" i="2" s="1"/>
  <c r="M21" i="2"/>
  <c r="N21" i="2" s="1"/>
  <c r="O21" i="2" s="1"/>
  <c r="P21" i="2" s="1"/>
  <c r="Q21" i="2" s="1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C51" i="2" s="1"/>
  <c r="D51" i="2" s="1"/>
  <c r="E51" i="2" s="1"/>
  <c r="F51" i="2" s="1"/>
  <c r="G51" i="2" s="1"/>
  <c r="H51" i="2" s="1"/>
  <c r="I51" i="2" l="1"/>
  <c r="K41" i="2"/>
  <c r="J49" i="2"/>
  <c r="W45" i="2" s="1"/>
  <c r="G59" i="2"/>
  <c r="G60" i="2" s="1"/>
  <c r="D62" i="2"/>
  <c r="E57" i="2"/>
  <c r="J51" i="2" l="1"/>
  <c r="L41" i="2"/>
  <c r="K49" i="2"/>
  <c r="W46" i="2" s="1"/>
  <c r="H59" i="2"/>
  <c r="H60" i="2" s="1"/>
  <c r="E61" i="2"/>
  <c r="E62" i="2" s="1"/>
  <c r="F57" i="2"/>
  <c r="K51" i="2" l="1"/>
  <c r="M41" i="2"/>
  <c r="M49" i="2" s="1"/>
  <c r="W48" i="2" s="1"/>
  <c r="L49" i="2"/>
  <c r="W47" i="2" s="1"/>
  <c r="I59" i="2"/>
  <c r="I60" i="2" s="1"/>
  <c r="F61" i="2"/>
  <c r="F62" i="2" s="1"/>
  <c r="G57" i="2"/>
  <c r="L51" i="2" l="1"/>
  <c r="M51" i="2" s="1"/>
  <c r="N41" i="2"/>
  <c r="J59" i="2"/>
  <c r="J60" i="2" s="1"/>
  <c r="H57" i="2"/>
  <c r="G61" i="2"/>
  <c r="G62" i="2" s="1"/>
  <c r="O41" i="2" l="1"/>
  <c r="N49" i="2"/>
  <c r="K59" i="2"/>
  <c r="K60" i="2" s="1"/>
  <c r="I57" i="2"/>
  <c r="H61" i="2"/>
  <c r="H62" i="2" s="1"/>
  <c r="N51" i="2" l="1"/>
  <c r="W49" i="2"/>
  <c r="P41" i="2"/>
  <c r="O49" i="2"/>
  <c r="L59" i="2"/>
  <c r="L60" i="2" s="1"/>
  <c r="J57" i="2"/>
  <c r="I61" i="2"/>
  <c r="I62" i="2" s="1"/>
  <c r="O51" i="2" l="1"/>
  <c r="W50" i="2"/>
  <c r="Q41" i="2"/>
  <c r="P49" i="2"/>
  <c r="J61" i="2"/>
  <c r="J62" i="2" s="1"/>
  <c r="K57" i="2"/>
  <c r="M59" i="2"/>
  <c r="P51" i="2" l="1"/>
  <c r="W51" i="2"/>
  <c r="N59" i="2"/>
  <c r="N60" i="2" s="1"/>
  <c r="M60" i="2"/>
  <c r="L57" i="2"/>
  <c r="K61" i="2"/>
  <c r="K62" i="2" s="1"/>
  <c r="C56" i="2"/>
  <c r="Q49" i="2"/>
  <c r="W52" i="2" s="1"/>
  <c r="O59" i="2" l="1"/>
  <c r="O60" i="2" s="1"/>
  <c r="M57" i="2"/>
  <c r="L61" i="2"/>
  <c r="L62" i="2" s="1"/>
  <c r="D56" i="2"/>
  <c r="C64" i="2"/>
  <c r="W53" i="2" s="1"/>
  <c r="Q51" i="2"/>
  <c r="P59" i="2" l="1"/>
  <c r="P60" i="2" s="1"/>
  <c r="C66" i="2"/>
  <c r="N57" i="2"/>
  <c r="M61" i="2"/>
  <c r="M62" i="2" s="1"/>
  <c r="E56" i="2"/>
  <c r="D64" i="2"/>
  <c r="W54" i="2" s="1"/>
  <c r="Q59" i="2" l="1"/>
  <c r="Q60" i="2" s="1"/>
  <c r="F56" i="2"/>
  <c r="E64" i="2"/>
  <c r="W55" i="2" s="1"/>
  <c r="D66" i="2"/>
  <c r="N61" i="2"/>
  <c r="N62" i="2" s="1"/>
  <c r="O57" i="2"/>
  <c r="R59" i="2" l="1"/>
  <c r="R60" i="2" s="1"/>
  <c r="E66" i="2"/>
  <c r="G56" i="2"/>
  <c r="F64" i="2"/>
  <c r="W56" i="2" s="1"/>
  <c r="P57" i="2"/>
  <c r="O61" i="2"/>
  <c r="O62" i="2" s="1"/>
  <c r="F66" i="2" l="1"/>
  <c r="H56" i="2"/>
  <c r="G64" i="2"/>
  <c r="W57" i="2" s="1"/>
  <c r="Q57" i="2"/>
  <c r="P61" i="2"/>
  <c r="P62" i="2" s="1"/>
  <c r="G66" i="2" l="1"/>
  <c r="Q61" i="2"/>
  <c r="Q62" i="2" s="1"/>
  <c r="R57" i="2"/>
  <c r="R61" i="2" s="1"/>
  <c r="R62" i="2" s="1"/>
  <c r="I56" i="2"/>
  <c r="H64" i="2"/>
  <c r="W58" i="2" s="1"/>
  <c r="H66" i="2" l="1"/>
  <c r="J56" i="2"/>
  <c r="I64" i="2"/>
  <c r="W59" i="2" s="1"/>
  <c r="K56" i="2" l="1"/>
  <c r="J64" i="2"/>
  <c r="W60" i="2" s="1"/>
  <c r="I66" i="2"/>
  <c r="J66" i="2" l="1"/>
  <c r="L56" i="2"/>
  <c r="K64" i="2"/>
  <c r="W61" i="2" s="1"/>
  <c r="K66" i="2" l="1"/>
  <c r="M56" i="2"/>
  <c r="L64" i="2"/>
  <c r="W62" i="2" s="1"/>
  <c r="L66" i="2" l="1"/>
  <c r="N56" i="2"/>
  <c r="M64" i="2"/>
  <c r="W63" i="2" s="1"/>
  <c r="M66" i="2" l="1"/>
  <c r="O56" i="2"/>
  <c r="N64" i="2"/>
  <c r="W64" i="2" s="1"/>
  <c r="N66" i="2" l="1"/>
  <c r="P56" i="2"/>
  <c r="O64" i="2"/>
  <c r="O66" i="2" l="1"/>
  <c r="W65" i="2"/>
  <c r="Q56" i="2"/>
  <c r="P64" i="2"/>
  <c r="P66" i="2" l="1"/>
  <c r="W66" i="2"/>
  <c r="Q64" i="2"/>
  <c r="R56" i="2"/>
  <c r="R64" i="2" s="1"/>
  <c r="W68" i="2" s="1"/>
  <c r="Q66" i="2" l="1"/>
  <c r="R66" i="2" s="1"/>
  <c r="W67" i="2"/>
  <c r="E5" i="2"/>
  <c r="E6" i="2"/>
</calcChain>
</file>

<file path=xl/sharedStrings.xml><?xml version="1.0" encoding="utf-8"?>
<sst xmlns="http://schemas.openxmlformats.org/spreadsheetml/2006/main" count="244" uniqueCount="143">
  <si>
    <t>Fixed Costs</t>
  </si>
  <si>
    <t>Rent</t>
  </si>
  <si>
    <t xml:space="preserve">Salaries </t>
  </si>
  <si>
    <t xml:space="preserve">Insurance </t>
  </si>
  <si>
    <t xml:space="preserve">Utilities </t>
  </si>
  <si>
    <t>Variable Costs</t>
  </si>
  <si>
    <t>Material</t>
  </si>
  <si>
    <t xml:space="preserve">Labour </t>
  </si>
  <si>
    <t>Delivery</t>
  </si>
  <si>
    <t>Price</t>
  </si>
  <si>
    <t>Units Sold</t>
  </si>
  <si>
    <t>Revenue</t>
  </si>
  <si>
    <t>Cost of Goods Sold (COGS)</t>
  </si>
  <si>
    <t xml:space="preserve">Income </t>
  </si>
  <si>
    <t xml:space="preserve">Total 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</si>
  <si>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</si>
  <si>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</si>
  <si>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</si>
  <si>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</si>
  <si>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</si>
  <si>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</si>
  <si>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</si>
  <si>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</si>
  <si>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</si>
  <si>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</si>
  <si>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</si>
  <si>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</si>
  <si>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</si>
  <si>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</si>
  <si>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</si>
  <si>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</si>
  <si>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</si>
  <si>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</si>
  <si>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</si>
  <si>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</si>
  <si>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</si>
  <si>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</si>
  <si>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</si>
  <si>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</si>
  <si>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</si>
  <si>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</si>
  <si>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</si>
  <si>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</si>
  <si>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</si>
  <si>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</si>
  <si>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</si>
  <si>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</si>
  <si>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</si>
  <si>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</si>
  <si>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</si>
  <si>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</si>
  <si>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</si>
  <si>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</si>
  <si>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</si>
  <si>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</si>
  <si>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</si>
  <si>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</si>
  <si>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Fixed Monthly Cost</t>
  </si>
  <si>
    <t>Gross Sales</t>
  </si>
  <si>
    <t>COGS</t>
  </si>
  <si>
    <t>Net Sales</t>
  </si>
  <si>
    <t>One time expenses</t>
  </si>
  <si>
    <t xml:space="preserve">Permits </t>
  </si>
  <si>
    <t>Investment</t>
  </si>
  <si>
    <t xml:space="preserve">Price </t>
  </si>
  <si>
    <t>Variable Cost per Unit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</si>
  <si>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</si>
  <si>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</si>
  <si>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</si>
  <si>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</si>
  <si>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</si>
  <si>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</si>
  <si>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</si>
  <si>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</si>
  <si>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</si>
  <si>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</si>
  <si>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Balance</t>
  </si>
  <si>
    <t>Initial Balance</t>
  </si>
  <si>
    <t>Expenses</t>
  </si>
  <si>
    <t>Total Fixed Costs</t>
  </si>
  <si>
    <t>Total Variable Costs</t>
  </si>
  <si>
    <t>Miscellaneous</t>
  </si>
  <si>
    <t>Advertising</t>
  </si>
  <si>
    <t>Break Even Analysis</t>
  </si>
  <si>
    <t>Month 53</t>
  </si>
  <si>
    <t>Credit Card fees</t>
  </si>
  <si>
    <t>Ammortization</t>
  </si>
  <si>
    <t>Fixed Quarterly Cost</t>
  </si>
  <si>
    <t>Quarter 1</t>
  </si>
  <si>
    <t>Quarter 2</t>
  </si>
  <si>
    <t>Quarter 3</t>
  </si>
  <si>
    <t>Quarter 4</t>
  </si>
  <si>
    <t>Monthly Growth rate</t>
  </si>
  <si>
    <t>Quarterly Growth rate</t>
  </si>
  <si>
    <t>Quarter 5</t>
  </si>
  <si>
    <t>Quarter 12</t>
  </si>
  <si>
    <t>Quarter 16</t>
  </si>
  <si>
    <t>Quarter 6</t>
  </si>
  <si>
    <t>Quarter 7</t>
  </si>
  <si>
    <t>Quarter 8</t>
  </si>
  <si>
    <t>Quarter 9</t>
  </si>
  <si>
    <t>Quarter 10</t>
  </si>
  <si>
    <t>Quarter 11</t>
  </si>
  <si>
    <t>Quarter 13</t>
  </si>
  <si>
    <t>Quarter 14</t>
  </si>
  <si>
    <t>Quarter 15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</si>
  <si>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</si>
  <si>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</si>
  <si>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</si>
  <si>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</si>
  <si>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</si>
  <si>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</si>
  <si>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</si>
  <si>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</si>
  <si>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Quarter 17</t>
  </si>
  <si>
    <t>Quarter 18</t>
  </si>
  <si>
    <t>Quarter 19</t>
  </si>
  <si>
    <t>Quarter 20</t>
  </si>
  <si>
    <t>Quarter 21</t>
  </si>
  <si>
    <t xml:space="preserve">Annual Growth rate </t>
  </si>
  <si>
    <t>Year 1</t>
  </si>
  <si>
    <t>Year 2</t>
  </si>
  <si>
    <t>Year 3</t>
  </si>
  <si>
    <t>Year 4</t>
  </si>
  <si>
    <t>Year 5</t>
  </si>
  <si>
    <t>Year 6</t>
  </si>
  <si>
    <t>Quarterly</t>
  </si>
  <si>
    <t>Annual</t>
  </si>
  <si>
    <t>Constants</t>
  </si>
  <si>
    <t>Values</t>
  </si>
  <si>
    <t>Amount</t>
  </si>
  <si>
    <t>Tool and Equipment</t>
  </si>
  <si>
    <t>Variable Cost for 1 Unit</t>
  </si>
  <si>
    <t>*</t>
  </si>
  <si>
    <t>Max income</t>
  </si>
  <si>
    <t>Min income</t>
  </si>
  <si>
    <t>QUARTERLY DATA</t>
  </si>
  <si>
    <t>YEARLY DATA</t>
  </si>
  <si>
    <t>\</t>
  </si>
  <si>
    <t>GRAPHS</t>
  </si>
  <si>
    <t>Price/Unit Data</t>
  </si>
  <si>
    <t>MONTHLY COSTS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</si>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</sst>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6"/>
      <color theme="0"/>
      <name val="Times New Roman"/>
      <family val="1"/>
    </font>
    <font>
      <sz val="18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2F2F2"/>
      </patternFill>
    </fill>
    <fill>
      <patternFill patternType="solid">
        <fgColor theme="5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1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9" fillId="0" borderId="9" applyNumberFormat="0" applyFill="0" applyAlignment="0" applyProtection="0"/>
    <xf numFmtId="0" fontId="10" fillId="6" borderId="10" applyNumberFormat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2" borderId="0" xfId="1" applyFont="1" applyBorder="1"/>
    <xf numFmtId="0" fontId="8" fillId="3" borderId="0" xfId="2" applyFont="1"/>
    <xf numFmtId="14" fontId="1" fillId="0" borderId="0" xfId="0" applyNumberFormat="1" applyFont="1" applyAlignment="1"/>
    <xf numFmtId="0" fontId="0" fillId="5" borderId="1" xfId="0" applyFont="1" applyFill="1" applyBorder="1"/>
    <xf numFmtId="1" fontId="0" fillId="0" borderId="0" xfId="0" applyNumberFormat="1" applyAlignment="1"/>
    <xf numFmtId="9" fontId="0" fillId="0" borderId="0" xfId="0" applyNumberFormat="1"/>
    <xf numFmtId="1" fontId="0" fillId="0" borderId="3" xfId="0" applyNumberFormat="1" applyBorder="1"/>
    <xf numFmtId="0" fontId="7" fillId="2" borderId="3" xfId="1" applyFont="1" applyBorder="1"/>
    <xf numFmtId="1" fontId="7" fillId="2" borderId="3" xfId="1" applyNumberFormat="1" applyFont="1" applyBorder="1" applyAlignment="1"/>
    <xf numFmtId="0" fontId="8" fillId="3" borderId="5" xfId="2" applyFont="1" applyBorder="1"/>
    <xf numFmtId="1" fontId="8" fillId="3" borderId="5" xfId="2" applyNumberFormat="1" applyFont="1" applyBorder="1" applyAlignment="1"/>
    <xf numFmtId="0" fontId="6" fillId="0" borderId="3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4" borderId="1" xfId="0" applyFont="1" applyFill="1" applyBorder="1"/>
    <xf numFmtId="0" fontId="5" fillId="4" borderId="1" xfId="0" applyFont="1" applyFill="1" applyBorder="1"/>
    <xf numFmtId="0" fontId="7" fillId="2" borderId="1" xfId="1" applyFont="1" applyFill="1" applyBorder="1"/>
    <xf numFmtId="0" fontId="8" fillId="3" borderId="2" xfId="2" applyFont="1" applyFill="1" applyBorder="1"/>
    <xf numFmtId="1" fontId="0" fillId="0" borderId="7" xfId="0" applyNumberFormat="1" applyBorder="1"/>
    <xf numFmtId="1" fontId="7" fillId="2" borderId="4" xfId="1" applyNumberFormat="1" applyFont="1" applyFill="1" applyBorder="1"/>
    <xf numFmtId="1" fontId="8" fillId="3" borderId="6" xfId="2" applyNumberFormat="1" applyFont="1" applyFill="1" applyBorder="1"/>
    <xf numFmtId="1" fontId="8" fillId="3" borderId="8" xfId="2" applyNumberFormat="1" applyFont="1" applyFill="1" applyBorder="1"/>
    <xf numFmtId="0" fontId="7" fillId="0" borderId="0" xfId="1" applyFont="1" applyFill="1" applyBorder="1"/>
    <xf numFmtId="0" fontId="0" fillId="0" borderId="0" xfId="0" applyFill="1"/>
    <xf numFmtId="0" fontId="8" fillId="0" borderId="0" xfId="2" applyFont="1" applyFill="1"/>
    <xf numFmtId="1" fontId="6" fillId="0" borderId="3" xfId="0" applyNumberFormat="1" applyFont="1" applyBorder="1"/>
    <xf numFmtId="1" fontId="7" fillId="2" borderId="3" xfId="1" applyNumberFormat="1" applyFont="1" applyBorder="1"/>
    <xf numFmtId="1" fontId="8" fillId="3" borderId="5" xfId="2" applyNumberFormat="1" applyFont="1" applyBorder="1"/>
    <xf numFmtId="0" fontId="10" fillId="6" borderId="10" xfId="4"/>
    <xf numFmtId="1" fontId="10" fillId="6" borderId="10" xfId="4" applyNumberFormat="1"/>
    <xf numFmtId="9" fontId="10" fillId="6" borderId="10" xfId="4" applyNumberFormat="1"/>
    <xf numFmtId="0" fontId="9" fillId="0" borderId="9" xfId="3"/>
    <xf numFmtId="0" fontId="10" fillId="6" borderId="10" xfId="4" applyFont="1"/>
    <xf numFmtId="0" fontId="0" fillId="5" borderId="13" xfId="0" applyFont="1" applyFill="1" applyBorder="1"/>
    <xf numFmtId="0" fontId="0" fillId="4" borderId="13" xfId="0" applyFont="1" applyFill="1" applyBorder="1"/>
    <xf numFmtId="0" fontId="0" fillId="5" borderId="15" xfId="0" applyFont="1" applyFill="1" applyBorder="1"/>
    <xf numFmtId="0" fontId="0" fillId="4" borderId="15" xfId="0" applyFont="1" applyFill="1" applyBorder="1"/>
    <xf numFmtId="0" fontId="11" fillId="7" borderId="12" xfId="0" applyFont="1" applyFill="1" applyBorder="1"/>
    <xf numFmtId="0" fontId="11" fillId="7" borderId="14" xfId="0" applyFont="1" applyFill="1" applyBorder="1"/>
    <xf numFmtId="1" fontId="0" fillId="5" borderId="13" xfId="0" applyNumberFormat="1" applyFont="1" applyFill="1" applyBorder="1"/>
    <xf numFmtId="1" fontId="0" fillId="5" borderId="15" xfId="0" applyNumberFormat="1" applyFont="1" applyFill="1" applyBorder="1"/>
    <xf numFmtId="1" fontId="0" fillId="4" borderId="13" xfId="0" applyNumberFormat="1" applyFont="1" applyFill="1" applyBorder="1"/>
    <xf numFmtId="1" fontId="0" fillId="4" borderId="15" xfId="0" applyNumberFormat="1" applyFont="1" applyFill="1" applyBorder="1"/>
    <xf numFmtId="1" fontId="6" fillId="4" borderId="4" xfId="0" applyNumberFormat="1" applyFont="1" applyFill="1" applyBorder="1"/>
    <xf numFmtId="1" fontId="6" fillId="4" borderId="16" xfId="0" applyNumberFormat="1" applyFont="1" applyFill="1" applyBorder="1"/>
    <xf numFmtId="1" fontId="7" fillId="2" borderId="16" xfId="1" applyNumberFormat="1" applyFont="1" applyFill="1" applyBorder="1"/>
    <xf numFmtId="1" fontId="8" fillId="3" borderId="17" xfId="2" applyNumberFormat="1" applyFont="1" applyFill="1" applyBorder="1"/>
    <xf numFmtId="0" fontId="11" fillId="7" borderId="11" xfId="0" applyFont="1" applyFill="1" applyBorder="1"/>
    <xf numFmtId="0" fontId="0" fillId="8" borderId="0" xfId="0" applyFill="1"/>
    <xf numFmtId="0" fontId="1" fillId="8" borderId="0" xfId="0" applyFont="1" applyFill="1"/>
    <xf numFmtId="0" fontId="6" fillId="8" borderId="0" xfId="0" applyFont="1" applyFill="1"/>
    <xf numFmtId="0" fontId="7" fillId="8" borderId="0" xfId="1" applyFont="1" applyFill="1" applyBorder="1"/>
    <xf numFmtId="0" fontId="8" fillId="8" borderId="0" xfId="2" applyFont="1" applyFill="1"/>
    <xf numFmtId="1" fontId="0" fillId="0" borderId="0" xfId="0" applyNumberFormat="1" applyFill="1"/>
    <xf numFmtId="1" fontId="8" fillId="0" borderId="0" xfId="2" applyNumberFormat="1" applyFont="1" applyFill="1"/>
    <xf numFmtId="0" fontId="11" fillId="0" borderId="0" xfId="0" applyFont="1"/>
    <xf numFmtId="0" fontId="12" fillId="0" borderId="0" xfId="0" applyFont="1"/>
    <xf numFmtId="1" fontId="12" fillId="0" borderId="0" xfId="0" applyNumberFormat="1" applyFont="1"/>
    <xf numFmtId="1" fontId="12" fillId="0" borderId="0" xfId="0" applyNumberFormat="1" applyFont="1" applyFill="1"/>
    <xf numFmtId="1" fontId="11" fillId="0" borderId="0" xfId="2" applyNumberFormat="1" applyFont="1" applyFill="1"/>
    <xf numFmtId="14" fontId="11" fillId="7" borderId="12" xfId="0" applyNumberFormat="1" applyFont="1" applyFill="1" applyBorder="1" applyAlignment="1"/>
    <xf numFmtId="1" fontId="0" fillId="4" borderId="4" xfId="0" applyNumberFormat="1" applyFont="1" applyFill="1" applyBorder="1"/>
    <xf numFmtId="1" fontId="7" fillId="2" borderId="4" xfId="1" applyNumberFormat="1" applyFont="1" applyFill="1" applyBorder="1" applyAlignment="1"/>
    <xf numFmtId="1" fontId="0" fillId="5" borderId="13" xfId="0" applyNumberFormat="1" applyFont="1" applyFill="1" applyBorder="1" applyAlignment="1"/>
    <xf numFmtId="1" fontId="8" fillId="3" borderId="6" xfId="2" applyNumberFormat="1" applyFont="1" applyFill="1" applyBorder="1" applyAlignment="1"/>
    <xf numFmtId="1" fontId="0" fillId="4" borderId="16" xfId="0" applyNumberFormat="1" applyFont="1" applyFill="1" applyBorder="1"/>
    <xf numFmtId="1" fontId="7" fillId="2" borderId="16" xfId="1" applyNumberFormat="1" applyFont="1" applyFill="1" applyBorder="1" applyAlignment="1"/>
    <xf numFmtId="1" fontId="8" fillId="3" borderId="17" xfId="2" applyNumberFormat="1" applyFont="1" applyFill="1" applyBorder="1" applyAlignment="1"/>
    <xf numFmtId="14" fontId="11" fillId="7" borderId="14" xfId="0" applyNumberFormat="1" applyFont="1" applyFill="1" applyBorder="1" applyAlignment="1"/>
    <xf numFmtId="0" fontId="12" fillId="8" borderId="23" xfId="0" applyFont="1" applyFill="1" applyBorder="1"/>
    <xf numFmtId="0" fontId="0" fillId="8" borderId="0" xfId="0" applyFill="1" applyBorder="1"/>
    <xf numFmtId="0" fontId="13" fillId="8" borderId="1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/>
    </xf>
    <xf numFmtId="0" fontId="13" fillId="8" borderId="27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" fillId="0" borderId="22" xfId="0" applyFont="1" applyBorder="1"/>
    <xf numFmtId="0" fontId="0" fillId="0" borderId="0" xfId="0" applyBorder="1"/>
    <xf numFmtId="0" fontId="15" fillId="0" borderId="31" xfId="0" applyFont="1" applyFill="1" applyBorder="1"/>
    <xf numFmtId="0" fontId="0" fillId="8" borderId="29" xfId="0" applyFill="1" applyBorder="1"/>
    <xf numFmtId="1" fontId="0" fillId="8" borderId="0" xfId="0" applyNumberFormat="1" applyFill="1"/>
    <xf numFmtId="0" fontId="1" fillId="9" borderId="0" xfId="0" applyFont="1" applyFill="1"/>
    <xf numFmtId="0" fontId="0" fillId="9" borderId="0" xfId="0" applyFill="1"/>
    <xf numFmtId="0" fontId="1" fillId="0" borderId="31" xfId="0" applyFont="1" applyBorder="1"/>
    <xf numFmtId="0" fontId="0" fillId="0" borderId="31" xfId="0" applyBorder="1"/>
    <xf numFmtId="1" fontId="0" fillId="0" borderId="31" xfId="0" applyNumberFormat="1" applyBorder="1"/>
    <xf numFmtId="0" fontId="11" fillId="10" borderId="31" xfId="0" applyFont="1" applyFill="1" applyBorder="1"/>
    <xf numFmtId="0" fontId="14" fillId="0" borderId="31" xfId="0" applyFont="1" applyFill="1" applyBorder="1"/>
    <xf numFmtId="0" fontId="1" fillId="9" borderId="30" xfId="0" applyFont="1" applyFill="1" applyBorder="1"/>
    <xf numFmtId="0" fontId="0" fillId="9" borderId="32" xfId="0" applyFill="1" applyBorder="1"/>
    <xf numFmtId="0" fontId="0" fillId="0" borderId="21" xfId="0" applyBorder="1"/>
    <xf numFmtId="0" fontId="1" fillId="0" borderId="20" xfId="0" applyFont="1" applyBorder="1"/>
    <xf numFmtId="0" fontId="0" fillId="0" borderId="19" xfId="0" applyBorder="1"/>
    <xf numFmtId="0" fontId="0" fillId="8" borderId="31" xfId="0" applyFill="1" applyBorder="1"/>
    <xf numFmtId="0" fontId="17" fillId="8" borderId="13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3" fillId="8" borderId="15" xfId="0" applyFont="1" applyFill="1" applyBorder="1" applyAlignment="1"/>
    <xf numFmtId="0" fontId="13" fillId="8" borderId="1" xfId="0" applyFont="1" applyFill="1" applyBorder="1" applyAlignment="1"/>
    <xf numFmtId="0" fontId="13" fillId="8" borderId="0" xfId="0" applyFont="1" applyFill="1" applyBorder="1" applyAlignment="1"/>
    <xf numFmtId="0" fontId="16" fillId="8" borderId="25" xfId="0" applyFont="1" applyFill="1" applyBorder="1" applyAlignment="1">
      <alignment horizontal="center"/>
    </xf>
  </cellXfs>
  <cellStyles count="5">
    <cellStyle name="Good" xfId="1" builtinId="26"/>
    <cellStyle name="Heading 2" xfId="3" builtinId="17"/>
    <cellStyle name="Neutral" xfId="2" builtinId="28"/>
    <cellStyle name="Normal" xfId="0" builtinId="0"/>
    <cellStyle name="Output" xfId="4" builtinId="21"/>
  </cellStyles>
  <dxfs count="17">
    <dxf>
      <fill>
        <patternFill patternType="solid">
          <fgColor indexed="64"/>
          <bgColor theme="5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" formatCode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 Costs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B9-6B49-A13F-CE4B1DF64B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B9-6B49-A13F-CE4B1DF64BB5}"/>
              </c:ext>
            </c:extLst>
          </c:dPt>
          <c:cat>
            <c:strRef>
              <c:f>('Monthly Costs'!$B$10,'Monthly Costs'!$B$19)</c:f>
              <c:strCache>
                <c:ptCount val="2"/>
                <c:pt idx="0">
                  <c:v>Total Fixed Costs</c:v>
                </c:pt>
                <c:pt idx="1">
                  <c:v>Total Variable Costs</c:v>
                </c:pt>
              </c:strCache>
            </c:strRef>
          </c:cat>
          <c:val>
            <c:numRef>
              <c:f>('Monthly Costs'!$C$10,'Monthly Costs'!$C$19)</c:f>
              <c:numCache>
                <c:formatCode>General</c:formatCode>
                <c:ptCount val="2"/>
                <c:pt idx="0">
                  <c:v>5300</c:v>
                </c:pt>
                <c:pt idx="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7644-B341-33083CE3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Income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2524606692417"/>
          <c:y val="0.16303727788990269"/>
          <c:w val="0.80765594925634299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v>"Annual Income"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'Formatted budget'!$L$21:$Q$21</c:f>
              <c:numCache>
                <c:formatCode>0</c:formatCode>
                <c:ptCount val="6"/>
                <c:pt idx="0">
                  <c:v>-60868.6</c:v>
                </c:pt>
                <c:pt idx="1">
                  <c:v>-53183.820218831985</c:v>
                </c:pt>
                <c:pt idx="2">
                  <c:v>-46923.360575956758</c:v>
                </c:pt>
                <c:pt idx="3">
                  <c:v>-36900.16298467078</c:v>
                </c:pt>
                <c:pt idx="4">
                  <c:v>-20852.700707951968</c:v>
                </c:pt>
                <c:pt idx="5">
                  <c:v>4839.803423324367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004D-88DB-7A8B26CB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31824"/>
        <c:axId val="368434664"/>
      </c:lineChart>
      <c:catAx>
        <c:axId val="4609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34664"/>
        <c:crosses val="autoZero"/>
        <c:auto val="1"/>
        <c:lblAlgn val="ctr"/>
        <c:lblOffset val="100"/>
        <c:noMultiLvlLbl val="0"/>
      </c:catAx>
      <c:valAx>
        <c:axId val="3684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  <a:r>
                  <a:rPr lang="en-CA" baseline="0"/>
                  <a:t> Generated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Quarterly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'Formatted budget'!$U$9:$U$29</c:f>
              <c:numCache>
                <c:formatCode>0</c:formatCode>
                <c:ptCount val="21"/>
                <c:pt idx="0" formatCode="General">
                  <c:v>-15900</c:v>
                </c:pt>
                <c:pt idx="1">
                  <c:v>-15900</c:v>
                </c:pt>
                <c:pt idx="2">
                  <c:v>-15900</c:v>
                </c:pt>
                <c:pt idx="3">
                  <c:v>-13168.599999999999</c:v>
                </c:pt>
                <c:pt idx="4">
                  <c:v>-12827.546470399997</c:v>
                </c:pt>
                <c:pt idx="5">
                  <c:v>-12443.907632880029</c:v>
                </c:pt>
                <c:pt idx="6">
                  <c:v>-12012.366115551959</c:v>
                </c:pt>
                <c:pt idx="7">
                  <c:v>-11526.940598204237</c:v>
                </c:pt>
                <c:pt idx="8">
                  <c:v>-10980.902909058408</c:v>
                </c:pt>
                <c:pt idx="9">
                  <c:v>-10366.684769895081</c:v>
                </c:pt>
                <c:pt idx="10">
                  <c:v>-9675.7728970032476</c:v>
                </c:pt>
                <c:pt idx="11">
                  <c:v>-8898.59100401467</c:v>
                </c:pt>
                <c:pt idx="12">
                  <c:v>-8024.3670711399463</c:v>
                </c:pt>
                <c:pt idx="13">
                  <c:v>-7040.9840411107725</c:v>
                </c:pt>
                <c:pt idx="14">
                  <c:v>-5934.8118724200322</c:v>
                </c:pt>
                <c:pt idx="15">
                  <c:v>-4690.5186220578908</c:v>
                </c:pt>
                <c:pt idx="16">
                  <c:v>-3290.8579392825195</c:v>
                </c:pt>
                <c:pt idx="17">
                  <c:v>-1716.4300250130764</c:v>
                </c:pt>
                <c:pt idx="18">
                  <c:v>54.587256343686022</c:v>
                </c:pt>
                <c:pt idx="19">
                  <c:v>2046.7408395197708</c:v>
                </c:pt>
                <c:pt idx="20">
                  <c:v>4287.6426877055783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87B-A665-B8C1AB5C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02431"/>
        <c:axId val="1624305759"/>
      </c:lineChart>
      <c:catAx>
        <c:axId val="16243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05759"/>
        <c:crosses val="autoZero"/>
        <c:auto val="1"/>
        <c:lblAlgn val="ctr"/>
        <c:lblOffset val="100"/>
        <c:noMultiLvlLbl val="0"/>
      </c:catAx>
      <c:valAx>
        <c:axId val="16243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Progit</a:t>
                </a:r>
                <a:r>
                  <a:rPr lang="en-CA" baseline="0"/>
                  <a:t> Generated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'Monthly Budget'!$W$9:$W$68</c:f>
              <c:numCache>
                <c:formatCode>General</c:formatCode>
                <c:ptCount val="60"/>
                <c:pt idx="0">
                  <c:v>-5300</c:v>
                </c:pt>
                <c:pt idx="1">
                  <c:v>-5300</c:v>
                </c:pt>
                <c:pt idx="2">
                  <c:v>-5300</c:v>
                </c:pt>
                <c:pt idx="3" formatCode="0">
                  <c:v>-5300</c:v>
                </c:pt>
                <c:pt idx="4" formatCode="0">
                  <c:v>-5300</c:v>
                </c:pt>
                <c:pt idx="5" formatCode="0">
                  <c:v>-5300</c:v>
                </c:pt>
                <c:pt idx="6" formatCode="0">
                  <c:v>-5300</c:v>
                </c:pt>
                <c:pt idx="7" formatCode="0">
                  <c:v>-5300</c:v>
                </c:pt>
                <c:pt idx="8" formatCode="0">
                  <c:v>-5300</c:v>
                </c:pt>
                <c:pt idx="9" formatCode="0">
                  <c:v>-4425</c:v>
                </c:pt>
                <c:pt idx="10" formatCode="0">
                  <c:v>-4353.6000000000004</c:v>
                </c:pt>
                <c:pt idx="11" formatCode="0">
                  <c:v>-4315.7440000000006</c:v>
                </c:pt>
                <c:pt idx="12" formatCode="0">
                  <c:v>-4276.3737600000004</c:v>
                </c:pt>
                <c:pt idx="13" formatCode="0">
                  <c:v>-4235.4287103999995</c:v>
                </c:pt>
                <c:pt idx="14" formatCode="0">
                  <c:v>-4192.8458588159992</c:v>
                </c:pt>
                <c:pt idx="15" formatCode="0">
                  <c:v>-4148.5596931686396</c:v>
                </c:pt>
                <c:pt idx="16" formatCode="0">
                  <c:v>-4102.5020808953868</c:v>
                </c:pt>
                <c:pt idx="17" formatCode="0">
                  <c:v>-4054.6021641312018</c:v>
                </c:pt>
                <c:pt idx="18" formatCode="0">
                  <c:v>-4004.7862506964484</c:v>
                </c:pt>
                <c:pt idx="19" formatCode="0">
                  <c:v>-3952.9777007243065</c:v>
                </c:pt>
                <c:pt idx="20" formatCode="0">
                  <c:v>-3899.0968087532801</c:v>
                </c:pt>
                <c:pt idx="21" formatCode="0">
                  <c:v>-3843.0606811034086</c:v>
                </c:pt>
                <c:pt idx="22" formatCode="0">
                  <c:v>-3784.7831083475467</c:v>
                </c:pt>
                <c:pt idx="23" formatCode="0">
                  <c:v>-3724.1744326814514</c:v>
                </c:pt>
                <c:pt idx="24" formatCode="0">
                  <c:v>-3661.1414099887043</c:v>
                </c:pt>
                <c:pt idx="25" formatCode="0">
                  <c:v>-3595.5870663882524</c:v>
                </c:pt>
                <c:pt idx="26" formatCode="0">
                  <c:v>-3527.4105490437832</c:v>
                </c:pt>
                <c:pt idx="27" formatCode="0">
                  <c:v>-3456.5069710055359</c:v>
                </c:pt>
                <c:pt idx="28" formatCode="0">
                  <c:v>-3382.7672498457578</c:v>
                </c:pt>
                <c:pt idx="29" formatCode="0">
                  <c:v>-3306.0779398395898</c:v>
                </c:pt>
                <c:pt idx="30" formatCode="0">
                  <c:v>-3226.3210574331752</c:v>
                </c:pt>
                <c:pt idx="31" formatCode="0">
                  <c:v>-3143.3738997304972</c:v>
                </c:pt>
                <c:pt idx="32" formatCode="0">
                  <c:v>-3057.1088557197218</c:v>
                </c:pt>
                <c:pt idx="33" formatCode="0">
                  <c:v>-2967.39320994851</c:v>
                </c:pt>
                <c:pt idx="34" formatCode="0">
                  <c:v>-2874.0889383464455</c:v>
                </c:pt>
                <c:pt idx="35" formatCode="0">
                  <c:v>-2777.0524958803071</c:v>
                </c:pt>
                <c:pt idx="36" formatCode="0">
                  <c:v>-2676.1345957155208</c:v>
                </c:pt>
                <c:pt idx="37" formatCode="0">
                  <c:v>-2571.1799795441402</c:v>
                </c:pt>
                <c:pt idx="38" formatCode="0">
                  <c:v>-2462.0271787259007</c:v>
                </c:pt>
                <c:pt idx="39" formatCode="0">
                  <c:v>-2348.5082658749379</c:v>
                </c:pt>
                <c:pt idx="40" formatCode="0">
                  <c:v>-2230.4485965099448</c:v>
                </c:pt>
                <c:pt idx="41" formatCode="0">
                  <c:v>-2107.6665403703373</c:v>
                </c:pt>
                <c:pt idx="42" formatCode="0">
                  <c:v>-1979.9732019851508</c:v>
                </c:pt>
                <c:pt idx="43" formatCode="0">
                  <c:v>-1847.1721300645513</c:v>
                </c:pt>
                <c:pt idx="44" formatCode="0">
                  <c:v>-1709.0590152671357</c:v>
                </c:pt>
                <c:pt idx="45" formatCode="0">
                  <c:v>-1565.4213758778205</c:v>
                </c:pt>
                <c:pt idx="46" formatCode="0">
                  <c:v>-1416.0382309129418</c:v>
                </c:pt>
                <c:pt idx="47" formatCode="0">
                  <c:v>-1260.6797601494545</c:v>
                </c:pt>
                <c:pt idx="48" formatCode="0">
                  <c:v>-1099.1069505554333</c:v>
                </c:pt>
                <c:pt idx="49" formatCode="0">
                  <c:v>-931.07122857764625</c:v>
                </c:pt>
                <c:pt idx="50" formatCode="0">
                  <c:v>-756.31407772075909</c:v>
                </c:pt>
                <c:pt idx="51" formatCode="0">
                  <c:v>-574.56664082958741</c:v>
                </c:pt>
                <c:pt idx="52" formatCode="0">
                  <c:v>-385.54930646277353</c:v>
                </c:pt>
                <c:pt idx="53" formatCode="0">
                  <c:v>-188.97127872127749</c:v>
                </c:pt>
                <c:pt idx="54" formatCode="0">
                  <c:v>15.469870129869378</c:v>
                </c:pt>
                <c:pt idx="55" formatCode="0">
                  <c:v>228.08866493506503</c:v>
                </c:pt>
                <c:pt idx="56" formatCode="0">
                  <c:v>449.21221153246006</c:v>
                </c:pt>
                <c:pt idx="57" formatCode="0">
                  <c:v>679.18069999376894</c:v>
                </c:pt>
                <c:pt idx="58" formatCode="0">
                  <c:v>918.34792799351271</c:v>
                </c:pt>
                <c:pt idx="59" formatCode="0">
                  <c:v>1167.0818451132654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2-4CF5-B687-EF2C4744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37073999"/>
        <c:axId val="1437076911"/>
      </c:lineChart>
      <c:catAx>
        <c:axId val="143707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76911"/>
        <c:crosses val="autoZero"/>
        <c:auto val="1"/>
        <c:lblAlgn val="ctr"/>
        <c:lblOffset val="100"/>
        <c:noMultiLvlLbl val="0"/>
      </c:catAx>
      <c:valAx>
        <c:axId val="14370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1994</xdr:colOff>
      <xdr:row>13</xdr:row>
      <xdr:rowOff>11430</xdr:rowOff>
    </xdr:from>
    <xdr:to>
      <xdr:col>6</xdr:col>
      <xdr:colOff>1</xdr:colOff>
      <xdr:row>25</xdr:row>
      <xdr:rowOff>174939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F8C6F-A79F-C846-A823-958DDAEB8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320376</xdr:colOff>
      <xdr:row>26</xdr:row>
      <xdr:rowOff>84777</xdr:rowOff>
    </xdr:from>
    <xdr:to>
      <xdr:col>17</xdr:col>
      <xdr:colOff>15901</xdr:colOff>
      <xdr:row>40</xdr:row>
      <xdr:rowOff>66891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797D7-7A9B-174D-A6F2-4BF7B840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2098</xdr:colOff>
      <xdr:row>41</xdr:row>
      <xdr:rowOff>22503</xdr:rowOff>
    </xdr:from>
    <xdr:to>
      <xdr:col>17</xdr:col>
      <xdr:colOff>0</xdr:colOff>
      <xdr:row>55</xdr:row>
      <xdr:rowOff>125400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6206B-2CB7-4CF1-9E46-5D3F46D8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21628</xdr:colOff>
      <xdr:row>67</xdr:row>
      <xdr:rowOff>154081</xdr:rowOff>
    </xdr:from>
    <xdr:to>
      <xdr:col>18</xdr:col>
      <xdr:colOff>1</xdr:colOff>
      <xdr:row>95</xdr:row>
      <xdr:rowOff>28015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111160-3E38-488E-927F-43F65A318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3AA718-8B52-3D47-A5B0-F874FF081CF7}" name="Table9" displayName="Table9" ref="B4:C10" totalsRowShown="0" headerRowDxfId="12">
  <autoFilter ref="B4:C10" xr:uid="{8234CEC3-498F-4548-8E18-66EDC41F280C}"/>
  <tableColumns count="2">
    <tableColumn id="1" xr3:uid="{10D0C87C-F51D-E444-B42F-304DB090B920}" name="Fixed Costs" dataDxfId="9"/>
    <tableColumn id="2" xr3:uid="{3F8E5290-D5EE-3F49-BB48-70B4EE7AB39F}" name="Amount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83FAC2-6743-DB49-B303-B9E3DB86AA08}" name="Table10" displayName="Table10" ref="B13:C19" totalsRowShown="0" headerRowDxfId="0" headerRowBorderDxfId="4" tableBorderDxfId="5" totalsRowBorderDxfId="3">
  <autoFilter ref="B13:C19" xr:uid="{E05FEE0B-46A9-B947-92E1-CDF25421E749}"/>
  <tableColumns count="2">
    <tableColumn id="1" xr3:uid="{0E9E55CC-6BE0-EF4D-A921-0203998B0F0F}" name="Variable Costs" dataDxfId="2"/>
    <tableColumn id="2" xr3:uid="{EAE97EE8-A194-5C4D-A54E-B455A47DE190}" name="Amount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13B6C8-FEAD-EB44-96F3-C58D9CBF0A0C}" name="Table11" displayName="Table11" ref="B21:C26" totalsRowShown="0" headerRowDxfId="10">
  <autoFilter ref="B21:C26" xr:uid="{C5B9329D-E491-A24A-A675-0FC0A09181F6}"/>
  <tableColumns count="2">
    <tableColumn id="1" xr3:uid="{351555DB-51D3-E547-9778-1F10172AAB55}" name="One time expenses" dataDxfId="16"/>
    <tableColumn id="2" xr3:uid="{6C9AC0B8-4725-A546-A0F4-B273A4F24DDD}" name="Amou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35C25C-3DCA-7240-9F94-AEFE88F225D7}" name="Table12" displayName="Table12" ref="E4:F8" totalsRowShown="0" headerRowDxfId="11">
  <autoFilter ref="E4:F8" xr:uid="{92DD2383-FCC9-984A-9A24-23540B695AEA}"/>
  <tableColumns count="2">
    <tableColumn id="1" xr3:uid="{76625D90-A5DF-2A40-8E3A-88A663BE9B0B}" name="Break Even Analysis" dataDxfId="7"/>
    <tableColumn id="2" xr3:uid="{02FCC395-11A7-934E-A9B7-16F2640306E6}" name="Amount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78625-9B93-0A4D-BF36-E93D8ED3ABE7}" name="Table1" displayName="Table1" ref="B10:I23" totalsRowShown="0" headerRowDxfId="14">
  <autoFilter ref="B10:I23" xr:uid="{CB3E7931-51AD-AC4B-8CF2-7514976429D4}"/>
  <tableColumns count="8">
    <tableColumn id="1" xr3:uid="{F5195A5C-52FB-5747-80B8-630C1C57F03D}" name="Quarterly"/>
    <tableColumn id="2" xr3:uid="{03500C06-8BFF-9E4F-889A-6EE9F2131AE2}" name="Quarter 1"/>
    <tableColumn id="3" xr3:uid="{95335152-D6E1-CF44-AD7E-179CC3DFD1B8}" name="Quarter 2"/>
    <tableColumn id="4" xr3:uid="{5BC1E14A-A735-A742-BE80-1CAE7D36F01F}" name="Quarter 3"/>
    <tableColumn id="5" xr3:uid="{606DFCE4-3BE1-4840-B99B-FAC677576187}" name="Quarter 4"/>
    <tableColumn id="6" xr3:uid="{5CC4E677-49D0-D341-BFAB-C9F821D22147}" name="Quarter 5"/>
    <tableColumn id="7" xr3:uid="{6F06B728-020C-F245-BD57-61D752E0D7BE}" name="Quarter 6"/>
    <tableColumn id="8" xr3:uid="{DE622DCB-92FD-E048-B19D-DFCFF18AA1E4}" name="Quarter 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97C46D-452B-A447-B05A-76FF67951632}" name="Table2" displayName="Table2" ref="K10:Q23" totalsRowShown="0" headerRowDxfId="13">
  <autoFilter ref="K10:Q23" xr:uid="{AF54C273-40AB-544C-A5DA-7A740E44723B}"/>
  <tableColumns count="7">
    <tableColumn id="1" xr3:uid="{35607F1F-4240-1349-B176-F83AF1618366}" name="Annual"/>
    <tableColumn id="2" xr3:uid="{470DF276-3EA2-6449-8AD8-F2DDAA5D9EFF}" name="Year 1"/>
    <tableColumn id="3" xr3:uid="{D9833441-D137-A843-BEEA-D128FA681CBA}" name="Year 2"/>
    <tableColumn id="4" xr3:uid="{EBAD763B-D2D1-FF49-8268-5CB8E3896624}" name="Year 3"/>
    <tableColumn id="5" xr3:uid="{B198AF71-C053-DA48-A5E7-9CCCC1AA537E}" name="Year 4"/>
    <tableColumn id="6" xr3:uid="{E81D1C7D-D0F3-F341-8954-16FEA15F7042}" name="Year 5"/>
    <tableColumn id="7" xr3:uid="{3BDEB249-AA89-2347-99FF-B1885A00367B}" name="Year 6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AAA764-8638-104B-A929-B80D442651FF}" name="Table8" displayName="Table8" ref="K2:L6" totalsRowShown="0">
  <autoFilter ref="K2:L6" xr:uid="{B0877708-5093-8644-BA45-02ACF1500C80}"/>
  <tableColumns count="2">
    <tableColumn id="1" xr3:uid="{10D64D06-3E5F-9E4E-9539-AAFD436B973B}" name="Constants"/>
    <tableColumn id="2" xr3:uid="{1AD46768-E21E-AF43-A0AC-1C9D7C4A1126}" name="Values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0953E-853B-4E99-9183-7A38706C14ED}" name="Table85" displayName="Table85" ref="B2:C6" totalsRowShown="0">
  <autoFilter ref="B2:C6" xr:uid="{4E4428A0-F684-48FE-B435-A35FC90C9FBE}"/>
  <tableColumns count="2">
    <tableColumn id="1" xr3:uid="{2B032C1E-0215-4238-B599-D7A773AB8F28}" name="Constants"/>
    <tableColumn id="2" xr3:uid="{28D9094F-5B85-46D6-8FF1-6AD5386B4DF0}" name="Values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AF51-76B2-3545-AB34-4D7F88ED2338}" name="Table3" displayName="Table3" ref="B8:Q21" totalsRowShown="0" headerRowDxfId="15">
  <autoFilter ref="B8:Q21" xr:uid="{ED65003D-CB14-E145-8F8A-6FA0C3AF25E2}"/>
  <tableColumns count="16">
    <tableColumn id="1" xr3:uid="{B24E06F1-9A4A-9344-9822-B7A11ED37B04}" name="*"/>
    <tableColumn id="3" xr3:uid="{F4BB90DD-66E9-0C4C-912D-830B23A160FE}" name="Month 1"/>
    <tableColumn id="4" xr3:uid="{3F1B95CC-E0A9-F543-9E3D-186A0D9E1B91}" name="Month 2"/>
    <tableColumn id="5" xr3:uid="{5FDAAFBF-491E-124F-B8EA-0EED1CD546CE}" name="Month 3"/>
    <tableColumn id="6" xr3:uid="{B15CA46A-7D45-5246-950A-6CF43C257D2D}" name="Month 4"/>
    <tableColumn id="7" xr3:uid="{C88BFC6C-7317-3F4D-B981-E076987A09BB}" name="Month 5"/>
    <tableColumn id="8" xr3:uid="{B62B2D92-B502-C949-B95B-E3E380BB1BF2}" name="Month 6"/>
    <tableColumn id="9" xr3:uid="{B4A70777-141A-A243-A618-4F89898F1730}" name="Month 7"/>
    <tableColumn id="10" xr3:uid="{06D6C2B8-F4D4-DB4E-950B-7D7439DD9EFD}" name="Month 8"/>
    <tableColumn id="11" xr3:uid="{E686F24A-7A8C-8E42-962E-34FAE94FF980}" name="Month 9"/>
    <tableColumn id="12" xr3:uid="{3945CA30-5FAF-A240-9C73-F877D3C2BEE0}" name="Month 10"/>
    <tableColumn id="13" xr3:uid="{92F81285-AE76-E94A-B1E1-DFA3EF1113B2}" name="Month 11"/>
    <tableColumn id="14" xr3:uid="{5C5D3B2F-4988-C74F-9C75-A535BF896C97}" name="Month 12"/>
    <tableColumn id="15" xr3:uid="{83D36C46-B774-0B44-A0A4-FC5399F49641}" name="Month 13"/>
    <tableColumn id="16" xr3:uid="{68065C4B-C2F6-EB41-BFAA-4D66C400B3A5}" name="Month 14"/>
    <tableColumn id="17" xr3:uid="{94381764-70A0-5549-BC4C-FB58BC550090}" name="Month 1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78CD-DC12-420C-A7F1-126977AFFB10}">
  <dimension ref="A1:I27"/>
  <sheetViews>
    <sheetView tabSelected="1" zoomScaleNormal="100" workbookViewId="0">
      <selection activeCell="K6" sqref="K6"/>
    </sheetView>
  </sheetViews>
  <sheetFormatPr defaultColWidth="8.77734375" defaultRowHeight="14.4" x14ac:dyDescent="0.3"/>
  <cols>
    <col min="1" max="1" width="2.44140625" customWidth="1"/>
    <col min="2" max="2" width="21" bestFit="1" customWidth="1"/>
    <col min="3" max="3" width="10" customWidth="1"/>
    <col min="4" max="4" width="3" customWidth="1"/>
    <col min="5" max="5" width="23.5546875" bestFit="1" customWidth="1"/>
    <col min="6" max="6" width="10.109375" bestFit="1" customWidth="1"/>
    <col min="7" max="7" width="2.21875" customWidth="1"/>
    <col min="12" max="12" width="9.44140625" bestFit="1" customWidth="1"/>
  </cols>
  <sheetData>
    <row r="1" spans="1:9" x14ac:dyDescent="0.3">
      <c r="A1" s="55"/>
      <c r="B1" s="55"/>
      <c r="C1" s="55"/>
      <c r="D1" s="55"/>
      <c r="E1" s="55"/>
      <c r="F1" s="55"/>
      <c r="G1" s="55"/>
    </row>
    <row r="2" spans="1:9" ht="22.8" x14ac:dyDescent="0.4">
      <c r="A2" s="55"/>
      <c r="B2" s="103" t="s">
        <v>141</v>
      </c>
      <c r="C2" s="103"/>
      <c r="D2" s="103"/>
      <c r="E2" s="103"/>
      <c r="F2" s="103"/>
      <c r="G2" s="55"/>
    </row>
    <row r="3" spans="1:9" x14ac:dyDescent="0.3">
      <c r="A3" s="55"/>
      <c r="B3" s="55"/>
      <c r="C3" s="55"/>
      <c r="D3" s="55"/>
      <c r="E3" s="55"/>
      <c r="F3" s="55"/>
      <c r="G3" s="55"/>
    </row>
    <row r="4" spans="1:9" x14ac:dyDescent="0.3">
      <c r="A4" s="55"/>
      <c r="B4" s="90" t="s">
        <v>0</v>
      </c>
      <c r="C4" s="91" t="s">
        <v>130</v>
      </c>
      <c r="D4" s="55"/>
      <c r="E4" s="90" t="s">
        <v>83</v>
      </c>
      <c r="F4" s="91" t="s">
        <v>130</v>
      </c>
      <c r="G4" s="55"/>
    </row>
    <row r="5" spans="1:9" x14ac:dyDescent="0.3">
      <c r="A5" s="55"/>
      <c r="B5" s="92" t="s">
        <v>1</v>
      </c>
      <c r="C5" s="93">
        <v>1100</v>
      </c>
      <c r="D5" s="55"/>
      <c r="E5" s="92" t="s">
        <v>11</v>
      </c>
      <c r="F5" s="94">
        <f>F11*F12</f>
        <v>65114.285714285761</v>
      </c>
      <c r="G5" s="55"/>
    </row>
    <row r="6" spans="1:9" x14ac:dyDescent="0.3">
      <c r="A6" s="55"/>
      <c r="B6" s="92" t="s">
        <v>2</v>
      </c>
      <c r="C6" s="93">
        <v>2500</v>
      </c>
      <c r="D6" s="55"/>
      <c r="E6" s="92" t="s">
        <v>12</v>
      </c>
      <c r="F6" s="94">
        <f>C19*F12</f>
        <v>59814.285714285754</v>
      </c>
      <c r="G6" s="55"/>
    </row>
    <row r="7" spans="1:9" x14ac:dyDescent="0.3">
      <c r="A7" s="55"/>
      <c r="B7" s="92" t="s">
        <v>3</v>
      </c>
      <c r="C7" s="93">
        <v>700</v>
      </c>
      <c r="D7" s="55"/>
      <c r="E7" s="92" t="s">
        <v>0</v>
      </c>
      <c r="F7" s="94">
        <f>C10</f>
        <v>5300</v>
      </c>
      <c r="G7" s="55"/>
    </row>
    <row r="8" spans="1:9" x14ac:dyDescent="0.3">
      <c r="A8" s="55"/>
      <c r="B8" s="92" t="s">
        <v>86</v>
      </c>
      <c r="C8" s="93">
        <v>200</v>
      </c>
      <c r="D8" s="55"/>
      <c r="E8" s="92" t="s">
        <v>13</v>
      </c>
      <c r="F8" s="94">
        <f>SUM(F5-F6-F7)</f>
        <v>7.2759576141834259E-12</v>
      </c>
      <c r="G8" s="55"/>
    </row>
    <row r="9" spans="1:9" ht="13.95" customHeight="1" x14ac:dyDescent="0.3">
      <c r="A9" s="55"/>
      <c r="B9" s="92" t="s">
        <v>4</v>
      </c>
      <c r="C9" s="93">
        <v>800</v>
      </c>
      <c r="D9" s="55"/>
      <c r="E9" s="102"/>
      <c r="F9" s="102"/>
      <c r="G9" s="55"/>
    </row>
    <row r="10" spans="1:9" x14ac:dyDescent="0.3">
      <c r="A10" s="55"/>
      <c r="B10" s="92" t="s">
        <v>79</v>
      </c>
      <c r="C10" s="93">
        <f>SUM(C5:C9)</f>
        <v>5300</v>
      </c>
      <c r="D10" s="55"/>
      <c r="E10" s="95" t="s">
        <v>140</v>
      </c>
      <c r="F10" s="95" t="s">
        <v>130</v>
      </c>
      <c r="G10" s="55"/>
    </row>
    <row r="11" spans="1:9" x14ac:dyDescent="0.3">
      <c r="A11" s="55"/>
      <c r="B11" s="55"/>
      <c r="C11" s="55"/>
      <c r="D11" s="88"/>
      <c r="E11" s="96" t="s">
        <v>9</v>
      </c>
      <c r="F11" s="87">
        <v>430</v>
      </c>
      <c r="G11" s="55"/>
    </row>
    <row r="12" spans="1:9" x14ac:dyDescent="0.3">
      <c r="A12" s="55"/>
      <c r="B12" s="104" t="s">
        <v>132</v>
      </c>
      <c r="C12" s="104"/>
      <c r="D12" s="88"/>
      <c r="E12" s="92" t="s">
        <v>10</v>
      </c>
      <c r="F12" s="93">
        <v>151.42857142857153</v>
      </c>
      <c r="G12" s="55"/>
    </row>
    <row r="13" spans="1:9" x14ac:dyDescent="0.3">
      <c r="A13" s="55"/>
      <c r="B13" s="97" t="s">
        <v>5</v>
      </c>
      <c r="C13" s="98" t="s">
        <v>130</v>
      </c>
      <c r="D13" s="55"/>
      <c r="E13" s="55"/>
      <c r="F13" s="55"/>
      <c r="G13" s="55"/>
      <c r="H13" s="86"/>
      <c r="I13" s="86"/>
    </row>
    <row r="14" spans="1:9" x14ac:dyDescent="0.3">
      <c r="A14" s="55"/>
      <c r="B14" s="85" t="s">
        <v>6</v>
      </c>
      <c r="C14" s="99">
        <v>230</v>
      </c>
      <c r="D14" s="55"/>
      <c r="G14" s="55"/>
      <c r="H14" s="86"/>
      <c r="I14" s="86"/>
    </row>
    <row r="15" spans="1:9" x14ac:dyDescent="0.3">
      <c r="A15" s="55"/>
      <c r="B15" s="85" t="s">
        <v>7</v>
      </c>
      <c r="C15" s="99">
        <v>80</v>
      </c>
      <c r="D15" s="55"/>
      <c r="G15" s="55"/>
      <c r="H15" s="86"/>
      <c r="I15" s="86"/>
    </row>
    <row r="16" spans="1:9" x14ac:dyDescent="0.3">
      <c r="A16" s="55"/>
      <c r="B16" s="85" t="s">
        <v>85</v>
      </c>
      <c r="C16" s="99">
        <v>10</v>
      </c>
      <c r="D16" s="55"/>
      <c r="G16" s="89"/>
    </row>
    <row r="17" spans="1:7" x14ac:dyDescent="0.3">
      <c r="A17" s="55"/>
      <c r="B17" s="85" t="s">
        <v>8</v>
      </c>
      <c r="C17" s="99">
        <v>25</v>
      </c>
      <c r="D17" s="55"/>
      <c r="G17" s="55"/>
    </row>
    <row r="18" spans="1:7" x14ac:dyDescent="0.3">
      <c r="A18" s="55"/>
      <c r="B18" s="85" t="s">
        <v>82</v>
      </c>
      <c r="C18" s="99">
        <v>50</v>
      </c>
      <c r="D18" s="55"/>
      <c r="G18" s="55"/>
    </row>
    <row r="19" spans="1:7" x14ac:dyDescent="0.3">
      <c r="A19" s="55"/>
      <c r="B19" s="100" t="s">
        <v>80</v>
      </c>
      <c r="C19" s="101">
        <f>SUM(C14:C18)</f>
        <v>395</v>
      </c>
      <c r="D19" s="55"/>
      <c r="G19" s="55"/>
    </row>
    <row r="20" spans="1:7" x14ac:dyDescent="0.3">
      <c r="A20" s="55"/>
      <c r="B20" s="55"/>
      <c r="C20" s="55"/>
      <c r="D20" s="55"/>
      <c r="G20" s="55"/>
    </row>
    <row r="21" spans="1:7" x14ac:dyDescent="0.3">
      <c r="A21" s="55"/>
      <c r="B21" s="90" t="s">
        <v>61</v>
      </c>
      <c r="C21" s="91" t="s">
        <v>130</v>
      </c>
      <c r="D21" s="55"/>
      <c r="G21" s="55"/>
    </row>
    <row r="22" spans="1:7" x14ac:dyDescent="0.3">
      <c r="A22" s="55"/>
      <c r="B22" s="1" t="s">
        <v>131</v>
      </c>
      <c r="C22">
        <v>700</v>
      </c>
      <c r="D22" s="55"/>
      <c r="G22" s="55"/>
    </row>
    <row r="23" spans="1:7" x14ac:dyDescent="0.3">
      <c r="A23" s="55"/>
      <c r="B23" s="1" t="s">
        <v>62</v>
      </c>
      <c r="C23">
        <v>900</v>
      </c>
      <c r="D23" s="55"/>
      <c r="G23" s="55"/>
    </row>
    <row r="24" spans="1:7" x14ac:dyDescent="0.3">
      <c r="A24" s="55"/>
      <c r="B24" s="1" t="s">
        <v>81</v>
      </c>
      <c r="C24">
        <v>400</v>
      </c>
      <c r="D24" s="55"/>
      <c r="G24" s="55"/>
    </row>
    <row r="25" spans="1:7" x14ac:dyDescent="0.3">
      <c r="A25" s="55"/>
      <c r="B25" s="1" t="s">
        <v>63</v>
      </c>
      <c r="C25">
        <v>-2000</v>
      </c>
      <c r="D25" s="55"/>
      <c r="G25" s="55"/>
    </row>
    <row r="26" spans="1:7" x14ac:dyDescent="0.3">
      <c r="A26" s="55"/>
      <c r="B26" s="1" t="s">
        <v>14</v>
      </c>
      <c r="C26">
        <f>SUM(C22:C25)</f>
        <v>0</v>
      </c>
      <c r="D26" s="55"/>
      <c r="G26" s="55"/>
    </row>
    <row r="27" spans="1:7" x14ac:dyDescent="0.3">
      <c r="A27" s="55"/>
      <c r="B27" s="55"/>
      <c r="C27" s="55"/>
      <c r="D27" s="55"/>
      <c r="E27" s="55"/>
      <c r="F27" s="55"/>
      <c r="G27" s="55"/>
    </row>
  </sheetData>
  <mergeCells count="2">
    <mergeCell ref="B2:F2"/>
    <mergeCell ref="B12:C12"/>
  </mergeCells>
  <pageMargins left="0.7" right="0.7" top="0.75" bottom="0.75" header="0.3" footer="0.3"/>
  <pageSetup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DF38-9793-1446-9F64-F97F798969E9}">
  <dimension ref="A1:V57"/>
  <sheetViews>
    <sheetView zoomScale="40" zoomScaleNormal="40" workbookViewId="0">
      <selection activeCell="B8" sqref="B8:I8"/>
    </sheetView>
  </sheetViews>
  <sheetFormatPr defaultColWidth="11.44140625" defaultRowHeight="14.4" x14ac:dyDescent="0.3"/>
  <cols>
    <col min="1" max="1" width="3.6640625" customWidth="1"/>
    <col min="2" max="2" width="20.5546875" bestFit="1" customWidth="1"/>
    <col min="3" max="3" width="14.88671875" bestFit="1" customWidth="1"/>
    <col min="4" max="9" width="15.21875" bestFit="1" customWidth="1"/>
    <col min="10" max="10" width="3.6640625" customWidth="1"/>
    <col min="11" max="11" width="21.109375" bestFit="1" customWidth="1"/>
    <col min="12" max="12" width="12.44140625" bestFit="1" customWidth="1"/>
    <col min="13" max="17" width="12.109375" bestFit="1" customWidth="1"/>
    <col min="18" max="18" width="2.5546875" customWidth="1"/>
  </cols>
  <sheetData>
    <row r="1" spans="1:22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2" x14ac:dyDescent="0.3">
      <c r="A2" s="55"/>
      <c r="B2" t="s">
        <v>128</v>
      </c>
      <c r="C2" s="3" t="s">
        <v>129</v>
      </c>
      <c r="D2" s="55"/>
      <c r="E2" s="55"/>
      <c r="F2" s="55"/>
      <c r="G2" s="55"/>
      <c r="H2" s="55"/>
      <c r="I2" s="55"/>
      <c r="J2" s="55"/>
      <c r="K2" t="s">
        <v>128</v>
      </c>
      <c r="L2" s="3" t="s">
        <v>129</v>
      </c>
      <c r="M2" s="55"/>
      <c r="N2" s="55"/>
      <c r="O2" s="55"/>
      <c r="P2" s="55"/>
      <c r="Q2" s="55"/>
      <c r="R2" s="55"/>
    </row>
    <row r="3" spans="1:22" x14ac:dyDescent="0.3">
      <c r="A3" s="55"/>
      <c r="B3" t="s">
        <v>92</v>
      </c>
      <c r="C3" s="12">
        <v>0.04</v>
      </c>
      <c r="D3" s="55"/>
      <c r="E3" s="55"/>
      <c r="F3" s="55"/>
      <c r="G3" s="55"/>
      <c r="H3" s="55"/>
      <c r="I3" s="55"/>
      <c r="J3" s="55"/>
      <c r="K3" t="s">
        <v>92</v>
      </c>
      <c r="L3" s="12">
        <v>0.04</v>
      </c>
      <c r="M3" s="55"/>
      <c r="N3" s="55"/>
      <c r="O3" s="55"/>
      <c r="P3" s="55"/>
      <c r="Q3" s="55"/>
      <c r="R3" s="55"/>
    </row>
    <row r="4" spans="1:22" x14ac:dyDescent="0.3">
      <c r="A4" s="55"/>
      <c r="B4" t="s">
        <v>93</v>
      </c>
      <c r="C4" s="12">
        <f>POWER(1+C3,3)-1</f>
        <v>0.12486400000000009</v>
      </c>
      <c r="D4" s="55"/>
      <c r="E4" s="55"/>
      <c r="F4" s="55"/>
      <c r="G4" s="55"/>
      <c r="H4" s="55"/>
      <c r="I4" s="55"/>
      <c r="J4" s="55"/>
      <c r="K4" t="s">
        <v>93</v>
      </c>
      <c r="L4" s="12">
        <f>POWER(1+L3,3)-1</f>
        <v>0.12486400000000009</v>
      </c>
      <c r="M4" s="55"/>
      <c r="N4" s="55"/>
      <c r="O4" s="55"/>
      <c r="P4" s="55"/>
      <c r="Q4" s="55"/>
      <c r="R4" s="55"/>
    </row>
    <row r="5" spans="1:22" x14ac:dyDescent="0.3">
      <c r="A5" s="55"/>
      <c r="B5" t="s">
        <v>119</v>
      </c>
      <c r="C5" s="12">
        <f>POWER((1+C4),4)-1</f>
        <v>0.60103221856768108</v>
      </c>
      <c r="D5" s="55"/>
      <c r="E5" s="55"/>
      <c r="F5" s="55"/>
      <c r="G5" s="55"/>
      <c r="H5" s="55"/>
      <c r="I5" s="55"/>
      <c r="J5" s="55"/>
      <c r="K5" t="s">
        <v>119</v>
      </c>
      <c r="L5" s="12">
        <f>POWER((1+L4),4)-1</f>
        <v>0.60103221856768108</v>
      </c>
      <c r="M5" s="55"/>
      <c r="N5" s="55"/>
      <c r="O5" s="55"/>
      <c r="P5" s="55"/>
      <c r="Q5" s="55"/>
      <c r="R5" s="55"/>
    </row>
    <row r="6" spans="1:22" x14ac:dyDescent="0.3">
      <c r="A6" s="55"/>
      <c r="B6" t="s">
        <v>64</v>
      </c>
      <c r="C6">
        <v>430</v>
      </c>
      <c r="D6" s="55"/>
      <c r="E6" s="55"/>
      <c r="F6" s="55"/>
      <c r="G6" s="55"/>
      <c r="H6" s="55"/>
      <c r="I6" s="55"/>
      <c r="J6" s="55" t="s">
        <v>138</v>
      </c>
      <c r="K6" t="s">
        <v>64</v>
      </c>
      <c r="L6">
        <v>430</v>
      </c>
      <c r="M6" s="55"/>
      <c r="N6" s="55"/>
      <c r="O6" s="55"/>
      <c r="P6" s="55"/>
      <c r="Q6" s="55"/>
      <c r="R6" s="55"/>
    </row>
    <row r="7" spans="1:22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T7" s="63"/>
      <c r="U7" s="63"/>
      <c r="V7" s="63"/>
    </row>
    <row r="8" spans="1:22" ht="30.6" x14ac:dyDescent="0.55000000000000004">
      <c r="A8" s="55"/>
      <c r="B8" s="78" t="s">
        <v>136</v>
      </c>
      <c r="C8" s="78"/>
      <c r="D8" s="78"/>
      <c r="E8" s="78"/>
      <c r="F8" s="78"/>
      <c r="G8" s="78"/>
      <c r="H8" s="78"/>
      <c r="I8" s="78"/>
      <c r="J8" s="76"/>
      <c r="K8" s="78" t="s">
        <v>137</v>
      </c>
      <c r="L8" s="78"/>
      <c r="M8" s="78"/>
      <c r="N8" s="78"/>
      <c r="O8" s="78"/>
      <c r="P8" s="78"/>
      <c r="Q8" s="78"/>
      <c r="R8" s="55"/>
      <c r="T8" s="63"/>
      <c r="U8" s="63"/>
      <c r="V8" s="63"/>
    </row>
    <row r="9" spans="1:22" x14ac:dyDescent="0.3">
      <c r="A9" s="55"/>
      <c r="B9" s="55"/>
      <c r="C9" s="55"/>
      <c r="D9" s="55"/>
      <c r="E9" s="55"/>
      <c r="F9" s="55"/>
      <c r="G9" s="55"/>
      <c r="H9" s="55"/>
      <c r="I9" s="77"/>
      <c r="J9" s="55"/>
      <c r="K9" s="55"/>
      <c r="L9" s="55"/>
      <c r="M9" s="55"/>
      <c r="N9" s="55"/>
      <c r="O9" s="55"/>
      <c r="P9" s="55"/>
      <c r="Q9" s="55"/>
      <c r="R9" s="55"/>
      <c r="T9" s="63"/>
      <c r="U9" s="63">
        <f>C21</f>
        <v>-15900</v>
      </c>
      <c r="V9" s="63"/>
    </row>
    <row r="10" spans="1:22" x14ac:dyDescent="0.3">
      <c r="A10" s="55"/>
      <c r="B10" t="s">
        <v>126</v>
      </c>
      <c r="C10" s="9" t="s">
        <v>88</v>
      </c>
      <c r="D10" s="9" t="s">
        <v>89</v>
      </c>
      <c r="E10" s="9" t="s">
        <v>90</v>
      </c>
      <c r="F10" s="9" t="s">
        <v>91</v>
      </c>
      <c r="G10" s="9" t="s">
        <v>94</v>
      </c>
      <c r="H10" s="9" t="s">
        <v>97</v>
      </c>
      <c r="I10" s="9" t="s">
        <v>98</v>
      </c>
      <c r="J10" s="55"/>
      <c r="K10" t="s">
        <v>127</v>
      </c>
      <c r="L10" s="1" t="s">
        <v>120</v>
      </c>
      <c r="M10" s="1" t="s">
        <v>121</v>
      </c>
      <c r="N10" s="1" t="s">
        <v>122</v>
      </c>
      <c r="O10" s="1" t="s">
        <v>123</v>
      </c>
      <c r="P10" s="1" t="s">
        <v>124</v>
      </c>
      <c r="Q10" s="1" t="s">
        <v>125</v>
      </c>
      <c r="R10" s="55"/>
      <c r="T10" s="63"/>
      <c r="U10" s="64">
        <f>D21</f>
        <v>-15900</v>
      </c>
      <c r="V10" s="63"/>
    </row>
    <row r="11" spans="1:22" x14ac:dyDescent="0.3">
      <c r="A11" s="55"/>
      <c r="B11" s="1" t="s">
        <v>77</v>
      </c>
      <c r="C11">
        <f>185000-2000</f>
        <v>183000</v>
      </c>
      <c r="J11" s="55"/>
      <c r="K11" s="19" t="s">
        <v>77</v>
      </c>
      <c r="L11">
        <f>185000-2000</f>
        <v>183000</v>
      </c>
      <c r="M11">
        <f t="shared" ref="M11:Q11" si="0">185000-2000</f>
        <v>183000</v>
      </c>
      <c r="N11">
        <f t="shared" si="0"/>
        <v>183000</v>
      </c>
      <c r="O11">
        <f t="shared" si="0"/>
        <v>183000</v>
      </c>
      <c r="P11">
        <f t="shared" si="0"/>
        <v>183000</v>
      </c>
      <c r="Q11">
        <f t="shared" si="0"/>
        <v>183000</v>
      </c>
      <c r="R11" s="55"/>
      <c r="T11" s="63"/>
      <c r="U11" s="64">
        <f>E21</f>
        <v>-15900</v>
      </c>
      <c r="V11" s="63"/>
    </row>
    <row r="12" spans="1:22" x14ac:dyDescent="0.3">
      <c r="A12" s="55"/>
      <c r="B12" s="1" t="s">
        <v>78</v>
      </c>
      <c r="J12" s="55"/>
      <c r="K12" s="20" t="s">
        <v>78</v>
      </c>
      <c r="R12" s="55"/>
      <c r="T12" s="63"/>
      <c r="U12" s="64">
        <f>F21</f>
        <v>-13168.599999999999</v>
      </c>
      <c r="V12" s="63"/>
    </row>
    <row r="13" spans="1:22" x14ac:dyDescent="0.3">
      <c r="A13" s="55"/>
      <c r="B13" s="2" t="s">
        <v>87</v>
      </c>
      <c r="C13">
        <f>'Monthly Costs'!C10*3</f>
        <v>15900</v>
      </c>
      <c r="D13">
        <f>C13</f>
        <v>15900</v>
      </c>
      <c r="E13">
        <f t="shared" ref="E13:I13" si="1">D13</f>
        <v>15900</v>
      </c>
      <c r="F13">
        <f t="shared" si="1"/>
        <v>15900</v>
      </c>
      <c r="G13">
        <f t="shared" si="1"/>
        <v>15900</v>
      </c>
      <c r="H13">
        <f t="shared" si="1"/>
        <v>15900</v>
      </c>
      <c r="I13">
        <f t="shared" si="1"/>
        <v>15900</v>
      </c>
      <c r="J13" s="55"/>
      <c r="K13" s="21" t="s">
        <v>87</v>
      </c>
      <c r="L13">
        <f>'Monthly Costs'!C10*12</f>
        <v>63600</v>
      </c>
      <c r="M13">
        <f>Table2[[#This Row],[Year 1]]</f>
        <v>63600</v>
      </c>
      <c r="N13">
        <f>Table2[[#This Row],[Year 2]]</f>
        <v>63600</v>
      </c>
      <c r="O13">
        <f>Table2[[#This Row],[Year 3]]</f>
        <v>63600</v>
      </c>
      <c r="P13">
        <f>Table2[[#This Row],[Year 4]]</f>
        <v>63600</v>
      </c>
      <c r="Q13">
        <f>Table2[[#This Row],[Year 5]]</f>
        <v>63600</v>
      </c>
      <c r="R13" s="55"/>
      <c r="T13" s="63"/>
      <c r="U13" s="64">
        <f>G21</f>
        <v>-12827.546470399997</v>
      </c>
      <c r="V13" s="63"/>
    </row>
    <row r="14" spans="1:22" x14ac:dyDescent="0.3">
      <c r="A14" s="55"/>
      <c r="B14" s="2" t="s">
        <v>65</v>
      </c>
      <c r="C14">
        <f>'Monthly Costs'!C19</f>
        <v>395</v>
      </c>
      <c r="D14">
        <f>C14</f>
        <v>395</v>
      </c>
      <c r="E14">
        <f t="shared" ref="E14:I14" si="2">D14</f>
        <v>395</v>
      </c>
      <c r="F14">
        <f t="shared" si="2"/>
        <v>395</v>
      </c>
      <c r="G14">
        <f t="shared" si="2"/>
        <v>395</v>
      </c>
      <c r="H14">
        <f t="shared" si="2"/>
        <v>395</v>
      </c>
      <c r="I14">
        <f t="shared" si="2"/>
        <v>395</v>
      </c>
      <c r="J14" s="55"/>
      <c r="K14" s="10" t="s">
        <v>65</v>
      </c>
      <c r="L14">
        <f>'Monthly Costs'!C19</f>
        <v>395</v>
      </c>
      <c r="M14">
        <f>Table2[[#This Row],[Year 1]]</f>
        <v>395</v>
      </c>
      <c r="N14">
        <f>Table2[[#This Row],[Year 2]]</f>
        <v>395</v>
      </c>
      <c r="O14">
        <f>Table2[[#This Row],[Year 3]]</f>
        <v>395</v>
      </c>
      <c r="P14">
        <f>Table2[[#This Row],[Year 4]]</f>
        <v>395</v>
      </c>
      <c r="Q14">
        <f>Table2[[#This Row],[Year 5]]</f>
        <v>395</v>
      </c>
      <c r="R14" s="55"/>
      <c r="T14" s="63"/>
      <c r="U14" s="64">
        <f>H21</f>
        <v>-12443.907632880029</v>
      </c>
      <c r="V14" s="63"/>
    </row>
    <row r="15" spans="1:22" x14ac:dyDescent="0.3">
      <c r="A15" s="55"/>
      <c r="B15" s="1" t="s">
        <v>11</v>
      </c>
      <c r="J15" s="55"/>
      <c r="K15" s="19" t="s">
        <v>11</v>
      </c>
      <c r="R15" s="55"/>
      <c r="T15" s="63"/>
      <c r="U15" s="64">
        <f>I21</f>
        <v>-12012.366115551959</v>
      </c>
      <c r="V15" s="63"/>
    </row>
    <row r="16" spans="1:22" x14ac:dyDescent="0.3">
      <c r="A16" s="55"/>
      <c r="B16" s="2" t="s">
        <v>10</v>
      </c>
      <c r="F16" s="4">
        <f>SUM('Monthly Budget'!L14:N14)</f>
        <v>78.039999999999992</v>
      </c>
      <c r="G16" s="4">
        <f>F16 + (F16*$L$4)</f>
        <v>87.784386560000002</v>
      </c>
      <c r="H16" s="4">
        <f>G16+(G16*$L$4)</f>
        <v>98.745496203427848</v>
      </c>
      <c r="I16" s="4">
        <f>H16 + (H16*$L$4)</f>
        <v>111.07525384137267</v>
      </c>
      <c r="J16" s="55"/>
      <c r="K16" s="10" t="s">
        <v>10</v>
      </c>
      <c r="L16" s="4">
        <f>SUM('Monthly Budget'!L14:N14)</f>
        <v>78.039999999999992</v>
      </c>
      <c r="M16" s="4">
        <f>SUM(G16:I16)</f>
        <v>297.60513660480052</v>
      </c>
      <c r="N16" s="4">
        <f>Table2[[#This Row],[Year 2]]+(Table2[[#This Row],[Year 2]]*$L$5)</f>
        <v>476.47541211552158</v>
      </c>
      <c r="O16" s="4">
        <f>Table2[[#This Row],[Year 3]]+(Table2[[#This Row],[Year 3]]*$L$5)</f>
        <v>762.85248615226374</v>
      </c>
      <c r="P16" s="4">
        <f>Table2[[#This Row],[Year 4]]+(Table2[[#This Row],[Year 4]]*$L$5)</f>
        <v>1221.3514083442301</v>
      </c>
      <c r="Q16" s="4">
        <f>Table2[[#This Row],[Year 5]]+(Table2[[#This Row],[Year 5]]*$L$5)</f>
        <v>1955.4229549521247</v>
      </c>
      <c r="R16" s="55"/>
      <c r="T16" s="63"/>
      <c r="U16" s="64">
        <f>C36</f>
        <v>-11526.940598204237</v>
      </c>
      <c r="V16" s="63"/>
    </row>
    <row r="17" spans="1:22" x14ac:dyDescent="0.3">
      <c r="A17" s="55"/>
      <c r="B17" s="2" t="s">
        <v>58</v>
      </c>
      <c r="F17" s="4">
        <f>F16*$L$6</f>
        <v>33557.199999999997</v>
      </c>
      <c r="G17" s="4">
        <f>G16*$L$6</f>
        <v>37747.286220800001</v>
      </c>
      <c r="H17" s="4">
        <f>H16*$L$6</f>
        <v>42460.563367473973</v>
      </c>
      <c r="I17" s="4">
        <f>I16*$L$6</f>
        <v>47762.359151790246</v>
      </c>
      <c r="J17" s="55"/>
      <c r="K17" s="21" t="s">
        <v>58</v>
      </c>
      <c r="L17" s="4">
        <f>L16*$L$6</f>
        <v>33557.199999999997</v>
      </c>
      <c r="M17" s="4">
        <f>M16*$L$6</f>
        <v>127970.20874006422</v>
      </c>
      <c r="N17" s="4">
        <f>N16*$L$6</f>
        <v>204884.42720967426</v>
      </c>
      <c r="O17" s="4">
        <f>O16*$L$6</f>
        <v>328026.56904547341</v>
      </c>
      <c r="P17" s="4">
        <f>P16*$L$6</f>
        <v>525181.10558801889</v>
      </c>
      <c r="Q17" s="4">
        <f>Q16*$L$6</f>
        <v>840831.87062941364</v>
      </c>
      <c r="R17" s="55"/>
      <c r="T17" s="63"/>
      <c r="U17" s="64">
        <f>D36</f>
        <v>-10980.902909058408</v>
      </c>
      <c r="V17" s="63"/>
    </row>
    <row r="18" spans="1:22" x14ac:dyDescent="0.3">
      <c r="A18" s="55"/>
      <c r="B18" s="2" t="s">
        <v>59</v>
      </c>
      <c r="F18" s="4">
        <f>F14*F16</f>
        <v>30825.799999999996</v>
      </c>
      <c r="G18" s="4">
        <f>G14*G16</f>
        <v>34674.832691199997</v>
      </c>
      <c r="H18" s="4">
        <f t="shared" ref="H18:I18" si="3">H14*H16</f>
        <v>39004.471000354002</v>
      </c>
      <c r="I18" s="4">
        <f t="shared" si="3"/>
        <v>43874.725267342204</v>
      </c>
      <c r="J18" s="55"/>
      <c r="K18" s="10" t="s">
        <v>59</v>
      </c>
      <c r="L18" s="4">
        <f>L16*L14</f>
        <v>30825.799999999996</v>
      </c>
      <c r="M18" s="4">
        <f t="shared" ref="M18:Q18" si="4">M16*M14</f>
        <v>117554.0289588962</v>
      </c>
      <c r="N18" s="4">
        <f t="shared" si="4"/>
        <v>188207.78778563102</v>
      </c>
      <c r="O18" s="4">
        <f t="shared" si="4"/>
        <v>301326.73203014419</v>
      </c>
      <c r="P18" s="4">
        <f t="shared" si="4"/>
        <v>482433.80629597086</v>
      </c>
      <c r="Q18" s="4">
        <f t="shared" si="4"/>
        <v>772392.06720608927</v>
      </c>
      <c r="R18" s="55"/>
      <c r="T18" s="63"/>
      <c r="U18" s="64">
        <f>E36</f>
        <v>-10366.684769895081</v>
      </c>
      <c r="V18" s="63"/>
    </row>
    <row r="19" spans="1:22" x14ac:dyDescent="0.3">
      <c r="A19" s="55"/>
      <c r="B19" s="5" t="s">
        <v>60</v>
      </c>
      <c r="C19" s="18"/>
      <c r="D19" s="18"/>
      <c r="E19" s="18"/>
      <c r="F19" s="13">
        <f>F17-F18</f>
        <v>2731.4000000000015</v>
      </c>
      <c r="G19" s="13">
        <f t="shared" ref="G19:I19" si="5">G17-G18</f>
        <v>3072.4535296000031</v>
      </c>
      <c r="H19" s="13">
        <f t="shared" si="5"/>
        <v>3456.0923671199707</v>
      </c>
      <c r="I19" s="13">
        <f t="shared" si="5"/>
        <v>3887.6338844480415</v>
      </c>
      <c r="J19" s="55"/>
      <c r="K19" s="22" t="s">
        <v>60</v>
      </c>
      <c r="L19" s="25">
        <f>L17-L18</f>
        <v>2731.4000000000015</v>
      </c>
      <c r="M19" s="25">
        <f t="shared" ref="M19:Q19" si="6">M17-M18</f>
        <v>10416.179781168015</v>
      </c>
      <c r="N19" s="25">
        <f t="shared" si="6"/>
        <v>16676.639424043242</v>
      </c>
      <c r="O19" s="25">
        <f t="shared" si="6"/>
        <v>26699.83701532922</v>
      </c>
      <c r="P19" s="25">
        <f t="shared" si="6"/>
        <v>42747.299292048032</v>
      </c>
      <c r="Q19" s="25">
        <f t="shared" si="6"/>
        <v>68439.803423324367</v>
      </c>
      <c r="R19" s="55"/>
      <c r="T19" s="63"/>
      <c r="U19" s="64">
        <f>F36</f>
        <v>-9675.7728970032476</v>
      </c>
      <c r="V19" s="63"/>
    </row>
    <row r="20" spans="1:22" x14ac:dyDescent="0.3">
      <c r="A20" s="55"/>
      <c r="J20" s="55"/>
      <c r="K20" s="10"/>
      <c r="L20" s="4"/>
      <c r="M20" s="4"/>
      <c r="N20" s="4"/>
      <c r="O20" s="4"/>
      <c r="P20" s="4"/>
      <c r="Q20" s="4"/>
      <c r="R20" s="55"/>
      <c r="T20" s="63"/>
      <c r="U20" s="64">
        <f>G36</f>
        <v>-8898.59100401467</v>
      </c>
      <c r="V20" s="63"/>
    </row>
    <row r="21" spans="1:22" x14ac:dyDescent="0.3">
      <c r="A21" s="55"/>
      <c r="B21" s="7" t="s">
        <v>13</v>
      </c>
      <c r="C21" s="14">
        <f>C19-C13</f>
        <v>-15900</v>
      </c>
      <c r="D21" s="15">
        <f>D19-D13</f>
        <v>-15900</v>
      </c>
      <c r="E21" s="15">
        <f t="shared" ref="E21:I21" si="7">E19-E13</f>
        <v>-15900</v>
      </c>
      <c r="F21" s="15">
        <f t="shared" si="7"/>
        <v>-13168.599999999999</v>
      </c>
      <c r="G21" s="15">
        <f t="shared" si="7"/>
        <v>-12827.546470399997</v>
      </c>
      <c r="H21" s="15">
        <f t="shared" si="7"/>
        <v>-12443.907632880029</v>
      </c>
      <c r="I21" s="15">
        <f t="shared" si="7"/>
        <v>-12012.366115551959</v>
      </c>
      <c r="J21" s="55"/>
      <c r="K21" s="23" t="s">
        <v>13</v>
      </c>
      <c r="L21" s="26">
        <f>L19-L13</f>
        <v>-60868.6</v>
      </c>
      <c r="M21" s="26">
        <f t="shared" ref="M21:Q21" si="8">M19-M13</f>
        <v>-53183.820218831985</v>
      </c>
      <c r="N21" s="26">
        <f t="shared" si="8"/>
        <v>-46923.360575956758</v>
      </c>
      <c r="O21" s="26">
        <f t="shared" si="8"/>
        <v>-36900.16298467078</v>
      </c>
      <c r="P21" s="26">
        <f t="shared" si="8"/>
        <v>-20852.700707951968</v>
      </c>
      <c r="Q21" s="26">
        <f t="shared" si="8"/>
        <v>4839.803423324367</v>
      </c>
      <c r="R21" s="55"/>
      <c r="T21" s="63"/>
      <c r="U21" s="64">
        <f>H36</f>
        <v>-8024.3670711399463</v>
      </c>
      <c r="V21" s="63"/>
    </row>
    <row r="22" spans="1:22" x14ac:dyDescent="0.3">
      <c r="A22" s="55"/>
      <c r="D22" s="11"/>
      <c r="E22" s="11"/>
      <c r="F22" s="11"/>
      <c r="G22" s="11"/>
      <c r="H22" s="11"/>
      <c r="I22" s="11"/>
      <c r="J22" s="55"/>
      <c r="K22" s="10"/>
      <c r="L22" s="4"/>
      <c r="M22" s="4"/>
      <c r="N22" s="4"/>
      <c r="O22" s="4"/>
      <c r="P22" s="4"/>
      <c r="Q22" s="4"/>
      <c r="R22" s="55"/>
      <c r="T22" s="63"/>
      <c r="U22" s="64">
        <f>I36</f>
        <v>-7040.9840411107725</v>
      </c>
      <c r="V22" s="63"/>
    </row>
    <row r="23" spans="1:22" ht="15" thickBot="1" x14ac:dyDescent="0.35">
      <c r="A23" s="55"/>
      <c r="B23" s="8" t="s">
        <v>76</v>
      </c>
      <c r="C23" s="16">
        <f>C11+C21</f>
        <v>167100</v>
      </c>
      <c r="D23" s="17">
        <f>C23+D21</f>
        <v>151200</v>
      </c>
      <c r="E23" s="17">
        <f>D23+E21</f>
        <v>135300</v>
      </c>
      <c r="F23" s="17">
        <f t="shared" ref="F23:I23" si="9">E23+F21</f>
        <v>122131.4</v>
      </c>
      <c r="G23" s="17">
        <f t="shared" si="9"/>
        <v>109303.85352959999</v>
      </c>
      <c r="H23" s="17">
        <f t="shared" si="9"/>
        <v>96859.945896719961</v>
      </c>
      <c r="I23" s="17">
        <f t="shared" si="9"/>
        <v>84847.579781167995</v>
      </c>
      <c r="J23" s="55"/>
      <c r="K23" s="24" t="s">
        <v>76</v>
      </c>
      <c r="L23" s="27">
        <f>L11+L21</f>
        <v>122131.4</v>
      </c>
      <c r="M23" s="28">
        <f>Table2[[#This Row],[Year 1]]+M21</f>
        <v>68947.57978116801</v>
      </c>
      <c r="N23" s="28">
        <f>Table2[[#This Row],[Year 2]]+N21</f>
        <v>22024.219205211251</v>
      </c>
      <c r="O23" s="28">
        <f>Table2[[#This Row],[Year 3]]+O21</f>
        <v>-14875.943779459529</v>
      </c>
      <c r="P23" s="28">
        <f>Table2[[#This Row],[Year 4]]+P21</f>
        <v>-35728.644487411497</v>
      </c>
      <c r="Q23" s="28">
        <f>Table2[[#This Row],[Year 5]]+Q21</f>
        <v>-30888.84106408713</v>
      </c>
      <c r="R23" s="55"/>
      <c r="T23" s="63"/>
      <c r="U23" s="64">
        <f>C51</f>
        <v>-5934.8118724200322</v>
      </c>
      <c r="V23" s="63"/>
    </row>
    <row r="24" spans="1:22" ht="15" thickTop="1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T24" s="63"/>
      <c r="U24" s="64">
        <f>D51</f>
        <v>-4690.5186220578908</v>
      </c>
      <c r="V24" s="63"/>
    </row>
    <row r="25" spans="1:22" ht="15" thickBot="1" x14ac:dyDescent="0.35">
      <c r="A25" s="55"/>
      <c r="B25" s="54" t="s">
        <v>126</v>
      </c>
      <c r="C25" s="67" t="s">
        <v>99</v>
      </c>
      <c r="D25" s="67" t="s">
        <v>100</v>
      </c>
      <c r="E25" s="67" t="s">
        <v>101</v>
      </c>
      <c r="F25" s="67" t="s">
        <v>102</v>
      </c>
      <c r="G25" s="67" t="s">
        <v>95</v>
      </c>
      <c r="H25" s="67" t="s">
        <v>103</v>
      </c>
      <c r="I25" s="67" t="s">
        <v>104</v>
      </c>
      <c r="J25" s="55"/>
      <c r="K25" s="80" t="s">
        <v>139</v>
      </c>
      <c r="L25" s="79"/>
      <c r="M25" s="79"/>
      <c r="N25" s="79"/>
      <c r="O25" s="79"/>
      <c r="P25" s="79"/>
      <c r="Q25" s="81"/>
      <c r="R25" s="55"/>
      <c r="T25" s="63"/>
      <c r="U25" s="64">
        <f>E51</f>
        <v>-3290.8579392825195</v>
      </c>
      <c r="V25" s="63"/>
    </row>
    <row r="26" spans="1:22" ht="15" thickTop="1" x14ac:dyDescent="0.3">
      <c r="A26" s="55"/>
      <c r="B26" s="19" t="s">
        <v>77</v>
      </c>
      <c r="C26" s="41"/>
      <c r="D26" s="41"/>
      <c r="E26" s="41"/>
      <c r="F26" s="41"/>
      <c r="G26" s="41"/>
      <c r="H26" s="41"/>
      <c r="I26" s="41"/>
      <c r="J26" s="55"/>
      <c r="K26" s="82"/>
      <c r="L26" s="83"/>
      <c r="M26" s="83"/>
      <c r="N26" s="83"/>
      <c r="O26" s="83"/>
      <c r="P26" s="83"/>
      <c r="Q26" s="84"/>
      <c r="R26" s="55"/>
      <c r="T26" s="63"/>
      <c r="U26" s="64">
        <f>F51</f>
        <v>-1716.4300250130764</v>
      </c>
      <c r="V26" s="63"/>
    </row>
    <row r="27" spans="1:22" x14ac:dyDescent="0.3">
      <c r="A27" s="55"/>
      <c r="B27" s="20" t="s">
        <v>78</v>
      </c>
      <c r="C27" s="40"/>
      <c r="D27" s="40"/>
      <c r="E27" s="40"/>
      <c r="F27" s="40"/>
      <c r="G27" s="40"/>
      <c r="H27" s="40"/>
      <c r="I27" s="40"/>
      <c r="J27" s="55"/>
      <c r="K27" s="55"/>
      <c r="L27" s="55"/>
      <c r="M27" s="55"/>
      <c r="N27" s="55"/>
      <c r="O27" s="55"/>
      <c r="P27" s="55"/>
      <c r="Q27" s="55"/>
      <c r="R27" s="55"/>
      <c r="T27" s="63"/>
      <c r="U27" s="64">
        <f>G51</f>
        <v>54.587256343686022</v>
      </c>
      <c r="V27" s="63"/>
    </row>
    <row r="28" spans="1:22" x14ac:dyDescent="0.3">
      <c r="A28" s="55"/>
      <c r="B28" s="21" t="s">
        <v>87</v>
      </c>
      <c r="C28" s="41">
        <f>I13</f>
        <v>15900</v>
      </c>
      <c r="D28" s="41">
        <f>C28</f>
        <v>15900</v>
      </c>
      <c r="E28" s="41">
        <f>D28</f>
        <v>15900</v>
      </c>
      <c r="F28" s="41">
        <f>E28</f>
        <v>15900</v>
      </c>
      <c r="G28" s="41">
        <f>F28</f>
        <v>15900</v>
      </c>
      <c r="H28" s="41">
        <f>G28</f>
        <v>15900</v>
      </c>
      <c r="I28" s="41">
        <f>H28</f>
        <v>15900</v>
      </c>
      <c r="J28" s="55"/>
      <c r="K28" s="55"/>
      <c r="L28" s="55"/>
      <c r="M28" s="55"/>
      <c r="N28" s="55"/>
      <c r="O28" s="55"/>
      <c r="P28" s="55"/>
      <c r="Q28" s="55"/>
      <c r="R28" s="55"/>
      <c r="T28" s="63"/>
      <c r="U28" s="64">
        <f>H51</f>
        <v>2046.7408395197708</v>
      </c>
      <c r="V28" s="63"/>
    </row>
    <row r="29" spans="1:22" x14ac:dyDescent="0.3">
      <c r="A29" s="55"/>
      <c r="B29" s="10" t="s">
        <v>65</v>
      </c>
      <c r="C29" s="40">
        <f>I14</f>
        <v>395</v>
      </c>
      <c r="D29" s="40">
        <f>C29</f>
        <v>395</v>
      </c>
      <c r="E29" s="40">
        <f>D29</f>
        <v>395</v>
      </c>
      <c r="F29" s="40">
        <f>E29</f>
        <v>395</v>
      </c>
      <c r="G29" s="40">
        <f>F29</f>
        <v>395</v>
      </c>
      <c r="H29" s="40">
        <f>G29</f>
        <v>395</v>
      </c>
      <c r="I29" s="40">
        <f>H29</f>
        <v>395</v>
      </c>
      <c r="J29" s="55"/>
      <c r="K29" s="55"/>
      <c r="L29" s="55"/>
      <c r="M29" s="55"/>
      <c r="N29" s="55"/>
      <c r="O29" s="55"/>
      <c r="P29" s="55"/>
      <c r="Q29" s="55"/>
      <c r="R29" s="55"/>
      <c r="T29" s="63"/>
      <c r="U29" s="64">
        <f>I51</f>
        <v>4287.6426877055783</v>
      </c>
      <c r="V29" s="63"/>
    </row>
    <row r="30" spans="1:22" x14ac:dyDescent="0.3">
      <c r="A30" s="55"/>
      <c r="B30" s="19" t="s">
        <v>11</v>
      </c>
      <c r="C30" s="41"/>
      <c r="D30" s="41"/>
      <c r="E30" s="41"/>
      <c r="F30" s="41"/>
      <c r="G30" s="41"/>
      <c r="H30" s="41"/>
      <c r="I30" s="41"/>
      <c r="J30" s="55"/>
      <c r="K30" s="55"/>
      <c r="L30" s="55"/>
      <c r="M30" s="55"/>
      <c r="N30" s="55"/>
      <c r="O30" s="55"/>
      <c r="P30" s="55"/>
      <c r="Q30" s="55"/>
      <c r="R30" s="55"/>
      <c r="T30" s="63"/>
      <c r="U30" s="63"/>
      <c r="V30" s="63"/>
    </row>
    <row r="31" spans="1:22" x14ac:dyDescent="0.3">
      <c r="A31" s="55"/>
      <c r="B31" s="10" t="s">
        <v>10</v>
      </c>
      <c r="C31" s="46">
        <f>I16+(I16*$L$4)</f>
        <v>124.94455433702184</v>
      </c>
      <c r="D31" s="46">
        <f>C31 + (C31*$L$4)</f>
        <v>140.54563116975976</v>
      </c>
      <c r="E31" s="46">
        <f>D31+(D31*$L$4)</f>
        <v>158.09472086014065</v>
      </c>
      <c r="F31" s="46">
        <f>E31 + (E31*$L$4)</f>
        <v>177.83506008562128</v>
      </c>
      <c r="G31" s="46">
        <f>F31+(F31*$L$4)</f>
        <v>200.04025702815233</v>
      </c>
      <c r="H31" s="46">
        <f>G31 + (G31*$L$4)</f>
        <v>225.01808368171555</v>
      </c>
      <c r="I31" s="46">
        <f>H31+(H31*$L$4)</f>
        <v>253.11474168254929</v>
      </c>
      <c r="J31" s="55"/>
      <c r="K31" s="55"/>
      <c r="L31" s="55"/>
      <c r="M31" s="55"/>
      <c r="N31" s="55"/>
      <c r="O31" s="55"/>
      <c r="P31" s="55"/>
      <c r="Q31" s="55"/>
      <c r="R31" s="55"/>
      <c r="T31" s="63"/>
      <c r="U31" s="63"/>
      <c r="V31" s="63"/>
    </row>
    <row r="32" spans="1:22" x14ac:dyDescent="0.3">
      <c r="A32" s="55"/>
      <c r="B32" s="21" t="s">
        <v>58</v>
      </c>
      <c r="C32" s="48">
        <f>C31*$L$6</f>
        <v>53726.158364919393</v>
      </c>
      <c r="D32" s="48">
        <f>D31*$L$6</f>
        <v>60434.621402996694</v>
      </c>
      <c r="E32" s="48">
        <f>E31*$L$6</f>
        <v>67980.729969860477</v>
      </c>
      <c r="F32" s="48">
        <f>F31*$L$6</f>
        <v>76469.075836817152</v>
      </c>
      <c r="G32" s="48">
        <f>G31*$L$6</f>
        <v>86017.310522105501</v>
      </c>
      <c r="H32" s="48">
        <f>H31*$L$6</f>
        <v>96757.77598313769</v>
      </c>
      <c r="I32" s="48">
        <f>I31*$L$6</f>
        <v>108839.33892349619</v>
      </c>
      <c r="J32" s="55"/>
      <c r="K32" s="55"/>
      <c r="L32" s="55"/>
      <c r="M32" s="55"/>
      <c r="N32" s="55"/>
      <c r="O32" s="55"/>
      <c r="P32" s="55"/>
      <c r="Q32" s="55"/>
      <c r="R32" s="55"/>
    </row>
    <row r="33" spans="1:18" x14ac:dyDescent="0.3">
      <c r="A33" s="55"/>
      <c r="B33" s="10" t="s">
        <v>59</v>
      </c>
      <c r="C33" s="46">
        <f>C29*C31</f>
        <v>49353.09896312363</v>
      </c>
      <c r="D33" s="46">
        <f>D29*D31</f>
        <v>55515.524312055102</v>
      </c>
      <c r="E33" s="46">
        <f>E29*E31</f>
        <v>62447.414739755557</v>
      </c>
      <c r="F33" s="46">
        <f>F29*F31</f>
        <v>70244.8487338204</v>
      </c>
      <c r="G33" s="46">
        <f>G29*G31</f>
        <v>79015.901526120171</v>
      </c>
      <c r="H33" s="46">
        <f>H29*H31</f>
        <v>88882.143054277636</v>
      </c>
      <c r="I33" s="46">
        <f>I29*I31</f>
        <v>99980.322964606967</v>
      </c>
      <c r="J33" s="55"/>
      <c r="K33" s="55"/>
      <c r="L33" s="55"/>
      <c r="M33" s="55"/>
      <c r="N33" s="55"/>
      <c r="O33" s="55"/>
      <c r="P33" s="55"/>
      <c r="Q33" s="55"/>
      <c r="R33" s="55"/>
    </row>
    <row r="34" spans="1:18" x14ac:dyDescent="0.3">
      <c r="A34" s="55"/>
      <c r="B34" s="22" t="s">
        <v>60</v>
      </c>
      <c r="C34" s="68">
        <f>C32-C33</f>
        <v>4373.0594017957628</v>
      </c>
      <c r="D34" s="68">
        <f>D32-D33</f>
        <v>4919.0970909415919</v>
      </c>
      <c r="E34" s="68">
        <f>E32-E33</f>
        <v>5533.3152301049195</v>
      </c>
      <c r="F34" s="68">
        <f>F32-F33</f>
        <v>6224.2271029967524</v>
      </c>
      <c r="G34" s="68">
        <f>G32-G33</f>
        <v>7001.40899598533</v>
      </c>
      <c r="H34" s="68">
        <f>H32-H33</f>
        <v>7875.6329288600537</v>
      </c>
      <c r="I34" s="68">
        <f>I32-I33</f>
        <v>8859.0159588892275</v>
      </c>
      <c r="J34" s="55"/>
      <c r="K34" s="55"/>
      <c r="L34" s="55"/>
      <c r="M34" s="55"/>
      <c r="N34" s="55"/>
      <c r="O34" s="55"/>
      <c r="P34" s="55"/>
      <c r="Q34" s="55"/>
      <c r="R34" s="55"/>
    </row>
    <row r="35" spans="1:18" x14ac:dyDescent="0.3">
      <c r="A35" s="55"/>
      <c r="B35" s="10"/>
      <c r="C35" s="40"/>
      <c r="D35" s="40"/>
      <c r="E35" s="40"/>
      <c r="F35" s="40"/>
      <c r="G35" s="40"/>
      <c r="H35" s="40"/>
      <c r="I35" s="40"/>
      <c r="J35" s="55"/>
      <c r="K35" s="55"/>
      <c r="L35" s="55"/>
      <c r="M35" s="55"/>
      <c r="N35" s="55"/>
      <c r="O35" s="55"/>
      <c r="P35" s="55"/>
      <c r="Q35" s="55"/>
      <c r="R35" s="55"/>
    </row>
    <row r="36" spans="1:18" x14ac:dyDescent="0.3">
      <c r="A36" s="55"/>
      <c r="B36" s="23" t="s">
        <v>13</v>
      </c>
      <c r="C36" s="69">
        <f>C34-C28</f>
        <v>-11526.940598204237</v>
      </c>
      <c r="D36" s="69">
        <f>D34-D28</f>
        <v>-10980.902909058408</v>
      </c>
      <c r="E36" s="69">
        <f>E34-E28</f>
        <v>-10366.684769895081</v>
      </c>
      <c r="F36" s="69">
        <f>F34-F28</f>
        <v>-9675.7728970032476</v>
      </c>
      <c r="G36" s="69">
        <f>G34-G28</f>
        <v>-8898.59100401467</v>
      </c>
      <c r="H36" s="69">
        <f>H34-H28</f>
        <v>-8024.3670711399463</v>
      </c>
      <c r="I36" s="69">
        <f>I34-I28</f>
        <v>-7040.9840411107725</v>
      </c>
      <c r="J36" s="55"/>
      <c r="K36" s="55"/>
      <c r="L36" s="55"/>
      <c r="M36" s="55"/>
      <c r="N36" s="55"/>
      <c r="O36" s="55"/>
      <c r="P36" s="55"/>
      <c r="Q36" s="55"/>
      <c r="R36" s="55"/>
    </row>
    <row r="37" spans="1:18" x14ac:dyDescent="0.3">
      <c r="A37" s="55"/>
      <c r="B37" s="10"/>
      <c r="C37" s="70"/>
      <c r="D37" s="70"/>
      <c r="E37" s="70"/>
      <c r="F37" s="70"/>
      <c r="G37" s="70"/>
      <c r="H37" s="70"/>
      <c r="I37" s="70"/>
      <c r="J37" s="55"/>
      <c r="K37" s="55"/>
      <c r="L37" s="55"/>
      <c r="M37" s="55"/>
      <c r="N37" s="55"/>
      <c r="O37" s="55"/>
      <c r="P37" s="55"/>
      <c r="Q37" s="55"/>
      <c r="R37" s="55"/>
    </row>
    <row r="38" spans="1:18" ht="15" thickBot="1" x14ac:dyDescent="0.35">
      <c r="A38" s="55"/>
      <c r="B38" s="24" t="s">
        <v>76</v>
      </c>
      <c r="C38" s="71">
        <f>I23+C36</f>
        <v>73320.639182963758</v>
      </c>
      <c r="D38" s="71">
        <f>C38+D36</f>
        <v>62339.73627390535</v>
      </c>
      <c r="E38" s="71">
        <f>D38+E36</f>
        <v>51973.051504010269</v>
      </c>
      <c r="F38" s="71">
        <f>E38+F36</f>
        <v>42297.278607007021</v>
      </c>
      <c r="G38" s="71">
        <f>F38+G36</f>
        <v>33398.687602992351</v>
      </c>
      <c r="H38" s="71">
        <f>G38+H36</f>
        <v>25374.320531852405</v>
      </c>
      <c r="I38" s="71">
        <f>H38+I36</f>
        <v>18333.336490741633</v>
      </c>
      <c r="J38" s="55"/>
      <c r="K38" s="55"/>
      <c r="L38" s="55"/>
      <c r="M38" s="55"/>
      <c r="N38" s="55"/>
      <c r="O38" s="55"/>
      <c r="P38" s="55"/>
      <c r="Q38" s="55"/>
      <c r="R38" s="55"/>
    </row>
    <row r="39" spans="1:18" ht="15" thickTop="1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</row>
    <row r="40" spans="1:18" ht="15" thickBot="1" x14ac:dyDescent="0.35">
      <c r="A40" s="55"/>
      <c r="B40" s="54" t="s">
        <v>126</v>
      </c>
      <c r="C40" s="67" t="s">
        <v>105</v>
      </c>
      <c r="D40" s="67" t="s">
        <v>96</v>
      </c>
      <c r="E40" s="67" t="s">
        <v>114</v>
      </c>
      <c r="F40" s="67" t="s">
        <v>115</v>
      </c>
      <c r="G40" s="67" t="s">
        <v>116</v>
      </c>
      <c r="H40" s="67" t="s">
        <v>117</v>
      </c>
      <c r="I40" s="75" t="s">
        <v>118</v>
      </c>
      <c r="J40" s="55"/>
      <c r="K40" s="55"/>
      <c r="L40" s="55"/>
      <c r="M40" s="55"/>
      <c r="N40" s="55"/>
      <c r="O40" s="55"/>
      <c r="P40" s="55"/>
      <c r="Q40" s="55"/>
      <c r="R40" s="55"/>
    </row>
    <row r="41" spans="1:18" ht="15" thickTop="1" x14ac:dyDescent="0.3">
      <c r="A41" s="55"/>
      <c r="B41" s="19" t="s">
        <v>77</v>
      </c>
      <c r="C41" s="41"/>
      <c r="D41" s="41"/>
      <c r="E41" s="41"/>
      <c r="F41" s="41"/>
      <c r="G41" s="41"/>
      <c r="H41" s="41"/>
      <c r="I41" s="43"/>
      <c r="J41" s="55"/>
      <c r="K41" s="55"/>
      <c r="L41" s="55"/>
      <c r="M41" s="55"/>
      <c r="N41" s="55"/>
      <c r="O41" s="55"/>
      <c r="P41" s="55"/>
      <c r="Q41" s="55"/>
      <c r="R41" s="55"/>
    </row>
    <row r="42" spans="1:18" x14ac:dyDescent="0.3">
      <c r="A42" s="55"/>
      <c r="B42" s="20" t="s">
        <v>78</v>
      </c>
      <c r="C42" s="40"/>
      <c r="D42" s="40"/>
      <c r="E42" s="40"/>
      <c r="F42" s="40"/>
      <c r="G42" s="40"/>
      <c r="H42" s="40"/>
      <c r="I42" s="42"/>
      <c r="J42" s="55"/>
      <c r="K42" s="55"/>
      <c r="L42" s="55"/>
      <c r="M42" s="55"/>
      <c r="N42" s="55"/>
      <c r="O42" s="55"/>
      <c r="P42" s="55"/>
      <c r="Q42" s="55"/>
      <c r="R42" s="55"/>
    </row>
    <row r="43" spans="1:18" x14ac:dyDescent="0.3">
      <c r="A43" s="55"/>
      <c r="B43" s="21" t="s">
        <v>87</v>
      </c>
      <c r="C43" s="41">
        <f>I28</f>
        <v>15900</v>
      </c>
      <c r="D43" s="41">
        <f>C43</f>
        <v>15900</v>
      </c>
      <c r="E43" s="41">
        <f>D43</f>
        <v>15900</v>
      </c>
      <c r="F43" s="41">
        <f>E43</f>
        <v>15900</v>
      </c>
      <c r="G43" s="41">
        <f>F43</f>
        <v>15900</v>
      </c>
      <c r="H43" s="41">
        <f>G43</f>
        <v>15900</v>
      </c>
      <c r="I43" s="43">
        <f>H43</f>
        <v>15900</v>
      </c>
      <c r="J43" s="55"/>
      <c r="R43" s="55"/>
    </row>
    <row r="44" spans="1:18" x14ac:dyDescent="0.3">
      <c r="A44" s="55"/>
      <c r="B44" s="10" t="s">
        <v>65</v>
      </c>
      <c r="C44" s="40">
        <f>I29</f>
        <v>395</v>
      </c>
      <c r="D44" s="40">
        <f>C44</f>
        <v>395</v>
      </c>
      <c r="E44" s="40">
        <f>D44</f>
        <v>395</v>
      </c>
      <c r="F44" s="40">
        <f>E44</f>
        <v>395</v>
      </c>
      <c r="G44" s="40">
        <f>F44</f>
        <v>395</v>
      </c>
      <c r="H44" s="40">
        <f>G44</f>
        <v>395</v>
      </c>
      <c r="I44" s="42">
        <f>H44</f>
        <v>395</v>
      </c>
      <c r="J44" s="55"/>
      <c r="R44" s="55"/>
    </row>
    <row r="45" spans="1:18" x14ac:dyDescent="0.3">
      <c r="A45" s="55"/>
      <c r="B45" s="19" t="s">
        <v>11</v>
      </c>
      <c r="C45" s="41"/>
      <c r="D45" s="41"/>
      <c r="E45" s="41"/>
      <c r="F45" s="41"/>
      <c r="G45" s="41"/>
      <c r="H45" s="41"/>
      <c r="I45" s="43"/>
      <c r="J45" s="55"/>
      <c r="R45" s="55"/>
    </row>
    <row r="46" spans="1:18" x14ac:dyDescent="0.3">
      <c r="A46" s="55"/>
      <c r="B46" s="10" t="s">
        <v>10</v>
      </c>
      <c r="C46" s="46">
        <f>I31 + (I31*$L$4)</f>
        <v>284.71966078799915</v>
      </c>
      <c r="D46" s="46">
        <f>C46+(C46*$L$4)</f>
        <v>320.27089651263191</v>
      </c>
      <c r="E46" s="46">
        <f>D46 + (D46*$L$4)</f>
        <v>360.26120173478523</v>
      </c>
      <c r="F46" s="46">
        <f>E46+(E46*$L$4)</f>
        <v>405.24485642819747</v>
      </c>
      <c r="G46" s="46">
        <f>F46 + (F46*$L$4)</f>
        <v>455.84535018124797</v>
      </c>
      <c r="H46" s="46">
        <f>G46+(G46*$L$4)</f>
        <v>512.76402398627931</v>
      </c>
      <c r="I46" s="47">
        <f>H46 + (H46*$L$4)</f>
        <v>576.7897910773022</v>
      </c>
      <c r="J46" s="55"/>
      <c r="R46" s="55"/>
    </row>
    <row r="47" spans="1:18" x14ac:dyDescent="0.3">
      <c r="A47" s="55"/>
      <c r="B47" s="21" t="s">
        <v>58</v>
      </c>
      <c r="C47" s="48">
        <f>C46*$L$6</f>
        <v>122429.45413883963</v>
      </c>
      <c r="D47" s="48">
        <f>D46*$L$6</f>
        <v>137716.48550043171</v>
      </c>
      <c r="E47" s="48">
        <f>E46*$L$6</f>
        <v>154912.31674595765</v>
      </c>
      <c r="F47" s="48">
        <f>F46*$L$6</f>
        <v>174255.28826412492</v>
      </c>
      <c r="G47" s="48">
        <f>G46*$L$6</f>
        <v>196013.50057793662</v>
      </c>
      <c r="H47" s="48">
        <f>H46*$L$6</f>
        <v>220488.53031410009</v>
      </c>
      <c r="I47" s="49">
        <f>I46*$L$6</f>
        <v>248019.61016323994</v>
      </c>
      <c r="J47" s="55"/>
      <c r="R47" s="55"/>
    </row>
    <row r="48" spans="1:18" x14ac:dyDescent="0.3">
      <c r="A48" s="55"/>
      <c r="B48" s="10" t="s">
        <v>59</v>
      </c>
      <c r="C48" s="46">
        <f>C44*C46</f>
        <v>112464.26601125966</v>
      </c>
      <c r="D48" s="46">
        <f>D44*D46</f>
        <v>126507.0041224896</v>
      </c>
      <c r="E48" s="46">
        <f>E44*E46</f>
        <v>142303.17468524017</v>
      </c>
      <c r="F48" s="46">
        <f>F44*F46</f>
        <v>160071.71828913799</v>
      </c>
      <c r="G48" s="46">
        <f>G44*G46</f>
        <v>180058.91332159293</v>
      </c>
      <c r="H48" s="46">
        <f>H44*H46</f>
        <v>202541.78947458032</v>
      </c>
      <c r="I48" s="47">
        <f>I44*I46</f>
        <v>227831.96747553436</v>
      </c>
      <c r="J48" s="55"/>
      <c r="R48" s="55"/>
    </row>
    <row r="49" spans="1:18" x14ac:dyDescent="0.3">
      <c r="A49" s="55"/>
      <c r="B49" s="22" t="s">
        <v>60</v>
      </c>
      <c r="C49" s="68">
        <f>C47-C48</f>
        <v>9965.1881275799678</v>
      </c>
      <c r="D49" s="68">
        <f>D47-D48</f>
        <v>11209.481377942109</v>
      </c>
      <c r="E49" s="68">
        <f>E47-E48</f>
        <v>12609.14206071748</v>
      </c>
      <c r="F49" s="68">
        <f>F47-F48</f>
        <v>14183.569974986924</v>
      </c>
      <c r="G49" s="68">
        <f>G47-G48</f>
        <v>15954.587256343686</v>
      </c>
      <c r="H49" s="68">
        <f>H47-H48</f>
        <v>17946.740839519771</v>
      </c>
      <c r="I49" s="72">
        <f>I47-I48</f>
        <v>20187.642687705578</v>
      </c>
      <c r="J49" s="55"/>
      <c r="R49" s="55"/>
    </row>
    <row r="50" spans="1:18" x14ac:dyDescent="0.3">
      <c r="A50" s="55"/>
      <c r="B50" s="10"/>
      <c r="C50" s="40"/>
      <c r="D50" s="40"/>
      <c r="E50" s="40"/>
      <c r="F50" s="40"/>
      <c r="G50" s="40"/>
      <c r="H50" s="40"/>
      <c r="I50" s="42"/>
      <c r="J50" s="55"/>
      <c r="R50" s="55"/>
    </row>
    <row r="51" spans="1:18" x14ac:dyDescent="0.3">
      <c r="A51" s="55"/>
      <c r="B51" s="23" t="s">
        <v>13</v>
      </c>
      <c r="C51" s="69">
        <f>C49-C43</f>
        <v>-5934.8118724200322</v>
      </c>
      <c r="D51" s="69">
        <f>D49-D43</f>
        <v>-4690.5186220578908</v>
      </c>
      <c r="E51" s="69">
        <f>E49-E43</f>
        <v>-3290.8579392825195</v>
      </c>
      <c r="F51" s="69">
        <f>F49-F43</f>
        <v>-1716.4300250130764</v>
      </c>
      <c r="G51" s="69">
        <f>G49-G43</f>
        <v>54.587256343686022</v>
      </c>
      <c r="H51" s="69">
        <f>H49-H43</f>
        <v>2046.7408395197708</v>
      </c>
      <c r="I51" s="73">
        <f>I49-I43</f>
        <v>4287.6426877055783</v>
      </c>
      <c r="J51" s="55"/>
      <c r="R51" s="55"/>
    </row>
    <row r="52" spans="1:18" x14ac:dyDescent="0.3">
      <c r="A52" s="55"/>
      <c r="B52" s="10"/>
      <c r="C52" s="70"/>
      <c r="D52" s="70"/>
      <c r="E52" s="40"/>
      <c r="F52" s="40"/>
      <c r="G52" s="40"/>
      <c r="H52" s="40"/>
      <c r="I52" s="42"/>
      <c r="J52" s="55"/>
      <c r="R52" s="55"/>
    </row>
    <row r="53" spans="1:18" ht="15" thickBot="1" x14ac:dyDescent="0.35">
      <c r="A53" s="55"/>
      <c r="B53" s="24" t="s">
        <v>76</v>
      </c>
      <c r="C53" s="71">
        <f>I38+C51</f>
        <v>12398.5246183216</v>
      </c>
      <c r="D53" s="71">
        <f>C53+D51</f>
        <v>7708.0059962637097</v>
      </c>
      <c r="E53" s="71">
        <f>D53+E51</f>
        <v>4417.1480569811902</v>
      </c>
      <c r="F53" s="71">
        <f>E53+F51</f>
        <v>2700.7180319681138</v>
      </c>
      <c r="G53" s="71">
        <f>F53+G51</f>
        <v>2755.3052883117998</v>
      </c>
      <c r="H53" s="71">
        <f>G53+H51</f>
        <v>4802.0461278315706</v>
      </c>
      <c r="I53" s="74">
        <f>H53+I51</f>
        <v>9089.6888155371489</v>
      </c>
      <c r="J53" s="55"/>
      <c r="R53" s="55"/>
    </row>
    <row r="54" spans="1:18" ht="15" thickTop="1" x14ac:dyDescent="0.3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1:18" x14ac:dyDescent="0.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1:18" x14ac:dyDescent="0.3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1:18" ht="8.4" customHeight="1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</sheetData>
  <mergeCells count="3">
    <mergeCell ref="B8:I8"/>
    <mergeCell ref="K8:Q8"/>
    <mergeCell ref="K25:Q26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5691-580E-4723-B608-9B4A75D24B7E}">
  <dimension ref="A1:AV96"/>
  <sheetViews>
    <sheetView zoomScale="25" zoomScaleNormal="25" workbookViewId="0">
      <selection activeCell="M4" sqref="M4"/>
    </sheetView>
  </sheetViews>
  <sheetFormatPr defaultColWidth="8.77734375" defaultRowHeight="14.4" x14ac:dyDescent="0.3"/>
  <cols>
    <col min="1" max="1" width="5.109375" customWidth="1"/>
    <col min="2" max="2" width="26.5546875" bestFit="1" customWidth="1"/>
    <col min="3" max="3" width="15.5546875" bestFit="1" customWidth="1"/>
    <col min="4" max="4" width="16.33203125" bestFit="1" customWidth="1"/>
    <col min="5" max="6" width="16.109375" bestFit="1" customWidth="1"/>
    <col min="7" max="11" width="14.6640625" bestFit="1" customWidth="1"/>
    <col min="12" max="12" width="15.5546875" bestFit="1" customWidth="1"/>
    <col min="13" max="13" width="15.109375" bestFit="1" customWidth="1"/>
    <col min="14" max="18" width="15.5546875" bestFit="1" customWidth="1"/>
    <col min="19" max="19" width="3.44140625" customWidth="1"/>
    <col min="20" max="56" width="11.44140625" customWidth="1"/>
  </cols>
  <sheetData>
    <row r="1" spans="1:24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4" ht="32.4" x14ac:dyDescent="0.55000000000000004">
      <c r="A2" s="55"/>
      <c r="B2" s="107"/>
      <c r="C2" s="107"/>
      <c r="D2" s="107"/>
      <c r="E2" s="107"/>
      <c r="F2" s="107"/>
      <c r="G2" s="105"/>
      <c r="H2" s="108" t="s">
        <v>142</v>
      </c>
      <c r="I2" s="108"/>
      <c r="J2" s="108"/>
      <c r="K2" s="108"/>
      <c r="L2" s="106"/>
      <c r="M2" s="107"/>
      <c r="N2" s="107"/>
      <c r="O2" s="107"/>
      <c r="P2" s="107"/>
      <c r="Q2" s="107"/>
      <c r="R2" s="107"/>
      <c r="S2" s="55"/>
    </row>
    <row r="3" spans="1:24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4" ht="18" thickBot="1" x14ac:dyDescent="0.4">
      <c r="A4" s="55"/>
      <c r="B4" s="38" t="s">
        <v>128</v>
      </c>
      <c r="C4" s="38" t="s">
        <v>129</v>
      </c>
      <c r="D4" s="38" t="s">
        <v>128</v>
      </c>
      <c r="E4" s="38" t="s">
        <v>129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4" ht="15" thickTop="1" x14ac:dyDescent="0.3">
      <c r="A5" s="55"/>
      <c r="B5" s="39" t="s">
        <v>92</v>
      </c>
      <c r="C5" s="37">
        <v>0.04</v>
      </c>
      <c r="D5" s="35" t="s">
        <v>134</v>
      </c>
      <c r="E5" s="36">
        <f>MAX(C19:Q19)</f>
        <v>-4235.4287103999995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4" x14ac:dyDescent="0.3">
      <c r="A6" s="55"/>
      <c r="B6" s="39" t="s">
        <v>64</v>
      </c>
      <c r="C6" s="35">
        <v>430</v>
      </c>
      <c r="D6" s="35" t="s">
        <v>135</v>
      </c>
      <c r="E6" s="36">
        <f>MIN(C19:Q19)</f>
        <v>-5300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4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4" s="1" customFormat="1" x14ac:dyDescent="0.3">
      <c r="A8" s="56"/>
      <c r="B8" s="1" t="s">
        <v>133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  <c r="P8" s="1" t="s">
        <v>28</v>
      </c>
      <c r="Q8" s="1" t="s">
        <v>29</v>
      </c>
      <c r="R8" s="56"/>
      <c r="S8" s="56"/>
      <c r="V8" s="62"/>
      <c r="W8" s="62"/>
    </row>
    <row r="9" spans="1:24" x14ac:dyDescent="0.3">
      <c r="A9" s="55"/>
      <c r="B9" s="1" t="s">
        <v>77</v>
      </c>
      <c r="C9">
        <f>185000-2000</f>
        <v>183000</v>
      </c>
      <c r="R9" s="55"/>
      <c r="S9" s="55"/>
      <c r="V9" s="63">
        <v>1</v>
      </c>
      <c r="W9" s="63">
        <f>C19</f>
        <v>-5300</v>
      </c>
    </row>
    <row r="10" spans="1:24" x14ac:dyDescent="0.3">
      <c r="A10" s="55"/>
      <c r="B10" s="1" t="s">
        <v>78</v>
      </c>
      <c r="R10" s="55"/>
      <c r="S10" s="55"/>
      <c r="V10" s="63">
        <v>2</v>
      </c>
      <c r="W10" s="63">
        <f>D19</f>
        <v>-5300</v>
      </c>
    </row>
    <row r="11" spans="1:24" x14ac:dyDescent="0.3">
      <c r="A11" s="55"/>
      <c r="B11" s="2" t="s">
        <v>57</v>
      </c>
      <c r="C11">
        <f>'Monthly Costs'!C10</f>
        <v>5300</v>
      </c>
      <c r="D11">
        <f>C11</f>
        <v>5300</v>
      </c>
      <c r="E11">
        <f t="shared" ref="E11:Q11" si="0">D11</f>
        <v>5300</v>
      </c>
      <c r="F11">
        <f t="shared" si="0"/>
        <v>5300</v>
      </c>
      <c r="G11">
        <f t="shared" si="0"/>
        <v>5300</v>
      </c>
      <c r="H11">
        <f t="shared" si="0"/>
        <v>5300</v>
      </c>
      <c r="I11">
        <f t="shared" si="0"/>
        <v>5300</v>
      </c>
      <c r="J11">
        <f t="shared" si="0"/>
        <v>5300</v>
      </c>
      <c r="K11">
        <f t="shared" si="0"/>
        <v>5300</v>
      </c>
      <c r="L11">
        <f t="shared" si="0"/>
        <v>5300</v>
      </c>
      <c r="M11">
        <f t="shared" si="0"/>
        <v>5300</v>
      </c>
      <c r="N11">
        <f t="shared" si="0"/>
        <v>5300</v>
      </c>
      <c r="O11">
        <f t="shared" si="0"/>
        <v>5300</v>
      </c>
      <c r="P11">
        <f t="shared" si="0"/>
        <v>5300</v>
      </c>
      <c r="Q11">
        <f t="shared" si="0"/>
        <v>5300</v>
      </c>
      <c r="R11" s="55"/>
      <c r="S11" s="55"/>
      <c r="V11" s="63">
        <v>3</v>
      </c>
      <c r="W11" s="63">
        <f>E19</f>
        <v>-5300</v>
      </c>
    </row>
    <row r="12" spans="1:24" x14ac:dyDescent="0.3">
      <c r="A12" s="55"/>
      <c r="B12" s="2" t="s">
        <v>65</v>
      </c>
      <c r="C12">
        <f>'Monthly Costs'!C19</f>
        <v>395</v>
      </c>
      <c r="D12">
        <f>C12</f>
        <v>395</v>
      </c>
      <c r="E12">
        <f t="shared" ref="E12:Q12" si="1">D12</f>
        <v>395</v>
      </c>
      <c r="F12">
        <f t="shared" si="1"/>
        <v>395</v>
      </c>
      <c r="G12">
        <f t="shared" si="1"/>
        <v>395</v>
      </c>
      <c r="H12">
        <f t="shared" si="1"/>
        <v>395</v>
      </c>
      <c r="I12">
        <f t="shared" si="1"/>
        <v>395</v>
      </c>
      <c r="J12">
        <f t="shared" si="1"/>
        <v>395</v>
      </c>
      <c r="K12">
        <f t="shared" si="1"/>
        <v>395</v>
      </c>
      <c r="L12">
        <f t="shared" si="1"/>
        <v>395</v>
      </c>
      <c r="M12">
        <f t="shared" si="1"/>
        <v>395</v>
      </c>
      <c r="N12">
        <f t="shared" si="1"/>
        <v>395</v>
      </c>
      <c r="O12">
        <f t="shared" si="1"/>
        <v>395</v>
      </c>
      <c r="P12">
        <f t="shared" si="1"/>
        <v>395</v>
      </c>
      <c r="Q12">
        <f t="shared" si="1"/>
        <v>395</v>
      </c>
      <c r="R12" s="55"/>
      <c r="S12" s="55"/>
      <c r="V12" s="63">
        <v>4</v>
      </c>
      <c r="W12" s="64">
        <f>F19</f>
        <v>-5300</v>
      </c>
      <c r="X12" s="4"/>
    </row>
    <row r="13" spans="1:24" x14ac:dyDescent="0.3">
      <c r="A13" s="55"/>
      <c r="B13" s="1" t="s">
        <v>11</v>
      </c>
      <c r="R13" s="55"/>
      <c r="S13" s="55"/>
      <c r="V13" s="63">
        <v>5</v>
      </c>
      <c r="W13" s="64">
        <f>G19</f>
        <v>-5300</v>
      </c>
      <c r="X13" s="4"/>
    </row>
    <row r="14" spans="1:24" x14ac:dyDescent="0.3">
      <c r="A14" s="55"/>
      <c r="B14" s="2" t="s">
        <v>10</v>
      </c>
      <c r="F14" s="4"/>
      <c r="G14" s="4"/>
      <c r="H14" s="4"/>
      <c r="I14" s="4"/>
      <c r="J14" s="4"/>
      <c r="K14" s="4"/>
      <c r="L14" s="4">
        <v>25</v>
      </c>
      <c r="M14" s="4">
        <f>L14+(L14*$C$5)</f>
        <v>26</v>
      </c>
      <c r="N14" s="4">
        <f>M14+(M14*$C$5)</f>
        <v>27.04</v>
      </c>
      <c r="O14" s="4">
        <f>N14+(N14*$C$5)</f>
        <v>28.121600000000001</v>
      </c>
      <c r="P14" s="4">
        <f>O14+(O14*$C$5)</f>
        <v>29.246464</v>
      </c>
      <c r="Q14" s="4">
        <f>P14+(P14*$C$5)</f>
        <v>30.416322560000001</v>
      </c>
      <c r="R14" s="55"/>
      <c r="S14" s="55"/>
      <c r="V14" s="63">
        <v>6</v>
      </c>
      <c r="W14" s="64">
        <f>H19</f>
        <v>-5300</v>
      </c>
      <c r="X14" s="4"/>
    </row>
    <row r="15" spans="1:24" x14ac:dyDescent="0.3">
      <c r="A15" s="55"/>
      <c r="B15" s="2" t="s">
        <v>58</v>
      </c>
      <c r="F15" s="4"/>
      <c r="G15" s="4"/>
      <c r="H15" s="4"/>
      <c r="I15" s="4"/>
      <c r="J15" s="4"/>
      <c r="K15" s="4"/>
      <c r="L15" s="4">
        <f>L14*$C$6</f>
        <v>10750</v>
      </c>
      <c r="M15" s="4">
        <f>M14*$C$6</f>
        <v>11180</v>
      </c>
      <c r="N15" s="4">
        <f>N14*$C$6</f>
        <v>11627.199999999999</v>
      </c>
      <c r="O15" s="4">
        <f>O14*$C$6</f>
        <v>12092.288</v>
      </c>
      <c r="P15" s="4">
        <f>P14*$C$6</f>
        <v>12575.979519999999</v>
      </c>
      <c r="Q15" s="4">
        <f>Q14*$C$6</f>
        <v>13079.018700800001</v>
      </c>
      <c r="R15" s="55"/>
      <c r="S15" s="55"/>
      <c r="V15" s="63">
        <v>7</v>
      </c>
      <c r="W15" s="64">
        <f>I19</f>
        <v>-5300</v>
      </c>
      <c r="X15" s="4"/>
    </row>
    <row r="16" spans="1:24" s="6" customFormat="1" x14ac:dyDescent="0.3">
      <c r="A16" s="57"/>
      <c r="B16" s="2" t="s">
        <v>59</v>
      </c>
      <c r="C16"/>
      <c r="D16"/>
      <c r="E16"/>
      <c r="F16" s="4"/>
      <c r="G16" s="4"/>
      <c r="H16" s="4"/>
      <c r="I16" s="4"/>
      <c r="J16" s="4"/>
      <c r="K16" s="4"/>
      <c r="L16" s="4">
        <f t="shared" ref="L16:Q16" si="2">L12*L14</f>
        <v>9875</v>
      </c>
      <c r="M16" s="4">
        <f t="shared" si="2"/>
        <v>10270</v>
      </c>
      <c r="N16" s="4">
        <f t="shared" si="2"/>
        <v>10680.8</v>
      </c>
      <c r="O16" s="4">
        <f t="shared" si="2"/>
        <v>11108.032000000001</v>
      </c>
      <c r="P16" s="4">
        <f t="shared" si="2"/>
        <v>11552.353279999999</v>
      </c>
      <c r="Q16" s="4">
        <f t="shared" si="2"/>
        <v>12014.447411200001</v>
      </c>
      <c r="R16" s="57"/>
      <c r="S16" s="57"/>
      <c r="V16" s="63">
        <v>8</v>
      </c>
      <c r="W16" s="64">
        <f>J19</f>
        <v>-5300</v>
      </c>
      <c r="X16" s="4"/>
    </row>
    <row r="17" spans="1:48" x14ac:dyDescent="0.3">
      <c r="A17" s="55"/>
      <c r="B17" s="5" t="s">
        <v>60</v>
      </c>
      <c r="C17" s="18"/>
      <c r="D17" s="18"/>
      <c r="E17" s="18"/>
      <c r="F17" s="32"/>
      <c r="G17" s="32"/>
      <c r="H17" s="32"/>
      <c r="I17" s="32"/>
      <c r="J17" s="32"/>
      <c r="K17" s="32"/>
      <c r="L17" s="32">
        <f t="shared" ref="L17:Q17" si="3">L15-L16</f>
        <v>875</v>
      </c>
      <c r="M17" s="32">
        <f t="shared" si="3"/>
        <v>910</v>
      </c>
      <c r="N17" s="32">
        <f t="shared" si="3"/>
        <v>946.39999999999964</v>
      </c>
      <c r="O17" s="32">
        <f t="shared" si="3"/>
        <v>984.2559999999994</v>
      </c>
      <c r="P17" s="32">
        <f t="shared" si="3"/>
        <v>1023.6262399999996</v>
      </c>
      <c r="Q17" s="32">
        <f t="shared" si="3"/>
        <v>1064.5712896000005</v>
      </c>
      <c r="R17" s="55"/>
      <c r="S17" s="55"/>
      <c r="V17" s="63">
        <v>9</v>
      </c>
      <c r="W17" s="64">
        <f>K19</f>
        <v>-5300</v>
      </c>
      <c r="X17" s="4"/>
    </row>
    <row r="18" spans="1:48" s="29" customFormat="1" x14ac:dyDescent="0.3">
      <c r="A18" s="58"/>
      <c r="B18"/>
      <c r="C18"/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8"/>
      <c r="S18" s="58"/>
      <c r="V18" s="63">
        <v>10</v>
      </c>
      <c r="W18" s="64">
        <f>L19</f>
        <v>-4425</v>
      </c>
      <c r="X18" s="4"/>
    </row>
    <row r="19" spans="1:48" s="30" customFormat="1" x14ac:dyDescent="0.3">
      <c r="A19" s="55"/>
      <c r="B19" s="7" t="s">
        <v>13</v>
      </c>
      <c r="C19" s="14">
        <f xml:space="preserve"> C17-C11</f>
        <v>-5300</v>
      </c>
      <c r="D19" s="14">
        <f t="shared" ref="D19:J19" si="4" xml:space="preserve"> D17-D11</f>
        <v>-5300</v>
      </c>
      <c r="E19" s="14">
        <f t="shared" si="4"/>
        <v>-5300</v>
      </c>
      <c r="F19" s="33">
        <f t="shared" si="4"/>
        <v>-5300</v>
      </c>
      <c r="G19" s="33">
        <f t="shared" si="4"/>
        <v>-5300</v>
      </c>
      <c r="H19" s="33">
        <f t="shared" si="4"/>
        <v>-5300</v>
      </c>
      <c r="I19" s="33">
        <f t="shared" si="4"/>
        <v>-5300</v>
      </c>
      <c r="J19" s="33">
        <f t="shared" si="4"/>
        <v>-5300</v>
      </c>
      <c r="K19" s="33">
        <f t="shared" ref="K19:Q19" si="5" xml:space="preserve"> K17-K11</f>
        <v>-5300</v>
      </c>
      <c r="L19" s="33">
        <f t="shared" si="5"/>
        <v>-4425</v>
      </c>
      <c r="M19" s="33">
        <f t="shared" si="5"/>
        <v>-4390</v>
      </c>
      <c r="N19" s="33">
        <f t="shared" si="5"/>
        <v>-4353.6000000000004</v>
      </c>
      <c r="O19" s="33">
        <f t="shared" si="5"/>
        <v>-4315.7440000000006</v>
      </c>
      <c r="P19" s="33">
        <f t="shared" si="5"/>
        <v>-4276.3737600000004</v>
      </c>
      <c r="Q19" s="33">
        <f t="shared" si="5"/>
        <v>-4235.4287103999995</v>
      </c>
      <c r="R19" s="55"/>
      <c r="S19" s="55"/>
      <c r="V19" s="63">
        <v>11</v>
      </c>
      <c r="W19" s="65">
        <f>N19</f>
        <v>-4353.6000000000004</v>
      </c>
      <c r="X19" s="60"/>
    </row>
    <row r="20" spans="1:48" s="31" customFormat="1" x14ac:dyDescent="0.3">
      <c r="A20" s="5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 s="59"/>
      <c r="S20" s="59"/>
      <c r="V20" s="63">
        <v>12</v>
      </c>
      <c r="W20" s="66">
        <f>O19</f>
        <v>-4315.7440000000006</v>
      </c>
      <c r="X20" s="61"/>
    </row>
    <row r="21" spans="1:48" ht="15" thickBot="1" x14ac:dyDescent="0.35">
      <c r="A21" s="55"/>
      <c r="B21" s="8" t="s">
        <v>76</v>
      </c>
      <c r="C21" s="34">
        <f>C9+C19</f>
        <v>177700</v>
      </c>
      <c r="D21" s="34">
        <f>C21+D19</f>
        <v>172400</v>
      </c>
      <c r="E21" s="34">
        <f t="shared" ref="E21:Q21" si="6">D21+E19</f>
        <v>167100</v>
      </c>
      <c r="F21" s="34">
        <f t="shared" si="6"/>
        <v>161800</v>
      </c>
      <c r="G21" s="34">
        <f t="shared" si="6"/>
        <v>156500</v>
      </c>
      <c r="H21" s="34">
        <f t="shared" si="6"/>
        <v>151200</v>
      </c>
      <c r="I21" s="34">
        <f t="shared" si="6"/>
        <v>145900</v>
      </c>
      <c r="J21" s="34">
        <f t="shared" si="6"/>
        <v>140600</v>
      </c>
      <c r="K21" s="34">
        <f t="shared" si="6"/>
        <v>135300</v>
      </c>
      <c r="L21" s="34">
        <f t="shared" si="6"/>
        <v>130875</v>
      </c>
      <c r="M21" s="34">
        <f t="shared" si="6"/>
        <v>126485</v>
      </c>
      <c r="N21" s="34">
        <f t="shared" si="6"/>
        <v>122131.4</v>
      </c>
      <c r="O21" s="34">
        <f t="shared" si="6"/>
        <v>117815.65599999999</v>
      </c>
      <c r="P21" s="34">
        <f t="shared" si="6"/>
        <v>113539.28223999999</v>
      </c>
      <c r="Q21" s="34">
        <f t="shared" si="6"/>
        <v>109303.85352959999</v>
      </c>
      <c r="R21" s="55"/>
      <c r="S21" s="55"/>
      <c r="V21" s="63">
        <v>13</v>
      </c>
      <c r="W21" s="64">
        <f>P19</f>
        <v>-4276.3737600000004</v>
      </c>
      <c r="X21" s="4"/>
    </row>
    <row r="22" spans="1:48" ht="15" thickTop="1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V22" s="63">
        <v>14</v>
      </c>
      <c r="W22" s="64">
        <f>Q19</f>
        <v>-4235.4287103999995</v>
      </c>
      <c r="X22" s="4"/>
    </row>
    <row r="23" spans="1:48" ht="15" thickBot="1" x14ac:dyDescent="0.35">
      <c r="A23" s="55"/>
      <c r="B23" s="54" t="s">
        <v>133</v>
      </c>
      <c r="C23" s="44" t="s">
        <v>30</v>
      </c>
      <c r="D23" s="44" t="s">
        <v>31</v>
      </c>
      <c r="E23" s="44" t="s">
        <v>32</v>
      </c>
      <c r="F23" s="44" t="s">
        <v>33</v>
      </c>
      <c r="G23" s="45" t="s">
        <v>34</v>
      </c>
      <c r="H23" s="44" t="s">
        <v>35</v>
      </c>
      <c r="I23" s="44" t="s">
        <v>36</v>
      </c>
      <c r="J23" s="44" t="s">
        <v>37</v>
      </c>
      <c r="K23" s="44" t="s">
        <v>38</v>
      </c>
      <c r="L23" s="44" t="s">
        <v>39</v>
      </c>
      <c r="M23" s="44" t="s">
        <v>40</v>
      </c>
      <c r="N23" s="44" t="s">
        <v>41</v>
      </c>
      <c r="O23" s="44" t="s">
        <v>42</v>
      </c>
      <c r="P23" s="44" t="s">
        <v>43</v>
      </c>
      <c r="Q23" s="44" t="s">
        <v>44</v>
      </c>
      <c r="R23" s="55"/>
      <c r="S23" s="55"/>
      <c r="V23" s="63">
        <v>15</v>
      </c>
      <c r="W23" s="64">
        <f>C34</f>
        <v>-4192.8458588159992</v>
      </c>
    </row>
    <row r="24" spans="1:48" ht="15" thickTop="1" x14ac:dyDescent="0.3">
      <c r="A24" s="55"/>
      <c r="B24" s="19" t="s">
        <v>77</v>
      </c>
      <c r="C24" s="41"/>
      <c r="D24" s="41"/>
      <c r="E24" s="41"/>
      <c r="F24" s="41"/>
      <c r="G24" s="43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55"/>
      <c r="S24" s="55"/>
      <c r="V24" s="63">
        <v>16</v>
      </c>
      <c r="W24" s="64">
        <f>D34</f>
        <v>-4148.5596931686396</v>
      </c>
    </row>
    <row r="25" spans="1:48" x14ac:dyDescent="0.3">
      <c r="A25" s="55"/>
      <c r="B25" s="20" t="s">
        <v>78</v>
      </c>
      <c r="C25" s="40"/>
      <c r="D25" s="40"/>
      <c r="E25" s="40"/>
      <c r="F25" s="40"/>
      <c r="G25" s="42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55"/>
      <c r="S25" s="55"/>
      <c r="V25" s="63">
        <v>17</v>
      </c>
      <c r="W25" s="64">
        <f>E34</f>
        <v>-4102.5020808953868</v>
      </c>
    </row>
    <row r="26" spans="1:48" x14ac:dyDescent="0.3">
      <c r="A26" s="55"/>
      <c r="B26" s="21" t="s">
        <v>57</v>
      </c>
      <c r="C26" s="41">
        <f>Q11</f>
        <v>5300</v>
      </c>
      <c r="D26" s="41">
        <f>C26</f>
        <v>5300</v>
      </c>
      <c r="E26" s="41">
        <f>D26</f>
        <v>5300</v>
      </c>
      <c r="F26" s="41">
        <f>E26</f>
        <v>5300</v>
      </c>
      <c r="G26" s="43">
        <f>F26</f>
        <v>5300</v>
      </c>
      <c r="H26" s="41">
        <f>G26</f>
        <v>5300</v>
      </c>
      <c r="I26" s="41">
        <f>H26</f>
        <v>5300</v>
      </c>
      <c r="J26" s="41">
        <f>I26</f>
        <v>5300</v>
      </c>
      <c r="K26" s="41">
        <f>J26</f>
        <v>5300</v>
      </c>
      <c r="L26" s="41">
        <f>K26</f>
        <v>5300</v>
      </c>
      <c r="M26" s="41">
        <f>L26</f>
        <v>5300</v>
      </c>
      <c r="N26" s="41">
        <f>M26</f>
        <v>5300</v>
      </c>
      <c r="O26" s="41">
        <f>N26</f>
        <v>5300</v>
      </c>
      <c r="P26" s="41">
        <f>O26</f>
        <v>5300</v>
      </c>
      <c r="Q26" s="41">
        <f>P26</f>
        <v>5300</v>
      </c>
      <c r="R26" s="55"/>
      <c r="S26" s="55"/>
      <c r="V26" s="63">
        <v>18</v>
      </c>
      <c r="W26" s="64">
        <f>F34</f>
        <v>-4054.6021641312018</v>
      </c>
    </row>
    <row r="27" spans="1:48" x14ac:dyDescent="0.3">
      <c r="A27" s="55"/>
      <c r="B27" s="10" t="s">
        <v>65</v>
      </c>
      <c r="C27" s="40">
        <f>Q12</f>
        <v>395</v>
      </c>
      <c r="D27" s="40">
        <f>C27</f>
        <v>395</v>
      </c>
      <c r="E27" s="40">
        <f>D27</f>
        <v>395</v>
      </c>
      <c r="F27" s="40">
        <f>E27</f>
        <v>395</v>
      </c>
      <c r="G27" s="42">
        <f>F27</f>
        <v>395</v>
      </c>
      <c r="H27" s="40">
        <f>G27</f>
        <v>395</v>
      </c>
      <c r="I27" s="40">
        <f>H27</f>
        <v>395</v>
      </c>
      <c r="J27" s="40">
        <f>I27</f>
        <v>395</v>
      </c>
      <c r="K27" s="40">
        <f>J27</f>
        <v>395</v>
      </c>
      <c r="L27" s="40">
        <f>K27</f>
        <v>395</v>
      </c>
      <c r="M27" s="40">
        <f>L27</f>
        <v>395</v>
      </c>
      <c r="N27" s="40">
        <f>M27</f>
        <v>395</v>
      </c>
      <c r="O27" s="40">
        <f>N27</f>
        <v>395</v>
      </c>
      <c r="P27" s="40">
        <f>O27</f>
        <v>395</v>
      </c>
      <c r="Q27" s="40">
        <f>P27</f>
        <v>395</v>
      </c>
      <c r="R27" s="55"/>
      <c r="S27" s="55"/>
      <c r="V27" s="63">
        <v>19</v>
      </c>
      <c r="W27" s="64">
        <f>G34</f>
        <v>-4004.7862506964484</v>
      </c>
    </row>
    <row r="28" spans="1:48" x14ac:dyDescent="0.3">
      <c r="A28" s="55"/>
      <c r="B28" s="19" t="s">
        <v>11</v>
      </c>
      <c r="C28" s="41"/>
      <c r="D28" s="41"/>
      <c r="E28" s="41"/>
      <c r="F28" s="41"/>
      <c r="G28" s="43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55"/>
      <c r="S28" s="55"/>
      <c r="V28" s="63">
        <v>20</v>
      </c>
      <c r="W28" s="64">
        <f>H34</f>
        <v>-3952.9777007243065</v>
      </c>
    </row>
    <row r="29" spans="1:48" x14ac:dyDescent="0.3">
      <c r="A29" s="55"/>
      <c r="B29" s="10" t="s">
        <v>10</v>
      </c>
      <c r="C29" s="46">
        <f>Q14+(Q14*$C$5)</f>
        <v>31.632975462400001</v>
      </c>
      <c r="D29" s="46">
        <f>C29+(C29*$C$5)</f>
        <v>32.898294480895999</v>
      </c>
      <c r="E29" s="46">
        <f>D29+(D29*$C$5)</f>
        <v>34.214226260131838</v>
      </c>
      <c r="F29" s="46">
        <f>E29+(E29*$C$5)</f>
        <v>35.582795310537108</v>
      </c>
      <c r="G29" s="47">
        <f>F29+(F29*$C$5)</f>
        <v>37.006107122958589</v>
      </c>
      <c r="H29" s="46">
        <f>G29+(G29*$C$5)</f>
        <v>38.486351407876931</v>
      </c>
      <c r="I29" s="46">
        <f>H29+(H29*$C$5)</f>
        <v>40.025805464192011</v>
      </c>
      <c r="J29" s="46">
        <f>I29+(I29*$C$5)</f>
        <v>41.626837682759692</v>
      </c>
      <c r="K29" s="46">
        <f>J29+(J29*$C$5)</f>
        <v>43.291911190070081</v>
      </c>
      <c r="L29" s="46">
        <f>K29+(K29*$C$5)</f>
        <v>45.023587637672883</v>
      </c>
      <c r="M29" s="46">
        <f>L29+(L29*$C$5)</f>
        <v>46.824531143179797</v>
      </c>
      <c r="N29" s="46">
        <f>M29+(M29*$C$5)</f>
        <v>48.697512388906986</v>
      </c>
      <c r="O29" s="46">
        <f>N29+(N29*$C$5)</f>
        <v>50.645412884463269</v>
      </c>
      <c r="P29" s="46">
        <f>O29+(O29*$C$5)</f>
        <v>52.671229399841799</v>
      </c>
      <c r="Q29" s="46">
        <f>P29+(P29*$C$5)</f>
        <v>54.778078575835472</v>
      </c>
      <c r="R29" s="55"/>
      <c r="S29" s="55"/>
      <c r="V29" s="63">
        <v>21</v>
      </c>
      <c r="W29" s="64">
        <f>I34</f>
        <v>-3899.0968087532801</v>
      </c>
    </row>
    <row r="30" spans="1:48" x14ac:dyDescent="0.3">
      <c r="A30" s="55"/>
      <c r="B30" s="21" t="s">
        <v>58</v>
      </c>
      <c r="C30" s="48">
        <f>C29*$C$6</f>
        <v>13602.179448832001</v>
      </c>
      <c r="D30" s="48">
        <f>D29*$C$6</f>
        <v>14146.26662678528</v>
      </c>
      <c r="E30" s="48">
        <f>E29*$C$6</f>
        <v>14712.11729185669</v>
      </c>
      <c r="F30" s="48">
        <f>F29*$C$6</f>
        <v>15300.601983530956</v>
      </c>
      <c r="G30" s="49">
        <f>G29*$C$6</f>
        <v>15912.626062872194</v>
      </c>
      <c r="H30" s="48">
        <f>H29*$C$6</f>
        <v>16549.131105387081</v>
      </c>
      <c r="I30" s="48">
        <f>I29*$C$6</f>
        <v>17211.096349602565</v>
      </c>
      <c r="J30" s="48">
        <f>J29*$C$6</f>
        <v>17899.540203586668</v>
      </c>
      <c r="K30" s="48">
        <f>K29*$C$6</f>
        <v>18615.521811730134</v>
      </c>
      <c r="L30" s="48">
        <f>L29*$C$6</f>
        <v>19360.142684199338</v>
      </c>
      <c r="M30" s="48">
        <f>M29*$C$6</f>
        <v>20134.548391567314</v>
      </c>
      <c r="N30" s="48">
        <f>N29*$C$6</f>
        <v>20939.930327230006</v>
      </c>
      <c r="O30" s="48">
        <f>O29*$C$6</f>
        <v>21777.527540319206</v>
      </c>
      <c r="P30" s="48">
        <f>P29*$C$6</f>
        <v>22648.628641931973</v>
      </c>
      <c r="Q30" s="48">
        <f>Q29*$C$6</f>
        <v>23554.573787609253</v>
      </c>
      <c r="R30" s="55"/>
      <c r="S30" s="55"/>
      <c r="V30" s="63">
        <v>22</v>
      </c>
      <c r="W30" s="64">
        <f>J34</f>
        <v>-3843.0606811034086</v>
      </c>
    </row>
    <row r="31" spans="1:48" x14ac:dyDescent="0.3">
      <c r="A31" s="55"/>
      <c r="B31" s="10" t="s">
        <v>59</v>
      </c>
      <c r="C31" s="46">
        <f>C27*C29</f>
        <v>12495.025307648</v>
      </c>
      <c r="D31" s="46">
        <f>D27*D29</f>
        <v>12994.82631995392</v>
      </c>
      <c r="E31" s="46">
        <f>E27*E29</f>
        <v>13514.619372752077</v>
      </c>
      <c r="F31" s="46">
        <f>F27*F29</f>
        <v>14055.204147662158</v>
      </c>
      <c r="G31" s="47">
        <f>G27*G29</f>
        <v>14617.412313568642</v>
      </c>
      <c r="H31" s="46">
        <f>H27*H29</f>
        <v>15202.108806111388</v>
      </c>
      <c r="I31" s="46">
        <f>I27*I29</f>
        <v>15810.193158355845</v>
      </c>
      <c r="J31" s="46">
        <f>J27*J29</f>
        <v>16442.600884690077</v>
      </c>
      <c r="K31" s="46">
        <f>K27*K29</f>
        <v>17100.30492007768</v>
      </c>
      <c r="L31" s="46">
        <f>L27*L29</f>
        <v>17784.317116880789</v>
      </c>
      <c r="M31" s="46">
        <f>M27*M29</f>
        <v>18495.689801556018</v>
      </c>
      <c r="N31" s="46">
        <f>N27*N29</f>
        <v>19235.517393618258</v>
      </c>
      <c r="O31" s="46">
        <f>O27*O29</f>
        <v>20004.93808936299</v>
      </c>
      <c r="P31" s="46">
        <f>P27*P29</f>
        <v>20805.135612937509</v>
      </c>
      <c r="Q31" s="46">
        <f>Q27*Q29</f>
        <v>21637.341037455011</v>
      </c>
      <c r="R31" s="55"/>
      <c r="S31" s="55"/>
      <c r="V31" s="63">
        <v>23</v>
      </c>
      <c r="W31" s="64">
        <f>K34</f>
        <v>-3784.7831083475467</v>
      </c>
      <c r="AU31" s="4"/>
      <c r="AV31" s="4"/>
    </row>
    <row r="32" spans="1:48" x14ac:dyDescent="0.3">
      <c r="A32" s="55"/>
      <c r="B32" s="22" t="s">
        <v>60</v>
      </c>
      <c r="C32" s="50">
        <f>C30-C31</f>
        <v>1107.1541411840008</v>
      </c>
      <c r="D32" s="50">
        <f>D30-D31</f>
        <v>1151.4403068313604</v>
      </c>
      <c r="E32" s="50">
        <f>E30-E31</f>
        <v>1197.4979191046132</v>
      </c>
      <c r="F32" s="50">
        <f>F30-F31</f>
        <v>1245.3978358687982</v>
      </c>
      <c r="G32" s="51">
        <f>G30-G31</f>
        <v>1295.2137493035516</v>
      </c>
      <c r="H32" s="50">
        <f>H30-H31</f>
        <v>1347.0222992756935</v>
      </c>
      <c r="I32" s="50">
        <f>I30-I31</f>
        <v>1400.9031912467199</v>
      </c>
      <c r="J32" s="50">
        <f>J30-J31</f>
        <v>1456.9393188965914</v>
      </c>
      <c r="K32" s="50">
        <f>K30-K31</f>
        <v>1515.2168916524533</v>
      </c>
      <c r="L32" s="50">
        <f>L30-L31</f>
        <v>1575.8255673185486</v>
      </c>
      <c r="M32" s="50">
        <f>M30-M31</f>
        <v>1638.8585900112957</v>
      </c>
      <c r="N32" s="50">
        <f>N30-N31</f>
        <v>1704.4129336117476</v>
      </c>
      <c r="O32" s="50">
        <f>O30-O31</f>
        <v>1772.5894509562168</v>
      </c>
      <c r="P32" s="50">
        <f>P30-P31</f>
        <v>1843.4930289944641</v>
      </c>
      <c r="Q32" s="50">
        <f>Q30-Q31</f>
        <v>1917.2327501542422</v>
      </c>
      <c r="R32" s="55"/>
      <c r="S32" s="55"/>
      <c r="V32" s="63">
        <v>24</v>
      </c>
      <c r="W32" s="64">
        <f>L34</f>
        <v>-3724.1744326814514</v>
      </c>
    </row>
    <row r="33" spans="1:23" x14ac:dyDescent="0.3">
      <c r="A33" s="55"/>
      <c r="B33" s="10"/>
      <c r="C33" s="46"/>
      <c r="D33" s="46"/>
      <c r="E33" s="46"/>
      <c r="F33" s="46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55"/>
      <c r="S33" s="55"/>
      <c r="V33" s="63">
        <v>25</v>
      </c>
      <c r="W33" s="64">
        <f>M34</f>
        <v>-3661.1414099887043</v>
      </c>
    </row>
    <row r="34" spans="1:23" x14ac:dyDescent="0.3">
      <c r="A34" s="55"/>
      <c r="B34" s="23" t="s">
        <v>13</v>
      </c>
      <c r="C34" s="26">
        <f xml:space="preserve"> C32-C26</f>
        <v>-4192.8458588159992</v>
      </c>
      <c r="D34" s="26">
        <f xml:space="preserve"> D32-D26</f>
        <v>-4148.5596931686396</v>
      </c>
      <c r="E34" s="26">
        <f xml:space="preserve"> E32-E26</f>
        <v>-4102.5020808953868</v>
      </c>
      <c r="F34" s="26">
        <f xml:space="preserve"> F32-F26</f>
        <v>-4054.6021641312018</v>
      </c>
      <c r="G34" s="52">
        <f xml:space="preserve"> G32-G26</f>
        <v>-4004.7862506964484</v>
      </c>
      <c r="H34" s="26">
        <f xml:space="preserve"> H32-H26</f>
        <v>-3952.9777007243065</v>
      </c>
      <c r="I34" s="26">
        <f xml:space="preserve"> I32-I26</f>
        <v>-3899.0968087532801</v>
      </c>
      <c r="J34" s="26">
        <f xml:space="preserve"> J32-J26</f>
        <v>-3843.0606811034086</v>
      </c>
      <c r="K34" s="26">
        <f xml:space="preserve"> K32-K26</f>
        <v>-3784.7831083475467</v>
      </c>
      <c r="L34" s="26">
        <f xml:space="preserve"> L32-L26</f>
        <v>-3724.1744326814514</v>
      </c>
      <c r="M34" s="26">
        <f xml:space="preserve"> M32-M26</f>
        <v>-3661.1414099887043</v>
      </c>
      <c r="N34" s="26">
        <f xml:space="preserve"> N32-N26</f>
        <v>-3595.5870663882524</v>
      </c>
      <c r="O34" s="26">
        <f xml:space="preserve"> O32-O26</f>
        <v>-3527.4105490437832</v>
      </c>
      <c r="P34" s="26">
        <f xml:space="preserve"> P32-P26</f>
        <v>-3456.5069710055359</v>
      </c>
      <c r="Q34" s="26">
        <f xml:space="preserve"> Q32-Q26</f>
        <v>-3382.7672498457578</v>
      </c>
      <c r="R34" s="55"/>
      <c r="S34" s="55"/>
      <c r="V34" s="63">
        <v>26</v>
      </c>
      <c r="W34" s="64">
        <f>N34</f>
        <v>-3595.5870663882524</v>
      </c>
    </row>
    <row r="35" spans="1:23" x14ac:dyDescent="0.3">
      <c r="A35" s="55"/>
      <c r="B35" s="10"/>
      <c r="C35" s="40"/>
      <c r="D35" s="40"/>
      <c r="E35" s="40"/>
      <c r="F35" s="40"/>
      <c r="G35" s="42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55"/>
      <c r="S35" s="55"/>
      <c r="V35" s="63">
        <v>27</v>
      </c>
      <c r="W35" s="64">
        <f>O34</f>
        <v>-3527.4105490437832</v>
      </c>
    </row>
    <row r="36" spans="1:23" ht="15" thickBot="1" x14ac:dyDescent="0.35">
      <c r="A36" s="55"/>
      <c r="B36" s="24" t="s">
        <v>76</v>
      </c>
      <c r="C36" s="27">
        <f>Q21+C34</f>
        <v>105111.00767078399</v>
      </c>
      <c r="D36" s="27">
        <f>C36+D34</f>
        <v>100962.44797761535</v>
      </c>
      <c r="E36" s="27">
        <f>D36+E34</f>
        <v>96859.945896719961</v>
      </c>
      <c r="F36" s="27">
        <f>E36+F34</f>
        <v>92805.343732588764</v>
      </c>
      <c r="G36" s="53">
        <f>F36+G34</f>
        <v>88800.55748189232</v>
      </c>
      <c r="H36" s="27">
        <f>G36+H34</f>
        <v>84847.57978116801</v>
      </c>
      <c r="I36" s="27">
        <f>H36+I34</f>
        <v>80948.482972414728</v>
      </c>
      <c r="J36" s="27">
        <f>I36+J34</f>
        <v>77105.422291311319</v>
      </c>
      <c r="K36" s="27">
        <f>J36+K34</f>
        <v>73320.639182963772</v>
      </c>
      <c r="L36" s="27">
        <f>K36+L34</f>
        <v>69596.464750282321</v>
      </c>
      <c r="M36" s="27">
        <f>L36+M34</f>
        <v>65935.323340293617</v>
      </c>
      <c r="N36" s="27">
        <f>M36+N34</f>
        <v>62339.736273905364</v>
      </c>
      <c r="O36" s="27">
        <f>N36+O34</f>
        <v>58812.325724861585</v>
      </c>
      <c r="P36" s="27">
        <f>O36+P34</f>
        <v>55355.818753856045</v>
      </c>
      <c r="Q36" s="27">
        <f>P36+Q34</f>
        <v>51973.051504010291</v>
      </c>
      <c r="R36" s="55"/>
      <c r="S36" s="55"/>
      <c r="V36" s="63">
        <v>28</v>
      </c>
      <c r="W36" s="64">
        <f>P34</f>
        <v>-3456.5069710055359</v>
      </c>
    </row>
    <row r="37" spans="1:23" ht="15" thickTop="1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V37" s="63">
        <v>29</v>
      </c>
      <c r="W37" s="64">
        <f>Q34</f>
        <v>-3382.7672498457578</v>
      </c>
    </row>
    <row r="38" spans="1:23" ht="15" thickBot="1" x14ac:dyDescent="0.35">
      <c r="A38" s="55"/>
      <c r="B38" s="54" t="s">
        <v>133</v>
      </c>
      <c r="C38" s="44" t="s">
        <v>45</v>
      </c>
      <c r="D38" s="44" t="s">
        <v>46</v>
      </c>
      <c r="E38" s="44" t="s">
        <v>47</v>
      </c>
      <c r="F38" s="44" t="s">
        <v>48</v>
      </c>
      <c r="G38" s="44" t="s">
        <v>49</v>
      </c>
      <c r="H38" s="44" t="s">
        <v>50</v>
      </c>
      <c r="I38" s="44" t="s">
        <v>51</v>
      </c>
      <c r="J38" s="44" t="s">
        <v>52</v>
      </c>
      <c r="K38" s="44" t="s">
        <v>53</v>
      </c>
      <c r="L38" s="44" t="s">
        <v>54</v>
      </c>
      <c r="M38" s="44" t="s">
        <v>55</v>
      </c>
      <c r="N38" s="44" t="s">
        <v>56</v>
      </c>
      <c r="O38" s="44" t="s">
        <v>66</v>
      </c>
      <c r="P38" s="44" t="s">
        <v>67</v>
      </c>
      <c r="Q38" s="44" t="s">
        <v>68</v>
      </c>
      <c r="R38" s="55"/>
      <c r="S38" s="55"/>
      <c r="V38" s="63">
        <v>30</v>
      </c>
      <c r="W38" s="64">
        <f>C49</f>
        <v>-3306.0779398395898</v>
      </c>
    </row>
    <row r="39" spans="1:23" ht="15" thickTop="1" x14ac:dyDescent="0.3">
      <c r="A39" s="55"/>
      <c r="B39" s="19" t="s">
        <v>77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55"/>
      <c r="S39" s="55"/>
      <c r="V39" s="63">
        <v>31</v>
      </c>
      <c r="W39" s="64">
        <f>D49</f>
        <v>-3226.3210574331752</v>
      </c>
    </row>
    <row r="40" spans="1:23" x14ac:dyDescent="0.3">
      <c r="A40" s="55"/>
      <c r="B40" s="20" t="s">
        <v>78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55"/>
      <c r="S40" s="55"/>
      <c r="V40" s="63">
        <v>32</v>
      </c>
      <c r="W40" s="64">
        <f>E49</f>
        <v>-3143.3738997304972</v>
      </c>
    </row>
    <row r="41" spans="1:23" x14ac:dyDescent="0.3">
      <c r="A41" s="55"/>
      <c r="B41" s="21" t="s">
        <v>57</v>
      </c>
      <c r="C41" s="41">
        <f>Q26</f>
        <v>5300</v>
      </c>
      <c r="D41" s="41">
        <f>C41</f>
        <v>5300</v>
      </c>
      <c r="E41" s="41">
        <f>D41</f>
        <v>5300</v>
      </c>
      <c r="F41" s="41">
        <f>E41</f>
        <v>5300</v>
      </c>
      <c r="G41" s="41">
        <f>F41</f>
        <v>5300</v>
      </c>
      <c r="H41" s="41">
        <f>G41</f>
        <v>5300</v>
      </c>
      <c r="I41" s="41">
        <f>H41</f>
        <v>5300</v>
      </c>
      <c r="J41" s="41">
        <f>I41</f>
        <v>5300</v>
      </c>
      <c r="K41" s="41">
        <f>J41</f>
        <v>5300</v>
      </c>
      <c r="L41" s="41">
        <f>K41</f>
        <v>5300</v>
      </c>
      <c r="M41" s="41">
        <f>L41</f>
        <v>5300</v>
      </c>
      <c r="N41" s="41">
        <f>M41</f>
        <v>5300</v>
      </c>
      <c r="O41" s="41">
        <f>N41</f>
        <v>5300</v>
      </c>
      <c r="P41" s="41">
        <f>O41</f>
        <v>5300</v>
      </c>
      <c r="Q41" s="41">
        <f>P41</f>
        <v>5300</v>
      </c>
      <c r="R41" s="55"/>
      <c r="S41" s="55"/>
      <c r="V41" s="63">
        <v>33</v>
      </c>
      <c r="W41" s="64">
        <f>F49</f>
        <v>-3057.1088557197218</v>
      </c>
    </row>
    <row r="42" spans="1:23" x14ac:dyDescent="0.3">
      <c r="A42" s="55"/>
      <c r="B42" s="10" t="s">
        <v>65</v>
      </c>
      <c r="C42" s="40">
        <f>Q27</f>
        <v>395</v>
      </c>
      <c r="D42" s="40">
        <f>C42</f>
        <v>395</v>
      </c>
      <c r="E42" s="40">
        <f>D42</f>
        <v>395</v>
      </c>
      <c r="F42" s="40">
        <f>E42</f>
        <v>395</v>
      </c>
      <c r="G42" s="40">
        <f>F42</f>
        <v>395</v>
      </c>
      <c r="H42" s="40">
        <f>G42</f>
        <v>395</v>
      </c>
      <c r="I42" s="40">
        <f>H42</f>
        <v>395</v>
      </c>
      <c r="J42" s="40">
        <f>I42</f>
        <v>395</v>
      </c>
      <c r="K42" s="40">
        <f>J42</f>
        <v>395</v>
      </c>
      <c r="L42" s="40">
        <f>K42</f>
        <v>395</v>
      </c>
      <c r="M42" s="40">
        <f>L42</f>
        <v>395</v>
      </c>
      <c r="N42" s="40">
        <f>M42</f>
        <v>395</v>
      </c>
      <c r="O42" s="40">
        <f>N42</f>
        <v>395</v>
      </c>
      <c r="P42" s="40">
        <f>O42</f>
        <v>395</v>
      </c>
      <c r="Q42" s="40">
        <f>P42</f>
        <v>395</v>
      </c>
      <c r="R42" s="55"/>
      <c r="S42" s="55"/>
      <c r="V42" s="63">
        <v>34</v>
      </c>
      <c r="W42" s="64">
        <f>G49</f>
        <v>-2967.39320994851</v>
      </c>
    </row>
    <row r="43" spans="1:23" x14ac:dyDescent="0.3">
      <c r="A43" s="55"/>
      <c r="B43" s="19" t="s">
        <v>11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55"/>
      <c r="S43" s="55"/>
      <c r="V43" s="63">
        <v>35</v>
      </c>
      <c r="W43" s="64">
        <f>H49</f>
        <v>-2874.0889383464455</v>
      </c>
    </row>
    <row r="44" spans="1:23" x14ac:dyDescent="0.3">
      <c r="A44" s="55"/>
      <c r="B44" s="10" t="s">
        <v>10</v>
      </c>
      <c r="C44" s="46">
        <f>Q29+(Q29*$C$5)</f>
        <v>56.969201718868888</v>
      </c>
      <c r="D44" s="46">
        <f>C44+(C44*$C$5)</f>
        <v>59.247969787623646</v>
      </c>
      <c r="E44" s="46">
        <f>D44+(D44*$C$5)</f>
        <v>61.617888579128589</v>
      </c>
      <c r="F44" s="46">
        <f>E44+(E44*$C$5)</f>
        <v>64.082604122293731</v>
      </c>
      <c r="G44" s="46">
        <f>F44+(F44*$C$5)</f>
        <v>66.645908287185478</v>
      </c>
      <c r="H44" s="46">
        <f>G44+(G44*$C$5)</f>
        <v>69.31174461867289</v>
      </c>
      <c r="I44" s="46">
        <f>H44+(H44*$C$5)</f>
        <v>72.084214403419807</v>
      </c>
      <c r="J44" s="46">
        <f>I44+(I44*$C$5)</f>
        <v>74.967582979556596</v>
      </c>
      <c r="K44" s="46">
        <f>J44+(J44*$C$5)</f>
        <v>77.966286298738865</v>
      </c>
      <c r="L44" s="46">
        <f>K44+(K44*$C$5)</f>
        <v>81.084937750688425</v>
      </c>
      <c r="M44" s="46">
        <f>L44+(L44*$C$5)</f>
        <v>84.32833526071596</v>
      </c>
      <c r="N44" s="46">
        <f>M44+(M44*$C$5)</f>
        <v>87.701468671144596</v>
      </c>
      <c r="O44" s="46">
        <f>N44+(N44*$C$5)</f>
        <v>91.209527417990387</v>
      </c>
      <c r="P44" s="46">
        <f>O44+(O44*$C$5)</f>
        <v>94.857908514710005</v>
      </c>
      <c r="Q44" s="46">
        <f>P44+(P44*$C$5)</f>
        <v>98.6522248552984</v>
      </c>
      <c r="R44" s="55"/>
      <c r="S44" s="55"/>
      <c r="V44" s="63">
        <v>36</v>
      </c>
      <c r="W44" s="64">
        <f>I49</f>
        <v>-2777.0524958803071</v>
      </c>
    </row>
    <row r="45" spans="1:23" x14ac:dyDescent="0.3">
      <c r="A45" s="55"/>
      <c r="B45" s="21" t="s">
        <v>58</v>
      </c>
      <c r="C45" s="48">
        <f>C44*$C$6</f>
        <v>24496.756739113622</v>
      </c>
      <c r="D45" s="48">
        <f>D44*$C$6</f>
        <v>25476.627008678166</v>
      </c>
      <c r="E45" s="48">
        <f>E44*$C$6</f>
        <v>26495.692089025295</v>
      </c>
      <c r="F45" s="48">
        <f>F44*$C$6</f>
        <v>27555.519772586304</v>
      </c>
      <c r="G45" s="48">
        <f>G44*$C$6</f>
        <v>28657.740563489755</v>
      </c>
      <c r="H45" s="48">
        <f>H44*$C$6</f>
        <v>29804.050186029344</v>
      </c>
      <c r="I45" s="48">
        <f>I44*$C$6</f>
        <v>30996.212193470517</v>
      </c>
      <c r="J45" s="48">
        <f>J44*$C$6</f>
        <v>32236.060681209336</v>
      </c>
      <c r="K45" s="48">
        <f>K44*$C$6</f>
        <v>33525.503108457713</v>
      </c>
      <c r="L45" s="48">
        <f>L44*$C$6</f>
        <v>34866.523232796026</v>
      </c>
      <c r="M45" s="48">
        <f>M44*$C$6</f>
        <v>36261.184162107864</v>
      </c>
      <c r="N45" s="48">
        <f>N44*$C$6</f>
        <v>37711.631528592174</v>
      </c>
      <c r="O45" s="48">
        <f>O44*$C$6</f>
        <v>39220.096789735864</v>
      </c>
      <c r="P45" s="48">
        <f>P44*$C$6</f>
        <v>40788.9006613253</v>
      </c>
      <c r="Q45" s="48">
        <f>Q44*$C$6</f>
        <v>42420.456687778315</v>
      </c>
      <c r="R45" s="55"/>
      <c r="S45" s="55"/>
      <c r="V45" s="63">
        <v>37</v>
      </c>
      <c r="W45" s="64">
        <f>J49</f>
        <v>-2676.1345957155208</v>
      </c>
    </row>
    <row r="46" spans="1:23" x14ac:dyDescent="0.3">
      <c r="A46" s="55"/>
      <c r="B46" s="10" t="s">
        <v>59</v>
      </c>
      <c r="C46" s="46">
        <f>C42*C44</f>
        <v>22502.834678953212</v>
      </c>
      <c r="D46" s="46">
        <f>D42*D44</f>
        <v>23402.948066111341</v>
      </c>
      <c r="E46" s="46">
        <f>E42*E44</f>
        <v>24339.065988755792</v>
      </c>
      <c r="F46" s="46">
        <f>F42*F44</f>
        <v>25312.628628306025</v>
      </c>
      <c r="G46" s="46">
        <f>G42*G44</f>
        <v>26325.133773438265</v>
      </c>
      <c r="H46" s="46">
        <f>H42*H44</f>
        <v>27378.13912437579</v>
      </c>
      <c r="I46" s="46">
        <f>I42*I44</f>
        <v>28473.264689350824</v>
      </c>
      <c r="J46" s="46">
        <f>J42*J44</f>
        <v>29612.195276924856</v>
      </c>
      <c r="K46" s="46">
        <f>K42*K44</f>
        <v>30796.683088001853</v>
      </c>
      <c r="L46" s="46">
        <f>L42*L44</f>
        <v>32028.550411521926</v>
      </c>
      <c r="M46" s="46">
        <f>M42*M44</f>
        <v>33309.692427982802</v>
      </c>
      <c r="N46" s="46">
        <f>N42*N44</f>
        <v>34642.080125102118</v>
      </c>
      <c r="O46" s="46">
        <f>O42*O44</f>
        <v>36027.763330106201</v>
      </c>
      <c r="P46" s="46">
        <f>P42*P44</f>
        <v>37468.873863310451</v>
      </c>
      <c r="Q46" s="46">
        <f>Q42*Q44</f>
        <v>38967.628817842866</v>
      </c>
      <c r="R46" s="55"/>
      <c r="S46" s="55"/>
      <c r="V46" s="63">
        <v>38</v>
      </c>
      <c r="W46" s="64">
        <f>K49</f>
        <v>-2571.1799795441402</v>
      </c>
    </row>
    <row r="47" spans="1:23" x14ac:dyDescent="0.3">
      <c r="A47" s="55"/>
      <c r="B47" s="22" t="s">
        <v>60</v>
      </c>
      <c r="C47" s="50">
        <f>C45-C46</f>
        <v>1993.9220601604102</v>
      </c>
      <c r="D47" s="50">
        <f>D45-D46</f>
        <v>2073.6789425668248</v>
      </c>
      <c r="E47" s="50">
        <f>E45-E46</f>
        <v>2156.6261002695028</v>
      </c>
      <c r="F47" s="50">
        <f>F45-F46</f>
        <v>2242.8911442802782</v>
      </c>
      <c r="G47" s="50">
        <f>G45-G46</f>
        <v>2332.60679005149</v>
      </c>
      <c r="H47" s="50">
        <f>H45-H46</f>
        <v>2425.9110616535545</v>
      </c>
      <c r="I47" s="50">
        <f>I45-I46</f>
        <v>2522.9475041196929</v>
      </c>
      <c r="J47" s="50">
        <f>J45-J46</f>
        <v>2623.8654042844792</v>
      </c>
      <c r="K47" s="50">
        <f>K45-K46</f>
        <v>2728.8200204558598</v>
      </c>
      <c r="L47" s="50">
        <f>L45-L46</f>
        <v>2837.9728212740993</v>
      </c>
      <c r="M47" s="50">
        <f>M45-M46</f>
        <v>2951.4917341250621</v>
      </c>
      <c r="N47" s="50">
        <f>N45-N46</f>
        <v>3069.5514034900552</v>
      </c>
      <c r="O47" s="50">
        <f>O45-O46</f>
        <v>3192.3334596296627</v>
      </c>
      <c r="P47" s="50">
        <f>P45-P46</f>
        <v>3320.0267980148492</v>
      </c>
      <c r="Q47" s="50">
        <f>Q45-Q46</f>
        <v>3452.8278699354487</v>
      </c>
      <c r="R47" s="55"/>
      <c r="S47" s="55"/>
      <c r="V47" s="63">
        <v>39</v>
      </c>
      <c r="W47" s="64">
        <f>L49</f>
        <v>-2462.0271787259007</v>
      </c>
    </row>
    <row r="48" spans="1:23" x14ac:dyDescent="0.3">
      <c r="A48" s="55"/>
      <c r="B48" s="10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55"/>
      <c r="S48" s="55"/>
      <c r="V48" s="63">
        <v>40</v>
      </c>
      <c r="W48" s="64">
        <f>M49</f>
        <v>-2348.5082658749379</v>
      </c>
    </row>
    <row r="49" spans="1:23" x14ac:dyDescent="0.3">
      <c r="A49" s="55"/>
      <c r="B49" s="23" t="s">
        <v>13</v>
      </c>
      <c r="C49" s="26">
        <f xml:space="preserve"> C47-C41</f>
        <v>-3306.0779398395898</v>
      </c>
      <c r="D49" s="26">
        <f xml:space="preserve"> D47-D41</f>
        <v>-3226.3210574331752</v>
      </c>
      <c r="E49" s="26">
        <f xml:space="preserve"> E47-E41</f>
        <v>-3143.3738997304972</v>
      </c>
      <c r="F49" s="26">
        <f xml:space="preserve"> F47-F41</f>
        <v>-3057.1088557197218</v>
      </c>
      <c r="G49" s="26">
        <f xml:space="preserve"> G47-G41</f>
        <v>-2967.39320994851</v>
      </c>
      <c r="H49" s="26">
        <f xml:space="preserve"> H47-H41</f>
        <v>-2874.0889383464455</v>
      </c>
      <c r="I49" s="26">
        <f xml:space="preserve"> I47-I41</f>
        <v>-2777.0524958803071</v>
      </c>
      <c r="J49" s="26">
        <f xml:space="preserve"> J47-J41</f>
        <v>-2676.1345957155208</v>
      </c>
      <c r="K49" s="26">
        <f xml:space="preserve"> K47-K41</f>
        <v>-2571.1799795441402</v>
      </c>
      <c r="L49" s="26">
        <f xml:space="preserve"> L47-L41</f>
        <v>-2462.0271787259007</v>
      </c>
      <c r="M49" s="26">
        <f xml:space="preserve"> M47-M41</f>
        <v>-2348.5082658749379</v>
      </c>
      <c r="N49" s="26">
        <f xml:space="preserve"> N47-N41</f>
        <v>-2230.4485965099448</v>
      </c>
      <c r="O49" s="26">
        <f xml:space="preserve"> O47-O41</f>
        <v>-2107.6665403703373</v>
      </c>
      <c r="P49" s="26">
        <f xml:space="preserve"> P47-P41</f>
        <v>-1979.9732019851508</v>
      </c>
      <c r="Q49" s="26">
        <f xml:space="preserve"> Q47-Q41</f>
        <v>-1847.1721300645513</v>
      </c>
      <c r="R49" s="55"/>
      <c r="S49" s="55"/>
      <c r="V49" s="63">
        <v>41</v>
      </c>
      <c r="W49" s="64">
        <f>N49</f>
        <v>-2230.4485965099448</v>
      </c>
    </row>
    <row r="50" spans="1:23" x14ac:dyDescent="0.3">
      <c r="A50" s="55"/>
      <c r="B50" s="1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55"/>
      <c r="S50" s="55"/>
      <c r="V50" s="63">
        <v>42</v>
      </c>
      <c r="W50" s="64">
        <f>O49</f>
        <v>-2107.6665403703373</v>
      </c>
    </row>
    <row r="51" spans="1:23" ht="15" thickBot="1" x14ac:dyDescent="0.35">
      <c r="A51" s="55"/>
      <c r="B51" s="24" t="s">
        <v>76</v>
      </c>
      <c r="C51" s="27">
        <f>Q36+C49</f>
        <v>48666.973564170701</v>
      </c>
      <c r="D51" s="27">
        <f>C51+D49</f>
        <v>45440.652506737526</v>
      </c>
      <c r="E51" s="27">
        <f>D51+E49</f>
        <v>42297.278607007029</v>
      </c>
      <c r="F51" s="27">
        <f>E51+F49</f>
        <v>39240.169751287307</v>
      </c>
      <c r="G51" s="27">
        <f>F51+G49</f>
        <v>36272.776541338797</v>
      </c>
      <c r="H51" s="27">
        <f>G51+H49</f>
        <v>33398.687602992351</v>
      </c>
      <c r="I51" s="27">
        <f>H51+I49</f>
        <v>30621.635107112044</v>
      </c>
      <c r="J51" s="27">
        <f>I51+J49</f>
        <v>27945.500511396524</v>
      </c>
      <c r="K51" s="27">
        <f>J51+K49</f>
        <v>25374.320531852383</v>
      </c>
      <c r="L51" s="27">
        <f>K51+L49</f>
        <v>22912.293353126483</v>
      </c>
      <c r="M51" s="27">
        <f>L51+M49</f>
        <v>20563.785087251545</v>
      </c>
      <c r="N51" s="27">
        <f>M51+N49</f>
        <v>18333.3364907416</v>
      </c>
      <c r="O51" s="27">
        <f>N51+O49</f>
        <v>16225.669950371263</v>
      </c>
      <c r="P51" s="27">
        <f>O51+P49</f>
        <v>14245.696748386112</v>
      </c>
      <c r="Q51" s="27">
        <f>P51+Q49</f>
        <v>12398.52461832156</v>
      </c>
      <c r="R51" s="55"/>
      <c r="S51" s="55"/>
      <c r="V51" s="63">
        <v>43</v>
      </c>
      <c r="W51" s="64">
        <f>P49</f>
        <v>-1979.9732019851508</v>
      </c>
    </row>
    <row r="52" spans="1:23" ht="15" thickTop="1" x14ac:dyDescent="0.3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V52" s="63">
        <v>44</v>
      </c>
      <c r="W52" s="64">
        <f>Q49</f>
        <v>-1847.1721300645513</v>
      </c>
    </row>
    <row r="53" spans="1:23" ht="15" thickBot="1" x14ac:dyDescent="0.35">
      <c r="A53" s="55"/>
      <c r="B53" s="54" t="s">
        <v>133</v>
      </c>
      <c r="C53" s="44" t="s">
        <v>69</v>
      </c>
      <c r="D53" s="44" t="s">
        <v>70</v>
      </c>
      <c r="E53" s="44" t="s">
        <v>71</v>
      </c>
      <c r="F53" s="44" t="s">
        <v>72</v>
      </c>
      <c r="G53" s="44" t="s">
        <v>73</v>
      </c>
      <c r="H53" s="44" t="s">
        <v>74</v>
      </c>
      <c r="I53" s="44" t="s">
        <v>75</v>
      </c>
      <c r="J53" s="44" t="s">
        <v>84</v>
      </c>
      <c r="K53" s="44" t="s">
        <v>106</v>
      </c>
      <c r="L53" s="44" t="s">
        <v>107</v>
      </c>
      <c r="M53" s="44" t="s">
        <v>108</v>
      </c>
      <c r="N53" s="44" t="s">
        <v>109</v>
      </c>
      <c r="O53" s="44" t="s">
        <v>110</v>
      </c>
      <c r="P53" s="44" t="s">
        <v>111</v>
      </c>
      <c r="Q53" s="44" t="s">
        <v>112</v>
      </c>
      <c r="R53" s="45" t="s">
        <v>113</v>
      </c>
      <c r="S53" s="55"/>
      <c r="V53" s="63">
        <v>45</v>
      </c>
      <c r="W53" s="64">
        <f>C64</f>
        <v>-1709.0590152671357</v>
      </c>
    </row>
    <row r="54" spans="1:23" ht="15" thickTop="1" x14ac:dyDescent="0.3">
      <c r="A54" s="55"/>
      <c r="B54" s="19" t="s">
        <v>77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3"/>
      <c r="S54" s="55"/>
      <c r="V54" s="63">
        <v>46</v>
      </c>
      <c r="W54" s="64">
        <f>D64</f>
        <v>-1565.4213758778205</v>
      </c>
    </row>
    <row r="55" spans="1:23" x14ac:dyDescent="0.3">
      <c r="A55" s="55"/>
      <c r="B55" s="20" t="s">
        <v>78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2"/>
      <c r="S55" s="55"/>
      <c r="V55" s="63">
        <v>47</v>
      </c>
      <c r="W55" s="64">
        <f>E64</f>
        <v>-1416.0382309129418</v>
      </c>
    </row>
    <row r="56" spans="1:23" x14ac:dyDescent="0.3">
      <c r="A56" s="55"/>
      <c r="B56" s="21" t="s">
        <v>57</v>
      </c>
      <c r="C56" s="41">
        <f>Q41</f>
        <v>5300</v>
      </c>
      <c r="D56" s="41">
        <f>C56</f>
        <v>5300</v>
      </c>
      <c r="E56" s="41">
        <f>D56</f>
        <v>5300</v>
      </c>
      <c r="F56" s="41">
        <f>E56</f>
        <v>5300</v>
      </c>
      <c r="G56" s="41">
        <f>F56</f>
        <v>5300</v>
      </c>
      <c r="H56" s="41">
        <f>G56</f>
        <v>5300</v>
      </c>
      <c r="I56" s="41">
        <f>H56</f>
        <v>5300</v>
      </c>
      <c r="J56" s="41">
        <f>I56</f>
        <v>5300</v>
      </c>
      <c r="K56" s="41">
        <f t="shared" ref="K56:P56" si="7">J56</f>
        <v>5300</v>
      </c>
      <c r="L56" s="41">
        <f t="shared" si="7"/>
        <v>5300</v>
      </c>
      <c r="M56" s="41">
        <f t="shared" si="7"/>
        <v>5300</v>
      </c>
      <c r="N56" s="41">
        <f t="shared" si="7"/>
        <v>5300</v>
      </c>
      <c r="O56" s="41">
        <f t="shared" si="7"/>
        <v>5300</v>
      </c>
      <c r="P56" s="41">
        <f t="shared" si="7"/>
        <v>5300</v>
      </c>
      <c r="Q56" s="41">
        <f t="shared" ref="Q56:R56" si="8">P56</f>
        <v>5300</v>
      </c>
      <c r="R56" s="43">
        <f t="shared" si="8"/>
        <v>5300</v>
      </c>
      <c r="S56" s="55"/>
      <c r="V56" s="63">
        <v>48</v>
      </c>
      <c r="W56" s="64">
        <f>F64</f>
        <v>-1260.6797601494545</v>
      </c>
    </row>
    <row r="57" spans="1:23" x14ac:dyDescent="0.3">
      <c r="A57" s="55"/>
      <c r="B57" s="10" t="s">
        <v>65</v>
      </c>
      <c r="C57" s="40">
        <f>Q42</f>
        <v>395</v>
      </c>
      <c r="D57" s="40">
        <f>C57</f>
        <v>395</v>
      </c>
      <c r="E57" s="40">
        <f>D57</f>
        <v>395</v>
      </c>
      <c r="F57" s="40">
        <f>E57</f>
        <v>395</v>
      </c>
      <c r="G57" s="40">
        <f>F57</f>
        <v>395</v>
      </c>
      <c r="H57" s="40">
        <f>G57</f>
        <v>395</v>
      </c>
      <c r="I57" s="40">
        <f>H57</f>
        <v>395</v>
      </c>
      <c r="J57" s="40">
        <f>I57</f>
        <v>395</v>
      </c>
      <c r="K57" s="40">
        <f t="shared" ref="K57:P57" si="9">J57</f>
        <v>395</v>
      </c>
      <c r="L57" s="40">
        <f t="shared" si="9"/>
        <v>395</v>
      </c>
      <c r="M57" s="40">
        <f t="shared" si="9"/>
        <v>395</v>
      </c>
      <c r="N57" s="40">
        <f t="shared" si="9"/>
        <v>395</v>
      </c>
      <c r="O57" s="40">
        <f t="shared" si="9"/>
        <v>395</v>
      </c>
      <c r="P57" s="40">
        <f t="shared" si="9"/>
        <v>395</v>
      </c>
      <c r="Q57" s="40">
        <f t="shared" ref="Q57:R57" si="10">P57</f>
        <v>395</v>
      </c>
      <c r="R57" s="42">
        <f t="shared" si="10"/>
        <v>395</v>
      </c>
      <c r="S57" s="55"/>
      <c r="V57" s="63">
        <v>49</v>
      </c>
      <c r="W57" s="64">
        <f>G64</f>
        <v>-1099.1069505554333</v>
      </c>
    </row>
    <row r="58" spans="1:23" x14ac:dyDescent="0.3">
      <c r="A58" s="55"/>
      <c r="B58" s="19" t="s">
        <v>11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3"/>
      <c r="S58" s="55"/>
      <c r="V58" s="63">
        <v>50</v>
      </c>
      <c r="W58" s="64">
        <f>H64</f>
        <v>-931.07122857764625</v>
      </c>
    </row>
    <row r="59" spans="1:23" x14ac:dyDescent="0.3">
      <c r="A59" s="55"/>
      <c r="B59" s="10" t="s">
        <v>10</v>
      </c>
      <c r="C59" s="46">
        <f>Q44+(Q44*$C$5)</f>
        <v>102.59831384951033</v>
      </c>
      <c r="D59" s="46">
        <f>C59+(C59*$C$5)</f>
        <v>106.70224640349075</v>
      </c>
      <c r="E59" s="46">
        <f>D59+(D59*$C$5)</f>
        <v>110.97033625963037</v>
      </c>
      <c r="F59" s="46">
        <f>E59+(E59*$C$5)</f>
        <v>115.40914971001558</v>
      </c>
      <c r="G59" s="46">
        <f>F59+(F59*$C$5)</f>
        <v>120.0255156984162</v>
      </c>
      <c r="H59" s="46">
        <f>G59+(G59*$C$5)</f>
        <v>124.82653632635285</v>
      </c>
      <c r="I59" s="46">
        <f>H59+(H59*$C$5)</f>
        <v>129.81959777940696</v>
      </c>
      <c r="J59" s="46">
        <f>I59+(I59*$C$5)</f>
        <v>135.01238169058325</v>
      </c>
      <c r="K59" s="46">
        <f>J59+(J59*$C$5)</f>
        <v>140.4128769582066</v>
      </c>
      <c r="L59" s="46">
        <f>K59+(K59*$C$5)</f>
        <v>146.02939203653486</v>
      </c>
      <c r="M59" s="46">
        <f>L59+(L59*$C$5)</f>
        <v>151.87056771799627</v>
      </c>
      <c r="N59" s="46">
        <f>M59+(M59*$C$5)</f>
        <v>157.94539042671613</v>
      </c>
      <c r="O59" s="46">
        <f>N59+(N59*$C$5)</f>
        <v>164.26320604378478</v>
      </c>
      <c r="P59" s="46">
        <f>O59+(O59*$C$5)</f>
        <v>170.83373428553617</v>
      </c>
      <c r="Q59" s="46">
        <f>P59+(P59*$C$5)</f>
        <v>177.6670836569576</v>
      </c>
      <c r="R59" s="47">
        <f>Q59+(Q59*$C$5)</f>
        <v>184.77376700323592</v>
      </c>
      <c r="S59" s="55"/>
      <c r="V59" s="63">
        <v>51</v>
      </c>
      <c r="W59" s="64">
        <f>I64</f>
        <v>-756.31407772075909</v>
      </c>
    </row>
    <row r="60" spans="1:23" x14ac:dyDescent="0.3">
      <c r="A60" s="55"/>
      <c r="B60" s="21" t="s">
        <v>58</v>
      </c>
      <c r="C60" s="48">
        <f>C59*$C$6</f>
        <v>44117.274955289446</v>
      </c>
      <c r="D60" s="48">
        <f>D59*$C$6</f>
        <v>45881.965953501021</v>
      </c>
      <c r="E60" s="48">
        <f>E59*$C$6</f>
        <v>47717.244591641058</v>
      </c>
      <c r="F60" s="48">
        <f>F59*$C$6</f>
        <v>49625.934375306701</v>
      </c>
      <c r="G60" s="48">
        <f>G59*$C$6</f>
        <v>51610.971750318968</v>
      </c>
      <c r="H60" s="48">
        <f>H59*$C$6</f>
        <v>53675.410620331728</v>
      </c>
      <c r="I60" s="48">
        <f>I59*$C$6</f>
        <v>55822.427045144992</v>
      </c>
      <c r="J60" s="48">
        <f>J59*$C$6</f>
        <v>58055.3241269508</v>
      </c>
      <c r="K60" s="48">
        <f>K59*$C$6</f>
        <v>60377.537092028833</v>
      </c>
      <c r="L60" s="48">
        <f>L59*$C$6</f>
        <v>62792.638575709992</v>
      </c>
      <c r="M60" s="48">
        <f>M59*$C$6</f>
        <v>65304.344118738394</v>
      </c>
      <c r="N60" s="48">
        <f>N59*$C$6</f>
        <v>67916.517883487933</v>
      </c>
      <c r="O60" s="48">
        <f>O59*$C$6</f>
        <v>70633.17859882745</v>
      </c>
      <c r="P60" s="48">
        <f>P59*$C$6</f>
        <v>73458.505742780559</v>
      </c>
      <c r="Q60" s="48">
        <f>Q59*$C$6</f>
        <v>76396.845972491763</v>
      </c>
      <c r="R60" s="49">
        <f>R59*$C$6</f>
        <v>79452.719811391449</v>
      </c>
      <c r="S60" s="55"/>
      <c r="V60" s="63">
        <v>52</v>
      </c>
      <c r="W60" s="64">
        <f>J64</f>
        <v>-574.56664082958741</v>
      </c>
    </row>
    <row r="61" spans="1:23" x14ac:dyDescent="0.3">
      <c r="A61" s="55"/>
      <c r="B61" s="10" t="s">
        <v>59</v>
      </c>
      <c r="C61" s="46">
        <f>C57*C59</f>
        <v>40526.333970556581</v>
      </c>
      <c r="D61" s="46">
        <f>D57*D59</f>
        <v>42147.387329378842</v>
      </c>
      <c r="E61" s="46">
        <f>E57*E59</f>
        <v>43833.282822554</v>
      </c>
      <c r="F61" s="46">
        <f>F57*F59</f>
        <v>45586.614135456155</v>
      </c>
      <c r="G61" s="46">
        <f>G57*G59</f>
        <v>47410.078700874401</v>
      </c>
      <c r="H61" s="46">
        <f>H57*H59</f>
        <v>49306.481848909374</v>
      </c>
      <c r="I61" s="46">
        <f>I57*I59</f>
        <v>51278.741122865751</v>
      </c>
      <c r="J61" s="46">
        <f>J57*J59</f>
        <v>53329.890767780387</v>
      </c>
      <c r="K61" s="46">
        <f>K57*K59</f>
        <v>55463.086398491607</v>
      </c>
      <c r="L61" s="46">
        <f>L57*L59</f>
        <v>57681.60985443127</v>
      </c>
      <c r="M61" s="46">
        <f>M57*M59</f>
        <v>59988.874248608525</v>
      </c>
      <c r="N61" s="46">
        <f>N57*N59</f>
        <v>62388.429218552868</v>
      </c>
      <c r="O61" s="46">
        <f>O57*O59</f>
        <v>64883.96638729499</v>
      </c>
      <c r="P61" s="46">
        <f>P57*P59</f>
        <v>67479.32504278679</v>
      </c>
      <c r="Q61" s="46">
        <f>Q57*Q59</f>
        <v>70178.49804449825</v>
      </c>
      <c r="R61" s="47">
        <f>R57*R59</f>
        <v>72985.637966278184</v>
      </c>
      <c r="S61" s="55"/>
      <c r="V61" s="63">
        <v>53</v>
      </c>
      <c r="W61" s="64">
        <f>K64</f>
        <v>-385.54930646277353</v>
      </c>
    </row>
    <row r="62" spans="1:23" x14ac:dyDescent="0.3">
      <c r="A62" s="55"/>
      <c r="B62" s="22" t="s">
        <v>60</v>
      </c>
      <c r="C62" s="50">
        <f>C60-C61</f>
        <v>3590.9409847328643</v>
      </c>
      <c r="D62" s="50">
        <f>D60-D61</f>
        <v>3734.5786241221795</v>
      </c>
      <c r="E62" s="50">
        <f>E60-E61</f>
        <v>3883.9617690870582</v>
      </c>
      <c r="F62" s="50">
        <f>F60-F61</f>
        <v>4039.3202398505455</v>
      </c>
      <c r="G62" s="50">
        <f>G60-G61</f>
        <v>4200.8930494445667</v>
      </c>
      <c r="H62" s="50">
        <f>H60-H61</f>
        <v>4368.9287714223537</v>
      </c>
      <c r="I62" s="50">
        <f>I60-I61</f>
        <v>4543.6859222792409</v>
      </c>
      <c r="J62" s="50">
        <f>J60-J61</f>
        <v>4725.4333591704126</v>
      </c>
      <c r="K62" s="50">
        <f>K60-K61</f>
        <v>4914.4506935372265</v>
      </c>
      <c r="L62" s="50">
        <f>L60-L61</f>
        <v>5111.0287212787225</v>
      </c>
      <c r="M62" s="50">
        <f>M60-M61</f>
        <v>5315.4698701298694</v>
      </c>
      <c r="N62" s="50">
        <f>N60-N61</f>
        <v>5528.088664935065</v>
      </c>
      <c r="O62" s="50">
        <f>O60-O61</f>
        <v>5749.2122115324601</v>
      </c>
      <c r="P62" s="50">
        <f>P60-P61</f>
        <v>5979.1806999937689</v>
      </c>
      <c r="Q62" s="50">
        <f t="shared" ref="Q62:R62" si="11">Q60-Q61</f>
        <v>6218.3479279935127</v>
      </c>
      <c r="R62" s="51">
        <f t="shared" si="11"/>
        <v>6467.0818451132654</v>
      </c>
      <c r="S62" s="55"/>
      <c r="V62" s="63">
        <v>54</v>
      </c>
      <c r="W62" s="64">
        <f>L64</f>
        <v>-188.97127872127749</v>
      </c>
    </row>
    <row r="63" spans="1:23" x14ac:dyDescent="0.3">
      <c r="A63" s="55"/>
      <c r="B63" s="10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S63" s="55"/>
      <c r="V63" s="63">
        <v>55</v>
      </c>
      <c r="W63" s="64">
        <f>M64</f>
        <v>15.469870129869378</v>
      </c>
    </row>
    <row r="64" spans="1:23" x14ac:dyDescent="0.3">
      <c r="A64" s="55"/>
      <c r="B64" s="23" t="s">
        <v>13</v>
      </c>
      <c r="C64" s="26">
        <f xml:space="preserve"> C62-C56</f>
        <v>-1709.0590152671357</v>
      </c>
      <c r="D64" s="26">
        <f xml:space="preserve"> D62-D56</f>
        <v>-1565.4213758778205</v>
      </c>
      <c r="E64" s="26">
        <f xml:space="preserve"> E62-E56</f>
        <v>-1416.0382309129418</v>
      </c>
      <c r="F64" s="26">
        <f xml:space="preserve"> F62-F56</f>
        <v>-1260.6797601494545</v>
      </c>
      <c r="G64" s="26">
        <f xml:space="preserve"> G62-G56</f>
        <v>-1099.1069505554333</v>
      </c>
      <c r="H64" s="26">
        <f xml:space="preserve"> H62-H56</f>
        <v>-931.07122857764625</v>
      </c>
      <c r="I64" s="26">
        <f xml:space="preserve"> I62-I56</f>
        <v>-756.31407772075909</v>
      </c>
      <c r="J64" s="26">
        <f xml:space="preserve"> J62-J56</f>
        <v>-574.56664082958741</v>
      </c>
      <c r="K64" s="26">
        <f xml:space="preserve"> K62-K56</f>
        <v>-385.54930646277353</v>
      </c>
      <c r="L64" s="26">
        <f xml:space="preserve"> L62-L56</f>
        <v>-188.97127872127749</v>
      </c>
      <c r="M64" s="26">
        <f xml:space="preserve"> M62-M56</f>
        <v>15.469870129869378</v>
      </c>
      <c r="N64" s="26">
        <f xml:space="preserve"> N62-N56</f>
        <v>228.08866493506503</v>
      </c>
      <c r="O64" s="26">
        <f xml:space="preserve"> O62-O56</f>
        <v>449.21221153246006</v>
      </c>
      <c r="P64" s="26">
        <f xml:space="preserve"> P62-P56</f>
        <v>679.18069999376894</v>
      </c>
      <c r="Q64" s="26">
        <f xml:space="preserve"> Q62-Q56</f>
        <v>918.34792799351271</v>
      </c>
      <c r="R64" s="52">
        <f xml:space="preserve"> R62-R56</f>
        <v>1167.0818451132654</v>
      </c>
      <c r="S64" s="55"/>
      <c r="V64" s="63">
        <v>56</v>
      </c>
      <c r="W64" s="64">
        <f>N64</f>
        <v>228.08866493506503</v>
      </c>
    </row>
    <row r="65" spans="1:23" x14ac:dyDescent="0.3">
      <c r="A65" s="55"/>
      <c r="B65" s="1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2"/>
      <c r="S65" s="55"/>
      <c r="V65" s="63">
        <v>57</v>
      </c>
      <c r="W65" s="64">
        <f>O64</f>
        <v>449.21221153246006</v>
      </c>
    </row>
    <row r="66" spans="1:23" ht="15" thickBot="1" x14ac:dyDescent="0.35">
      <c r="A66" s="55"/>
      <c r="B66" s="24" t="s">
        <v>76</v>
      </c>
      <c r="C66" s="27">
        <f>Q51+C64</f>
        <v>10689.465603054425</v>
      </c>
      <c r="D66" s="27">
        <f>C66+D64</f>
        <v>9124.0442271766042</v>
      </c>
      <c r="E66" s="27">
        <f>D66+E64</f>
        <v>7708.0059962636624</v>
      </c>
      <c r="F66" s="27">
        <f>E66+F64</f>
        <v>6447.3262361142079</v>
      </c>
      <c r="G66" s="27">
        <f>F66+G64</f>
        <v>5348.2192855587746</v>
      </c>
      <c r="H66" s="27">
        <f>G66+H64</f>
        <v>4417.1480569811283</v>
      </c>
      <c r="I66" s="27">
        <f>H66+I64</f>
        <v>3660.8339792603692</v>
      </c>
      <c r="J66" s="27">
        <f>I66+J64</f>
        <v>3086.2673384307818</v>
      </c>
      <c r="K66" s="27">
        <f t="shared" ref="K66" si="12">J66+K64</f>
        <v>2700.7180319680083</v>
      </c>
      <c r="L66" s="27">
        <f t="shared" ref="L66" si="13">K66+L64</f>
        <v>2511.7467532467308</v>
      </c>
      <c r="M66" s="27">
        <f t="shared" ref="M66" si="14">L66+M64</f>
        <v>2527.2166233766002</v>
      </c>
      <c r="N66" s="27">
        <f t="shared" ref="N66" si="15">M66+N64</f>
        <v>2755.3052883116652</v>
      </c>
      <c r="O66" s="27">
        <f t="shared" ref="O66" si="16">N66+O64</f>
        <v>3204.5174998441253</v>
      </c>
      <c r="P66" s="27">
        <f t="shared" ref="P66" si="17">O66+P64</f>
        <v>3883.6981998378942</v>
      </c>
      <c r="Q66" s="27">
        <f t="shared" ref="Q66:R66" si="18">P66+Q64</f>
        <v>4802.0461278314069</v>
      </c>
      <c r="R66" s="53">
        <f t="shared" si="18"/>
        <v>5969.1279729446724</v>
      </c>
      <c r="S66" s="55"/>
      <c r="V66" s="63">
        <v>58</v>
      </c>
      <c r="W66" s="64">
        <f>P64</f>
        <v>679.18069999376894</v>
      </c>
    </row>
    <row r="67" spans="1:23" ht="15" thickTop="1" x14ac:dyDescent="0.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V67" s="63">
        <v>59</v>
      </c>
      <c r="W67" s="64">
        <f>Q64</f>
        <v>918.34792799351271</v>
      </c>
    </row>
    <row r="68" spans="1:23" x14ac:dyDescent="0.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V68" s="63">
        <v>60</v>
      </c>
      <c r="W68" s="64">
        <f>R64</f>
        <v>1167.0818451132654</v>
      </c>
    </row>
    <row r="69" spans="1:23" x14ac:dyDescent="0.3">
      <c r="A69" s="55"/>
      <c r="B69" s="55"/>
      <c r="S69" s="55"/>
      <c r="V69" s="63"/>
      <c r="W69" s="63"/>
    </row>
    <row r="70" spans="1:23" x14ac:dyDescent="0.3">
      <c r="A70" s="55"/>
      <c r="B70" s="55"/>
      <c r="S70" s="55"/>
      <c r="V70" s="63"/>
      <c r="W70" s="63"/>
    </row>
    <row r="71" spans="1:23" x14ac:dyDescent="0.3">
      <c r="A71" s="55"/>
      <c r="B71" s="55"/>
      <c r="S71" s="55"/>
    </row>
    <row r="72" spans="1:23" x14ac:dyDescent="0.3">
      <c r="A72" s="55"/>
      <c r="B72" s="55"/>
      <c r="S72" s="55"/>
    </row>
    <row r="73" spans="1:23" x14ac:dyDescent="0.3">
      <c r="A73" s="55"/>
      <c r="B73" s="55"/>
      <c r="S73" s="55"/>
    </row>
    <row r="74" spans="1:23" x14ac:dyDescent="0.3">
      <c r="A74" s="55"/>
      <c r="B74" s="55"/>
      <c r="S74" s="55"/>
    </row>
    <row r="75" spans="1:23" x14ac:dyDescent="0.3">
      <c r="A75" s="55"/>
      <c r="B75" s="55"/>
      <c r="S75" s="55"/>
    </row>
    <row r="76" spans="1:23" x14ac:dyDescent="0.3">
      <c r="A76" s="55"/>
      <c r="B76" s="55"/>
      <c r="S76" s="55"/>
    </row>
    <row r="77" spans="1:23" x14ac:dyDescent="0.3">
      <c r="A77" s="55"/>
      <c r="B77" s="55"/>
      <c r="S77" s="55"/>
    </row>
    <row r="78" spans="1:23" x14ac:dyDescent="0.3">
      <c r="A78" s="55"/>
      <c r="B78" s="55"/>
      <c r="S78" s="55"/>
    </row>
    <row r="79" spans="1:23" x14ac:dyDescent="0.3">
      <c r="A79" s="55"/>
      <c r="B79" s="55"/>
      <c r="S79" s="55"/>
    </row>
    <row r="80" spans="1:23" x14ac:dyDescent="0.3">
      <c r="A80" s="55"/>
      <c r="B80" s="55"/>
      <c r="S80" s="55"/>
    </row>
    <row r="81" spans="1:19" x14ac:dyDescent="0.3">
      <c r="A81" s="55"/>
      <c r="B81" s="55"/>
      <c r="S81" s="55"/>
    </row>
    <row r="82" spans="1:19" x14ac:dyDescent="0.3">
      <c r="A82" s="55"/>
      <c r="B82" s="55"/>
      <c r="S82" s="55"/>
    </row>
    <row r="83" spans="1:19" x14ac:dyDescent="0.3">
      <c r="A83" s="55"/>
      <c r="B83" s="55"/>
      <c r="S83" s="55"/>
    </row>
    <row r="84" spans="1:19" x14ac:dyDescent="0.3">
      <c r="A84" s="55"/>
      <c r="B84" s="55"/>
      <c r="S84" s="55"/>
    </row>
    <row r="85" spans="1:19" x14ac:dyDescent="0.3">
      <c r="A85" s="55"/>
      <c r="B85" s="55"/>
      <c r="S85" s="55"/>
    </row>
    <row r="86" spans="1:19" x14ac:dyDescent="0.3">
      <c r="A86" s="55"/>
      <c r="B86" s="55"/>
      <c r="S86" s="55"/>
    </row>
    <row r="87" spans="1:19" x14ac:dyDescent="0.3">
      <c r="A87" s="55"/>
      <c r="B87" s="55"/>
      <c r="S87" s="55"/>
    </row>
    <row r="88" spans="1:19" x14ac:dyDescent="0.3">
      <c r="A88" s="55"/>
      <c r="B88" s="55"/>
      <c r="S88" s="55"/>
    </row>
    <row r="89" spans="1:19" x14ac:dyDescent="0.3">
      <c r="A89" s="55"/>
      <c r="B89" s="55"/>
      <c r="S89" s="55"/>
    </row>
    <row r="90" spans="1:19" x14ac:dyDescent="0.3">
      <c r="A90" s="55"/>
      <c r="B90" s="55"/>
      <c r="S90" s="55"/>
    </row>
    <row r="91" spans="1:19" x14ac:dyDescent="0.3">
      <c r="A91" s="55"/>
      <c r="B91" s="55"/>
      <c r="S91" s="55"/>
    </row>
    <row r="92" spans="1:19" x14ac:dyDescent="0.3">
      <c r="A92" s="55"/>
      <c r="B92" s="55"/>
      <c r="S92" s="55"/>
    </row>
    <row r="93" spans="1:19" x14ac:dyDescent="0.3">
      <c r="A93" s="55"/>
      <c r="B93" s="55"/>
      <c r="S93" s="55"/>
    </row>
    <row r="94" spans="1:19" x14ac:dyDescent="0.3">
      <c r="A94" s="55"/>
      <c r="B94" s="55"/>
      <c r="S94" s="55"/>
    </row>
    <row r="95" spans="1:19" x14ac:dyDescent="0.3">
      <c r="A95" s="55"/>
      <c r="B95" s="55"/>
      <c r="S95" s="55"/>
    </row>
    <row r="96" spans="1:19" x14ac:dyDescent="0.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</row>
  </sheetData>
  <mergeCells count="1">
    <mergeCell ref="H2:K2"/>
  </mergeCells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Costs</vt:lpstr>
      <vt:lpstr>Formatted budget</vt:lpstr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Kaween's laptop</dc:creator>
  <cp:lastModifiedBy>Jay Patel</cp:lastModifiedBy>
  <dcterms:created xsi:type="dcterms:W3CDTF">2021-03-12T03:18:16Z</dcterms:created>
  <dcterms:modified xsi:type="dcterms:W3CDTF">2021-03-22T03:57:09Z</dcterms:modified>
</cp:coreProperties>
</file>